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C:\Users\ALiebrich\Documents\Vereinsbuchhaltung\aktuelle_Versandversion\"/>
    </mc:Choice>
  </mc:AlternateContent>
  <xr:revisionPtr revIDLastSave="0" documentId="13_ncr:1_{6916AA44-27B9-4DEA-851D-3F2104B95580}" xr6:coauthVersionLast="47" xr6:coauthVersionMax="47" xr10:uidLastSave="{00000000-0000-0000-0000-000000000000}"/>
  <bookViews>
    <workbookView xWindow="-110" yWindow="-110" windowWidth="19420" windowHeight="10300" tabRatio="911" xr2:uid="{00000000-000D-0000-FFFF-FFFF00000000}"/>
  </bookViews>
  <sheets>
    <sheet name="Hilfelinks" sheetId="20" r:id="rId1"/>
    <sheet name="Kontenplan" sheetId="1" r:id="rId2"/>
    <sheet name="Projektliste" sheetId="10" r:id="rId3"/>
    <sheet name="Journal" sheetId="2" r:id="rId4"/>
    <sheet name="Calc" sheetId="3" r:id="rId5"/>
    <sheet name="Bilanz" sheetId="19" r:id="rId6"/>
    <sheet name="Budget und ER" sheetId="18" r:id="rId7"/>
    <sheet name="Kontoauszug" sheetId="6" r:id="rId8"/>
    <sheet name="Projektabrechnung" sheetId="9" r:id="rId9"/>
  </sheets>
  <definedNames>
    <definedName name="_xlnm._FilterDatabase" localSheetId="6" hidden="1">'Budget und ER'!$A$5:$H$5</definedName>
    <definedName name="_xlnm._FilterDatabase" localSheetId="3" hidden="1">Journal!$D$6:$M$86</definedName>
    <definedName name="_xlnm._FilterDatabase" localSheetId="1" hidden="1">Kontenplan!$C$8:$F$8</definedName>
    <definedName name="_xlnm._FilterDatabase" localSheetId="7" hidden="1">Kontoauszug!$B$7:$L$7</definedName>
    <definedName name="_xlnm._FilterDatabase" localSheetId="8" hidden="1">Projektabrechnung!$B$7:$I$7</definedName>
    <definedName name="_xlnm.Print_Area" localSheetId="5">Bilanz!$C$3:$F$101</definedName>
    <definedName name="_xlnm.Print_Area" localSheetId="6">'Budget und ER'!$C$3:$I$37</definedName>
    <definedName name="_xlnm.Print_Area" localSheetId="4">Calc!$B$136:$F$142</definedName>
    <definedName name="_xlnm.Print_Area" localSheetId="3">Journal!$D$1:$J$84</definedName>
    <definedName name="_xlnm.Print_Area" localSheetId="1">Kontenplan!$D$9:$F$127</definedName>
    <definedName name="_xlnm.Print_Area" localSheetId="7">Kontoauszug!$B$3:$L$77</definedName>
    <definedName name="_xlnm.Print_Area" localSheetId="8">Projektabrechnung!$B$3:$I$40</definedName>
    <definedName name="_xlnm.Print_Area" localSheetId="2">Projektliste!$C$2:$E$47</definedName>
    <definedName name="_xlnm.Print_Titles" localSheetId="5">Bilanz!$3:$5</definedName>
    <definedName name="_xlnm.Print_Titles" localSheetId="6">'Budget und ER'!$3:$5</definedName>
    <definedName name="_xlnm.Print_Titles" localSheetId="3">Journal!$3:$4</definedName>
    <definedName name="_xlnm.Print_Titles" localSheetId="1">Kontenplan!$2:$8</definedName>
    <definedName name="_xlnm.Print_Titles" localSheetId="7">Kontoauszug!$3:$3</definedName>
    <definedName name="_xlnm.Print_Titles" localSheetId="8">Projektabrechnung!$3:$3</definedName>
    <definedName name="_xlnm.Print_Titles" localSheetId="2">Projektliste!$2:$3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3" i="3" l="1"/>
  <c r="AR56" i="3"/>
  <c r="AH9" i="1" l="1"/>
  <c r="AH10" i="1" s="1"/>
  <c r="AF9" i="1"/>
  <c r="AG9" i="1" s="1"/>
  <c r="AK2" i="19"/>
  <c r="AI9" i="1" l="1"/>
  <c r="AH11" i="1"/>
  <c r="AI10" i="1"/>
  <c r="AI11" i="1" l="1"/>
  <c r="AH12" i="1"/>
  <c r="AI12" i="1" l="1"/>
  <c r="AH13" i="1"/>
  <c r="AI13" i="1" l="1"/>
  <c r="AH14" i="1"/>
  <c r="AH15" i="1" l="1"/>
  <c r="AI14" i="1"/>
  <c r="AI15" i="1" l="1"/>
  <c r="AH16" i="1"/>
  <c r="AI16" i="1" l="1"/>
  <c r="AH17" i="1"/>
  <c r="AH18" i="1" l="1"/>
  <c r="AI17" i="1"/>
  <c r="AI18" i="1" l="1"/>
  <c r="AH19" i="1"/>
  <c r="AI19" i="1" l="1"/>
  <c r="AH20" i="1"/>
  <c r="AI20" i="1" l="1"/>
  <c r="AH21" i="1"/>
  <c r="AI21" i="1" l="1"/>
  <c r="AH22" i="1"/>
  <c r="AH23" i="1" l="1"/>
  <c r="AI22" i="1"/>
  <c r="AI23" i="1" l="1"/>
  <c r="AH24" i="1"/>
  <c r="AI24" i="1" l="1"/>
  <c r="AH25" i="1"/>
  <c r="AI25" i="1" l="1"/>
  <c r="AH26" i="1"/>
  <c r="AI26" i="1" l="1"/>
  <c r="AH27" i="1"/>
  <c r="AI27" i="1" l="1"/>
  <c r="AH28" i="1"/>
  <c r="AI28" i="1" l="1"/>
  <c r="AH29" i="1"/>
  <c r="AH30" i="1" l="1"/>
  <c r="AI29" i="1"/>
  <c r="AI30" i="1" l="1"/>
  <c r="AH31" i="1"/>
  <c r="AI31" i="1" l="1"/>
  <c r="AH32" i="1"/>
  <c r="AI32" i="1" l="1"/>
  <c r="AH33" i="1"/>
  <c r="AI33" i="1" l="1"/>
  <c r="AH34" i="1"/>
  <c r="AI34" i="1" l="1"/>
  <c r="AH35" i="1"/>
  <c r="AI35" i="1" l="1"/>
  <c r="AH36" i="1"/>
  <c r="AI36" i="1" l="1"/>
  <c r="AH37" i="1"/>
  <c r="AI37" i="1" l="1"/>
  <c r="AH38" i="1"/>
  <c r="AI38" i="1" l="1"/>
  <c r="AH39" i="1"/>
  <c r="AH40" i="1" l="1"/>
  <c r="AI39" i="1"/>
  <c r="AI40" i="1" l="1"/>
  <c r="AH41" i="1"/>
  <c r="AI41" i="1" l="1"/>
  <c r="AH42" i="1"/>
  <c r="AH43" i="1" l="1"/>
  <c r="AI42" i="1"/>
  <c r="AI43" i="1" l="1"/>
  <c r="AH44" i="1"/>
  <c r="AI44" i="1" l="1"/>
  <c r="AH45" i="1"/>
  <c r="AI45" i="1" l="1"/>
  <c r="AH46" i="1"/>
  <c r="AI46" i="1" l="1"/>
  <c r="AH47" i="1"/>
  <c r="AH48" i="1" l="1"/>
  <c r="AI47" i="1"/>
  <c r="AI48" i="1" l="1"/>
  <c r="AH49" i="1"/>
  <c r="AI49" i="1" l="1"/>
  <c r="AH50" i="1"/>
  <c r="AI50" i="1" l="1"/>
  <c r="AH51" i="1"/>
  <c r="AI51" i="1" l="1"/>
  <c r="AH52" i="1"/>
  <c r="AI52" i="1" l="1"/>
  <c r="AH53" i="1"/>
  <c r="AI53" i="1" l="1"/>
  <c r="AH54" i="1"/>
  <c r="AH55" i="1" l="1"/>
  <c r="AH56" i="1" s="1"/>
  <c r="AH57" i="1" s="1"/>
  <c r="AH58" i="1" s="1"/>
  <c r="AH59" i="1" s="1"/>
  <c r="AH60" i="1" s="1"/>
  <c r="AH61" i="1" s="1"/>
  <c r="AH62" i="1" s="1"/>
  <c r="AH63" i="1" s="1"/>
  <c r="AH64" i="1" s="1"/>
  <c r="AH65" i="1" s="1"/>
  <c r="AH66" i="1" s="1"/>
  <c r="AH67" i="1" s="1"/>
  <c r="AH68" i="1" s="1"/>
  <c r="AH69" i="1" s="1"/>
  <c r="AH70" i="1" s="1"/>
  <c r="AH71" i="1" s="1"/>
  <c r="AH72" i="1" s="1"/>
  <c r="AH73" i="1" s="1"/>
  <c r="AH74" i="1" s="1"/>
  <c r="AH75" i="1" s="1"/>
  <c r="AH76" i="1" s="1"/>
  <c r="AH77" i="1" s="1"/>
  <c r="AH78" i="1" s="1"/>
  <c r="AH79" i="1" s="1"/>
  <c r="AH80" i="1" s="1"/>
  <c r="AH81" i="1" s="1"/>
  <c r="AH82" i="1" s="1"/>
  <c r="AH83" i="1" s="1"/>
  <c r="AH84" i="1" s="1"/>
  <c r="AH85" i="1" s="1"/>
  <c r="AH86" i="1" s="1"/>
  <c r="AH87" i="1" s="1"/>
  <c r="AH88" i="1" s="1"/>
  <c r="AH89" i="1" s="1"/>
  <c r="AH90" i="1" s="1"/>
  <c r="AH91" i="1" s="1"/>
  <c r="AH92" i="1" s="1"/>
  <c r="AH93" i="1" s="1"/>
  <c r="AH94" i="1" s="1"/>
  <c r="AH95" i="1" s="1"/>
  <c r="AH96" i="1" s="1"/>
  <c r="AH97" i="1" s="1"/>
  <c r="AH98" i="1" s="1"/>
  <c r="AH99" i="1" s="1"/>
  <c r="AH100" i="1" s="1"/>
  <c r="AH101" i="1" s="1"/>
  <c r="AH102" i="1" s="1"/>
  <c r="AH103" i="1" s="1"/>
  <c r="AH104" i="1" s="1"/>
  <c r="AH105" i="1" s="1"/>
  <c r="AH106" i="1" s="1"/>
  <c r="AH107" i="1" s="1"/>
  <c r="AH108" i="1" s="1"/>
  <c r="AH109" i="1" s="1"/>
  <c r="AH110" i="1" s="1"/>
  <c r="AH111" i="1" s="1"/>
  <c r="AH112" i="1" s="1"/>
  <c r="AH113" i="1" s="1"/>
  <c r="AH114" i="1" s="1"/>
  <c r="AH115" i="1" s="1"/>
  <c r="AH116" i="1" s="1"/>
  <c r="AH117" i="1" s="1"/>
  <c r="AH118" i="1" s="1"/>
  <c r="AH119" i="1" s="1"/>
  <c r="AH120" i="1" s="1"/>
  <c r="AH121" i="1" s="1"/>
  <c r="AH122" i="1" s="1"/>
  <c r="AH123" i="1" s="1"/>
  <c r="AH124" i="1" s="1"/>
  <c r="AH125" i="1" s="1"/>
  <c r="AH126" i="1" s="1"/>
  <c r="AH127" i="1" s="1"/>
  <c r="AI54" i="1"/>
  <c r="N138" i="3" l="1"/>
  <c r="H137" i="3" s="1"/>
  <c r="S75" i="2"/>
  <c r="R75" i="2"/>
  <c r="O75" i="2"/>
  <c r="M75" i="2"/>
  <c r="L75" i="2"/>
  <c r="S74" i="2"/>
  <c r="R74" i="2"/>
  <c r="O74" i="2"/>
  <c r="M74" i="2"/>
  <c r="L74" i="2"/>
  <c r="R73" i="2"/>
  <c r="S73" i="2" s="1"/>
  <c r="O73" i="2"/>
  <c r="M73" i="2"/>
  <c r="L73" i="2"/>
  <c r="S72" i="2"/>
  <c r="R72" i="2"/>
  <c r="O72" i="2"/>
  <c r="M72" i="2"/>
  <c r="L72" i="2"/>
  <c r="S71" i="2"/>
  <c r="R71" i="2"/>
  <c r="O71" i="2"/>
  <c r="M71" i="2"/>
  <c r="L71" i="2"/>
  <c r="S70" i="2"/>
  <c r="R70" i="2"/>
  <c r="O70" i="2"/>
  <c r="M70" i="2"/>
  <c r="L70" i="2"/>
  <c r="S69" i="2"/>
  <c r="R69" i="2"/>
  <c r="O69" i="2"/>
  <c r="M69" i="2"/>
  <c r="L69" i="2"/>
  <c r="L76" i="2"/>
  <c r="M76" i="2"/>
  <c r="O76" i="2"/>
  <c r="R76" i="2"/>
  <c r="S76" i="2"/>
  <c r="L77" i="2"/>
  <c r="M77" i="2"/>
  <c r="O77" i="2"/>
  <c r="R77" i="2"/>
  <c r="S77" i="2"/>
  <c r="N99" i="19" l="1"/>
  <c r="N96" i="19"/>
  <c r="M96" i="19"/>
  <c r="AS99" i="3"/>
  <c r="AW99" i="3" s="1"/>
  <c r="AR99" i="3"/>
  <c r="AC99" i="3"/>
  <c r="AG99" i="3" s="1"/>
  <c r="AB99" i="3"/>
  <c r="O99" i="3"/>
  <c r="C99" i="3"/>
  <c r="O99" i="19" s="1"/>
  <c r="B99" i="3"/>
  <c r="E99" i="3" s="1"/>
  <c r="Q99" i="19" s="1"/>
  <c r="A99" i="3"/>
  <c r="P99" i="3" s="1"/>
  <c r="AR98" i="3"/>
  <c r="AB98" i="3"/>
  <c r="C98" i="3"/>
  <c r="O98" i="19" s="1"/>
  <c r="B98" i="3"/>
  <c r="D98" i="3" s="1"/>
  <c r="P98" i="19" s="1"/>
  <c r="A98" i="3"/>
  <c r="M98" i="19" s="1"/>
  <c r="AR97" i="3"/>
  <c r="AB97" i="3"/>
  <c r="C97" i="3"/>
  <c r="O97" i="19" s="1"/>
  <c r="B97" i="3"/>
  <c r="E97" i="3" s="1"/>
  <c r="A97" i="3"/>
  <c r="AS97" i="3" s="1"/>
  <c r="AW97" i="3" s="1"/>
  <c r="AR96" i="3"/>
  <c r="AB96" i="3"/>
  <c r="C96" i="3"/>
  <c r="O96" i="19" s="1"/>
  <c r="B96" i="3"/>
  <c r="D96" i="3" s="1"/>
  <c r="P96" i="19" s="1"/>
  <c r="A96" i="3"/>
  <c r="AR95" i="3"/>
  <c r="AB95" i="3"/>
  <c r="C95" i="3"/>
  <c r="B95" i="3"/>
  <c r="E95" i="3" s="1"/>
  <c r="A95" i="3"/>
  <c r="AS95" i="3" s="1"/>
  <c r="AW95" i="3" s="1"/>
  <c r="AR94" i="3"/>
  <c r="AB94" i="3"/>
  <c r="D94" i="3"/>
  <c r="C94" i="3"/>
  <c r="B94" i="3"/>
  <c r="E94" i="3" s="1"/>
  <c r="A94" i="3"/>
  <c r="AS94" i="3" s="1"/>
  <c r="AW94" i="3" s="1"/>
  <c r="AS93" i="3"/>
  <c r="AW93" i="3" s="1"/>
  <c r="AR93" i="3"/>
  <c r="AI93" i="3"/>
  <c r="AC93" i="3"/>
  <c r="AG93" i="3" s="1"/>
  <c r="AB93" i="3"/>
  <c r="O93" i="3"/>
  <c r="C93" i="3"/>
  <c r="B93" i="3"/>
  <c r="E93" i="3" s="1"/>
  <c r="A93" i="3"/>
  <c r="P93" i="3" s="1"/>
  <c r="AY92" i="3"/>
  <c r="AR92" i="3"/>
  <c r="AI92" i="3"/>
  <c r="AB92" i="3"/>
  <c r="C92" i="3"/>
  <c r="B92" i="3"/>
  <c r="D92" i="3" s="1"/>
  <c r="A92" i="3"/>
  <c r="Q108" i="1"/>
  <c r="I108" i="1"/>
  <c r="H108" i="1"/>
  <c r="Q107" i="1"/>
  <c r="I107" i="1"/>
  <c r="H107" i="1"/>
  <c r="Q106" i="1"/>
  <c r="I106" i="1"/>
  <c r="H106" i="1"/>
  <c r="Q105" i="1"/>
  <c r="I105" i="1"/>
  <c r="H105" i="1"/>
  <c r="Q104" i="1"/>
  <c r="I104" i="1"/>
  <c r="H104" i="1"/>
  <c r="Q103" i="1"/>
  <c r="I103" i="1"/>
  <c r="H103" i="1"/>
  <c r="Q102" i="1"/>
  <c r="I102" i="1"/>
  <c r="H102" i="1"/>
  <c r="Q101" i="1"/>
  <c r="I101" i="1"/>
  <c r="H101" i="1"/>
  <c r="Q100" i="1"/>
  <c r="I100" i="1"/>
  <c r="H100" i="1"/>
  <c r="Q99" i="1"/>
  <c r="I99" i="1"/>
  <c r="H99" i="1"/>
  <c r="E92" i="3" l="1"/>
  <c r="G92" i="3" s="1"/>
  <c r="I92" i="3" s="1"/>
  <c r="N98" i="19"/>
  <c r="M99" i="19"/>
  <c r="V98" i="19"/>
  <c r="W98" i="19" s="1"/>
  <c r="O95" i="3"/>
  <c r="E98" i="3"/>
  <c r="Q98" i="19" s="1"/>
  <c r="AC97" i="3"/>
  <c r="AG97" i="3" s="1"/>
  <c r="V99" i="19"/>
  <c r="W99" i="19"/>
  <c r="D95" i="3"/>
  <c r="G95" i="3" s="1"/>
  <c r="P95" i="3"/>
  <c r="D97" i="3"/>
  <c r="P97" i="19" s="1"/>
  <c r="AC95" i="3"/>
  <c r="AG95" i="3" s="1"/>
  <c r="O97" i="3"/>
  <c r="M97" i="19"/>
  <c r="P97" i="3"/>
  <c r="N97" i="19"/>
  <c r="V96" i="19"/>
  <c r="W96" i="19"/>
  <c r="G94" i="3"/>
  <c r="I94" i="3" s="1"/>
  <c r="M94" i="3" s="1"/>
  <c r="Q97" i="19"/>
  <c r="F94" i="3"/>
  <c r="J94" i="3" s="1"/>
  <c r="AD94" i="3" s="1"/>
  <c r="O94" i="3"/>
  <c r="E96" i="3"/>
  <c r="F96" i="3" s="1"/>
  <c r="AC92" i="3"/>
  <c r="AG92" i="3" s="1"/>
  <c r="P94" i="3"/>
  <c r="AI94" i="3"/>
  <c r="AC98" i="3"/>
  <c r="AG98" i="3" s="1"/>
  <c r="AS92" i="3"/>
  <c r="AW92" i="3" s="1"/>
  <c r="AS98" i="3"/>
  <c r="AW98" i="3" s="1"/>
  <c r="O92" i="3"/>
  <c r="D93" i="3"/>
  <c r="F93" i="3" s="1"/>
  <c r="O98" i="3"/>
  <c r="D99" i="3"/>
  <c r="P92" i="3"/>
  <c r="AY93" i="3"/>
  <c r="AC96" i="3"/>
  <c r="AG96" i="3" s="1"/>
  <c r="P98" i="3"/>
  <c r="AS96" i="3"/>
  <c r="AW96" i="3" s="1"/>
  <c r="O96" i="3"/>
  <c r="AC94" i="3"/>
  <c r="AG94" i="3" s="1"/>
  <c r="P96" i="3"/>
  <c r="F92" i="3" l="1"/>
  <c r="J92" i="3" s="1"/>
  <c r="AD92" i="3" s="1"/>
  <c r="V97" i="19"/>
  <c r="W97" i="19" s="1"/>
  <c r="F98" i="3"/>
  <c r="R98" i="19" s="1"/>
  <c r="G98" i="3"/>
  <c r="K98" i="3" s="1"/>
  <c r="AE98" i="3" s="1"/>
  <c r="F97" i="3"/>
  <c r="R97" i="19" s="1"/>
  <c r="G97" i="3"/>
  <c r="F95" i="3"/>
  <c r="J95" i="3" s="1"/>
  <c r="AD95" i="3" s="1"/>
  <c r="K94" i="3"/>
  <c r="AE94" i="3" s="1"/>
  <c r="AU94" i="3"/>
  <c r="H97" i="3"/>
  <c r="AT97" i="3" s="1"/>
  <c r="J97" i="3"/>
  <c r="AD97" i="3" s="1"/>
  <c r="G93" i="3"/>
  <c r="I93" i="3" s="1"/>
  <c r="J96" i="3"/>
  <c r="AD96" i="3" s="1"/>
  <c r="R96" i="19"/>
  <c r="F99" i="3"/>
  <c r="R99" i="19" s="1"/>
  <c r="P99" i="19"/>
  <c r="G96" i="3"/>
  <c r="Q96" i="19"/>
  <c r="S98" i="19"/>
  <c r="K92" i="3"/>
  <c r="AE92" i="3" s="1"/>
  <c r="J98" i="3"/>
  <c r="AD98" i="3" s="1"/>
  <c r="H94" i="3"/>
  <c r="L94" i="3" s="1"/>
  <c r="M92" i="3"/>
  <c r="AU92" i="3"/>
  <c r="H96" i="3"/>
  <c r="AI95" i="3"/>
  <c r="G99" i="3"/>
  <c r="S99" i="19" s="1"/>
  <c r="AY94" i="3"/>
  <c r="J93" i="3"/>
  <c r="AD93" i="3" s="1"/>
  <c r="H93" i="3"/>
  <c r="K95" i="3"/>
  <c r="AE95" i="3" s="1"/>
  <c r="I95" i="3"/>
  <c r="H92" i="3" l="1"/>
  <c r="AT92" i="3" s="1"/>
  <c r="I98" i="3"/>
  <c r="AU98" i="3" s="1"/>
  <c r="H98" i="3"/>
  <c r="L98" i="3" s="1"/>
  <c r="H95" i="3"/>
  <c r="L95" i="3" s="1"/>
  <c r="S97" i="19"/>
  <c r="I97" i="3"/>
  <c r="K97" i="3"/>
  <c r="AE97" i="3" s="1"/>
  <c r="K93" i="3"/>
  <c r="AE93" i="3" s="1"/>
  <c r="H99" i="3"/>
  <c r="AT99" i="3" s="1"/>
  <c r="L97" i="3"/>
  <c r="J99" i="3"/>
  <c r="AD99" i="3" s="1"/>
  <c r="K96" i="3"/>
  <c r="AE96" i="3" s="1"/>
  <c r="S96" i="19"/>
  <c r="I96" i="3"/>
  <c r="AT94" i="3"/>
  <c r="AU95" i="3"/>
  <c r="M95" i="3"/>
  <c r="AT93" i="3"/>
  <c r="L93" i="3"/>
  <c r="I99" i="3"/>
  <c r="K99" i="3"/>
  <c r="AE99" i="3" s="1"/>
  <c r="AI96" i="3"/>
  <c r="AU93" i="3"/>
  <c r="M93" i="3"/>
  <c r="L96" i="3"/>
  <c r="AT96" i="3"/>
  <c r="AY95" i="3"/>
  <c r="L92" i="3" l="1"/>
  <c r="AT95" i="3"/>
  <c r="M98" i="3"/>
  <c r="AT98" i="3"/>
  <c r="AU97" i="3"/>
  <c r="M97" i="3"/>
  <c r="L99" i="3"/>
  <c r="AU96" i="3"/>
  <c r="M96" i="3"/>
  <c r="AI97" i="3"/>
  <c r="AY96" i="3"/>
  <c r="AU99" i="3"/>
  <c r="M99" i="3"/>
  <c r="AY97" i="3" l="1"/>
  <c r="AI98" i="3"/>
  <c r="AI99" i="3" l="1"/>
  <c r="AY98" i="3"/>
  <c r="AY99" i="3" l="1"/>
  <c r="Q127" i="1" l="1"/>
  <c r="H127" i="1"/>
  <c r="Q126" i="1"/>
  <c r="I126" i="1"/>
  <c r="H126" i="1"/>
  <c r="Q125" i="1"/>
  <c r="I125" i="1"/>
  <c r="H125" i="1"/>
  <c r="Q124" i="1"/>
  <c r="I124" i="1"/>
  <c r="H124" i="1"/>
  <c r="Q123" i="1"/>
  <c r="I123" i="1"/>
  <c r="H123" i="1"/>
  <c r="Q122" i="1"/>
  <c r="I122" i="1"/>
  <c r="H122" i="1"/>
  <c r="Q121" i="1"/>
  <c r="I121" i="1"/>
  <c r="H121" i="1"/>
  <c r="Q120" i="1"/>
  <c r="I120" i="1"/>
  <c r="H120" i="1"/>
  <c r="Q119" i="1"/>
  <c r="I119" i="1"/>
  <c r="H119" i="1"/>
  <c r="Q118" i="1"/>
  <c r="I118" i="1"/>
  <c r="H118" i="1"/>
  <c r="Q117" i="1"/>
  <c r="I117" i="1"/>
  <c r="H117" i="1"/>
  <c r="Q116" i="1"/>
  <c r="I116" i="1"/>
  <c r="H116" i="1"/>
  <c r="Q115" i="1"/>
  <c r="I115" i="1"/>
  <c r="H115" i="1"/>
  <c r="Q114" i="1"/>
  <c r="I114" i="1"/>
  <c r="H114" i="1"/>
  <c r="Q113" i="1"/>
  <c r="I113" i="1"/>
  <c r="H113" i="1"/>
  <c r="Q112" i="1"/>
  <c r="I112" i="1"/>
  <c r="H112" i="1"/>
  <c r="Q111" i="1"/>
  <c r="I111" i="1"/>
  <c r="H111" i="1"/>
  <c r="Q110" i="1"/>
  <c r="I110" i="1"/>
  <c r="H110" i="1"/>
  <c r="Q109" i="1"/>
  <c r="I109" i="1"/>
  <c r="H109" i="1"/>
  <c r="R7" i="2" l="1"/>
  <c r="R9" i="2"/>
  <c r="N137" i="3"/>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F15" i="10"/>
  <c r="F14" i="10"/>
  <c r="F13" i="10"/>
  <c r="F12" i="10"/>
  <c r="F11" i="10"/>
  <c r="F10" i="10"/>
  <c r="F9" i="10"/>
  <c r="F8" i="10"/>
  <c r="F7" i="10"/>
  <c r="F6" i="10"/>
  <c r="F5" i="10"/>
  <c r="H5" i="18"/>
  <c r="O84" i="2"/>
  <c r="O83" i="2"/>
  <c r="O82" i="2"/>
  <c r="O81" i="2"/>
  <c r="O80" i="2"/>
  <c r="O79" i="2"/>
  <c r="O78" i="2"/>
  <c r="O68" i="2"/>
  <c r="O67" i="2"/>
  <c r="O66" i="2"/>
  <c r="O65" i="2"/>
  <c r="O64" i="2"/>
  <c r="O62" i="2"/>
  <c r="O61" i="2"/>
  <c r="O60" i="2"/>
  <c r="O59" i="2"/>
  <c r="O58" i="2"/>
  <c r="O57" i="2"/>
  <c r="O56" i="2"/>
  <c r="O55" i="2"/>
  <c r="O54" i="2"/>
  <c r="O53" i="2"/>
  <c r="O52" i="2"/>
  <c r="O51" i="2"/>
  <c r="O50" i="2"/>
  <c r="O49" i="2"/>
  <c r="O48" i="2"/>
  <c r="O47" i="2"/>
  <c r="O46" i="2"/>
  <c r="O45" i="2"/>
  <c r="O44" i="2"/>
  <c r="O43" i="2"/>
  <c r="O42" i="2"/>
  <c r="O41" i="2"/>
  <c r="O40" i="2"/>
  <c r="O39" i="2"/>
  <c r="O38" i="2"/>
  <c r="O37" i="2"/>
  <c r="O36" i="2"/>
  <c r="O35" i="2"/>
  <c r="O34" i="2"/>
  <c r="O33" i="2"/>
  <c r="O32" i="2"/>
  <c r="O31" i="2"/>
  <c r="O30" i="2"/>
  <c r="O29" i="2"/>
  <c r="O28" i="2"/>
  <c r="O27" i="2"/>
  <c r="O26" i="2"/>
  <c r="O25" i="2"/>
  <c r="O24" i="2"/>
  <c r="O23" i="2"/>
  <c r="O22" i="2"/>
  <c r="O21" i="2"/>
  <c r="O20" i="2"/>
  <c r="O19" i="2"/>
  <c r="O18" i="2"/>
  <c r="O17" i="2"/>
  <c r="O16" i="2"/>
  <c r="O15" i="2"/>
  <c r="O14" i="2"/>
  <c r="O13" i="2"/>
  <c r="O12" i="2"/>
  <c r="O11" i="2"/>
  <c r="O10" i="2"/>
  <c r="O9" i="2"/>
  <c r="O8" i="2"/>
  <c r="O7" i="2"/>
  <c r="O63" i="2"/>
  <c r="N84" i="2"/>
  <c r="N83" i="2"/>
  <c r="N82" i="2"/>
  <c r="N81" i="2"/>
  <c r="N80" i="2"/>
  <c r="N79" i="2"/>
  <c r="N2" i="2"/>
  <c r="J7" i="19"/>
  <c r="J8" i="19" s="1"/>
  <c r="I3" i="9"/>
  <c r="P138" i="3"/>
  <c r="N55" i="2" l="1"/>
  <c r="N72" i="2"/>
  <c r="K72" i="2" s="1"/>
  <c r="N77" i="2"/>
  <c r="K77" i="2" s="1"/>
  <c r="N71" i="2"/>
  <c r="K71" i="2" s="1"/>
  <c r="N69" i="2"/>
  <c r="K69" i="2" s="1"/>
  <c r="N73" i="2"/>
  <c r="K73" i="2" s="1"/>
  <c r="N75" i="2"/>
  <c r="K75" i="2" s="1"/>
  <c r="N74" i="2"/>
  <c r="K74" i="2" s="1"/>
  <c r="N70" i="2"/>
  <c r="K70" i="2" s="1"/>
  <c r="N76" i="2"/>
  <c r="K76" i="2" s="1"/>
  <c r="N64" i="2"/>
  <c r="N65" i="2"/>
  <c r="N66" i="2"/>
  <c r="N67" i="2"/>
  <c r="N68" i="2"/>
  <c r="N78" i="2"/>
  <c r="N8" i="2"/>
  <c r="N56" i="2"/>
  <c r="N57" i="2"/>
  <c r="N59" i="2"/>
  <c r="N20" i="2"/>
  <c r="N21" i="2"/>
  <c r="N16" i="2"/>
  <c r="N23" i="2"/>
  <c r="N10" i="2"/>
  <c r="N28" i="2"/>
  <c r="N33" i="2"/>
  <c r="N52" i="2"/>
  <c r="N45" i="2"/>
  <c r="N32" i="2"/>
  <c r="N47" i="2"/>
  <c r="N35" i="2"/>
  <c r="N40" i="2"/>
  <c r="N7" i="2"/>
  <c r="N44" i="2"/>
  <c r="N9" i="2"/>
  <c r="N22" i="2"/>
  <c r="N34" i="2"/>
  <c r="N46" i="2"/>
  <c r="N58" i="2"/>
  <c r="N11" i="2"/>
  <c r="N24" i="2"/>
  <c r="N36" i="2"/>
  <c r="N48" i="2"/>
  <c r="N60" i="2"/>
  <c r="N13" i="2"/>
  <c r="N25" i="2"/>
  <c r="N37" i="2"/>
  <c r="N49" i="2"/>
  <c r="N61" i="2"/>
  <c r="N14" i="2"/>
  <c r="N26" i="2"/>
  <c r="N38" i="2"/>
  <c r="N50" i="2"/>
  <c r="N62" i="2"/>
  <c r="N15" i="2"/>
  <c r="N27" i="2"/>
  <c r="N39" i="2"/>
  <c r="N51" i="2"/>
  <c r="N63" i="2"/>
  <c r="N17" i="2"/>
  <c r="N29" i="2"/>
  <c r="N41" i="2"/>
  <c r="N53" i="2"/>
  <c r="N30" i="2"/>
  <c r="N42" i="2"/>
  <c r="N18" i="2"/>
  <c r="N54" i="2"/>
  <c r="N12" i="2"/>
  <c r="N19" i="2"/>
  <c r="N31" i="2"/>
  <c r="N43" i="2"/>
  <c r="N136" i="3"/>
  <c r="I3" i="6"/>
  <c r="S84" i="2"/>
  <c r="S83" i="2"/>
  <c r="S82" i="2"/>
  <c r="S81" i="2"/>
  <c r="S80" i="2"/>
  <c r="S79" i="2"/>
  <c r="S78" i="2"/>
  <c r="S68" i="2"/>
  <c r="S67" i="2"/>
  <c r="S66" i="2"/>
  <c r="S65" i="2"/>
  <c r="S64" i="2"/>
  <c r="S63" i="2"/>
  <c r="S62" i="2"/>
  <c r="S61" i="2"/>
  <c r="S60" i="2"/>
  <c r="S59" i="2"/>
  <c r="S58" i="2"/>
  <c r="S55" i="2"/>
  <c r="S54" i="2"/>
  <c r="S53" i="2"/>
  <c r="S52" i="2"/>
  <c r="S51" i="2"/>
  <c r="S50" i="2"/>
  <c r="S48" i="2"/>
  <c r="S46" i="2"/>
  <c r="S43" i="2"/>
  <c r="S39" i="2"/>
  <c r="S38" i="2"/>
  <c r="S37" i="2"/>
  <c r="S34" i="2"/>
  <c r="S33" i="2"/>
  <c r="S32" i="2"/>
  <c r="S31" i="2"/>
  <c r="S30" i="2"/>
  <c r="S26" i="2"/>
  <c r="S25" i="2"/>
  <c r="S24" i="2"/>
  <c r="S23" i="2"/>
  <c r="S22" i="2"/>
  <c r="S21" i="2"/>
  <c r="S20" i="2"/>
  <c r="S19" i="2"/>
  <c r="S18" i="2"/>
  <c r="S17" i="2"/>
  <c r="S16" i="2"/>
  <c r="S15" i="2"/>
  <c r="S14" i="2"/>
  <c r="S13" i="2"/>
  <c r="S11" i="2"/>
  <c r="S10" i="2"/>
  <c r="S9" i="2"/>
  <c r="S7" i="2"/>
  <c r="S12" i="2"/>
  <c r="R84" i="2"/>
  <c r="R83" i="2"/>
  <c r="R82" i="2"/>
  <c r="R81" i="2"/>
  <c r="R80" i="2"/>
  <c r="R79" i="2"/>
  <c r="R78" i="2"/>
  <c r="R68" i="2"/>
  <c r="R67" i="2"/>
  <c r="R66" i="2"/>
  <c r="R65" i="2"/>
  <c r="R64" i="2"/>
  <c r="R63" i="2"/>
  <c r="R62" i="2"/>
  <c r="R61" i="2"/>
  <c r="R60" i="2"/>
  <c r="R59" i="2"/>
  <c r="R58" i="2"/>
  <c r="R57" i="2"/>
  <c r="S57" i="2" s="1"/>
  <c r="R56" i="2"/>
  <c r="S56" i="2" s="1"/>
  <c r="R55" i="2"/>
  <c r="R54" i="2"/>
  <c r="R53" i="2"/>
  <c r="R52" i="2"/>
  <c r="R51" i="2"/>
  <c r="R50" i="2"/>
  <c r="R49" i="2"/>
  <c r="S49" i="2" s="1"/>
  <c r="R48" i="2"/>
  <c r="R47" i="2"/>
  <c r="S47" i="2" s="1"/>
  <c r="R46" i="2"/>
  <c r="R45" i="2"/>
  <c r="S45" i="2" s="1"/>
  <c r="R44" i="2"/>
  <c r="S44" i="2" s="1"/>
  <c r="R43" i="2"/>
  <c r="R42" i="2"/>
  <c r="S42" i="2" s="1"/>
  <c r="R41" i="2"/>
  <c r="S41" i="2" s="1"/>
  <c r="R40" i="2"/>
  <c r="S40" i="2" s="1"/>
  <c r="R39" i="2"/>
  <c r="R38" i="2"/>
  <c r="R37" i="2"/>
  <c r="R36" i="2"/>
  <c r="S36" i="2" s="1"/>
  <c r="R35" i="2"/>
  <c r="S35" i="2" s="1"/>
  <c r="R34" i="2"/>
  <c r="R33" i="2"/>
  <c r="R32" i="2"/>
  <c r="R31" i="2"/>
  <c r="R30" i="2"/>
  <c r="R29" i="2"/>
  <c r="S29" i="2" s="1"/>
  <c r="R28" i="2"/>
  <c r="S28" i="2" s="1"/>
  <c r="R27" i="2"/>
  <c r="S27" i="2" s="1"/>
  <c r="R26" i="2"/>
  <c r="R25" i="2"/>
  <c r="R24" i="2"/>
  <c r="R23" i="2"/>
  <c r="R22" i="2"/>
  <c r="R21" i="2"/>
  <c r="R20" i="2"/>
  <c r="R19" i="2"/>
  <c r="R18" i="2"/>
  <c r="R17" i="2"/>
  <c r="R16" i="2"/>
  <c r="R15" i="2"/>
  <c r="R14" i="2"/>
  <c r="R13" i="2"/>
  <c r="R12" i="2"/>
  <c r="R11" i="2"/>
  <c r="R10" i="2"/>
  <c r="R8" i="2"/>
  <c r="S8" i="2" s="1"/>
  <c r="I98" i="1" l="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9" i="1"/>
  <c r="I10" i="1"/>
  <c r="I49" i="1"/>
  <c r="J5" i="19"/>
  <c r="D5" i="19"/>
  <c r="D5" i="18"/>
  <c r="AB8" i="19"/>
  <c r="AY7" i="3"/>
  <c r="AY8" i="3" s="1"/>
  <c r="AY9" i="3" s="1"/>
  <c r="AR91" i="3"/>
  <c r="AR90" i="3"/>
  <c r="AR89" i="3"/>
  <c r="AR88" i="3"/>
  <c r="AR87" i="3"/>
  <c r="AR86" i="3"/>
  <c r="AR85" i="3"/>
  <c r="AR84" i="3"/>
  <c r="AR83" i="3"/>
  <c r="AR82" i="3"/>
  <c r="AR81" i="3"/>
  <c r="AR80" i="3"/>
  <c r="AR79" i="3"/>
  <c r="AR78" i="3"/>
  <c r="AR77" i="3"/>
  <c r="AR76" i="3"/>
  <c r="AR75" i="3"/>
  <c r="AR74" i="3"/>
  <c r="AR73" i="3"/>
  <c r="AR72" i="3"/>
  <c r="AR71" i="3"/>
  <c r="AR70" i="3"/>
  <c r="AR69" i="3"/>
  <c r="AR68" i="3"/>
  <c r="AR67" i="3"/>
  <c r="AR66" i="3"/>
  <c r="AR65" i="3"/>
  <c r="AR64" i="3"/>
  <c r="AR63" i="3"/>
  <c r="AR62" i="3"/>
  <c r="AR61" i="3"/>
  <c r="AR60" i="3"/>
  <c r="AR59" i="3"/>
  <c r="AR58" i="3"/>
  <c r="AR57" i="3"/>
  <c r="AR55" i="3"/>
  <c r="AR54" i="3"/>
  <c r="AR53" i="3"/>
  <c r="AR52" i="3"/>
  <c r="AR51" i="3"/>
  <c r="AR50" i="3"/>
  <c r="AR49" i="3"/>
  <c r="AR48" i="3"/>
  <c r="AR47" i="3"/>
  <c r="AR46" i="3"/>
  <c r="AR45" i="3"/>
  <c r="AR44" i="3"/>
  <c r="AR43" i="3"/>
  <c r="AR42" i="3"/>
  <c r="AR41" i="3"/>
  <c r="AR40" i="3"/>
  <c r="AR39" i="3"/>
  <c r="AA125" i="3"/>
  <c r="AA124" i="3"/>
  <c r="AA123" i="3"/>
  <c r="AA122" i="3"/>
  <c r="AA121" i="3"/>
  <c r="AA120" i="3"/>
  <c r="AA119" i="3"/>
  <c r="AA118" i="3"/>
  <c r="AR38" i="3"/>
  <c r="AR37" i="3"/>
  <c r="AR36" i="3"/>
  <c r="AR35" i="3"/>
  <c r="AR34" i="3"/>
  <c r="AR32" i="3"/>
  <c r="AR31" i="3"/>
  <c r="AR30" i="3"/>
  <c r="AR29" i="3"/>
  <c r="AR28" i="3"/>
  <c r="AR27" i="3"/>
  <c r="AR26" i="3"/>
  <c r="AR25" i="3"/>
  <c r="AR24" i="3"/>
  <c r="AR23" i="3"/>
  <c r="AR22" i="3"/>
  <c r="AR21" i="3"/>
  <c r="AR20" i="3"/>
  <c r="AR19" i="3"/>
  <c r="AR18" i="3"/>
  <c r="AR17" i="3"/>
  <c r="AR16" i="3"/>
  <c r="AR15" i="3"/>
  <c r="AR14" i="3"/>
  <c r="AR13" i="3"/>
  <c r="AR12" i="3"/>
  <c r="AR11" i="3"/>
  <c r="AR10" i="3"/>
  <c r="AR9" i="3"/>
  <c r="AR8" i="3"/>
  <c r="AR7" i="3"/>
  <c r="AB7" i="3"/>
  <c r="O5" i="18"/>
  <c r="E5" i="18"/>
  <c r="Y9" i="1"/>
  <c r="Y10" i="1" s="1"/>
  <c r="Y11" i="1" s="1"/>
  <c r="Y12" i="1" s="1"/>
  <c r="Y13" i="1" s="1"/>
  <c r="Y14" i="1" s="1"/>
  <c r="Y15" i="1" s="1"/>
  <c r="Y16" i="1" s="1"/>
  <c r="Y17" i="1" s="1"/>
  <c r="Y18" i="1" s="1"/>
  <c r="Y19" i="1" s="1"/>
  <c r="Y20" i="1" s="1"/>
  <c r="Y21" i="1" s="1"/>
  <c r="Y22" i="1" s="1"/>
  <c r="Y23" i="1" s="1"/>
  <c r="Y24" i="1" s="1"/>
  <c r="Y25" i="1" s="1"/>
  <c r="Y26" i="1" s="1"/>
  <c r="Y27" i="1" s="1"/>
  <c r="Y28" i="1" s="1"/>
  <c r="Y29" i="1" s="1"/>
  <c r="Y30" i="1" s="1"/>
  <c r="Y31" i="1" s="1"/>
  <c r="Y32" i="1" s="1"/>
  <c r="Y33" i="1" s="1"/>
  <c r="Y34" i="1" s="1"/>
  <c r="Y35" i="1" s="1"/>
  <c r="Y36" i="1" s="1"/>
  <c r="Y37" i="1" s="1"/>
  <c r="Y38" i="1" s="1"/>
  <c r="Y39" i="1" s="1"/>
  <c r="Y40" i="1" s="1"/>
  <c r="Y41" i="1" s="1"/>
  <c r="Y42" i="1" s="1"/>
  <c r="Y43" i="1" s="1"/>
  <c r="Y44" i="1" s="1"/>
  <c r="Y45" i="1" s="1"/>
  <c r="Y46" i="1" s="1"/>
  <c r="Y47" i="1" s="1"/>
  <c r="Y48" i="1" s="1"/>
  <c r="Y49" i="1" s="1"/>
  <c r="Y50" i="1" s="1"/>
  <c r="Y51" i="1" s="1"/>
  <c r="Y52" i="1" s="1"/>
  <c r="Y53" i="1" s="1"/>
  <c r="Y54" i="1" s="1"/>
  <c r="Y55" i="1" s="1"/>
  <c r="Y56" i="1" s="1"/>
  <c r="Y57" i="1" s="1"/>
  <c r="Y58" i="1" s="1"/>
  <c r="Y59" i="1" s="1"/>
  <c r="Y60" i="1" s="1"/>
  <c r="Y61" i="1" s="1"/>
  <c r="Y62" i="1" s="1"/>
  <c r="Y63" i="1" s="1"/>
  <c r="Y64" i="1" s="1"/>
  <c r="Y65" i="1" s="1"/>
  <c r="Y66" i="1" s="1"/>
  <c r="Y67" i="1" s="1"/>
  <c r="Y68" i="1" s="1"/>
  <c r="Y69" i="1" s="1"/>
  <c r="Y70" i="1" s="1"/>
  <c r="Y71" i="1" s="1"/>
  <c r="Y72" i="1" s="1"/>
  <c r="Y73" i="1" s="1"/>
  <c r="Y74" i="1" s="1"/>
  <c r="Y75" i="1" s="1"/>
  <c r="Y76" i="1" s="1"/>
  <c r="Y77" i="1" s="1"/>
  <c r="Y78" i="1" s="1"/>
  <c r="Y79" i="1" s="1"/>
  <c r="Y80" i="1" s="1"/>
  <c r="Y81" i="1" s="1"/>
  <c r="Y82" i="1" s="1"/>
  <c r="Y83" i="1" s="1"/>
  <c r="Y84" i="1" s="1"/>
  <c r="Y85" i="1" s="1"/>
  <c r="Y86" i="1" s="1"/>
  <c r="Y87" i="1" s="1"/>
  <c r="Y88" i="1" s="1"/>
  <c r="Y89" i="1" s="1"/>
  <c r="Y90" i="1" s="1"/>
  <c r="Y91" i="1" s="1"/>
  <c r="Y92" i="1" s="1"/>
  <c r="Y93" i="1" s="1"/>
  <c r="Y94" i="1" s="1"/>
  <c r="Y95" i="1" s="1"/>
  <c r="Y96" i="1" s="1"/>
  <c r="Y97" i="1" s="1"/>
  <c r="Y98" i="1" s="1"/>
  <c r="Y99" i="1" s="1"/>
  <c r="Y100" i="1" s="1"/>
  <c r="Y101" i="1" s="1"/>
  <c r="Y102" i="1" s="1"/>
  <c r="Y103" i="1" s="1"/>
  <c r="Y104" i="1" s="1"/>
  <c r="Y105" i="1" s="1"/>
  <c r="Y106" i="1" s="1"/>
  <c r="Y107" i="1" s="1"/>
  <c r="Y108" i="1" s="1"/>
  <c r="AB125" i="3"/>
  <c r="AB124" i="3"/>
  <c r="AB123" i="3"/>
  <c r="AB122" i="3"/>
  <c r="AB121" i="3"/>
  <c r="AB120" i="3"/>
  <c r="AB119" i="3"/>
  <c r="AB118" i="3"/>
  <c r="AB117" i="3"/>
  <c r="AB116" i="3"/>
  <c r="AB115" i="3"/>
  <c r="AB114" i="3"/>
  <c r="AB113" i="3"/>
  <c r="AB112" i="3"/>
  <c r="AB111" i="3"/>
  <c r="AB110" i="3"/>
  <c r="AB109" i="3"/>
  <c r="AB108" i="3"/>
  <c r="AB107" i="3"/>
  <c r="AB106" i="3"/>
  <c r="AB105" i="3"/>
  <c r="AB104" i="3"/>
  <c r="AB103" i="3"/>
  <c r="AB102" i="3"/>
  <c r="AB101" i="3"/>
  <c r="AB100" i="3"/>
  <c r="AB91" i="3"/>
  <c r="AB90" i="3"/>
  <c r="AB89" i="3"/>
  <c r="AB88" i="3"/>
  <c r="AB87" i="3"/>
  <c r="AB86" i="3"/>
  <c r="AB85" i="3"/>
  <c r="AB84" i="3"/>
  <c r="AB83" i="3"/>
  <c r="AB82" i="3"/>
  <c r="AB81" i="3"/>
  <c r="AB80" i="3"/>
  <c r="AB79" i="3"/>
  <c r="AB78" i="3"/>
  <c r="AB77" i="3"/>
  <c r="AB76" i="3"/>
  <c r="AB75" i="3"/>
  <c r="AB74" i="3"/>
  <c r="AB73" i="3"/>
  <c r="AB72" i="3"/>
  <c r="AB71" i="3"/>
  <c r="AB70" i="3"/>
  <c r="AB69" i="3"/>
  <c r="AB68" i="3"/>
  <c r="AB67" i="3"/>
  <c r="AB66" i="3"/>
  <c r="AB64" i="3"/>
  <c r="AB63" i="3"/>
  <c r="AB62" i="3"/>
  <c r="AB61" i="3"/>
  <c r="AB60" i="3"/>
  <c r="AB59" i="3"/>
  <c r="AB58" i="3"/>
  <c r="AB57" i="3"/>
  <c r="AB56" i="3"/>
  <c r="AB55" i="3"/>
  <c r="AB54" i="3"/>
  <c r="AB53" i="3"/>
  <c r="AB52" i="3"/>
  <c r="AB51" i="3"/>
  <c r="AB50" i="3"/>
  <c r="AB49" i="3"/>
  <c r="AB48" i="3"/>
  <c r="AB47" i="3"/>
  <c r="AB46" i="3"/>
  <c r="AB45" i="3"/>
  <c r="AB44" i="3"/>
  <c r="AB43" i="3"/>
  <c r="AB42" i="3"/>
  <c r="AB41" i="3"/>
  <c r="AB40" i="3"/>
  <c r="AB39" i="3"/>
  <c r="AB38" i="3"/>
  <c r="AB37" i="3"/>
  <c r="AB36" i="3"/>
  <c r="AB35" i="3"/>
  <c r="AB34" i="3"/>
  <c r="AB33" i="3"/>
  <c r="AB32" i="3"/>
  <c r="AB31" i="3"/>
  <c r="AB30" i="3"/>
  <c r="AB29" i="3"/>
  <c r="AB28" i="3"/>
  <c r="AB27" i="3"/>
  <c r="AB26" i="3"/>
  <c r="AB25" i="3"/>
  <c r="AB24" i="3"/>
  <c r="AB23" i="3"/>
  <c r="AB22" i="3"/>
  <c r="AB21" i="3"/>
  <c r="AB20" i="3"/>
  <c r="AB19" i="3"/>
  <c r="AB18" i="3"/>
  <c r="AB17" i="3"/>
  <c r="AB16" i="3"/>
  <c r="AB15" i="3"/>
  <c r="AB14" i="3"/>
  <c r="AB13" i="3"/>
  <c r="AB12" i="3"/>
  <c r="AB11" i="3"/>
  <c r="AB10" i="3"/>
  <c r="AB9" i="3"/>
  <c r="AB8" i="3"/>
  <c r="AI7" i="3"/>
  <c r="AB65" i="3"/>
  <c r="Y109" i="1" l="1"/>
  <c r="Y110" i="1" s="1"/>
  <c r="Y111" i="1" s="1"/>
  <c r="Y112" i="1" s="1"/>
  <c r="Y113" i="1" s="1"/>
  <c r="Y114" i="1" s="1"/>
  <c r="Y115" i="1" s="1"/>
  <c r="Y116" i="1" s="1"/>
  <c r="Y117" i="1" s="1"/>
  <c r="Y118" i="1" s="1"/>
  <c r="Y119" i="1" s="1"/>
  <c r="Y120" i="1" s="1"/>
  <c r="Y121" i="1" s="1"/>
  <c r="Y122" i="1" s="1"/>
  <c r="Y123" i="1" s="1"/>
  <c r="Y124" i="1" s="1"/>
  <c r="Y125" i="1" s="1"/>
  <c r="Y126" i="1" s="1"/>
  <c r="Y127" i="1" s="1"/>
  <c r="Y128" i="1" s="1"/>
  <c r="L5" i="18"/>
  <c r="P3" i="18"/>
  <c r="P2" i="18"/>
  <c r="F5" i="18"/>
  <c r="AB9" i="19"/>
  <c r="AY10" i="3"/>
  <c r="AY11" i="3" s="1"/>
  <c r="AY12" i="3" s="1"/>
  <c r="AY13" i="3" s="1"/>
  <c r="AY14" i="3" s="1"/>
  <c r="AY15" i="3" s="1"/>
  <c r="AY16" i="3" s="1"/>
  <c r="AY17" i="3" s="1"/>
  <c r="AY18" i="3" s="1"/>
  <c r="AY19" i="3" s="1"/>
  <c r="AY20" i="3" s="1"/>
  <c r="AY21" i="3" s="1"/>
  <c r="AY22" i="3" s="1"/>
  <c r="AY23" i="3" s="1"/>
  <c r="AY24" i="3" s="1"/>
  <c r="AY25" i="3" s="1"/>
  <c r="AY26" i="3" s="1"/>
  <c r="AY27" i="3" s="1"/>
  <c r="AY28" i="3" s="1"/>
  <c r="AY29" i="3" s="1"/>
  <c r="AY30" i="3" s="1"/>
  <c r="AY31" i="3" s="1"/>
  <c r="AY32" i="3" s="1"/>
  <c r="AY33" i="3" s="1"/>
  <c r="AY34" i="3" s="1"/>
  <c r="AY35" i="3" s="1"/>
  <c r="AY36" i="3" s="1"/>
  <c r="AY37" i="3" s="1"/>
  <c r="AY38" i="3" s="1"/>
  <c r="AY39" i="3" s="1"/>
  <c r="AY40" i="3" s="1"/>
  <c r="AY41" i="3" s="1"/>
  <c r="AY42" i="3" s="1"/>
  <c r="AY43" i="3" s="1"/>
  <c r="AY44" i="3" s="1"/>
  <c r="AY45" i="3" s="1"/>
  <c r="AY46" i="3" s="1"/>
  <c r="AY47" i="3" s="1"/>
  <c r="AY48" i="3" s="1"/>
  <c r="AY49" i="3" s="1"/>
  <c r="AY50" i="3" s="1"/>
  <c r="AY51" i="3" s="1"/>
  <c r="AY52" i="3" s="1"/>
  <c r="AY53" i="3" s="1"/>
  <c r="AY54" i="3" s="1"/>
  <c r="AY55" i="3" s="1"/>
  <c r="AY56" i="3" s="1"/>
  <c r="AY57" i="3" s="1"/>
  <c r="AY58" i="3" s="1"/>
  <c r="AY59" i="3" s="1"/>
  <c r="AY60" i="3" s="1"/>
  <c r="AY61" i="3" s="1"/>
  <c r="AY62" i="3" s="1"/>
  <c r="AY63" i="3" s="1"/>
  <c r="AY64" i="3" s="1"/>
  <c r="AY65" i="3" s="1"/>
  <c r="AY66" i="3" s="1"/>
  <c r="AY67" i="3" s="1"/>
  <c r="AY68" i="3" s="1"/>
  <c r="AY69" i="3" s="1"/>
  <c r="AY70" i="3" s="1"/>
  <c r="AY71" i="3" s="1"/>
  <c r="AY72" i="3" s="1"/>
  <c r="AY73" i="3" s="1"/>
  <c r="AY74" i="3" s="1"/>
  <c r="AY75" i="3" s="1"/>
  <c r="AY76" i="3" s="1"/>
  <c r="AY77" i="3" s="1"/>
  <c r="AY78" i="3" s="1"/>
  <c r="AY79" i="3" s="1"/>
  <c r="AY80" i="3" s="1"/>
  <c r="AY81" i="3" s="1"/>
  <c r="AY82" i="3" s="1"/>
  <c r="AY83" i="3" s="1"/>
  <c r="AY84" i="3" s="1"/>
  <c r="AY85" i="3" s="1"/>
  <c r="AY86" i="3" s="1"/>
  <c r="AY87" i="3" s="1"/>
  <c r="AY88" i="3" s="1"/>
  <c r="AY89" i="3" s="1"/>
  <c r="AY90" i="3" s="1"/>
  <c r="AY91" i="3" s="1"/>
  <c r="AI8" i="3"/>
  <c r="AI9" i="3" s="1"/>
  <c r="I136" i="3"/>
  <c r="AF10" i="1"/>
  <c r="Y1" i="1" l="1"/>
  <c r="P5" i="18"/>
  <c r="I5" i="18" s="1"/>
  <c r="AB10" i="19"/>
  <c r="AI10" i="3"/>
  <c r="AF11" i="1"/>
  <c r="AG10" i="1"/>
  <c r="I145" i="3"/>
  <c r="C140" i="3"/>
  <c r="B140" i="3"/>
  <c r="N161" i="10"/>
  <c r="N158" i="10"/>
  <c r="N157" i="10"/>
  <c r="N156" i="10"/>
  <c r="N155" i="10"/>
  <c r="N154" i="10"/>
  <c r="N153" i="10"/>
  <c r="N152" i="10"/>
  <c r="N151" i="10"/>
  <c r="N150" i="10"/>
  <c r="N149" i="10"/>
  <c r="N148" i="10"/>
  <c r="N147" i="10"/>
  <c r="N146" i="10"/>
  <c r="N145" i="10"/>
  <c r="N144" i="10"/>
  <c r="N143" i="10"/>
  <c r="N142" i="10"/>
  <c r="N141" i="10"/>
  <c r="N140" i="10"/>
  <c r="N139" i="10"/>
  <c r="N138" i="10"/>
  <c r="N137" i="10"/>
  <c r="N136" i="10"/>
  <c r="N135" i="10"/>
  <c r="N134" i="10"/>
  <c r="N133" i="10"/>
  <c r="N132" i="10"/>
  <c r="N131" i="10"/>
  <c r="N130" i="10"/>
  <c r="N129" i="10"/>
  <c r="N128" i="10"/>
  <c r="N127" i="10"/>
  <c r="N126" i="10"/>
  <c r="N125" i="10"/>
  <c r="N124" i="10"/>
  <c r="N123" i="10"/>
  <c r="N122" i="10"/>
  <c r="K80" i="2"/>
  <c r="M80" i="2"/>
  <c r="L80" i="2"/>
  <c r="M79" i="2"/>
  <c r="L79" i="2"/>
  <c r="M78" i="2"/>
  <c r="L78" i="2"/>
  <c r="Q128" i="1"/>
  <c r="B126" i="3"/>
  <c r="E126" i="3" s="1"/>
  <c r="B125" i="3"/>
  <c r="E125" i="3" s="1"/>
  <c r="B124" i="3"/>
  <c r="E124" i="3" s="1"/>
  <c r="B91" i="3"/>
  <c r="B90" i="3"/>
  <c r="B89" i="3"/>
  <c r="B88" i="3"/>
  <c r="B87" i="3"/>
  <c r="B86" i="3"/>
  <c r="B85" i="3"/>
  <c r="B84" i="3"/>
  <c r="B83" i="3"/>
  <c r="B82" i="3"/>
  <c r="B81" i="3"/>
  <c r="B80" i="3"/>
  <c r="B79" i="3"/>
  <c r="B78" i="3"/>
  <c r="B77" i="3"/>
  <c r="B76" i="3"/>
  <c r="B75" i="3"/>
  <c r="B74" i="3"/>
  <c r="B61" i="3"/>
  <c r="B60" i="3"/>
  <c r="B59" i="3"/>
  <c r="B58" i="3"/>
  <c r="B57" i="3"/>
  <c r="B56" i="3"/>
  <c r="B55" i="3"/>
  <c r="B54" i="3"/>
  <c r="B53" i="3"/>
  <c r="B52" i="3"/>
  <c r="B51" i="3"/>
  <c r="B50" i="3"/>
  <c r="A126" i="3"/>
  <c r="A125" i="3"/>
  <c r="A124" i="3"/>
  <c r="A123" i="3"/>
  <c r="A122" i="3"/>
  <c r="A121" i="3"/>
  <c r="A120" i="3"/>
  <c r="A119" i="3"/>
  <c r="A118" i="3"/>
  <c r="A117" i="3"/>
  <c r="A116" i="3"/>
  <c r="A115" i="3"/>
  <c r="A114" i="3"/>
  <c r="A113" i="3"/>
  <c r="A112" i="3"/>
  <c r="A111" i="3"/>
  <c r="A110" i="3"/>
  <c r="A109" i="3"/>
  <c r="A108" i="3"/>
  <c r="A107" i="3"/>
  <c r="A106" i="3"/>
  <c r="A105" i="3"/>
  <c r="A104" i="3"/>
  <c r="A103" i="3"/>
  <c r="A102" i="3"/>
  <c r="A101" i="3"/>
  <c r="M101" i="19" s="1"/>
  <c r="A100" i="3"/>
  <c r="M100" i="19" s="1"/>
  <c r="A91" i="3"/>
  <c r="A90" i="3"/>
  <c r="A89" i="3"/>
  <c r="A88" i="3"/>
  <c r="A87" i="3"/>
  <c r="A86" i="3"/>
  <c r="A85" i="3"/>
  <c r="A84" i="3"/>
  <c r="A83" i="3"/>
  <c r="A82" i="3"/>
  <c r="A81" i="3"/>
  <c r="A80" i="3"/>
  <c r="A79" i="3"/>
  <c r="A78" i="3"/>
  <c r="A77" i="3"/>
  <c r="A76" i="3"/>
  <c r="A75" i="3"/>
  <c r="A74"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C91" i="3"/>
  <c r="C90" i="3"/>
  <c r="C89" i="3"/>
  <c r="C88" i="3"/>
  <c r="C87" i="3"/>
  <c r="C86" i="3"/>
  <c r="C85" i="3"/>
  <c r="C84" i="3"/>
  <c r="C83" i="3"/>
  <c r="C82" i="3"/>
  <c r="C81" i="3"/>
  <c r="C80" i="3"/>
  <c r="C79" i="3"/>
  <c r="C78" i="3"/>
  <c r="C77" i="3"/>
  <c r="C76" i="3"/>
  <c r="C75" i="3"/>
  <c r="C74" i="3"/>
  <c r="C59" i="3"/>
  <c r="C58" i="3"/>
  <c r="C57" i="3"/>
  <c r="C56" i="3"/>
  <c r="C55" i="3"/>
  <c r="C54" i="3"/>
  <c r="C53" i="3"/>
  <c r="C52" i="3"/>
  <c r="C51" i="3"/>
  <c r="C50" i="3"/>
  <c r="Q98" i="1"/>
  <c r="H98" i="1"/>
  <c r="Q97" i="1"/>
  <c r="H97" i="1"/>
  <c r="Q96" i="1"/>
  <c r="H96" i="1"/>
  <c r="Q95" i="1"/>
  <c r="H95" i="1"/>
  <c r="Q94" i="1"/>
  <c r="H94" i="1"/>
  <c r="Q93" i="1"/>
  <c r="H93" i="1"/>
  <c r="Q92" i="1"/>
  <c r="H92" i="1"/>
  <c r="Q91" i="1"/>
  <c r="H91" i="1"/>
  <c r="Q90" i="1"/>
  <c r="H90" i="1"/>
  <c r="Q89" i="1"/>
  <c r="H89" i="1"/>
  <c r="Q88" i="1"/>
  <c r="H88" i="1"/>
  <c r="Q87" i="1"/>
  <c r="H87" i="1"/>
  <c r="Q86" i="1"/>
  <c r="H86" i="1"/>
  <c r="Q85" i="1"/>
  <c r="H85" i="1"/>
  <c r="Q84" i="1"/>
  <c r="H84" i="1"/>
  <c r="Q83" i="1"/>
  <c r="H83" i="1"/>
  <c r="Q82" i="1"/>
  <c r="H82" i="1"/>
  <c r="Q81" i="1"/>
  <c r="H81" i="1"/>
  <c r="Q80" i="1"/>
  <c r="H80" i="1"/>
  <c r="Q79" i="1"/>
  <c r="H79" i="1"/>
  <c r="Q78" i="1"/>
  <c r="H78" i="1"/>
  <c r="Q77" i="1"/>
  <c r="H77" i="1"/>
  <c r="Q76" i="1"/>
  <c r="H76" i="1"/>
  <c r="H75" i="1"/>
  <c r="H74" i="1"/>
  <c r="H73" i="1"/>
  <c r="H72" i="1"/>
  <c r="H71" i="1"/>
  <c r="H70" i="1"/>
  <c r="H69" i="1"/>
  <c r="H68" i="1"/>
  <c r="H67" i="1"/>
  <c r="H66" i="1"/>
  <c r="H65" i="1"/>
  <c r="H64" i="1"/>
  <c r="Q63" i="1"/>
  <c r="H63" i="1"/>
  <c r="Q62" i="1"/>
  <c r="H62" i="1"/>
  <c r="Q61" i="1"/>
  <c r="H61" i="1"/>
  <c r="Q60" i="1"/>
  <c r="H60" i="1"/>
  <c r="Q59" i="1"/>
  <c r="H59" i="1"/>
  <c r="Q58" i="1"/>
  <c r="H58" i="1"/>
  <c r="Q57" i="1"/>
  <c r="H57" i="1"/>
  <c r="Q56" i="1"/>
  <c r="H56" i="1"/>
  <c r="Q55" i="1"/>
  <c r="H55" i="1"/>
  <c r="Q54" i="1"/>
  <c r="H54" i="1"/>
  <c r="Q53" i="1"/>
  <c r="H53" i="1"/>
  <c r="Q52" i="1"/>
  <c r="H52" i="1"/>
  <c r="H51" i="1"/>
  <c r="H50" i="1"/>
  <c r="H49" i="1"/>
  <c r="H48" i="1"/>
  <c r="H47" i="1"/>
  <c r="H46" i="1"/>
  <c r="H45" i="1"/>
  <c r="H44" i="1"/>
  <c r="H43" i="1"/>
  <c r="H42" i="1"/>
  <c r="H41" i="1"/>
  <c r="H40" i="1"/>
  <c r="H39" i="1"/>
  <c r="H38" i="1"/>
  <c r="H37" i="1"/>
  <c r="H36" i="1"/>
  <c r="H35" i="1"/>
  <c r="H34" i="1"/>
  <c r="J2" i="3"/>
  <c r="C3" i="3"/>
  <c r="S5" i="3"/>
  <c r="T5" i="3"/>
  <c r="U5" i="3"/>
  <c r="V5" i="3"/>
  <c r="S6" i="3"/>
  <c r="T6" i="3"/>
  <c r="U6" i="3"/>
  <c r="V6" i="3"/>
  <c r="A7" i="3"/>
  <c r="B7" i="3"/>
  <c r="C7" i="3"/>
  <c r="A8" i="3"/>
  <c r="P8" i="3" s="1"/>
  <c r="B8" i="3"/>
  <c r="C8" i="3"/>
  <c r="A9" i="3"/>
  <c r="B9" i="3"/>
  <c r="C9" i="3"/>
  <c r="A10" i="3"/>
  <c r="B10" i="3"/>
  <c r="C10" i="3"/>
  <c r="A11" i="3"/>
  <c r="B11" i="3"/>
  <c r="C11" i="3"/>
  <c r="A12" i="3"/>
  <c r="B12" i="3"/>
  <c r="C12" i="3"/>
  <c r="A13" i="3"/>
  <c r="P13" i="3" s="1"/>
  <c r="B13" i="3"/>
  <c r="C13" i="3"/>
  <c r="A14" i="3"/>
  <c r="B14" i="3"/>
  <c r="C14" i="3"/>
  <c r="A15" i="3"/>
  <c r="B15" i="3"/>
  <c r="C15" i="3"/>
  <c r="A16" i="3"/>
  <c r="B16" i="3"/>
  <c r="C16" i="3"/>
  <c r="A17" i="3"/>
  <c r="B17" i="3"/>
  <c r="C17" i="3"/>
  <c r="A18" i="3"/>
  <c r="B18" i="3"/>
  <c r="C18" i="3"/>
  <c r="A19" i="3"/>
  <c r="B19" i="3"/>
  <c r="C19" i="3"/>
  <c r="A20" i="3"/>
  <c r="B20" i="3"/>
  <c r="C20" i="3"/>
  <c r="A21" i="3"/>
  <c r="B21" i="3"/>
  <c r="C21" i="3"/>
  <c r="A22" i="3"/>
  <c r="B22" i="3"/>
  <c r="C22" i="3"/>
  <c r="A23" i="3"/>
  <c r="B23" i="3"/>
  <c r="C23" i="3"/>
  <c r="A24" i="3"/>
  <c r="B24" i="3"/>
  <c r="A25" i="3"/>
  <c r="B25" i="3"/>
  <c r="A26" i="3"/>
  <c r="A27" i="3"/>
  <c r="A28" i="3"/>
  <c r="A29" i="3"/>
  <c r="A30" i="3"/>
  <c r="A31" i="3"/>
  <c r="C125" i="3"/>
  <c r="C126" i="3"/>
  <c r="J128" i="3"/>
  <c r="K128" i="3"/>
  <c r="L128" i="3"/>
  <c r="M128" i="3"/>
  <c r="F129" i="3"/>
  <c r="J129" i="3" s="1"/>
  <c r="G129" i="3"/>
  <c r="K129" i="3" s="1"/>
  <c r="L129" i="3"/>
  <c r="M129" i="3"/>
  <c r="B2" i="2"/>
  <c r="B3" i="2"/>
  <c r="A7" i="2"/>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C7" i="2"/>
  <c r="C8" i="2" s="1"/>
  <c r="C9" i="2" s="1"/>
  <c r="C10" i="2" s="1"/>
  <c r="C11" i="2" s="1"/>
  <c r="C12" i="2" s="1"/>
  <c r="C13" i="2" s="1"/>
  <c r="C14" i="2" s="1"/>
  <c r="C15" i="2" s="1"/>
  <c r="C16" i="2" s="1"/>
  <c r="C17" i="2" s="1"/>
  <c r="C18" i="2" s="1"/>
  <c r="C19" i="2" s="1"/>
  <c r="C20" i="2" s="1"/>
  <c r="C21" i="2" s="1"/>
  <c r="C22" i="2" s="1"/>
  <c r="C23" i="2" s="1"/>
  <c r="C24" i="2" s="1"/>
  <c r="C25" i="2" s="1"/>
  <c r="C26" i="2" s="1"/>
  <c r="C27" i="2" s="1"/>
  <c r="C28" i="2" s="1"/>
  <c r="C29" i="2" s="1"/>
  <c r="C30" i="2" s="1"/>
  <c r="C31" i="2" s="1"/>
  <c r="C32" i="2" s="1"/>
  <c r="C33" i="2" s="1"/>
  <c r="C34" i="2" s="1"/>
  <c r="C35" i="2" s="1"/>
  <c r="C36" i="2" s="1"/>
  <c r="C37" i="2" s="1"/>
  <c r="C38" i="2" s="1"/>
  <c r="C39" i="2" s="1"/>
  <c r="C40" i="2" s="1"/>
  <c r="C41" i="2" s="1"/>
  <c r="C42" i="2" s="1"/>
  <c r="C43" i="2" s="1"/>
  <c r="C44" i="2" s="1"/>
  <c r="C45" i="2" s="1"/>
  <c r="C46" i="2" s="1"/>
  <c r="C47" i="2" s="1"/>
  <c r="C48" i="2" s="1"/>
  <c r="C49" i="2" s="1"/>
  <c r="C50" i="2" s="1"/>
  <c r="C51" i="2" s="1"/>
  <c r="C52" i="2" s="1"/>
  <c r="C53" i="2" s="1"/>
  <c r="C54" i="2" s="1"/>
  <c r="C55" i="2" s="1"/>
  <c r="C56" i="2" s="1"/>
  <c r="C57" i="2" s="1"/>
  <c r="C58" i="2" s="1"/>
  <c r="C59" i="2" s="1"/>
  <c r="C60" i="2" s="1"/>
  <c r="C61" i="2" s="1"/>
  <c r="C62" i="2" s="1"/>
  <c r="C63" i="2" s="1"/>
  <c r="C64" i="2" s="1"/>
  <c r="C65" i="2" s="1"/>
  <c r="C66" i="2" s="1"/>
  <c r="C67" i="2" s="1"/>
  <c r="C68" i="2" s="1"/>
  <c r="L8" i="2"/>
  <c r="M8" i="2"/>
  <c r="K8" i="2"/>
  <c r="L81" i="2"/>
  <c r="M81" i="2"/>
  <c r="K81" i="2"/>
  <c r="L82" i="2"/>
  <c r="M82" i="2"/>
  <c r="K82" i="2"/>
  <c r="L83" i="2"/>
  <c r="M83" i="2"/>
  <c r="K83" i="2"/>
  <c r="L84" i="2"/>
  <c r="M84" i="2"/>
  <c r="K84" i="2"/>
  <c r="F4" i="1"/>
  <c r="F3" i="1" s="1"/>
  <c r="H9" i="1"/>
  <c r="Q9" i="1"/>
  <c r="R9" i="1"/>
  <c r="S9" i="1"/>
  <c r="T7" i="3" s="1"/>
  <c r="T9" i="1"/>
  <c r="U9" i="1"/>
  <c r="V7" i="3" s="1"/>
  <c r="W9" i="1"/>
  <c r="W10" i="1" s="1"/>
  <c r="W11" i="1"/>
  <c r="W12" i="1" s="1"/>
  <c r="W13" i="1" s="1"/>
  <c r="W14" i="1" s="1"/>
  <c r="W15" i="1" s="1"/>
  <c r="W16" i="1" s="1"/>
  <c r="W17" i="1" s="1"/>
  <c r="W18" i="1" s="1"/>
  <c r="W19" i="1" s="1"/>
  <c r="W20" i="1" s="1"/>
  <c r="W21" i="1" s="1"/>
  <c r="W22" i="1" s="1"/>
  <c r="W23" i="1" s="1"/>
  <c r="W24" i="1" s="1"/>
  <c r="W25" i="1" s="1"/>
  <c r="W26" i="1" s="1"/>
  <c r="W27" i="1" s="1"/>
  <c r="W28" i="1" s="1"/>
  <c r="W29" i="1" s="1"/>
  <c r="W30" i="1" s="1"/>
  <c r="W31" i="1" s="1"/>
  <c r="W32" i="1" s="1"/>
  <c r="W33" i="1" s="1"/>
  <c r="W34" i="1" s="1"/>
  <c r="W35" i="1" s="1"/>
  <c r="W36" i="1" s="1"/>
  <c r="W37" i="1" s="1"/>
  <c r="W38" i="1" s="1"/>
  <c r="W39" i="1" s="1"/>
  <c r="W40" i="1" s="1"/>
  <c r="W41" i="1" s="1"/>
  <c r="W42" i="1" s="1"/>
  <c r="W43" i="1" s="1"/>
  <c r="W44" i="1" s="1"/>
  <c r="W45" i="1" s="1"/>
  <c r="W46" i="1" s="1"/>
  <c r="W47" i="1" s="1"/>
  <c r="W48" i="1" s="1"/>
  <c r="W49" i="1" s="1"/>
  <c r="W50" i="1" s="1"/>
  <c r="W51" i="1" s="1"/>
  <c r="W52" i="1" s="1"/>
  <c r="W53" i="1" s="1"/>
  <c r="W54" i="1" s="1"/>
  <c r="W55" i="1" s="1"/>
  <c r="W56" i="1" s="1"/>
  <c r="W57" i="1" s="1"/>
  <c r="W58" i="1" s="1"/>
  <c r="W59" i="1" s="1"/>
  <c r="W60" i="1" s="1"/>
  <c r="W61" i="1" s="1"/>
  <c r="W62" i="1" s="1"/>
  <c r="W63" i="1" s="1"/>
  <c r="W64" i="1" s="1"/>
  <c r="W65" i="1" s="1"/>
  <c r="W66" i="1" s="1"/>
  <c r="W67" i="1" s="1"/>
  <c r="W68" i="1" s="1"/>
  <c r="W69" i="1" s="1"/>
  <c r="W70" i="1" s="1"/>
  <c r="W71" i="1" s="1"/>
  <c r="W72" i="1" s="1"/>
  <c r="W73" i="1" s="1"/>
  <c r="W74" i="1" s="1"/>
  <c r="W75" i="1" s="1"/>
  <c r="W76" i="1" s="1"/>
  <c r="W77" i="1" s="1"/>
  <c r="W78" i="1" s="1"/>
  <c r="W79" i="1" s="1"/>
  <c r="W80" i="1" s="1"/>
  <c r="W81" i="1" s="1"/>
  <c r="W82" i="1" s="1"/>
  <c r="W83" i="1" s="1"/>
  <c r="W84" i="1" s="1"/>
  <c r="W85" i="1" s="1"/>
  <c r="W86" i="1" s="1"/>
  <c r="W87" i="1" s="1"/>
  <c r="W88" i="1" s="1"/>
  <c r="W89" i="1" s="1"/>
  <c r="W90" i="1" s="1"/>
  <c r="W91" i="1" s="1"/>
  <c r="W92" i="1" s="1"/>
  <c r="W93" i="1" s="1"/>
  <c r="W94" i="1" s="1"/>
  <c r="W95" i="1" s="1"/>
  <c r="W96" i="1" s="1"/>
  <c r="W97" i="1" s="1"/>
  <c r="W98" i="1" s="1"/>
  <c r="W99" i="1" s="1"/>
  <c r="W100" i="1" s="1"/>
  <c r="W101" i="1" s="1"/>
  <c r="W102" i="1" s="1"/>
  <c r="W103" i="1" s="1"/>
  <c r="W104" i="1" s="1"/>
  <c r="W105" i="1" s="1"/>
  <c r="W106" i="1" s="1"/>
  <c r="W107" i="1" s="1"/>
  <c r="W108" i="1" s="1"/>
  <c r="A10" i="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B10" i="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H10" i="1"/>
  <c r="Q10" i="1"/>
  <c r="H11" i="1"/>
  <c r="Q11" i="1"/>
  <c r="H12" i="1"/>
  <c r="Q12" i="1"/>
  <c r="H13" i="1"/>
  <c r="Q13" i="1"/>
  <c r="H14" i="1"/>
  <c r="Q14" i="1"/>
  <c r="H15" i="1"/>
  <c r="Q15" i="1"/>
  <c r="H16" i="1"/>
  <c r="Q16" i="1"/>
  <c r="H17" i="1"/>
  <c r="Q17" i="1"/>
  <c r="H18" i="1"/>
  <c r="Q18" i="1"/>
  <c r="H19" i="1"/>
  <c r="Q19" i="1"/>
  <c r="H20" i="1"/>
  <c r="Q20" i="1"/>
  <c r="H21" i="1"/>
  <c r="Q21" i="1"/>
  <c r="H22" i="1"/>
  <c r="Q22" i="1"/>
  <c r="H23" i="1"/>
  <c r="Q23" i="1"/>
  <c r="H24" i="1"/>
  <c r="Q24" i="1"/>
  <c r="H25" i="1"/>
  <c r="Q25" i="1"/>
  <c r="H26" i="1"/>
  <c r="Q26" i="1"/>
  <c r="H27" i="1"/>
  <c r="Q27" i="1"/>
  <c r="H28" i="1"/>
  <c r="H29" i="1"/>
  <c r="H30" i="1"/>
  <c r="H31" i="1"/>
  <c r="H32" i="1"/>
  <c r="H33" i="1"/>
  <c r="H128" i="1"/>
  <c r="C129" i="1"/>
  <c r="C130" i="1"/>
  <c r="C131" i="1"/>
  <c r="C132" i="1"/>
  <c r="B3" i="6"/>
  <c r="F3" i="6" s="1"/>
  <c r="G3" i="6"/>
  <c r="H3" i="6"/>
  <c r="A9" i="6"/>
  <c r="A10" i="6"/>
  <c r="A11" i="6" s="1"/>
  <c r="A12" i="6" s="1"/>
  <c r="A13" i="6" s="1"/>
  <c r="A14" i="6"/>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R9" i="6"/>
  <c r="R10" i="6" s="1"/>
  <c r="R11" i="6" s="1"/>
  <c r="R12" i="6" s="1"/>
  <c r="R13" i="6" s="1"/>
  <c r="R14" i="6" s="1"/>
  <c r="R15" i="6" s="1"/>
  <c r="R16" i="6" s="1"/>
  <c r="R17" i="6" s="1"/>
  <c r="R18" i="6" s="1"/>
  <c r="R19" i="6" s="1"/>
  <c r="R20" i="6" s="1"/>
  <c r="R21" i="6" s="1"/>
  <c r="R22" i="6" s="1"/>
  <c r="R23" i="6" s="1"/>
  <c r="R24" i="6" s="1"/>
  <c r="R25" i="6" s="1"/>
  <c r="R26" i="6" s="1"/>
  <c r="R27" i="6" s="1"/>
  <c r="R28" i="6" s="1"/>
  <c r="R29" i="6" s="1"/>
  <c r="R30" i="6" s="1"/>
  <c r="R31" i="6" s="1"/>
  <c r="R32" i="6" s="1"/>
  <c r="R33" i="6" s="1"/>
  <c r="R34" i="6" s="1"/>
  <c r="R35" i="6" s="1"/>
  <c r="R36" i="6" s="1"/>
  <c r="R37" i="6" s="1"/>
  <c r="R38" i="6" s="1"/>
  <c r="R39" i="6" s="1"/>
  <c r="R40" i="6" s="1"/>
  <c r="R41" i="6" s="1"/>
  <c r="R42" i="6" s="1"/>
  <c r="R43" i="6" s="1"/>
  <c r="R44" i="6" s="1"/>
  <c r="R45" i="6" s="1"/>
  <c r="R46" i="6" s="1"/>
  <c r="R47" i="6" s="1"/>
  <c r="R48" i="6" s="1"/>
  <c r="R49" i="6" s="1"/>
  <c r="R50" i="6" s="1"/>
  <c r="R51" i="6" s="1"/>
  <c r="R52" i="6" s="1"/>
  <c r="R53" i="6" s="1"/>
  <c r="R54" i="6" s="1"/>
  <c r="R55" i="6" s="1"/>
  <c r="R56" i="6" s="1"/>
  <c r="R57" i="6" s="1"/>
  <c r="R58" i="6" s="1"/>
  <c r="R59" i="6" s="1"/>
  <c r="R60" i="6" s="1"/>
  <c r="R61" i="6" s="1"/>
  <c r="R62" i="6" s="1"/>
  <c r="R63" i="6" s="1"/>
  <c r="R64" i="6" s="1"/>
  <c r="R65" i="6" s="1"/>
  <c r="R66" i="6" s="1"/>
  <c r="R67" i="6" s="1"/>
  <c r="R68" i="6" s="1"/>
  <c r="R69" i="6" s="1"/>
  <c r="R70" i="6" s="1"/>
  <c r="R71" i="6" s="1"/>
  <c r="R72" i="6" s="1"/>
  <c r="R73" i="6" s="1"/>
  <c r="R74" i="6" s="1"/>
  <c r="R75" i="6" s="1"/>
  <c r="R76" i="6" s="1"/>
  <c r="R77" i="6" s="1"/>
  <c r="R78" i="6" s="1"/>
  <c r="R79" i="6" s="1"/>
  <c r="R80" i="6" s="1"/>
  <c r="R81" i="6" s="1"/>
  <c r="R82" i="6" s="1"/>
  <c r="R83" i="6" s="1"/>
  <c r="R84" i="6" s="1"/>
  <c r="R85" i="6" s="1"/>
  <c r="R86" i="6" s="1"/>
  <c r="R87" i="6" s="1"/>
  <c r="R88" i="6" s="1"/>
  <c r="R89" i="6" s="1"/>
  <c r="R90" i="6" s="1"/>
  <c r="R91" i="6" s="1"/>
  <c r="R92" i="6" s="1"/>
  <c r="R93" i="6" s="1"/>
  <c r="R94" i="6" s="1"/>
  <c r="R95" i="6" s="1"/>
  <c r="R96" i="6" s="1"/>
  <c r="R97" i="6" s="1"/>
  <c r="R98" i="6" s="1"/>
  <c r="R99" i="6" s="1"/>
  <c r="R100" i="6" s="1"/>
  <c r="R101" i="6" s="1"/>
  <c r="R102" i="6" s="1"/>
  <c r="R103" i="6" s="1"/>
  <c r="R104" i="6" s="1"/>
  <c r="R105" i="6" s="1"/>
  <c r="R106" i="6" s="1"/>
  <c r="R107" i="6" s="1"/>
  <c r="R108" i="6" s="1"/>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R158" i="6" s="1"/>
  <c r="R159" i="6" s="1"/>
  <c r="R160" i="6" s="1"/>
  <c r="R161" i="6" s="1"/>
  <c r="R162" i="6" s="1"/>
  <c r="R163" i="6" s="1"/>
  <c r="R164" i="6" s="1"/>
  <c r="R165" i="6" s="1"/>
  <c r="R166" i="6" s="1"/>
  <c r="R167" i="6" s="1"/>
  <c r="R168" i="6" s="1"/>
  <c r="R169" i="6" s="1"/>
  <c r="R170" i="6" s="1"/>
  <c r="R171" i="6" s="1"/>
  <c r="R172" i="6" s="1"/>
  <c r="R173" i="6" s="1"/>
  <c r="R174" i="6" s="1"/>
  <c r="R175" i="6" s="1"/>
  <c r="R176" i="6" s="1"/>
  <c r="R177" i="6" s="1"/>
  <c r="R178" i="6" s="1"/>
  <c r="R179" i="6" s="1"/>
  <c r="R180" i="6" s="1"/>
  <c r="R181" i="6" s="1"/>
  <c r="R182" i="6" s="1"/>
  <c r="R183" i="6" s="1"/>
  <c r="R184" i="6" s="1"/>
  <c r="R185" i="6" s="1"/>
  <c r="R186" i="6" s="1"/>
  <c r="R187" i="6" s="1"/>
  <c r="R188" i="6" s="1"/>
  <c r="R189" i="6" s="1"/>
  <c r="R190" i="6" s="1"/>
  <c r="R191" i="6" s="1"/>
  <c r="R192" i="6" s="1"/>
  <c r="R193" i="6" s="1"/>
  <c r="R194" i="6" s="1"/>
  <c r="R195" i="6" s="1"/>
  <c r="R196" i="6" s="1"/>
  <c r="R197" i="6" s="1"/>
  <c r="R198" i="6" s="1"/>
  <c r="R199" i="6" s="1"/>
  <c r="R200" i="6" s="1"/>
  <c r="R201" i="6" s="1"/>
  <c r="R202" i="6" s="1"/>
  <c r="R203" i="6" s="1"/>
  <c r="R204" i="6" s="1"/>
  <c r="R205" i="6" s="1"/>
  <c r="R206" i="6" s="1"/>
  <c r="R207" i="6" s="1"/>
  <c r="R208" i="6" s="1"/>
  <c r="R209" i="6" s="1"/>
  <c r="R210" i="6" s="1"/>
  <c r="R211" i="6" s="1"/>
  <c r="R212" i="6" s="1"/>
  <c r="R213" i="6" s="1"/>
  <c r="R214" i="6" s="1"/>
  <c r="R215" i="6" s="1"/>
  <c r="R216" i="6" s="1"/>
  <c r="R217" i="6" s="1"/>
  <c r="R218" i="6" s="1"/>
  <c r="R219" i="6" s="1"/>
  <c r="R220" i="6" s="1"/>
  <c r="R221" i="6" s="1"/>
  <c r="R222" i="6" s="1"/>
  <c r="R223" i="6" s="1"/>
  <c r="R224" i="6" s="1"/>
  <c r="R225" i="6" s="1"/>
  <c r="R226" i="6" s="1"/>
  <c r="R227" i="6" s="1"/>
  <c r="R228" i="6" s="1"/>
  <c r="R229" i="6" s="1"/>
  <c r="R230" i="6" s="1"/>
  <c r="R231" i="6" s="1"/>
  <c r="R232" i="6" s="1"/>
  <c r="R233" i="6" s="1"/>
  <c r="R234" i="6" s="1"/>
  <c r="R235" i="6" s="1"/>
  <c r="R236" i="6" s="1"/>
  <c r="R237" i="6" s="1"/>
  <c r="R238" i="6" s="1"/>
  <c r="R239" i="6" s="1"/>
  <c r="R240" i="6" s="1"/>
  <c r="R241" i="6" s="1"/>
  <c r="R242" i="6" s="1"/>
  <c r="R243" i="6" s="1"/>
  <c r="R244" i="6" s="1"/>
  <c r="R245" i="6" s="1"/>
  <c r="R246" i="6" s="1"/>
  <c r="R247" i="6" s="1"/>
  <c r="R248" i="6" s="1"/>
  <c r="R249" i="6" s="1"/>
  <c r="R250" i="6" s="1"/>
  <c r="R251" i="6" s="1"/>
  <c r="R252" i="6" s="1"/>
  <c r="R253" i="6" s="1"/>
  <c r="R254" i="6" s="1"/>
  <c r="R255" i="6" s="1"/>
  <c r="R256" i="6" s="1"/>
  <c r="R257" i="6" s="1"/>
  <c r="R258" i="6" s="1"/>
  <c r="R259" i="6" s="1"/>
  <c r="R260" i="6" s="1"/>
  <c r="R261" i="6" s="1"/>
  <c r="R262" i="6" s="1"/>
  <c r="R263" i="6" s="1"/>
  <c r="R264" i="6" s="1"/>
  <c r="R265" i="6" s="1"/>
  <c r="R266" i="6" s="1"/>
  <c r="R267" i="6" s="1"/>
  <c r="R268" i="6" s="1"/>
  <c r="R269" i="6" s="1"/>
  <c r="R270" i="6" s="1"/>
  <c r="R271" i="6" s="1"/>
  <c r="R272" i="6" s="1"/>
  <c r="R273" i="6" s="1"/>
  <c r="R274" i="6" s="1"/>
  <c r="R275" i="6" s="1"/>
  <c r="R276" i="6" s="1"/>
  <c r="R277" i="6" s="1"/>
  <c r="R278" i="6" s="1"/>
  <c r="R279" i="6" s="1"/>
  <c r="R280" i="6" s="1"/>
  <c r="R281" i="6" s="1"/>
  <c r="R282" i="6" s="1"/>
  <c r="R283" i="6" s="1"/>
  <c r="R284" i="6" s="1"/>
  <c r="R285" i="6" s="1"/>
  <c r="R286" i="6" s="1"/>
  <c r="R287" i="6" s="1"/>
  <c r="R288" i="6" s="1"/>
  <c r="R289" i="6" s="1"/>
  <c r="R290" i="6" s="1"/>
  <c r="R291" i="6" s="1"/>
  <c r="R292" i="6" s="1"/>
  <c r="R293" i="6" s="1"/>
  <c r="R294" i="6" s="1"/>
  <c r="R295" i="6" s="1"/>
  <c r="R296" i="6" s="1"/>
  <c r="R297" i="6" s="1"/>
  <c r="R298" i="6" s="1"/>
  <c r="R299" i="6" s="1"/>
  <c r="R300" i="6" s="1"/>
  <c r="R301" i="6" s="1"/>
  <c r="R302" i="6" s="1"/>
  <c r="R303" i="6" s="1"/>
  <c r="R304" i="6" s="1"/>
  <c r="R305" i="6" s="1"/>
  <c r="R306" i="6" s="1"/>
  <c r="R307" i="6" s="1"/>
  <c r="R308" i="6" s="1"/>
  <c r="R309" i="6" s="1"/>
  <c r="R310" i="6" s="1"/>
  <c r="R311" i="6" s="1"/>
  <c r="R312" i="6" s="1"/>
  <c r="R313" i="6" s="1"/>
  <c r="R314" i="6" s="1"/>
  <c r="R315" i="6" s="1"/>
  <c r="R316" i="6" s="1"/>
  <c r="R317" i="6" s="1"/>
  <c r="R318" i="6" s="1"/>
  <c r="R319" i="6" s="1"/>
  <c r="R320" i="6" s="1"/>
  <c r="R321" i="6" s="1"/>
  <c r="R322" i="6" s="1"/>
  <c r="R323" i="6" s="1"/>
  <c r="R324" i="6" s="1"/>
  <c r="R325" i="6" s="1"/>
  <c r="R326" i="6" s="1"/>
  <c r="R327" i="6" s="1"/>
  <c r="R328" i="6" s="1"/>
  <c r="R329" i="6" s="1"/>
  <c r="R330" i="6" s="1"/>
  <c r="R331" i="6" s="1"/>
  <c r="R332" i="6" s="1"/>
  <c r="R333" i="6" s="1"/>
  <c r="R334" i="6" s="1"/>
  <c r="R335" i="6" s="1"/>
  <c r="R336" i="6" s="1"/>
  <c r="R337" i="6" s="1"/>
  <c r="R338" i="6" s="1"/>
  <c r="R339" i="6" s="1"/>
  <c r="R340" i="6" s="1"/>
  <c r="R341" i="6" s="1"/>
  <c r="R342" i="6" s="1"/>
  <c r="R343" i="6" s="1"/>
  <c r="R344" i="6" s="1"/>
  <c r="R345" i="6" s="1"/>
  <c r="R346" i="6" s="1"/>
  <c r="R347" i="6" s="1"/>
  <c r="R348" i="6" s="1"/>
  <c r="R349" i="6" s="1"/>
  <c r="R350" i="6" s="1"/>
  <c r="R351" i="6" s="1"/>
  <c r="R352" i="6" s="1"/>
  <c r="R353" i="6" s="1"/>
  <c r="R354" i="6" s="1"/>
  <c r="R355" i="6" s="1"/>
  <c r="R356" i="6" s="1"/>
  <c r="R357" i="6" s="1"/>
  <c r="R358" i="6" s="1"/>
  <c r="R359" i="6" s="1"/>
  <c r="R360" i="6" s="1"/>
  <c r="R361" i="6" s="1"/>
  <c r="R362" i="6" s="1"/>
  <c r="R363" i="6" s="1"/>
  <c r="R364" i="6" s="1"/>
  <c r="R365" i="6" s="1"/>
  <c r="R366" i="6" s="1"/>
  <c r="R367" i="6" s="1"/>
  <c r="R368" i="6" s="1"/>
  <c r="R369" i="6" s="1"/>
  <c r="R370" i="6" s="1"/>
  <c r="R371" i="6" s="1"/>
  <c r="R372" i="6" s="1"/>
  <c r="R373" i="6" s="1"/>
  <c r="R374" i="6" s="1"/>
  <c r="R375" i="6" s="1"/>
  <c r="R376" i="6" s="1"/>
  <c r="R377" i="6" s="1"/>
  <c r="R378" i="6" s="1"/>
  <c r="R379" i="6" s="1"/>
  <c r="R380" i="6" s="1"/>
  <c r="R381" i="6" s="1"/>
  <c r="R382" i="6" s="1"/>
  <c r="R383" i="6" s="1"/>
  <c r="R384" i="6" s="1"/>
  <c r="R385" i="6" s="1"/>
  <c r="R386" i="6" s="1"/>
  <c r="R387" i="6" s="1"/>
  <c r="R388" i="6" s="1"/>
  <c r="R389" i="6" s="1"/>
  <c r="R390" i="6" s="1"/>
  <c r="R391" i="6" s="1"/>
  <c r="R392" i="6" s="1"/>
  <c r="R393" i="6" s="1"/>
  <c r="R394" i="6" s="1"/>
  <c r="R395" i="6" s="1"/>
  <c r="R396" i="6" s="1"/>
  <c r="R397" i="6" s="1"/>
  <c r="R398" i="6" s="1"/>
  <c r="R399" i="6" s="1"/>
  <c r="R400" i="6" s="1"/>
  <c r="R401" i="6" s="1"/>
  <c r="R402" i="6" s="1"/>
  <c r="R403" i="6" s="1"/>
  <c r="R404" i="6" s="1"/>
  <c r="R405" i="6" s="1"/>
  <c r="R406" i="6" s="1"/>
  <c r="R407" i="6" s="1"/>
  <c r="R408" i="6" s="1"/>
  <c r="R409" i="6" s="1"/>
  <c r="R410" i="6" s="1"/>
  <c r="R411" i="6" s="1"/>
  <c r="R412" i="6" s="1"/>
  <c r="R413" i="6" s="1"/>
  <c r="R414" i="6" s="1"/>
  <c r="R415" i="6" s="1"/>
  <c r="R416" i="6" s="1"/>
  <c r="R417" i="6" s="1"/>
  <c r="R418" i="6" s="1"/>
  <c r="R419" i="6" s="1"/>
  <c r="R420" i="6" s="1"/>
  <c r="R421" i="6" s="1"/>
  <c r="R422" i="6" s="1"/>
  <c r="R423" i="6" s="1"/>
  <c r="R424" i="6" s="1"/>
  <c r="R425" i="6" s="1"/>
  <c r="R426" i="6" s="1"/>
  <c r="R427" i="6" s="1"/>
  <c r="R428" i="6" s="1"/>
  <c r="R429" i="6" s="1"/>
  <c r="R430" i="6" s="1"/>
  <c r="R431" i="6" s="1"/>
  <c r="R432" i="6" s="1"/>
  <c r="R433" i="6" s="1"/>
  <c r="R434" i="6" s="1"/>
  <c r="R435" i="6" s="1"/>
  <c r="R436" i="6" s="1"/>
  <c r="R437" i="6" s="1"/>
  <c r="R438" i="6" s="1"/>
  <c r="R439" i="6" s="1"/>
  <c r="R440" i="6" s="1"/>
  <c r="R441" i="6" s="1"/>
  <c r="R442" i="6" s="1"/>
  <c r="R443" i="6" s="1"/>
  <c r="R444" i="6" s="1"/>
  <c r="R445" i="6" s="1"/>
  <c r="R446" i="6" s="1"/>
  <c r="R447" i="6" s="1"/>
  <c r="R448" i="6" s="1"/>
  <c r="R449" i="6" s="1"/>
  <c r="R450" i="6" s="1"/>
  <c r="R451" i="6" s="1"/>
  <c r="R452" i="6" s="1"/>
  <c r="R453" i="6" s="1"/>
  <c r="R454" i="6" s="1"/>
  <c r="R455" i="6" s="1"/>
  <c r="R456" i="6" s="1"/>
  <c r="R457" i="6" s="1"/>
  <c r="R458" i="6" s="1"/>
  <c r="R459" i="6" s="1"/>
  <c r="R460" i="6" s="1"/>
  <c r="R461" i="6" s="1"/>
  <c r="R462" i="6" s="1"/>
  <c r="R463" i="6" s="1"/>
  <c r="R464" i="6" s="1"/>
  <c r="R465" i="6" s="1"/>
  <c r="R466" i="6" s="1"/>
  <c r="R467" i="6" s="1"/>
  <c r="R468" i="6" s="1"/>
  <c r="R469" i="6" s="1"/>
  <c r="R470" i="6" s="1"/>
  <c r="R471" i="6" s="1"/>
  <c r="R472" i="6" s="1"/>
  <c r="R473" i="6" s="1"/>
  <c r="R474" i="6" s="1"/>
  <c r="R475" i="6" s="1"/>
  <c r="R476" i="6" s="1"/>
  <c r="R477" i="6" s="1"/>
  <c r="R478" i="6" s="1"/>
  <c r="R479" i="6" s="1"/>
  <c r="R480" i="6" s="1"/>
  <c r="R481" i="6" s="1"/>
  <c r="R482" i="6" s="1"/>
  <c r="R483" i="6" s="1"/>
  <c r="R484" i="6" s="1"/>
  <c r="R485" i="6" s="1"/>
  <c r="R486" i="6" s="1"/>
  <c r="R487" i="6" s="1"/>
  <c r="R488" i="6" s="1"/>
  <c r="R489" i="6" s="1"/>
  <c r="R490" i="6" s="1"/>
  <c r="R491" i="6" s="1"/>
  <c r="R492" i="6" s="1"/>
  <c r="R493" i="6" s="1"/>
  <c r="R494" i="6" s="1"/>
  <c r="R495" i="6" s="1"/>
  <c r="R496" i="6" s="1"/>
  <c r="R497" i="6" s="1"/>
  <c r="R498" i="6" s="1"/>
  <c r="R499" i="6" s="1"/>
  <c r="R500" i="6" s="1"/>
  <c r="R501" i="6" s="1"/>
  <c r="R502" i="6" s="1"/>
  <c r="R503" i="6" s="1"/>
  <c r="R504" i="6" s="1"/>
  <c r="R505" i="6" s="1"/>
  <c r="R506" i="6" s="1"/>
  <c r="R507" i="6" s="1"/>
  <c r="R508" i="6" s="1"/>
  <c r="R509" i="6" s="1"/>
  <c r="R510" i="6" s="1"/>
  <c r="R511" i="6" s="1"/>
  <c r="R512" i="6" s="1"/>
  <c r="R513" i="6" s="1"/>
  <c r="R514" i="6" s="1"/>
  <c r="R515" i="6" s="1"/>
  <c r="R516" i="6" s="1"/>
  <c r="R517" i="6" s="1"/>
  <c r="R518" i="6" s="1"/>
  <c r="R519" i="6" s="1"/>
  <c r="R520" i="6" s="1"/>
  <c r="R521" i="6" s="1"/>
  <c r="R522" i="6" s="1"/>
  <c r="R523" i="6" s="1"/>
  <c r="R524" i="6" s="1"/>
  <c r="R525" i="6" s="1"/>
  <c r="R526" i="6" s="1"/>
  <c r="R527" i="6" s="1"/>
  <c r="R528" i="6" s="1"/>
  <c r="R529" i="6" s="1"/>
  <c r="R530" i="6" s="1"/>
  <c r="R531" i="6" s="1"/>
  <c r="R532" i="6" s="1"/>
  <c r="R533" i="6" s="1"/>
  <c r="R534" i="6" s="1"/>
  <c r="R535" i="6" s="1"/>
  <c r="R536" i="6" s="1"/>
  <c r="R537" i="6" s="1"/>
  <c r="R538" i="6" s="1"/>
  <c r="R539" i="6" s="1"/>
  <c r="R540" i="6" s="1"/>
  <c r="R541" i="6" s="1"/>
  <c r="R542" i="6" s="1"/>
  <c r="R543" i="6" s="1"/>
  <c r="R544" i="6" s="1"/>
  <c r="R545" i="6" s="1"/>
  <c r="R546" i="6" s="1"/>
  <c r="R547" i="6" s="1"/>
  <c r="R548" i="6" s="1"/>
  <c r="R549" i="6" s="1"/>
  <c r="R550" i="6" s="1"/>
  <c r="R551" i="6" s="1"/>
  <c r="R552" i="6" s="1"/>
  <c r="R553" i="6" s="1"/>
  <c r="R554" i="6" s="1"/>
  <c r="R555" i="6" s="1"/>
  <c r="R556" i="6" s="1"/>
  <c r="R557" i="6" s="1"/>
  <c r="R558" i="6" s="1"/>
  <c r="R559" i="6" s="1"/>
  <c r="R560" i="6" s="1"/>
  <c r="R561" i="6" s="1"/>
  <c r="R562" i="6" s="1"/>
  <c r="R563" i="6" s="1"/>
  <c r="R564" i="6" s="1"/>
  <c r="R565" i="6" s="1"/>
  <c r="R566" i="6" s="1"/>
  <c r="R567" i="6" s="1"/>
  <c r="R568" i="6" s="1"/>
  <c r="R569" i="6" s="1"/>
  <c r="R570" i="6" s="1"/>
  <c r="R571" i="6" s="1"/>
  <c r="R572" i="6" s="1"/>
  <c r="R573" i="6" s="1"/>
  <c r="R574" i="6" s="1"/>
  <c r="R575" i="6" s="1"/>
  <c r="R576" i="6" s="1"/>
  <c r="R577" i="6" s="1"/>
  <c r="R578" i="6" s="1"/>
  <c r="R579" i="6" s="1"/>
  <c r="R580" i="6" s="1"/>
  <c r="R581" i="6" s="1"/>
  <c r="R582" i="6" s="1"/>
  <c r="R583" i="6" s="1"/>
  <c r="R584" i="6" s="1"/>
  <c r="R585" i="6" s="1"/>
  <c r="R586" i="6" s="1"/>
  <c r="R587" i="6" s="1"/>
  <c r="R588" i="6" s="1"/>
  <c r="R589" i="6" s="1"/>
  <c r="R590" i="6" s="1"/>
  <c r="R591" i="6" s="1"/>
  <c r="R592" i="6" s="1"/>
  <c r="R593" i="6" s="1"/>
  <c r="R594" i="6" s="1"/>
  <c r="R595" i="6" s="1"/>
  <c r="R596" i="6" s="1"/>
  <c r="R597" i="6" s="1"/>
  <c r="R598" i="6" s="1"/>
  <c r="R599" i="6" s="1"/>
  <c r="R600" i="6" s="1"/>
  <c r="R601" i="6" s="1"/>
  <c r="R602" i="6" s="1"/>
  <c r="R603" i="6" s="1"/>
  <c r="R604" i="6" s="1"/>
  <c r="R605" i="6" s="1"/>
  <c r="R606" i="6" s="1"/>
  <c r="R607" i="6" s="1"/>
  <c r="R608" i="6" s="1"/>
  <c r="R609" i="6" s="1"/>
  <c r="R610" i="6" s="1"/>
  <c r="R611" i="6" s="1"/>
  <c r="R612" i="6" s="1"/>
  <c r="R613" i="6" s="1"/>
  <c r="R614" i="6" s="1"/>
  <c r="R615" i="6" s="1"/>
  <c r="R616" i="6" s="1"/>
  <c r="R617" i="6" s="1"/>
  <c r="R618" i="6" s="1"/>
  <c r="R619" i="6" s="1"/>
  <c r="R620" i="6" s="1"/>
  <c r="R621" i="6" s="1"/>
  <c r="R622" i="6" s="1"/>
  <c r="R623" i="6" s="1"/>
  <c r="R624" i="6" s="1"/>
  <c r="R625" i="6" s="1"/>
  <c r="R626" i="6" s="1"/>
  <c r="R627" i="6" s="1"/>
  <c r="R628" i="6" s="1"/>
  <c r="R629" i="6" s="1"/>
  <c r="R630" i="6" s="1"/>
  <c r="R631" i="6" s="1"/>
  <c r="R632" i="6" s="1"/>
  <c r="R633" i="6" s="1"/>
  <c r="R634" i="6" s="1"/>
  <c r="R635" i="6" s="1"/>
  <c r="R636" i="6" s="1"/>
  <c r="R637" i="6" s="1"/>
  <c r="R638" i="6" s="1"/>
  <c r="R639" i="6" s="1"/>
  <c r="R640" i="6" s="1"/>
  <c r="R641" i="6" s="1"/>
  <c r="R642" i="6" s="1"/>
  <c r="R643" i="6" s="1"/>
  <c r="R644" i="6" s="1"/>
  <c r="R645" i="6" s="1"/>
  <c r="R646" i="6" s="1"/>
  <c r="R647" i="6" s="1"/>
  <c r="R648" i="6" s="1"/>
  <c r="R649" i="6" s="1"/>
  <c r="R650" i="6" s="1"/>
  <c r="R651" i="6" s="1"/>
  <c r="R652" i="6" s="1"/>
  <c r="R653" i="6" s="1"/>
  <c r="R654" i="6" s="1"/>
  <c r="R655" i="6" s="1"/>
  <c r="R656" i="6" s="1"/>
  <c r="R657" i="6" s="1"/>
  <c r="R658" i="6" s="1"/>
  <c r="R659" i="6" s="1"/>
  <c r="R660" i="6" s="1"/>
  <c r="R661" i="6" s="1"/>
  <c r="R662" i="6" s="1"/>
  <c r="R663" i="6" s="1"/>
  <c r="R664" i="6" s="1"/>
  <c r="R665" i="6" s="1"/>
  <c r="R666" i="6" s="1"/>
  <c r="R667" i="6" s="1"/>
  <c r="R668" i="6" s="1"/>
  <c r="R669" i="6" s="1"/>
  <c r="R670" i="6" s="1"/>
  <c r="R671" i="6" s="1"/>
  <c r="R672" i="6" s="1"/>
  <c r="R673" i="6" s="1"/>
  <c r="R674" i="6" s="1"/>
  <c r="R675" i="6" s="1"/>
  <c r="R676" i="6" s="1"/>
  <c r="R677" i="6" s="1"/>
  <c r="R678" i="6" s="1"/>
  <c r="R679" i="6" s="1"/>
  <c r="R680" i="6" s="1"/>
  <c r="R681" i="6" s="1"/>
  <c r="R682" i="6" s="1"/>
  <c r="R683" i="6" s="1"/>
  <c r="R684" i="6" s="1"/>
  <c r="R685" i="6" s="1"/>
  <c r="R686" i="6" s="1"/>
  <c r="R687" i="6" s="1"/>
  <c r="R688" i="6" s="1"/>
  <c r="R689" i="6" s="1"/>
  <c r="R690" i="6" s="1"/>
  <c r="R691" i="6" s="1"/>
  <c r="R692" i="6" s="1"/>
  <c r="R693" i="6" s="1"/>
  <c r="R694" i="6" s="1"/>
  <c r="R695" i="6" s="1"/>
  <c r="R696" i="6" s="1"/>
  <c r="R697" i="6" s="1"/>
  <c r="R698" i="6" s="1"/>
  <c r="R699" i="6" s="1"/>
  <c r="R700" i="6" s="1"/>
  <c r="R701" i="6" s="1"/>
  <c r="R702" i="6" s="1"/>
  <c r="R703" i="6" s="1"/>
  <c r="R704" i="6" s="1"/>
  <c r="R705" i="6" s="1"/>
  <c r="R706" i="6" s="1"/>
  <c r="R707" i="6" s="1"/>
  <c r="R708" i="6" s="1"/>
  <c r="R709" i="6" s="1"/>
  <c r="R710" i="6" s="1"/>
  <c r="R711" i="6" s="1"/>
  <c r="R712" i="6" s="1"/>
  <c r="R713" i="6" s="1"/>
  <c r="R714" i="6" s="1"/>
  <c r="R715" i="6" s="1"/>
  <c r="R716" i="6" s="1"/>
  <c r="R717" i="6" s="1"/>
  <c r="R718" i="6" s="1"/>
  <c r="R719" i="6" s="1"/>
  <c r="R720" i="6" s="1"/>
  <c r="R721" i="6" s="1"/>
  <c r="R722" i="6" s="1"/>
  <c r="R723" i="6" s="1"/>
  <c r="R724" i="6" s="1"/>
  <c r="R725" i="6" s="1"/>
  <c r="R726" i="6" s="1"/>
  <c r="R727" i="6" s="1"/>
  <c r="R728" i="6" s="1"/>
  <c r="R729" i="6" s="1"/>
  <c r="R730" i="6" s="1"/>
  <c r="R731" i="6" s="1"/>
  <c r="R732" i="6" s="1"/>
  <c r="R733" i="6" s="1"/>
  <c r="R734" i="6" s="1"/>
  <c r="R735" i="6" s="1"/>
  <c r="R736" i="6" s="1"/>
  <c r="R737" i="6" s="1"/>
  <c r="R738" i="6" s="1"/>
  <c r="R739" i="6" s="1"/>
  <c r="R740" i="6" s="1"/>
  <c r="R741" i="6" s="1"/>
  <c r="R742" i="6" s="1"/>
  <c r="R743" i="6" s="1"/>
  <c r="R744" i="6" s="1"/>
  <c r="R745" i="6" s="1"/>
  <c r="R746" i="6" s="1"/>
  <c r="R747" i="6" s="1"/>
  <c r="R748" i="6" s="1"/>
  <c r="R749" i="6" s="1"/>
  <c r="R750" i="6" s="1"/>
  <c r="R751" i="6" s="1"/>
  <c r="R752" i="6" s="1"/>
  <c r="R753" i="6" s="1"/>
  <c r="R754" i="6" s="1"/>
  <c r="R755" i="6" s="1"/>
  <c r="R756" i="6" s="1"/>
  <c r="R757" i="6" s="1"/>
  <c r="R758" i="6" s="1"/>
  <c r="R759" i="6" s="1"/>
  <c r="R760" i="6" s="1"/>
  <c r="R761" i="6" s="1"/>
  <c r="R762" i="6" s="1"/>
  <c r="R763" i="6" s="1"/>
  <c r="R764" i="6" s="1"/>
  <c r="R765" i="6" s="1"/>
  <c r="R766" i="6" s="1"/>
  <c r="R767" i="6" s="1"/>
  <c r="R768" i="6" s="1"/>
  <c r="R769" i="6" s="1"/>
  <c r="R770" i="6" s="1"/>
  <c r="R771" i="6" s="1"/>
  <c r="R772" i="6" s="1"/>
  <c r="R773" i="6" s="1"/>
  <c r="R774" i="6" s="1"/>
  <c r="R775" i="6" s="1"/>
  <c r="R776" i="6" s="1"/>
  <c r="R777" i="6" s="1"/>
  <c r="R778" i="6" s="1"/>
  <c r="R779" i="6" s="1"/>
  <c r="R780" i="6" s="1"/>
  <c r="R781" i="6" s="1"/>
  <c r="R782" i="6" s="1"/>
  <c r="R783" i="6" s="1"/>
  <c r="R784" i="6" s="1"/>
  <c r="R785" i="6" s="1"/>
  <c r="R786" i="6" s="1"/>
  <c r="R787" i="6" s="1"/>
  <c r="R788" i="6" s="1"/>
  <c r="R789" i="6" s="1"/>
  <c r="R790" i="6" s="1"/>
  <c r="R791" i="6" s="1"/>
  <c r="R792" i="6" s="1"/>
  <c r="R793" i="6" s="1"/>
  <c r="R794" i="6" s="1"/>
  <c r="R795" i="6" s="1"/>
  <c r="R796" i="6" s="1"/>
  <c r="R797" i="6" s="1"/>
  <c r="R798" i="6" s="1"/>
  <c r="R799" i="6" s="1"/>
  <c r="R800" i="6" s="1"/>
  <c r="R801" i="6" s="1"/>
  <c r="R802" i="6" s="1"/>
  <c r="R803" i="6" s="1"/>
  <c r="R804" i="6" s="1"/>
  <c r="R805" i="6" s="1"/>
  <c r="R806" i="6" s="1"/>
  <c r="R807" i="6" s="1"/>
  <c r="R808" i="6" s="1"/>
  <c r="R809" i="6" s="1"/>
  <c r="R810" i="6" s="1"/>
  <c r="R811" i="6" s="1"/>
  <c r="R812" i="6" s="1"/>
  <c r="R813" i="6" s="1"/>
  <c r="R814" i="6" s="1"/>
  <c r="R815" i="6" s="1"/>
  <c r="R816" i="6" s="1"/>
  <c r="R817" i="6" s="1"/>
  <c r="R818" i="6" s="1"/>
  <c r="R819" i="6" s="1"/>
  <c r="R820" i="6" s="1"/>
  <c r="R821" i="6" s="1"/>
  <c r="R822" i="6" s="1"/>
  <c r="R823" i="6" s="1"/>
  <c r="R824" i="6" s="1"/>
  <c r="R825" i="6" s="1"/>
  <c r="R826" i="6" s="1"/>
  <c r="R827" i="6" s="1"/>
  <c r="R828" i="6" s="1"/>
  <c r="R829" i="6" s="1"/>
  <c r="R830" i="6" s="1"/>
  <c r="R831" i="6" s="1"/>
  <c r="R832" i="6" s="1"/>
  <c r="R833" i="6" s="1"/>
  <c r="R834" i="6" s="1"/>
  <c r="R835" i="6" s="1"/>
  <c r="R836" i="6" s="1"/>
  <c r="R837" i="6" s="1"/>
  <c r="R838" i="6" s="1"/>
  <c r="R839" i="6" s="1"/>
  <c r="R840" i="6" s="1"/>
  <c r="R841" i="6" s="1"/>
  <c r="R842" i="6" s="1"/>
  <c r="R843" i="6" s="1"/>
  <c r="R844" i="6" s="1"/>
  <c r="R845" i="6" s="1"/>
  <c r="R846" i="6" s="1"/>
  <c r="R847" i="6" s="1"/>
  <c r="R848" i="6" s="1"/>
  <c r="R849" i="6" s="1"/>
  <c r="R850" i="6" s="1"/>
  <c r="R851" i="6" s="1"/>
  <c r="R852" i="6" s="1"/>
  <c r="R853" i="6" s="1"/>
  <c r="R854" i="6" s="1"/>
  <c r="R855" i="6" s="1"/>
  <c r="R856" i="6" s="1"/>
  <c r="R857" i="6" s="1"/>
  <c r="R858" i="6" s="1"/>
  <c r="R859" i="6" s="1"/>
  <c r="R860" i="6" s="1"/>
  <c r="R861" i="6" s="1"/>
  <c r="R862" i="6" s="1"/>
  <c r="R863" i="6" s="1"/>
  <c r="R864" i="6" s="1"/>
  <c r="R865" i="6" s="1"/>
  <c r="R866" i="6" s="1"/>
  <c r="R867" i="6" s="1"/>
  <c r="R868" i="6" s="1"/>
  <c r="R869" i="6" s="1"/>
  <c r="R870" i="6" s="1"/>
  <c r="R871" i="6" s="1"/>
  <c r="R872" i="6" s="1"/>
  <c r="R873" i="6" s="1"/>
  <c r="R874" i="6" s="1"/>
  <c r="R875" i="6" s="1"/>
  <c r="R876" i="6" s="1"/>
  <c r="R877" i="6" s="1"/>
  <c r="R878" i="6" s="1"/>
  <c r="R879" i="6" s="1"/>
  <c r="R880" i="6" s="1"/>
  <c r="R881" i="6" s="1"/>
  <c r="R882" i="6" s="1"/>
  <c r="R883" i="6" s="1"/>
  <c r="R884" i="6" s="1"/>
  <c r="R885" i="6" s="1"/>
  <c r="R886" i="6" s="1"/>
  <c r="R887" i="6" s="1"/>
  <c r="R888" i="6" s="1"/>
  <c r="R889" i="6" s="1"/>
  <c r="R890" i="6" s="1"/>
  <c r="R891" i="6" s="1"/>
  <c r="R892" i="6" s="1"/>
  <c r="R893" i="6" s="1"/>
  <c r="R894" i="6" s="1"/>
  <c r="R895" i="6" s="1"/>
  <c r="R896" i="6" s="1"/>
  <c r="R897" i="6" s="1"/>
  <c r="R898" i="6" s="1"/>
  <c r="R899" i="6" s="1"/>
  <c r="R900" i="6" s="1"/>
  <c r="R901" i="6" s="1"/>
  <c r="R902" i="6" s="1"/>
  <c r="R903" i="6" s="1"/>
  <c r="R904" i="6" s="1"/>
  <c r="R905" i="6" s="1"/>
  <c r="R906" i="6" s="1"/>
  <c r="R907" i="6" s="1"/>
  <c r="R908" i="6" s="1"/>
  <c r="R909" i="6" s="1"/>
  <c r="R910" i="6" s="1"/>
  <c r="R911" i="6" s="1"/>
  <c r="R912" i="6" s="1"/>
  <c r="R913" i="6" s="1"/>
  <c r="R914" i="6" s="1"/>
  <c r="R915" i="6" s="1"/>
  <c r="R916" i="6" s="1"/>
  <c r="R917" i="6" s="1"/>
  <c r="R918" i="6" s="1"/>
  <c r="R919" i="6" s="1"/>
  <c r="R920" i="6" s="1"/>
  <c r="R921" i="6" s="1"/>
  <c r="R922" i="6" s="1"/>
  <c r="R923" i="6" s="1"/>
  <c r="R924" i="6" s="1"/>
  <c r="R925" i="6" s="1"/>
  <c r="R926" i="6" s="1"/>
  <c r="R927" i="6" s="1"/>
  <c r="R928" i="6" s="1"/>
  <c r="R929" i="6" s="1"/>
  <c r="R930" i="6" s="1"/>
  <c r="R931" i="6" s="1"/>
  <c r="R932" i="6" s="1"/>
  <c r="R933" i="6" s="1"/>
  <c r="R934" i="6" s="1"/>
  <c r="R935" i="6" s="1"/>
  <c r="R936" i="6" s="1"/>
  <c r="R937" i="6" s="1"/>
  <c r="R938" i="6" s="1"/>
  <c r="R939" i="6" s="1"/>
  <c r="R940" i="6" s="1"/>
  <c r="R941" i="6" s="1"/>
  <c r="R942" i="6" s="1"/>
  <c r="R943" i="6" s="1"/>
  <c r="R944" i="6" s="1"/>
  <c r="R945" i="6" s="1"/>
  <c r="R946" i="6" s="1"/>
  <c r="R947" i="6" s="1"/>
  <c r="R948" i="6" s="1"/>
  <c r="R949" i="6" s="1"/>
  <c r="R950" i="6" s="1"/>
  <c r="R951" i="6" s="1"/>
  <c r="R952" i="6" s="1"/>
  <c r="R953" i="6" s="1"/>
  <c r="R954" i="6" s="1"/>
  <c r="R955" i="6" s="1"/>
  <c r="R956" i="6" s="1"/>
  <c r="R957" i="6" s="1"/>
  <c r="R958" i="6" s="1"/>
  <c r="R959" i="6" s="1"/>
  <c r="R960" i="6" s="1"/>
  <c r="R961" i="6" s="1"/>
  <c r="R962" i="6" s="1"/>
  <c r="R963" i="6" s="1"/>
  <c r="R964" i="6" s="1"/>
  <c r="R965" i="6" s="1"/>
  <c r="R966" i="6" s="1"/>
  <c r="R967" i="6" s="1"/>
  <c r="R968" i="6" s="1"/>
  <c r="R969" i="6" s="1"/>
  <c r="R970" i="6" s="1"/>
  <c r="R971" i="6" s="1"/>
  <c r="R972" i="6" s="1"/>
  <c r="R973" i="6" s="1"/>
  <c r="R974" i="6" s="1"/>
  <c r="R975" i="6" s="1"/>
  <c r="R976" i="6" s="1"/>
  <c r="R977" i="6" s="1"/>
  <c r="R978" i="6" s="1"/>
  <c r="R979" i="6" s="1"/>
  <c r="R980" i="6" s="1"/>
  <c r="R981" i="6" s="1"/>
  <c r="R982" i="6" s="1"/>
  <c r="R983" i="6" s="1"/>
  <c r="R984" i="6" s="1"/>
  <c r="R985" i="6" s="1"/>
  <c r="R986" i="6" s="1"/>
  <c r="R987" i="6" s="1"/>
  <c r="R988" i="6" s="1"/>
  <c r="R989" i="6" s="1"/>
  <c r="R990" i="6" s="1"/>
  <c r="R991" i="6" s="1"/>
  <c r="R992" i="6" s="1"/>
  <c r="R993" i="6" s="1"/>
  <c r="R994" i="6" s="1"/>
  <c r="R995" i="6" s="1"/>
  <c r="R996" i="6" s="1"/>
  <c r="R997" i="6" s="1"/>
  <c r="R998" i="6" s="1"/>
  <c r="R999" i="6" s="1"/>
  <c r="R1000" i="6" s="1"/>
  <c r="R1001" i="6" s="1"/>
  <c r="R1002" i="6" s="1"/>
  <c r="R1003" i="6" s="1"/>
  <c r="R1004" i="6" s="1"/>
  <c r="R1005" i="6" s="1"/>
  <c r="R1006" i="6" s="1"/>
  <c r="R1007" i="6" s="1"/>
  <c r="R1008" i="6" s="1"/>
  <c r="R1009" i="6" s="1"/>
  <c r="R1010" i="6" s="1"/>
  <c r="R1011" i="6" s="1"/>
  <c r="R1012" i="6" s="1"/>
  <c r="R1013" i="6" s="1"/>
  <c r="R1014" i="6" s="1"/>
  <c r="R1015" i="6" s="1"/>
  <c r="R1016" i="6" s="1"/>
  <c r="R1017" i="6" s="1"/>
  <c r="R1018" i="6" s="1"/>
  <c r="R1019" i="6" s="1"/>
  <c r="R1020" i="6" s="1"/>
  <c r="R1021" i="6" s="1"/>
  <c r="R1022" i="6" s="1"/>
  <c r="R1023" i="6" s="1"/>
  <c r="R1024" i="6" s="1"/>
  <c r="R1025" i="6" s="1"/>
  <c r="R1026" i="6" s="1"/>
  <c r="R1027" i="6" s="1"/>
  <c r="R1028" i="6" s="1"/>
  <c r="R1029" i="6" s="1"/>
  <c r="R1030" i="6" s="1"/>
  <c r="R1031" i="6" s="1"/>
  <c r="R1032" i="6" s="1"/>
  <c r="R1033" i="6" s="1"/>
  <c r="R1034" i="6" s="1"/>
  <c r="R1035" i="6" s="1"/>
  <c r="R1036" i="6" s="1"/>
  <c r="R1037" i="6" s="1"/>
  <c r="R1038" i="6" s="1"/>
  <c r="R1039" i="6" s="1"/>
  <c r="R1040" i="6" s="1"/>
  <c r="R1041" i="6" s="1"/>
  <c r="R1042" i="6" s="1"/>
  <c r="R1043" i="6" s="1"/>
  <c r="R1044" i="6" s="1"/>
  <c r="R1045" i="6" s="1"/>
  <c r="R1046" i="6" s="1"/>
  <c r="R1047" i="6" s="1"/>
  <c r="R1048" i="6" s="1"/>
  <c r="R1049" i="6" s="1"/>
  <c r="R1050" i="6" s="1"/>
  <c r="R1051" i="6" s="1"/>
  <c r="R1052" i="6" s="1"/>
  <c r="R1053" i="6" s="1"/>
  <c r="R1054" i="6" s="1"/>
  <c r="R1055" i="6" s="1"/>
  <c r="R1056" i="6" s="1"/>
  <c r="R1057" i="6" s="1"/>
  <c r="R1058" i="6" s="1"/>
  <c r="R1059" i="6" s="1"/>
  <c r="R1060" i="6" s="1"/>
  <c r="R1061" i="6" s="1"/>
  <c r="R1062" i="6" s="1"/>
  <c r="R1063" i="6" s="1"/>
  <c r="R1064" i="6" s="1"/>
  <c r="R1065" i="6" s="1"/>
  <c r="R1066" i="6" s="1"/>
  <c r="R1067" i="6" s="1"/>
  <c r="R1068" i="6" s="1"/>
  <c r="R1069" i="6" s="1"/>
  <c r="R1070" i="6" s="1"/>
  <c r="R1071" i="6" s="1"/>
  <c r="R1072" i="6" s="1"/>
  <c r="R1073" i="6" s="1"/>
  <c r="R1074" i="6" s="1"/>
  <c r="R1075" i="6" s="1"/>
  <c r="R1076" i="6" s="1"/>
  <c r="R1077" i="6" s="1"/>
  <c r="R1078" i="6" s="1"/>
  <c r="R1079" i="6" s="1"/>
  <c r="R1080" i="6" s="1"/>
  <c r="R1081" i="6" s="1"/>
  <c r="R1082" i="6" s="1"/>
  <c r="R1083" i="6" s="1"/>
  <c r="R1084" i="6" s="1"/>
  <c r="R1085" i="6" s="1"/>
  <c r="R1086" i="6" s="1"/>
  <c r="R1087" i="6" s="1"/>
  <c r="R1088" i="6" s="1"/>
  <c r="R1089" i="6" s="1"/>
  <c r="R1090" i="6" s="1"/>
  <c r="R1091" i="6" s="1"/>
  <c r="R1092" i="6" s="1"/>
  <c r="R1093" i="6" s="1"/>
  <c r="R1094" i="6" s="1"/>
  <c r="R1095" i="6" s="1"/>
  <c r="R1096" i="6" s="1"/>
  <c r="R1097" i="6" s="1"/>
  <c r="R1098" i="6" s="1"/>
  <c r="R1099" i="6" s="1"/>
  <c r="R1100" i="6" s="1"/>
  <c r="R1101" i="6" s="1"/>
  <c r="R1102" i="6" s="1"/>
  <c r="R1103" i="6" s="1"/>
  <c r="R1104" i="6" s="1"/>
  <c r="R1105" i="6" s="1"/>
  <c r="R1106" i="6" s="1"/>
  <c r="R1107" i="6" s="1"/>
  <c r="R1108" i="6" s="1"/>
  <c r="R1109" i="6" s="1"/>
  <c r="R1110" i="6" s="1"/>
  <c r="R1111" i="6" s="1"/>
  <c r="R1112" i="6" s="1"/>
  <c r="R1113" i="6" s="1"/>
  <c r="R1114" i="6" s="1"/>
  <c r="R1115" i="6" s="1"/>
  <c r="R1116" i="6" s="1"/>
  <c r="R1117" i="6" s="1"/>
  <c r="R1118" i="6" s="1"/>
  <c r="R1119" i="6" s="1"/>
  <c r="R1120" i="6" s="1"/>
  <c r="R1121" i="6" s="1"/>
  <c r="R1122" i="6" s="1"/>
  <c r="R1123" i="6" s="1"/>
  <c r="R1124" i="6" s="1"/>
  <c r="R1125" i="6" s="1"/>
  <c r="R1126" i="6" s="1"/>
  <c r="R1127" i="6" s="1"/>
  <c r="R1128" i="6" s="1"/>
  <c r="R1129" i="6" s="1"/>
  <c r="R1130" i="6" s="1"/>
  <c r="R1131" i="6" s="1"/>
  <c r="R1132" i="6" s="1"/>
  <c r="R1133" i="6" s="1"/>
  <c r="R1134" i="6" s="1"/>
  <c r="R1135" i="6" s="1"/>
  <c r="R1136" i="6" s="1"/>
  <c r="R1137" i="6" s="1"/>
  <c r="R1138" i="6" s="1"/>
  <c r="R1139" i="6" s="1"/>
  <c r="R1140" i="6" s="1"/>
  <c r="R1141" i="6" s="1"/>
  <c r="R1142" i="6" s="1"/>
  <c r="R1143" i="6" s="1"/>
  <c r="R1144" i="6" s="1"/>
  <c r="R1145" i="6" s="1"/>
  <c r="R1146" i="6" s="1"/>
  <c r="R1147" i="6" s="1"/>
  <c r="R1148" i="6" s="1"/>
  <c r="R1149" i="6" s="1"/>
  <c r="R1150" i="6" s="1"/>
  <c r="R1151" i="6" s="1"/>
  <c r="R1152" i="6" s="1"/>
  <c r="R1153" i="6" s="1"/>
  <c r="R1154" i="6" s="1"/>
  <c r="R1155" i="6" s="1"/>
  <c r="R1156" i="6" s="1"/>
  <c r="R1157" i="6" s="1"/>
  <c r="R1158" i="6" s="1"/>
  <c r="R1159" i="6" s="1"/>
  <c r="R1160" i="6" s="1"/>
  <c r="R1161" i="6" s="1"/>
  <c r="R1162" i="6" s="1"/>
  <c r="R1163" i="6" s="1"/>
  <c r="R1164" i="6" s="1"/>
  <c r="R1165" i="6" s="1"/>
  <c r="R1166" i="6" s="1"/>
  <c r="R1167" i="6" s="1"/>
  <c r="R1168" i="6" s="1"/>
  <c r="R1169" i="6" s="1"/>
  <c r="R1170" i="6" s="1"/>
  <c r="R1171" i="6" s="1"/>
  <c r="R1172" i="6" s="1"/>
  <c r="R1173" i="6" s="1"/>
  <c r="R1174" i="6" s="1"/>
  <c r="R1175" i="6" s="1"/>
  <c r="R1176" i="6" s="1"/>
  <c r="R1177" i="6" s="1"/>
  <c r="R1178" i="6" s="1"/>
  <c r="R1179" i="6" s="1"/>
  <c r="R1180" i="6" s="1"/>
  <c r="R1181" i="6" s="1"/>
  <c r="R1182" i="6" s="1"/>
  <c r="R1183" i="6" s="1"/>
  <c r="R1184" i="6" s="1"/>
  <c r="R1185" i="6" s="1"/>
  <c r="R1186" i="6" s="1"/>
  <c r="R1187" i="6" s="1"/>
  <c r="R1188" i="6" s="1"/>
  <c r="R1189" i="6" s="1"/>
  <c r="R1190" i="6" s="1"/>
  <c r="R1191" i="6" s="1"/>
  <c r="R1192" i="6" s="1"/>
  <c r="R1193" i="6" s="1"/>
  <c r="R1194" i="6" s="1"/>
  <c r="R1195" i="6" s="1"/>
  <c r="R1196" i="6" s="1"/>
  <c r="R1197" i="6" s="1"/>
  <c r="R1198" i="6" s="1"/>
  <c r="R1199" i="6" s="1"/>
  <c r="R1200" i="6" s="1"/>
  <c r="R1201" i="6" s="1"/>
  <c r="R1202" i="6" s="1"/>
  <c r="R1203" i="6" s="1"/>
  <c r="R1204" i="6" s="1"/>
  <c r="R1205" i="6" s="1"/>
  <c r="R1206" i="6" s="1"/>
  <c r="R1207" i="6" s="1"/>
  <c r="R1208" i="6" s="1"/>
  <c r="R1209" i="6" s="1"/>
  <c r="R1210" i="6" s="1"/>
  <c r="R1211" i="6" s="1"/>
  <c r="R1212" i="6" s="1"/>
  <c r="R1213" i="6" s="1"/>
  <c r="R1214" i="6" s="1"/>
  <c r="R1215" i="6" s="1"/>
  <c r="R1216" i="6" s="1"/>
  <c r="R1217" i="6" s="1"/>
  <c r="R1218" i="6" s="1"/>
  <c r="R1219" i="6" s="1"/>
  <c r="R1220" i="6" s="1"/>
  <c r="R1221" i="6" s="1"/>
  <c r="R1222" i="6" s="1"/>
  <c r="R1223" i="6" s="1"/>
  <c r="R1224" i="6" s="1"/>
  <c r="R1225" i="6" s="1"/>
  <c r="R1226" i="6" s="1"/>
  <c r="R1227" i="6" s="1"/>
  <c r="R1228" i="6" s="1"/>
  <c r="R1229" i="6" s="1"/>
  <c r="R1230" i="6" s="1"/>
  <c r="R1231" i="6" s="1"/>
  <c r="R1232" i="6" s="1"/>
  <c r="R1233" i="6" s="1"/>
  <c r="R1234" i="6" s="1"/>
  <c r="R1235" i="6" s="1"/>
  <c r="R1236" i="6" s="1"/>
  <c r="R1237" i="6" s="1"/>
  <c r="R1238" i="6" s="1"/>
  <c r="R1239" i="6" s="1"/>
  <c r="R1240" i="6" s="1"/>
  <c r="R1241" i="6" s="1"/>
  <c r="R1242" i="6" s="1"/>
  <c r="R1243" i="6" s="1"/>
  <c r="R1244" i="6" s="1"/>
  <c r="R1245" i="6" s="1"/>
  <c r="R1246" i="6" s="1"/>
  <c r="R1247" i="6" s="1"/>
  <c r="R1248" i="6" s="1"/>
  <c r="R1249" i="6" s="1"/>
  <c r="R1250" i="6" s="1"/>
  <c r="R1251" i="6" s="1"/>
  <c r="R1252" i="6" s="1"/>
  <c r="R1253" i="6" s="1"/>
  <c r="R1254" i="6" s="1"/>
  <c r="R1255" i="6" s="1"/>
  <c r="R1256" i="6" s="1"/>
  <c r="R1257" i="6" s="1"/>
  <c r="R1258" i="6" s="1"/>
  <c r="R1259" i="6" s="1"/>
  <c r="R1260" i="6" s="1"/>
  <c r="R1261" i="6" s="1"/>
  <c r="R1262" i="6" s="1"/>
  <c r="R1263" i="6" s="1"/>
  <c r="R1264" i="6" s="1"/>
  <c r="R1265" i="6" s="1"/>
  <c r="R1266" i="6" s="1"/>
  <c r="R1267" i="6" s="1"/>
  <c r="R1268" i="6" s="1"/>
  <c r="R1269" i="6" s="1"/>
  <c r="R1270" i="6" s="1"/>
  <c r="R1271" i="6" s="1"/>
  <c r="R1272" i="6" s="1"/>
  <c r="R1273" i="6" s="1"/>
  <c r="R1274" i="6" s="1"/>
  <c r="R1275" i="6" s="1"/>
  <c r="R1276" i="6" s="1"/>
  <c r="R1277" i="6" s="1"/>
  <c r="R1278" i="6" s="1"/>
  <c r="R1279" i="6" s="1"/>
  <c r="R1280" i="6" s="1"/>
  <c r="R1281" i="6" s="1"/>
  <c r="R1282" i="6" s="1"/>
  <c r="R1283" i="6" s="1"/>
  <c r="R1284" i="6" s="1"/>
  <c r="R1285" i="6" s="1"/>
  <c r="R1286" i="6" s="1"/>
  <c r="R1287" i="6" s="1"/>
  <c r="R1288" i="6" s="1"/>
  <c r="R1289" i="6" s="1"/>
  <c r="R1290" i="6" s="1"/>
  <c r="R1291" i="6" s="1"/>
  <c r="R1292" i="6" s="1"/>
  <c r="R1293" i="6" s="1"/>
  <c r="R1294" i="6" s="1"/>
  <c r="R1295" i="6" s="1"/>
  <c r="R1296" i="6" s="1"/>
  <c r="R1297" i="6" s="1"/>
  <c r="R1298" i="6" s="1"/>
  <c r="R1299" i="6" s="1"/>
  <c r="R1300" i="6" s="1"/>
  <c r="R1301" i="6" s="1"/>
  <c r="R1302" i="6" s="1"/>
  <c r="R1303" i="6" s="1"/>
  <c r="R1304" i="6" s="1"/>
  <c r="R1305" i="6" s="1"/>
  <c r="R1306" i="6" s="1"/>
  <c r="R1307" i="6" s="1"/>
  <c r="R1308" i="6" s="1"/>
  <c r="R1309" i="6" s="1"/>
  <c r="R1310" i="6" s="1"/>
  <c r="R1311" i="6" s="1"/>
  <c r="R1312" i="6" s="1"/>
  <c r="R1313" i="6" s="1"/>
  <c r="R1314" i="6" s="1"/>
  <c r="R1315" i="6" s="1"/>
  <c r="R1316" i="6" s="1"/>
  <c r="R1317" i="6" s="1"/>
  <c r="R1318" i="6" s="1"/>
  <c r="R1319" i="6" s="1"/>
  <c r="R1320" i="6" s="1"/>
  <c r="R1321" i="6" s="1"/>
  <c r="R1322" i="6" s="1"/>
  <c r="R1323" i="6" s="1"/>
  <c r="R1324" i="6" s="1"/>
  <c r="R1325" i="6" s="1"/>
  <c r="R1326" i="6" s="1"/>
  <c r="R1327" i="6" s="1"/>
  <c r="R1328" i="6" s="1"/>
  <c r="R1329" i="6" s="1"/>
  <c r="R1330" i="6" s="1"/>
  <c r="R1331" i="6" s="1"/>
  <c r="R1332" i="6" s="1"/>
  <c r="R1333" i="6" s="1"/>
  <c r="R1334" i="6" s="1"/>
  <c r="R1335" i="6" s="1"/>
  <c r="R1336" i="6" s="1"/>
  <c r="R1337" i="6" s="1"/>
  <c r="R1338" i="6" s="1"/>
  <c r="R1339" i="6" s="1"/>
  <c r="R1340" i="6" s="1"/>
  <c r="R1341" i="6" s="1"/>
  <c r="R1342" i="6" s="1"/>
  <c r="R1343" i="6" s="1"/>
  <c r="R1344" i="6" s="1"/>
  <c r="R1345" i="6" s="1"/>
  <c r="R1346" i="6" s="1"/>
  <c r="R1347" i="6" s="1"/>
  <c r="R1348" i="6" s="1"/>
  <c r="R1349" i="6" s="1"/>
  <c r="R1350" i="6" s="1"/>
  <c r="R1351" i="6" s="1"/>
  <c r="R1352" i="6" s="1"/>
  <c r="R1353" i="6" s="1"/>
  <c r="R1354" i="6" s="1"/>
  <c r="R1355" i="6" s="1"/>
  <c r="R1356" i="6" s="1"/>
  <c r="R1357" i="6" s="1"/>
  <c r="R1358" i="6" s="1"/>
  <c r="R1359" i="6" s="1"/>
  <c r="R1360" i="6" s="1"/>
  <c r="R1361" i="6" s="1"/>
  <c r="R1362" i="6" s="1"/>
  <c r="R1363" i="6" s="1"/>
  <c r="R1364" i="6" s="1"/>
  <c r="R1365" i="6" s="1"/>
  <c r="R1366" i="6" s="1"/>
  <c r="R1367" i="6" s="1"/>
  <c r="R1368" i="6" s="1"/>
  <c r="R1369" i="6" s="1"/>
  <c r="R1370" i="6" s="1"/>
  <c r="R1371" i="6" s="1"/>
  <c r="R1372" i="6" s="1"/>
  <c r="R1373" i="6" s="1"/>
  <c r="R1374" i="6" s="1"/>
  <c r="R1375" i="6" s="1"/>
  <c r="R1376" i="6" s="1"/>
  <c r="R1377" i="6" s="1"/>
  <c r="R1378" i="6" s="1"/>
  <c r="R1379" i="6" s="1"/>
  <c r="R1380" i="6" s="1"/>
  <c r="R1381" i="6" s="1"/>
  <c r="R1382" i="6" s="1"/>
  <c r="R1383" i="6" s="1"/>
  <c r="R1384" i="6" s="1"/>
  <c r="R1385" i="6" s="1"/>
  <c r="R1386" i="6" s="1"/>
  <c r="R1387" i="6" s="1"/>
  <c r="R1388" i="6" s="1"/>
  <c r="R1389" i="6" s="1"/>
  <c r="R1390" i="6" s="1"/>
  <c r="R1391" i="6" s="1"/>
  <c r="R1392" i="6" s="1"/>
  <c r="R1393" i="6" s="1"/>
  <c r="R1394" i="6" s="1"/>
  <c r="R1395" i="6" s="1"/>
  <c r="R1396" i="6" s="1"/>
  <c r="R1397" i="6" s="1"/>
  <c r="R1398" i="6" s="1"/>
  <c r="R1399" i="6" s="1"/>
  <c r="R1400" i="6" s="1"/>
  <c r="R1401" i="6" s="1"/>
  <c r="R1402" i="6" s="1"/>
  <c r="R1403" i="6" s="1"/>
  <c r="R1404" i="6" s="1"/>
  <c r="R1405" i="6" s="1"/>
  <c r="R1406" i="6" s="1"/>
  <c r="R1407" i="6" s="1"/>
  <c r="R1408" i="6" s="1"/>
  <c r="R1409" i="6" s="1"/>
  <c r="R1410" i="6" s="1"/>
  <c r="R1411" i="6" s="1"/>
  <c r="R1412" i="6" s="1"/>
  <c r="R1413" i="6" s="1"/>
  <c r="R1414" i="6" s="1"/>
  <c r="R1415" i="6" s="1"/>
  <c r="R1416" i="6" s="1"/>
  <c r="R1417" i="6" s="1"/>
  <c r="R1418" i="6" s="1"/>
  <c r="R1419" i="6" s="1"/>
  <c r="R1420" i="6" s="1"/>
  <c r="R1421" i="6" s="1"/>
  <c r="R1422" i="6" s="1"/>
  <c r="R1423" i="6" s="1"/>
  <c r="R1424" i="6" s="1"/>
  <c r="R1425" i="6" s="1"/>
  <c r="R1426" i="6" s="1"/>
  <c r="R1427" i="6" s="1"/>
  <c r="R1428" i="6" s="1"/>
  <c r="R1429" i="6" s="1"/>
  <c r="R1430" i="6" s="1"/>
  <c r="R1431" i="6" s="1"/>
  <c r="R1432" i="6" s="1"/>
  <c r="R1433" i="6" s="1"/>
  <c r="R1434" i="6" s="1"/>
  <c r="R1435" i="6" s="1"/>
  <c r="R1436" i="6" s="1"/>
  <c r="R1437" i="6" s="1"/>
  <c r="R1438" i="6" s="1"/>
  <c r="R1439" i="6" s="1"/>
  <c r="R1440" i="6" s="1"/>
  <c r="R1441" i="6" s="1"/>
  <c r="R1442" i="6" s="1"/>
  <c r="R1443" i="6" s="1"/>
  <c r="R1444" i="6" s="1"/>
  <c r="R1445" i="6" s="1"/>
  <c r="R1446" i="6" s="1"/>
  <c r="R1447" i="6" s="1"/>
  <c r="R1448" i="6" s="1"/>
  <c r="R1449" i="6" s="1"/>
  <c r="R1450" i="6" s="1"/>
  <c r="R1451" i="6" s="1"/>
  <c r="R1452" i="6" s="1"/>
  <c r="R1453" i="6" s="1"/>
  <c r="R1454" i="6" s="1"/>
  <c r="R1455" i="6" s="1"/>
  <c r="R1456" i="6" s="1"/>
  <c r="R1457" i="6" s="1"/>
  <c r="R1458" i="6" s="1"/>
  <c r="R1459" i="6" s="1"/>
  <c r="R1460" i="6" s="1"/>
  <c r="R1461" i="6" s="1"/>
  <c r="R1462" i="6" s="1"/>
  <c r="R1463" i="6" s="1"/>
  <c r="R1464" i="6" s="1"/>
  <c r="R1465" i="6" s="1"/>
  <c r="R1466" i="6" s="1"/>
  <c r="R1467" i="6" s="1"/>
  <c r="R1468" i="6" s="1"/>
  <c r="R1469" i="6" s="1"/>
  <c r="R1470" i="6" s="1"/>
  <c r="R1471" i="6" s="1"/>
  <c r="R1472" i="6" s="1"/>
  <c r="R1473" i="6" s="1"/>
  <c r="R1474" i="6" s="1"/>
  <c r="R1475" i="6" s="1"/>
  <c r="R1476" i="6" s="1"/>
  <c r="R1477" i="6" s="1"/>
  <c r="R1478" i="6" s="1"/>
  <c r="R1479" i="6" s="1"/>
  <c r="R1480" i="6" s="1"/>
  <c r="R1481" i="6" s="1"/>
  <c r="R1482" i="6" s="1"/>
  <c r="R1483" i="6" s="1"/>
  <c r="R1484" i="6" s="1"/>
  <c r="R1485" i="6" s="1"/>
  <c r="R1486" i="6" s="1"/>
  <c r="R1487" i="6" s="1"/>
  <c r="R1488" i="6" s="1"/>
  <c r="R1489" i="6" s="1"/>
  <c r="R1490" i="6" s="1"/>
  <c r="R1491" i="6" s="1"/>
  <c r="R1492" i="6" s="1"/>
  <c r="R1493" i="6" s="1"/>
  <c r="R1494" i="6" s="1"/>
  <c r="R1495" i="6" s="1"/>
  <c r="R1496" i="6" s="1"/>
  <c r="R1497" i="6" s="1"/>
  <c r="R1498" i="6" s="1"/>
  <c r="R1499" i="6" s="1"/>
  <c r="R1500" i="6" s="1"/>
  <c r="R1501" i="6" s="1"/>
  <c r="R1502" i="6" s="1"/>
  <c r="R1503" i="6" s="1"/>
  <c r="R1504" i="6" s="1"/>
  <c r="R1505" i="6" s="1"/>
  <c r="R1506" i="6" s="1"/>
  <c r="R1507" i="6" s="1"/>
  <c r="R1508" i="6" s="1"/>
  <c r="R1509" i="6" s="1"/>
  <c r="R1510" i="6" s="1"/>
  <c r="R1511" i="6" s="1"/>
  <c r="R1512" i="6" s="1"/>
  <c r="R1513" i="6" s="1"/>
  <c r="R1514" i="6" s="1"/>
  <c r="R1515" i="6" s="1"/>
  <c r="R1516" i="6" s="1"/>
  <c r="R1517" i="6" s="1"/>
  <c r="R1518" i="6" s="1"/>
  <c r="R1519" i="6" s="1"/>
  <c r="R1520" i="6" s="1"/>
  <c r="R1521" i="6" s="1"/>
  <c r="R1522" i="6" s="1"/>
  <c r="R1523" i="6" s="1"/>
  <c r="R1524" i="6" s="1"/>
  <c r="R1525" i="6" s="1"/>
  <c r="R1526" i="6" s="1"/>
  <c r="R1527" i="6" s="1"/>
  <c r="R1528" i="6" s="1"/>
  <c r="R1529" i="6" s="1"/>
  <c r="R1530" i="6" s="1"/>
  <c r="R1531" i="6" s="1"/>
  <c r="R1532" i="6" s="1"/>
  <c r="R1533" i="6" s="1"/>
  <c r="R1534" i="6" s="1"/>
  <c r="R1535" i="6" s="1"/>
  <c r="R1536" i="6" s="1"/>
  <c r="R1537" i="6" s="1"/>
  <c r="R1538" i="6" s="1"/>
  <c r="R1539" i="6" s="1"/>
  <c r="R1540" i="6" s="1"/>
  <c r="R1541" i="6" s="1"/>
  <c r="R1542" i="6" s="1"/>
  <c r="R1543" i="6" s="1"/>
  <c r="R1544" i="6" s="1"/>
  <c r="R1545" i="6" s="1"/>
  <c r="R1546" i="6" s="1"/>
  <c r="R1547" i="6" s="1"/>
  <c r="R1548" i="6" s="1"/>
  <c r="R1549" i="6" s="1"/>
  <c r="R1550" i="6" s="1"/>
  <c r="R1551" i="6" s="1"/>
  <c r="R1552" i="6" s="1"/>
  <c r="R1553" i="6" s="1"/>
  <c r="R1554" i="6" s="1"/>
  <c r="R1555" i="6" s="1"/>
  <c r="R1556" i="6" s="1"/>
  <c r="R1557" i="6" s="1"/>
  <c r="R1558" i="6" s="1"/>
  <c r="R1559" i="6" s="1"/>
  <c r="R1560" i="6" s="1"/>
  <c r="R1561" i="6" s="1"/>
  <c r="R1562" i="6" s="1"/>
  <c r="R1563" i="6" s="1"/>
  <c r="R1564" i="6" s="1"/>
  <c r="R1565" i="6" s="1"/>
  <c r="R1566" i="6" s="1"/>
  <c r="R1567" i="6" s="1"/>
  <c r="R1568" i="6" s="1"/>
  <c r="R1569" i="6" s="1"/>
  <c r="R1570" i="6" s="1"/>
  <c r="R1571" i="6" s="1"/>
  <c r="R1572" i="6" s="1"/>
  <c r="R1573" i="6" s="1"/>
  <c r="R1574" i="6" s="1"/>
  <c r="R1575" i="6" s="1"/>
  <c r="R1576" i="6" s="1"/>
  <c r="R1577" i="6" s="1"/>
  <c r="R1578" i="6" s="1"/>
  <c r="R1579" i="6" s="1"/>
  <c r="R1580" i="6" s="1"/>
  <c r="R1581" i="6" s="1"/>
  <c r="R1582" i="6" s="1"/>
  <c r="R1583" i="6" s="1"/>
  <c r="R1584" i="6" s="1"/>
  <c r="R1585" i="6" s="1"/>
  <c r="R1586" i="6" s="1"/>
  <c r="R1587" i="6" s="1"/>
  <c r="R1588" i="6" s="1"/>
  <c r="R1589" i="6" s="1"/>
  <c r="R1590" i="6" s="1"/>
  <c r="R1591" i="6" s="1"/>
  <c r="R1592" i="6" s="1"/>
  <c r="R1593" i="6" s="1"/>
  <c r="R1594" i="6" s="1"/>
  <c r="R1595" i="6" s="1"/>
  <c r="R1596" i="6" s="1"/>
  <c r="R1597" i="6" s="1"/>
  <c r="R1598" i="6" s="1"/>
  <c r="R1599" i="6" s="1"/>
  <c r="R1600" i="6" s="1"/>
  <c r="R1601" i="6" s="1"/>
  <c r="R1602" i="6" s="1"/>
  <c r="R1603" i="6" s="1"/>
  <c r="R1604" i="6" s="1"/>
  <c r="R1605" i="6" s="1"/>
  <c r="R1606" i="6" s="1"/>
  <c r="R1607" i="6" s="1"/>
  <c r="R1608" i="6" s="1"/>
  <c r="R1609" i="6" s="1"/>
  <c r="R1610" i="6" s="1"/>
  <c r="R1611" i="6" s="1"/>
  <c r="R1612" i="6" s="1"/>
  <c r="R1613" i="6" s="1"/>
  <c r="R1614" i="6" s="1"/>
  <c r="R1615" i="6" s="1"/>
  <c r="R1616" i="6" s="1"/>
  <c r="R1617" i="6" s="1"/>
  <c r="R1618" i="6" s="1"/>
  <c r="R1619" i="6" s="1"/>
  <c r="R1620" i="6" s="1"/>
  <c r="R1621" i="6" s="1"/>
  <c r="R1622" i="6" s="1"/>
  <c r="R1623" i="6" s="1"/>
  <c r="R1624" i="6" s="1"/>
  <c r="R1625" i="6" s="1"/>
  <c r="R1626" i="6" s="1"/>
  <c r="R1627" i="6" s="1"/>
  <c r="R1628" i="6" s="1"/>
  <c r="R1629" i="6" s="1"/>
  <c r="R1630" i="6" s="1"/>
  <c r="R1631" i="6" s="1"/>
  <c r="R1632" i="6" s="1"/>
  <c r="R1633" i="6" s="1"/>
  <c r="R1634" i="6" s="1"/>
  <c r="R1635" i="6" s="1"/>
  <c r="R1636" i="6" s="1"/>
  <c r="R1637" i="6" s="1"/>
  <c r="R1638" i="6" s="1"/>
  <c r="R1639" i="6" s="1"/>
  <c r="R1640" i="6" s="1"/>
  <c r="R1641" i="6" s="1"/>
  <c r="R1642" i="6" s="1"/>
  <c r="R1643" i="6" s="1"/>
  <c r="R1644" i="6" s="1"/>
  <c r="R1645" i="6" s="1"/>
  <c r="R1646" i="6" s="1"/>
  <c r="R1647" i="6" s="1"/>
  <c r="R1648" i="6" s="1"/>
  <c r="R1649" i="6" s="1"/>
  <c r="R1650" i="6" s="1"/>
  <c r="R1651" i="6" s="1"/>
  <c r="R1652" i="6" s="1"/>
  <c r="R1653" i="6" s="1"/>
  <c r="R1654" i="6" s="1"/>
  <c r="R1655" i="6" s="1"/>
  <c r="R1656" i="6" s="1"/>
  <c r="R1657" i="6" s="1"/>
  <c r="R1658" i="6" s="1"/>
  <c r="R1659" i="6" s="1"/>
  <c r="R1660" i="6" s="1"/>
  <c r="R1661" i="6" s="1"/>
  <c r="R1662" i="6" s="1"/>
  <c r="R1663" i="6" s="1"/>
  <c r="R1664" i="6" s="1"/>
  <c r="R1665" i="6" s="1"/>
  <c r="R1666" i="6" s="1"/>
  <c r="R1667" i="6" s="1"/>
  <c r="R1668" i="6" s="1"/>
  <c r="R1669" i="6" s="1"/>
  <c r="R1670" i="6" s="1"/>
  <c r="R1671" i="6" s="1"/>
  <c r="R1672" i="6" s="1"/>
  <c r="R1673" i="6" s="1"/>
  <c r="R1674" i="6" s="1"/>
  <c r="R1675" i="6" s="1"/>
  <c r="R1676" i="6" s="1"/>
  <c r="R1677" i="6" s="1"/>
  <c r="R1678" i="6" s="1"/>
  <c r="R1679" i="6" s="1"/>
  <c r="R1680" i="6" s="1"/>
  <c r="R1681" i="6" s="1"/>
  <c r="R1682" i="6" s="1"/>
  <c r="R1683" i="6" s="1"/>
  <c r="R1684" i="6" s="1"/>
  <c r="R1685" i="6" s="1"/>
  <c r="R1686" i="6" s="1"/>
  <c r="R1687" i="6" s="1"/>
  <c r="R1688" i="6" s="1"/>
  <c r="R1689" i="6" s="1"/>
  <c r="R1690" i="6" s="1"/>
  <c r="R1691" i="6" s="1"/>
  <c r="R1692" i="6" s="1"/>
  <c r="R1693" i="6" s="1"/>
  <c r="R1694" i="6" s="1"/>
  <c r="R1695" i="6" s="1"/>
  <c r="R1696" i="6" s="1"/>
  <c r="R1697" i="6" s="1"/>
  <c r="R1698" i="6" s="1"/>
  <c r="R1699" i="6" s="1"/>
  <c r="R1700" i="6" s="1"/>
  <c r="R1701" i="6" s="1"/>
  <c r="R1702" i="6" s="1"/>
  <c r="R1703" i="6" s="1"/>
  <c r="R1704" i="6" s="1"/>
  <c r="R1705" i="6" s="1"/>
  <c r="R1706" i="6" s="1"/>
  <c r="R1707" i="6" s="1"/>
  <c r="R1708" i="6" s="1"/>
  <c r="R1709" i="6" s="1"/>
  <c r="R1710" i="6" s="1"/>
  <c r="R1711" i="6" s="1"/>
  <c r="R1712" i="6" s="1"/>
  <c r="R1713" i="6" s="1"/>
  <c r="R1714" i="6" s="1"/>
  <c r="R1715" i="6" s="1"/>
  <c r="R1716" i="6" s="1"/>
  <c r="R1717" i="6" s="1"/>
  <c r="R1718" i="6" s="1"/>
  <c r="R1719" i="6" s="1"/>
  <c r="R1720" i="6" s="1"/>
  <c r="R1721" i="6" s="1"/>
  <c r="R1722" i="6" s="1"/>
  <c r="R1723" i="6" s="1"/>
  <c r="R1724" i="6" s="1"/>
  <c r="R1725" i="6" s="1"/>
  <c r="R1726" i="6" s="1"/>
  <c r="R1727" i="6" s="1"/>
  <c r="R1728" i="6" s="1"/>
  <c r="R1729" i="6" s="1"/>
  <c r="R1730" i="6" s="1"/>
  <c r="R1731" i="6" s="1"/>
  <c r="R1732" i="6" s="1"/>
  <c r="R1733" i="6" s="1"/>
  <c r="R1734" i="6" s="1"/>
  <c r="R1735" i="6" s="1"/>
  <c r="R1736" i="6" s="1"/>
  <c r="R1737" i="6" s="1"/>
  <c r="R1738" i="6" s="1"/>
  <c r="R1739" i="6" s="1"/>
  <c r="R1740" i="6" s="1"/>
  <c r="R1741" i="6" s="1"/>
  <c r="R1742" i="6" s="1"/>
  <c r="R1743" i="6" s="1"/>
  <c r="R1744" i="6" s="1"/>
  <c r="R1745" i="6" s="1"/>
  <c r="R1746" i="6" s="1"/>
  <c r="R1747" i="6" s="1"/>
  <c r="R1748" i="6" s="1"/>
  <c r="R1749" i="6" s="1"/>
  <c r="R1750" i="6" s="1"/>
  <c r="R1751" i="6" s="1"/>
  <c r="R1752" i="6" s="1"/>
  <c r="R1753" i="6" s="1"/>
  <c r="R1754" i="6" s="1"/>
  <c r="R1755" i="6" s="1"/>
  <c r="R1756" i="6" s="1"/>
  <c r="R1757" i="6" s="1"/>
  <c r="R1758" i="6" s="1"/>
  <c r="R1759" i="6" s="1"/>
  <c r="R1760" i="6" s="1"/>
  <c r="R1761" i="6" s="1"/>
  <c r="R1762" i="6" s="1"/>
  <c r="R1763" i="6" s="1"/>
  <c r="R1764" i="6" s="1"/>
  <c r="R1765" i="6" s="1"/>
  <c r="R1766" i="6" s="1"/>
  <c r="R1767" i="6" s="1"/>
  <c r="R1768" i="6" s="1"/>
  <c r="R1769" i="6" s="1"/>
  <c r="R1770" i="6" s="1"/>
  <c r="R1771" i="6" s="1"/>
  <c r="R1772" i="6" s="1"/>
  <c r="R1773" i="6" s="1"/>
  <c r="R1774" i="6" s="1"/>
  <c r="R1775" i="6" s="1"/>
  <c r="R1776" i="6" s="1"/>
  <c r="R1777" i="6" s="1"/>
  <c r="R1778" i="6" s="1"/>
  <c r="R1779" i="6" s="1"/>
  <c r="R1780" i="6" s="1"/>
  <c r="R1781" i="6" s="1"/>
  <c r="R1782" i="6" s="1"/>
  <c r="R1783" i="6" s="1"/>
  <c r="R1784" i="6" s="1"/>
  <c r="R1785" i="6" s="1"/>
  <c r="R1786" i="6" s="1"/>
  <c r="R1787" i="6" s="1"/>
  <c r="R1788" i="6" s="1"/>
  <c r="R1789" i="6" s="1"/>
  <c r="R1790" i="6" s="1"/>
  <c r="R1791" i="6" s="1"/>
  <c r="R1792" i="6" s="1"/>
  <c r="R1793" i="6" s="1"/>
  <c r="R1794" i="6" s="1"/>
  <c r="R1795" i="6" s="1"/>
  <c r="R1796" i="6" s="1"/>
  <c r="R1797" i="6" s="1"/>
  <c r="R1798" i="6" s="1"/>
  <c r="R1799" i="6" s="1"/>
  <c r="R1800" i="6" s="1"/>
  <c r="R1801" i="6" s="1"/>
  <c r="R1802" i="6" s="1"/>
  <c r="R1803" i="6" s="1"/>
  <c r="R1804" i="6" s="1"/>
  <c r="R1805" i="6" s="1"/>
  <c r="R1806" i="6" s="1"/>
  <c r="R1807" i="6" s="1"/>
  <c r="R1808" i="6" s="1"/>
  <c r="R1809" i="6" s="1"/>
  <c r="R1810" i="6" s="1"/>
  <c r="R1811" i="6" s="1"/>
  <c r="R1812" i="6" s="1"/>
  <c r="R1813" i="6" s="1"/>
  <c r="R1814" i="6" s="1"/>
  <c r="R1815" i="6" s="1"/>
  <c r="R1816" i="6" s="1"/>
  <c r="R1817" i="6" s="1"/>
  <c r="R1818" i="6" s="1"/>
  <c r="R1819" i="6" s="1"/>
  <c r="R1820" i="6" s="1"/>
  <c r="R1821" i="6" s="1"/>
  <c r="R1822" i="6" s="1"/>
  <c r="R1823" i="6" s="1"/>
  <c r="R1824" i="6" s="1"/>
  <c r="R1825" i="6" s="1"/>
  <c r="R1826" i="6" s="1"/>
  <c r="R1827" i="6" s="1"/>
  <c r="R1828" i="6" s="1"/>
  <c r="R1829" i="6" s="1"/>
  <c r="R1830" i="6" s="1"/>
  <c r="R1831" i="6" s="1"/>
  <c r="R1832" i="6" s="1"/>
  <c r="R1833" i="6" s="1"/>
  <c r="R1834" i="6" s="1"/>
  <c r="R1835" i="6" s="1"/>
  <c r="R1836" i="6" s="1"/>
  <c r="R1837" i="6" s="1"/>
  <c r="R1838" i="6" s="1"/>
  <c r="R1839" i="6" s="1"/>
  <c r="R1840" i="6" s="1"/>
  <c r="R1841" i="6" s="1"/>
  <c r="R1842" i="6" s="1"/>
  <c r="R1843" i="6" s="1"/>
  <c r="R1844" i="6" s="1"/>
  <c r="R1845" i="6" s="1"/>
  <c r="R1846" i="6" s="1"/>
  <c r="R1847" i="6" s="1"/>
  <c r="R1848" i="6" s="1"/>
  <c r="R1849" i="6" s="1"/>
  <c r="R1850" i="6" s="1"/>
  <c r="R1851" i="6" s="1"/>
  <c r="R1852" i="6" s="1"/>
  <c r="R1853" i="6" s="1"/>
  <c r="R1854" i="6" s="1"/>
  <c r="R1855" i="6" s="1"/>
  <c r="N12" i="6"/>
  <c r="H1858" i="6"/>
  <c r="H1859" i="6"/>
  <c r="I1859" i="6" s="1"/>
  <c r="H1860" i="6"/>
  <c r="D1860" i="6" s="1"/>
  <c r="H1861" i="6"/>
  <c r="A9" i="9"/>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112" i="9" s="1"/>
  <c r="A113" i="9" s="1"/>
  <c r="A114" i="9" s="1"/>
  <c r="A115" i="9" s="1"/>
  <c r="A116" i="9" s="1"/>
  <c r="A117" i="9" s="1"/>
  <c r="A118" i="9" s="1"/>
  <c r="A119" i="9" s="1"/>
  <c r="A120" i="9" s="1"/>
  <c r="A121" i="9" s="1"/>
  <c r="A122" i="9" s="1"/>
  <c r="A123" i="9" s="1"/>
  <c r="A124" i="9" s="1"/>
  <c r="A125" i="9" s="1"/>
  <c r="A126" i="9" s="1"/>
  <c r="A127" i="9" s="1"/>
  <c r="A128" i="9" s="1"/>
  <c r="A129" i="9" s="1"/>
  <c r="A130" i="9" s="1"/>
  <c r="A131" i="9" s="1"/>
  <c r="A132" i="9" s="1"/>
  <c r="A133" i="9" s="1"/>
  <c r="A134" i="9" s="1"/>
  <c r="A135" i="9" s="1"/>
  <c r="A136" i="9" s="1"/>
  <c r="A137" i="9" s="1"/>
  <c r="A138" i="9" s="1"/>
  <c r="A139" i="9" s="1"/>
  <c r="A140" i="9" s="1"/>
  <c r="A141" i="9" s="1"/>
  <c r="A142" i="9" s="1"/>
  <c r="A143" i="9" s="1"/>
  <c r="A144" i="9" s="1"/>
  <c r="A145" i="9" s="1"/>
  <c r="A146" i="9" s="1"/>
  <c r="A147" i="9" s="1"/>
  <c r="A148" i="9" s="1"/>
  <c r="A149" i="9" s="1"/>
  <c r="A150" i="9" s="1"/>
  <c r="A151" i="9" s="1"/>
  <c r="A152" i="9" s="1"/>
  <c r="A153" i="9" s="1"/>
  <c r="A154" i="9" s="1"/>
  <c r="A155" i="9" s="1"/>
  <c r="A156" i="9" s="1"/>
  <c r="A157" i="9" s="1"/>
  <c r="A158" i="9" s="1"/>
  <c r="A159" i="9" s="1"/>
  <c r="A160" i="9" s="1"/>
  <c r="A161" i="9" s="1"/>
  <c r="A162" i="9" s="1"/>
  <c r="A163" i="9" s="1"/>
  <c r="A164" i="9" s="1"/>
  <c r="A165" i="9" s="1"/>
  <c r="A166" i="9" s="1"/>
  <c r="A167" i="9" s="1"/>
  <c r="A168" i="9" s="1"/>
  <c r="A169" i="9" s="1"/>
  <c r="A170" i="9" s="1"/>
  <c r="A171" i="9" s="1"/>
  <c r="A172" i="9" s="1"/>
  <c r="A173" i="9" s="1"/>
  <c r="A174" i="9" s="1"/>
  <c r="A175" i="9" s="1"/>
  <c r="A176" i="9" s="1"/>
  <c r="A177" i="9" s="1"/>
  <c r="A178" i="9" s="1"/>
  <c r="A179" i="9" s="1"/>
  <c r="A180" i="9" s="1"/>
  <c r="A181" i="9" s="1"/>
  <c r="A182" i="9" s="1"/>
  <c r="A183" i="9" s="1"/>
  <c r="A184" i="9" s="1"/>
  <c r="A185" i="9" s="1"/>
  <c r="A186" i="9" s="1"/>
  <c r="A187" i="9" s="1"/>
  <c r="A188" i="9" s="1"/>
  <c r="A189" i="9" s="1"/>
  <c r="A190" i="9" s="1"/>
  <c r="A191" i="9" s="1"/>
  <c r="A192" i="9" s="1"/>
  <c r="A193" i="9" s="1"/>
  <c r="A194" i="9" s="1"/>
  <c r="A195" i="9" s="1"/>
  <c r="A196" i="9" s="1"/>
  <c r="A197" i="9" s="1"/>
  <c r="A198" i="9" s="1"/>
  <c r="A199" i="9" s="1"/>
  <c r="A200" i="9" s="1"/>
  <c r="A201" i="9" s="1"/>
  <c r="A202" i="9" s="1"/>
  <c r="A203" i="9" s="1"/>
  <c r="A204" i="9" s="1"/>
  <c r="A205" i="9" s="1"/>
  <c r="A206" i="9" s="1"/>
  <c r="A207" i="9" s="1"/>
  <c r="A208" i="9" s="1"/>
  <c r="A209" i="9" s="1"/>
  <c r="A210" i="9" s="1"/>
  <c r="A211" i="9" s="1"/>
  <c r="A212" i="9" s="1"/>
  <c r="A213" i="9" s="1"/>
  <c r="A214" i="9" s="1"/>
  <c r="A215" i="9" s="1"/>
  <c r="A216" i="9" s="1"/>
  <c r="A217" i="9" s="1"/>
  <c r="A218" i="9" s="1"/>
  <c r="A219" i="9" s="1"/>
  <c r="A220" i="9" s="1"/>
  <c r="A221" i="9" s="1"/>
  <c r="A222" i="9" s="1"/>
  <c r="A223" i="9" s="1"/>
  <c r="A224" i="9" s="1"/>
  <c r="A225" i="9" s="1"/>
  <c r="A226" i="9" s="1"/>
  <c r="A227" i="9" s="1"/>
  <c r="A228" i="9" s="1"/>
  <c r="A229" i="9" s="1"/>
  <c r="A230" i="9" s="1"/>
  <c r="A231" i="9" s="1"/>
  <c r="A232" i="9" s="1"/>
  <c r="A233" i="9" s="1"/>
  <c r="A234" i="9" s="1"/>
  <c r="A235" i="9" s="1"/>
  <c r="A236" i="9" s="1"/>
  <c r="A237" i="9" s="1"/>
  <c r="A238" i="9" s="1"/>
  <c r="A239" i="9" s="1"/>
  <c r="A240" i="9" s="1"/>
  <c r="A241" i="9" s="1"/>
  <c r="A242" i="9" s="1"/>
  <c r="A243" i="9" s="1"/>
  <c r="A244" i="9" s="1"/>
  <c r="A245" i="9" s="1"/>
  <c r="A246" i="9" s="1"/>
  <c r="A247" i="9" s="1"/>
  <c r="A248" i="9" s="1"/>
  <c r="A249" i="9" s="1"/>
  <c r="A250" i="9" s="1"/>
  <c r="A251" i="9" s="1"/>
  <c r="A252" i="9" s="1"/>
  <c r="A253" i="9" s="1"/>
  <c r="A254" i="9" s="1"/>
  <c r="A255" i="9" s="1"/>
  <c r="A256" i="9" s="1"/>
  <c r="A257" i="9" s="1"/>
  <c r="A258" i="9" s="1"/>
  <c r="A259" i="9" s="1"/>
  <c r="A260" i="9" s="1"/>
  <c r="A261" i="9" s="1"/>
  <c r="A262" i="9" s="1"/>
  <c r="A263" i="9" s="1"/>
  <c r="A264" i="9" s="1"/>
  <c r="A265" i="9" s="1"/>
  <c r="A266" i="9" s="1"/>
  <c r="A267" i="9" s="1"/>
  <c r="A268" i="9" s="1"/>
  <c r="A269" i="9" s="1"/>
  <c r="A270" i="9" s="1"/>
  <c r="A271" i="9" s="1"/>
  <c r="A272" i="9" s="1"/>
  <c r="A273" i="9" s="1"/>
  <c r="A274" i="9" s="1"/>
  <c r="A275" i="9" s="1"/>
  <c r="A276" i="9" s="1"/>
  <c r="A277" i="9" s="1"/>
  <c r="A278" i="9" s="1"/>
  <c r="A279" i="9" s="1"/>
  <c r="A280" i="9" s="1"/>
  <c r="A281" i="9" s="1"/>
  <c r="A282" i="9" s="1"/>
  <c r="A283" i="9" s="1"/>
  <c r="A284" i="9" s="1"/>
  <c r="A285" i="9" s="1"/>
  <c r="A286" i="9" s="1"/>
  <c r="A287" i="9" s="1"/>
  <c r="A288" i="9" s="1"/>
  <c r="A289" i="9" s="1"/>
  <c r="A290" i="9" s="1"/>
  <c r="A291" i="9" s="1"/>
  <c r="A292" i="9" s="1"/>
  <c r="A293" i="9" s="1"/>
  <c r="A294" i="9" s="1"/>
  <c r="A295" i="9" s="1"/>
  <c r="A296" i="9" s="1"/>
  <c r="A297" i="9" s="1"/>
  <c r="A298" i="9" s="1"/>
  <c r="A299" i="9" s="1"/>
  <c r="A300" i="9" s="1"/>
  <c r="A301" i="9" s="1"/>
  <c r="A302" i="9" s="1"/>
  <c r="A303" i="9" s="1"/>
  <c r="A304" i="9" s="1"/>
  <c r="A305" i="9" s="1"/>
  <c r="A306" i="9" s="1"/>
  <c r="A307" i="9" s="1"/>
  <c r="A308" i="9" s="1"/>
  <c r="A309" i="9" s="1"/>
  <c r="A310" i="9" s="1"/>
  <c r="A311" i="9" s="1"/>
  <c r="A312" i="9" s="1"/>
  <c r="A313" i="9" s="1"/>
  <c r="A314" i="9" s="1"/>
  <c r="A315" i="9" s="1"/>
  <c r="A316" i="9" s="1"/>
  <c r="A317" i="9" s="1"/>
  <c r="A318" i="9" s="1"/>
  <c r="A319" i="9" s="1"/>
  <c r="A320" i="9" s="1"/>
  <c r="A321" i="9" s="1"/>
  <c r="A322" i="9" s="1"/>
  <c r="A323" i="9" s="1"/>
  <c r="A324" i="9" s="1"/>
  <c r="A325" i="9" s="1"/>
  <c r="A326" i="9" s="1"/>
  <c r="A327" i="9" s="1"/>
  <c r="A328" i="9" s="1"/>
  <c r="A329" i="9" s="1"/>
  <c r="A330" i="9" s="1"/>
  <c r="A331" i="9" s="1"/>
  <c r="A332" i="9" s="1"/>
  <c r="A333" i="9" s="1"/>
  <c r="A334" i="9" s="1"/>
  <c r="A335" i="9" s="1"/>
  <c r="A336" i="9" s="1"/>
  <c r="A337" i="9" s="1"/>
  <c r="A338" i="9" s="1"/>
  <c r="A339" i="9" s="1"/>
  <c r="A340" i="9" s="1"/>
  <c r="A341" i="9" s="1"/>
  <c r="A342" i="9" s="1"/>
  <c r="A343" i="9" s="1"/>
  <c r="A344" i="9" s="1"/>
  <c r="A345" i="9" s="1"/>
  <c r="A346" i="9" s="1"/>
  <c r="A347" i="9" s="1"/>
  <c r="A348" i="9" s="1"/>
  <c r="A349" i="9" s="1"/>
  <c r="A350" i="9" s="1"/>
  <c r="A351" i="9" s="1"/>
  <c r="A352" i="9" s="1"/>
  <c r="A353" i="9" s="1"/>
  <c r="A354" i="9" s="1"/>
  <c r="A355" i="9" s="1"/>
  <c r="A356" i="9" s="1"/>
  <c r="A357" i="9" s="1"/>
  <c r="A358" i="9" s="1"/>
  <c r="A359" i="9" s="1"/>
  <c r="A360" i="9" s="1"/>
  <c r="A361" i="9" s="1"/>
  <c r="A362" i="9" s="1"/>
  <c r="A363" i="9" s="1"/>
  <c r="A364" i="9" s="1"/>
  <c r="A365" i="9" s="1"/>
  <c r="A366" i="9" s="1"/>
  <c r="A367" i="9" s="1"/>
  <c r="A368" i="9" s="1"/>
  <c r="A369" i="9" s="1"/>
  <c r="A370" i="9" s="1"/>
  <c r="A371" i="9" s="1"/>
  <c r="A372" i="9" s="1"/>
  <c r="A373" i="9" s="1"/>
  <c r="A374" i="9" s="1"/>
  <c r="A375" i="9" s="1"/>
  <c r="A376" i="9" s="1"/>
  <c r="A377" i="9" s="1"/>
  <c r="A378" i="9" s="1"/>
  <c r="A379" i="9" s="1"/>
  <c r="A380" i="9" s="1"/>
  <c r="A381" i="9" s="1"/>
  <c r="A382" i="9" s="1"/>
  <c r="A383" i="9" s="1"/>
  <c r="A384" i="9" s="1"/>
  <c r="A385" i="9" s="1"/>
  <c r="A386" i="9" s="1"/>
  <c r="A387" i="9" s="1"/>
  <c r="A388" i="9" s="1"/>
  <c r="A389" i="9" s="1"/>
  <c r="A390" i="9" s="1"/>
  <c r="A391" i="9" s="1"/>
  <c r="A392" i="9" s="1"/>
  <c r="A393" i="9" s="1"/>
  <c r="A394" i="9" s="1"/>
  <c r="A395" i="9" s="1"/>
  <c r="A396" i="9" s="1"/>
  <c r="A397" i="9" s="1"/>
  <c r="A398" i="9" s="1"/>
  <c r="A399" i="9" s="1"/>
  <c r="A400" i="9" s="1"/>
  <c r="A401" i="9" s="1"/>
  <c r="A402" i="9" s="1"/>
  <c r="A403" i="9" s="1"/>
  <c r="A404" i="9" s="1"/>
  <c r="A405" i="9" s="1"/>
  <c r="A406" i="9" s="1"/>
  <c r="A407" i="9" s="1"/>
  <c r="A408" i="9" s="1"/>
  <c r="A409" i="9" s="1"/>
  <c r="A410" i="9" s="1"/>
  <c r="A411" i="9" s="1"/>
  <c r="A412" i="9" s="1"/>
  <c r="A413" i="9" s="1"/>
  <c r="A414" i="9" s="1"/>
  <c r="A415" i="9" s="1"/>
  <c r="A416" i="9" s="1"/>
  <c r="A417" i="9" s="1"/>
  <c r="A418" i="9" s="1"/>
  <c r="A419" i="9" s="1"/>
  <c r="A420" i="9" s="1"/>
  <c r="A421" i="9" s="1"/>
  <c r="A422" i="9" s="1"/>
  <c r="A423" i="9" s="1"/>
  <c r="A424" i="9" s="1"/>
  <c r="A425" i="9" s="1"/>
  <c r="A426" i="9" s="1"/>
  <c r="A427" i="9" s="1"/>
  <c r="A428" i="9" s="1"/>
  <c r="A429" i="9" s="1"/>
  <c r="A430" i="9" s="1"/>
  <c r="A431" i="9" s="1"/>
  <c r="A432" i="9" s="1"/>
  <c r="A433" i="9" s="1"/>
  <c r="A434" i="9" s="1"/>
  <c r="A435" i="9" s="1"/>
  <c r="A436" i="9" s="1"/>
  <c r="A437" i="9" s="1"/>
  <c r="A438" i="9" s="1"/>
  <c r="A439" i="9" s="1"/>
  <c r="A440" i="9" s="1"/>
  <c r="A441" i="9" s="1"/>
  <c r="A442" i="9" s="1"/>
  <c r="A443" i="9" s="1"/>
  <c r="A444" i="9" s="1"/>
  <c r="A445" i="9" s="1"/>
  <c r="A446" i="9" s="1"/>
  <c r="A447" i="9" s="1"/>
  <c r="A448" i="9" s="1"/>
  <c r="A449" i="9" s="1"/>
  <c r="A450" i="9" s="1"/>
  <c r="A451" i="9" s="1"/>
  <c r="A452" i="9" s="1"/>
  <c r="A453" i="9" s="1"/>
  <c r="A454" i="9" s="1"/>
  <c r="A455" i="9" s="1"/>
  <c r="A456" i="9" s="1"/>
  <c r="A457" i="9" s="1"/>
  <c r="A458" i="9" s="1"/>
  <c r="A459" i="9" s="1"/>
  <c r="A460" i="9" s="1"/>
  <c r="A461" i="9" s="1"/>
  <c r="A462" i="9" s="1"/>
  <c r="A463" i="9" s="1"/>
  <c r="A464" i="9" s="1"/>
  <c r="A465" i="9" s="1"/>
  <c r="A466" i="9" s="1"/>
  <c r="A467" i="9" s="1"/>
  <c r="A468" i="9" s="1"/>
  <c r="A469" i="9" s="1"/>
  <c r="A470" i="9" s="1"/>
  <c r="A471" i="9" s="1"/>
  <c r="A472" i="9" s="1"/>
  <c r="A473" i="9" s="1"/>
  <c r="A474" i="9" s="1"/>
  <c r="A475" i="9" s="1"/>
  <c r="A476" i="9" s="1"/>
  <c r="A477" i="9" s="1"/>
  <c r="A478" i="9" s="1"/>
  <c r="A479" i="9" s="1"/>
  <c r="A480" i="9" s="1"/>
  <c r="A481" i="9" s="1"/>
  <c r="A482" i="9" s="1"/>
  <c r="A483" i="9" s="1"/>
  <c r="A484" i="9" s="1"/>
  <c r="A485" i="9" s="1"/>
  <c r="A486" i="9" s="1"/>
  <c r="A487" i="9" s="1"/>
  <c r="A488" i="9" s="1"/>
  <c r="A489" i="9" s="1"/>
  <c r="A490" i="9" s="1"/>
  <c r="A491" i="9" s="1"/>
  <c r="A492" i="9" s="1"/>
  <c r="A493" i="9" s="1"/>
  <c r="A494" i="9" s="1"/>
  <c r="A495" i="9" s="1"/>
  <c r="A496" i="9" s="1"/>
  <c r="A497" i="9" s="1"/>
  <c r="A498" i="9" s="1"/>
  <c r="A499" i="9" s="1"/>
  <c r="A500" i="9" s="1"/>
  <c r="A501" i="9" s="1"/>
  <c r="A502" i="9" s="1"/>
  <c r="A503" i="9" s="1"/>
  <c r="A504" i="9" s="1"/>
  <c r="A505" i="9" s="1"/>
  <c r="A506" i="9" s="1"/>
  <c r="A507" i="9" s="1"/>
  <c r="A508" i="9" s="1"/>
  <c r="A509" i="9" s="1"/>
  <c r="A510" i="9" s="1"/>
  <c r="A511" i="9" s="1"/>
  <c r="A512" i="9" s="1"/>
  <c r="A513" i="9" s="1"/>
  <c r="A514" i="9" s="1"/>
  <c r="A515" i="9" s="1"/>
  <c r="A516" i="9" s="1"/>
  <c r="A517" i="9" s="1"/>
  <c r="A518" i="9" s="1"/>
  <c r="A519" i="9" s="1"/>
  <c r="A520" i="9" s="1"/>
  <c r="A521" i="9" s="1"/>
  <c r="A522" i="9" s="1"/>
  <c r="A523" i="9" s="1"/>
  <c r="A524" i="9" s="1"/>
  <c r="A525" i="9" s="1"/>
  <c r="A526" i="9" s="1"/>
  <c r="A527" i="9" s="1"/>
  <c r="A528" i="9" s="1"/>
  <c r="A529" i="9" s="1"/>
  <c r="A530" i="9" s="1"/>
  <c r="A531" i="9" s="1"/>
  <c r="A532" i="9" s="1"/>
  <c r="A533" i="9" s="1"/>
  <c r="A534" i="9" s="1"/>
  <c r="A535" i="9" s="1"/>
  <c r="A536" i="9" s="1"/>
  <c r="A537" i="9" s="1"/>
  <c r="A538" i="9" s="1"/>
  <c r="A539" i="9" s="1"/>
  <c r="A540" i="9" s="1"/>
  <c r="A541" i="9" s="1"/>
  <c r="A542" i="9" s="1"/>
  <c r="A543" i="9" s="1"/>
  <c r="A544" i="9" s="1"/>
  <c r="A545" i="9" s="1"/>
  <c r="A546" i="9" s="1"/>
  <c r="A547" i="9" s="1"/>
  <c r="A548" i="9" s="1"/>
  <c r="A549" i="9" s="1"/>
  <c r="A550" i="9" s="1"/>
  <c r="A551" i="9" s="1"/>
  <c r="A552" i="9" s="1"/>
  <c r="A553" i="9" s="1"/>
  <c r="A554" i="9" s="1"/>
  <c r="A555" i="9" s="1"/>
  <c r="A556" i="9" s="1"/>
  <c r="A557" i="9" s="1"/>
  <c r="A558" i="9" s="1"/>
  <c r="A559" i="9" s="1"/>
  <c r="A560" i="9" s="1"/>
  <c r="A561" i="9" s="1"/>
  <c r="A562" i="9" s="1"/>
  <c r="A563" i="9" s="1"/>
  <c r="A564" i="9" s="1"/>
  <c r="A565" i="9" s="1"/>
  <c r="A566" i="9" s="1"/>
  <c r="A567" i="9" s="1"/>
  <c r="A568" i="9" s="1"/>
  <c r="A569" i="9" s="1"/>
  <c r="A570" i="9" s="1"/>
  <c r="A571" i="9" s="1"/>
  <c r="A572" i="9" s="1"/>
  <c r="A573" i="9" s="1"/>
  <c r="A574" i="9" s="1"/>
  <c r="A575" i="9" s="1"/>
  <c r="A576" i="9" s="1"/>
  <c r="A577" i="9" s="1"/>
  <c r="A578" i="9" s="1"/>
  <c r="A579" i="9" s="1"/>
  <c r="A580" i="9" s="1"/>
  <c r="A581" i="9" s="1"/>
  <c r="A582" i="9" s="1"/>
  <c r="A583" i="9" s="1"/>
  <c r="A584" i="9" s="1"/>
  <c r="A585" i="9" s="1"/>
  <c r="A586" i="9" s="1"/>
  <c r="A587" i="9" s="1"/>
  <c r="A588" i="9" s="1"/>
  <c r="A589" i="9" s="1"/>
  <c r="A590" i="9" s="1"/>
  <c r="A591" i="9" s="1"/>
  <c r="A592" i="9" s="1"/>
  <c r="A593" i="9" s="1"/>
  <c r="A594" i="9" s="1"/>
  <c r="A595" i="9" s="1"/>
  <c r="A596" i="9" s="1"/>
  <c r="A597" i="9" s="1"/>
  <c r="A598" i="9" s="1"/>
  <c r="A599" i="9" s="1"/>
  <c r="A600" i="9" s="1"/>
  <c r="A601" i="9" s="1"/>
  <c r="A602" i="9" s="1"/>
  <c r="A603" i="9" s="1"/>
  <c r="A604" i="9" s="1"/>
  <c r="A605" i="9" s="1"/>
  <c r="A606" i="9" s="1"/>
  <c r="A607" i="9" s="1"/>
  <c r="A608" i="9" s="1"/>
  <c r="A609" i="9" s="1"/>
  <c r="A610" i="9" s="1"/>
  <c r="A611" i="9" s="1"/>
  <c r="A612" i="9" s="1"/>
  <c r="A613" i="9" s="1"/>
  <c r="A614" i="9" s="1"/>
  <c r="A615" i="9" s="1"/>
  <c r="A616" i="9" s="1"/>
  <c r="A617" i="9" s="1"/>
  <c r="A618" i="9" s="1"/>
  <c r="A619" i="9" s="1"/>
  <c r="A620" i="9" s="1"/>
  <c r="A621" i="9" s="1"/>
  <c r="A622" i="9" s="1"/>
  <c r="A623" i="9" s="1"/>
  <c r="A624" i="9" s="1"/>
  <c r="A625" i="9" s="1"/>
  <c r="A626" i="9" s="1"/>
  <c r="A627" i="9" s="1"/>
  <c r="A628" i="9" s="1"/>
  <c r="A629" i="9" s="1"/>
  <c r="A630" i="9" s="1"/>
  <c r="A631" i="9" s="1"/>
  <c r="A632" i="9" s="1"/>
  <c r="A633" i="9" s="1"/>
  <c r="A634" i="9" s="1"/>
  <c r="A635" i="9" s="1"/>
  <c r="A636" i="9" s="1"/>
  <c r="A637" i="9" s="1"/>
  <c r="A638" i="9" s="1"/>
  <c r="A639" i="9" s="1"/>
  <c r="A640" i="9" s="1"/>
  <c r="A641" i="9" s="1"/>
  <c r="A642" i="9" s="1"/>
  <c r="A643" i="9" s="1"/>
  <c r="A644" i="9" s="1"/>
  <c r="A645" i="9" s="1"/>
  <c r="A646" i="9" s="1"/>
  <c r="A647" i="9" s="1"/>
  <c r="A648" i="9" s="1"/>
  <c r="A649" i="9" s="1"/>
  <c r="A650" i="9" s="1"/>
  <c r="A651" i="9" s="1"/>
  <c r="A652" i="9" s="1"/>
  <c r="A653" i="9" s="1"/>
  <c r="A654" i="9" s="1"/>
  <c r="A655" i="9" s="1"/>
  <c r="A656" i="9" s="1"/>
  <c r="A657" i="9" s="1"/>
  <c r="A658" i="9" s="1"/>
  <c r="A659" i="9" s="1"/>
  <c r="A660" i="9" s="1"/>
  <c r="A661" i="9" s="1"/>
  <c r="A662" i="9" s="1"/>
  <c r="A663" i="9" s="1"/>
  <c r="A664" i="9" s="1"/>
  <c r="A665" i="9" s="1"/>
  <c r="A666" i="9" s="1"/>
  <c r="A667" i="9" s="1"/>
  <c r="A668" i="9" s="1"/>
  <c r="A669" i="9" s="1"/>
  <c r="A670" i="9" s="1"/>
  <c r="A671" i="9" s="1"/>
  <c r="A672" i="9" s="1"/>
  <c r="A673" i="9" s="1"/>
  <c r="A674" i="9" s="1"/>
  <c r="A675" i="9" s="1"/>
  <c r="A676" i="9" s="1"/>
  <c r="A677" i="9" s="1"/>
  <c r="A678" i="9" s="1"/>
  <c r="A679" i="9" s="1"/>
  <c r="A680" i="9" s="1"/>
  <c r="A681" i="9" s="1"/>
  <c r="A682" i="9" s="1"/>
  <c r="A683" i="9" s="1"/>
  <c r="A684" i="9" s="1"/>
  <c r="A685" i="9" s="1"/>
  <c r="A686" i="9" s="1"/>
  <c r="A687" i="9" s="1"/>
  <c r="A688" i="9" s="1"/>
  <c r="A689" i="9" s="1"/>
  <c r="A690" i="9" s="1"/>
  <c r="A691" i="9" s="1"/>
  <c r="A692" i="9" s="1"/>
  <c r="A693" i="9" s="1"/>
  <c r="A694" i="9" s="1"/>
  <c r="A695" i="9" s="1"/>
  <c r="A696" i="9" s="1"/>
  <c r="A697" i="9" s="1"/>
  <c r="A698" i="9" s="1"/>
  <c r="A699" i="9" s="1"/>
  <c r="A700" i="9" s="1"/>
  <c r="A701" i="9" s="1"/>
  <c r="A702" i="9" s="1"/>
  <c r="A703" i="9" s="1"/>
  <c r="A704" i="9" s="1"/>
  <c r="A705" i="9" s="1"/>
  <c r="A706" i="9" s="1"/>
  <c r="A707" i="9" s="1"/>
  <c r="A708" i="9" s="1"/>
  <c r="A709" i="9" s="1"/>
  <c r="A710" i="9" s="1"/>
  <c r="A711" i="9" s="1"/>
  <c r="A712" i="9" s="1"/>
  <c r="A713" i="9" s="1"/>
  <c r="A714" i="9" s="1"/>
  <c r="A715" i="9" s="1"/>
  <c r="A716" i="9" s="1"/>
  <c r="A717" i="9" s="1"/>
  <c r="A718" i="9" s="1"/>
  <c r="A719" i="9" s="1"/>
  <c r="A720" i="9" s="1"/>
  <c r="A721" i="9" s="1"/>
  <c r="A722" i="9" s="1"/>
  <c r="A723" i="9" s="1"/>
  <c r="A724" i="9" s="1"/>
  <c r="A725" i="9" s="1"/>
  <c r="A726" i="9" s="1"/>
  <c r="A727" i="9" s="1"/>
  <c r="A728" i="9" s="1"/>
  <c r="A729" i="9" s="1"/>
  <c r="A730" i="9" s="1"/>
  <c r="A731" i="9" s="1"/>
  <c r="A732" i="9" s="1"/>
  <c r="A733" i="9" s="1"/>
  <c r="A734" i="9" s="1"/>
  <c r="A735" i="9" s="1"/>
  <c r="A736" i="9" s="1"/>
  <c r="A737" i="9" s="1"/>
  <c r="A738" i="9" s="1"/>
  <c r="A739" i="9" s="1"/>
  <c r="A740" i="9" s="1"/>
  <c r="A741" i="9" s="1"/>
  <c r="A742" i="9" s="1"/>
  <c r="A743" i="9" s="1"/>
  <c r="A744" i="9" s="1"/>
  <c r="A745" i="9" s="1"/>
  <c r="A746" i="9" s="1"/>
  <c r="A747" i="9" s="1"/>
  <c r="A748" i="9" s="1"/>
  <c r="A749" i="9" s="1"/>
  <c r="A750" i="9" s="1"/>
  <c r="A751" i="9" s="1"/>
  <c r="A752" i="9" s="1"/>
  <c r="A753" i="9" s="1"/>
  <c r="A754" i="9" s="1"/>
  <c r="A755" i="9" s="1"/>
  <c r="A756" i="9" s="1"/>
  <c r="A757" i="9" s="1"/>
  <c r="A758" i="9" s="1"/>
  <c r="A759" i="9" s="1"/>
  <c r="A760" i="9" s="1"/>
  <c r="A761" i="9" s="1"/>
  <c r="A762" i="9" s="1"/>
  <c r="A763" i="9" s="1"/>
  <c r="A764" i="9" s="1"/>
  <c r="A765" i="9" s="1"/>
  <c r="A766" i="9" s="1"/>
  <c r="A767" i="9" s="1"/>
  <c r="A768" i="9" s="1"/>
  <c r="A769" i="9" s="1"/>
  <c r="A770" i="9" s="1"/>
  <c r="A771" i="9" s="1"/>
  <c r="A772" i="9" s="1"/>
  <c r="A773" i="9" s="1"/>
  <c r="A774" i="9" s="1"/>
  <c r="A775" i="9" s="1"/>
  <c r="A776" i="9" s="1"/>
  <c r="A777" i="9" s="1"/>
  <c r="A778" i="9" s="1"/>
  <c r="A779" i="9" s="1"/>
  <c r="A780" i="9" s="1"/>
  <c r="A781" i="9" s="1"/>
  <c r="A782" i="9" s="1"/>
  <c r="A783" i="9" s="1"/>
  <c r="A784" i="9" s="1"/>
  <c r="A785" i="9" s="1"/>
  <c r="A786" i="9" s="1"/>
  <c r="A787" i="9" s="1"/>
  <c r="A788" i="9" s="1"/>
  <c r="A789" i="9" s="1"/>
  <c r="A790" i="9" s="1"/>
  <c r="A791" i="9" s="1"/>
  <c r="A792" i="9" s="1"/>
  <c r="A793" i="9" s="1"/>
  <c r="A794" i="9" s="1"/>
  <c r="A795" i="9" s="1"/>
  <c r="A796" i="9" s="1"/>
  <c r="A797" i="9" s="1"/>
  <c r="A798" i="9" s="1"/>
  <c r="A799" i="9" s="1"/>
  <c r="A800" i="9" s="1"/>
  <c r="A801" i="9" s="1"/>
  <c r="A802" i="9" s="1"/>
  <c r="A803" i="9" s="1"/>
  <c r="A804" i="9" s="1"/>
  <c r="A805" i="9" s="1"/>
  <c r="A806" i="9" s="1"/>
  <c r="A807" i="9" s="1"/>
  <c r="A808" i="9" s="1"/>
  <c r="A809" i="9" s="1"/>
  <c r="A810" i="9" s="1"/>
  <c r="A811" i="9" s="1"/>
  <c r="A812" i="9" s="1"/>
  <c r="A813" i="9" s="1"/>
  <c r="A814" i="9" s="1"/>
  <c r="A815" i="9" s="1"/>
  <c r="A816" i="9" s="1"/>
  <c r="A817" i="9" s="1"/>
  <c r="A818" i="9" s="1"/>
  <c r="A819" i="9" s="1"/>
  <c r="A820" i="9" s="1"/>
  <c r="A821" i="9" s="1"/>
  <c r="A822" i="9" s="1"/>
  <c r="A823" i="9" s="1"/>
  <c r="A824" i="9" s="1"/>
  <c r="A825" i="9" s="1"/>
  <c r="A826" i="9" s="1"/>
  <c r="A827" i="9" s="1"/>
  <c r="A828" i="9" s="1"/>
  <c r="A829" i="9" s="1"/>
  <c r="A830" i="9" s="1"/>
  <c r="A831" i="9" s="1"/>
  <c r="A832" i="9" s="1"/>
  <c r="A833" i="9" s="1"/>
  <c r="A834" i="9" s="1"/>
  <c r="A835" i="9" s="1"/>
  <c r="A836" i="9" s="1"/>
  <c r="A837" i="9" s="1"/>
  <c r="A838" i="9" s="1"/>
  <c r="A839" i="9" s="1"/>
  <c r="A840" i="9" s="1"/>
  <c r="A841" i="9" s="1"/>
  <c r="A842" i="9" s="1"/>
  <c r="A843" i="9" s="1"/>
  <c r="A844" i="9" s="1"/>
  <c r="A845" i="9" s="1"/>
  <c r="A846" i="9" s="1"/>
  <c r="A847" i="9" s="1"/>
  <c r="A848" i="9" s="1"/>
  <c r="A849" i="9" s="1"/>
  <c r="A850" i="9" s="1"/>
  <c r="A851" i="9" s="1"/>
  <c r="A852" i="9" s="1"/>
  <c r="A853" i="9" s="1"/>
  <c r="A854" i="9" s="1"/>
  <c r="A855" i="9" s="1"/>
  <c r="A856" i="9" s="1"/>
  <c r="A857" i="9" s="1"/>
  <c r="A858" i="9" s="1"/>
  <c r="E1020" i="9"/>
  <c r="D1020" i="9" s="1"/>
  <c r="E1021" i="9"/>
  <c r="F1021" i="9" s="1"/>
  <c r="E1022" i="9"/>
  <c r="D1022" i="9" s="1"/>
  <c r="E1023" i="9"/>
  <c r="D1023" i="9" s="1"/>
  <c r="N4" i="10"/>
  <c r="T4" i="10"/>
  <c r="T5" i="10" s="1"/>
  <c r="T6" i="10" s="1"/>
  <c r="T7" i="10" s="1"/>
  <c r="T8" i="10" s="1"/>
  <c r="T9" i="10" s="1"/>
  <c r="T10" i="10" s="1"/>
  <c r="T11" i="10" s="1"/>
  <c r="T12" i="10" s="1"/>
  <c r="T13" i="10" s="1"/>
  <c r="T14" i="10" s="1"/>
  <c r="T15" i="10" s="1"/>
  <c r="T16" i="10" s="1"/>
  <c r="T17" i="10" s="1"/>
  <c r="T18" i="10" s="1"/>
  <c r="T19" i="10" s="1"/>
  <c r="T20" i="10" s="1"/>
  <c r="T21" i="10" s="1"/>
  <c r="T22" i="10" s="1"/>
  <c r="T23" i="10" s="1"/>
  <c r="T24" i="10" s="1"/>
  <c r="T25" i="10" s="1"/>
  <c r="T26" i="10" s="1"/>
  <c r="T27" i="10" s="1"/>
  <c r="T28" i="10" s="1"/>
  <c r="T29" i="10" s="1"/>
  <c r="T30" i="10" s="1"/>
  <c r="T31" i="10" s="1"/>
  <c r="T32" i="10" s="1"/>
  <c r="T33" i="10" s="1"/>
  <c r="T34" i="10" s="1"/>
  <c r="T35" i="10" s="1"/>
  <c r="T36" i="10" s="1"/>
  <c r="T37" i="10" s="1"/>
  <c r="T38" i="10" s="1"/>
  <c r="T39" i="10" s="1"/>
  <c r="T40" i="10" s="1"/>
  <c r="T41" i="10" s="1"/>
  <c r="T42" i="10" s="1"/>
  <c r="T43" i="10" s="1"/>
  <c r="T44" i="10" s="1"/>
  <c r="T45" i="10" s="1"/>
  <c r="T46" i="10" s="1"/>
  <c r="T47" i="10" s="1"/>
  <c r="T48" i="10" s="1"/>
  <c r="T49" i="10" s="1"/>
  <c r="T50" i="10" s="1"/>
  <c r="T51" i="10" s="1"/>
  <c r="T52" i="10" s="1"/>
  <c r="T53" i="10" s="1"/>
  <c r="T54" i="10" s="1"/>
  <c r="T55" i="10" s="1"/>
  <c r="T56" i="10" s="1"/>
  <c r="T57" i="10" s="1"/>
  <c r="T58" i="10" s="1"/>
  <c r="T59" i="10" s="1"/>
  <c r="T60" i="10" s="1"/>
  <c r="T61" i="10" s="1"/>
  <c r="T62" i="10" s="1"/>
  <c r="T63" i="10" s="1"/>
  <c r="T64" i="10" s="1"/>
  <c r="T65" i="10" s="1"/>
  <c r="T66" i="10" s="1"/>
  <c r="T67" i="10" s="1"/>
  <c r="T68" i="10" s="1"/>
  <c r="T69" i="10" s="1"/>
  <c r="T70" i="10" s="1"/>
  <c r="T71" i="10" s="1"/>
  <c r="T72" i="10" s="1"/>
  <c r="T73" i="10" s="1"/>
  <c r="T74" i="10" s="1"/>
  <c r="T75" i="10" s="1"/>
  <c r="T76" i="10" s="1"/>
  <c r="T77" i="10" s="1"/>
  <c r="T78" i="10" s="1"/>
  <c r="T79" i="10" s="1"/>
  <c r="T80" i="10" s="1"/>
  <c r="T81" i="10" s="1"/>
  <c r="T82" i="10" s="1"/>
  <c r="T83" i="10" s="1"/>
  <c r="T84" i="10" s="1"/>
  <c r="T85" i="10" s="1"/>
  <c r="T86" i="10" s="1"/>
  <c r="T87" i="10" s="1"/>
  <c r="T88" i="10" s="1"/>
  <c r="T89" i="10" s="1"/>
  <c r="T90" i="10" s="1"/>
  <c r="T91" i="10" s="1"/>
  <c r="T92" i="10" s="1"/>
  <c r="T93" i="10" s="1"/>
  <c r="T94" i="10" s="1"/>
  <c r="T95" i="10" s="1"/>
  <c r="T96" i="10" s="1"/>
  <c r="T97" i="10" s="1"/>
  <c r="T98" i="10" s="1"/>
  <c r="T99" i="10" s="1"/>
  <c r="T100" i="10" s="1"/>
  <c r="T101" i="10" s="1"/>
  <c r="T102" i="10" s="1"/>
  <c r="T103" i="10" s="1"/>
  <c r="T104" i="10" s="1"/>
  <c r="T105" i="10" s="1"/>
  <c r="T106" i="10" s="1"/>
  <c r="T107" i="10" s="1"/>
  <c r="T108" i="10" s="1"/>
  <c r="T109" i="10" s="1"/>
  <c r="T110" i="10" s="1"/>
  <c r="T111" i="10" s="1"/>
  <c r="T112" i="10" s="1"/>
  <c r="T113" i="10" s="1"/>
  <c r="T114" i="10" s="1"/>
  <c r="T115" i="10" s="1"/>
  <c r="T116" i="10" s="1"/>
  <c r="T117" i="10" s="1"/>
  <c r="T118" i="10" s="1"/>
  <c r="T119" i="10" s="1"/>
  <c r="T120" i="10" s="1"/>
  <c r="T121" i="10" s="1"/>
  <c r="T122" i="10" s="1"/>
  <c r="T123" i="10" s="1"/>
  <c r="T124" i="10" s="1"/>
  <c r="T125" i="10" s="1"/>
  <c r="T126" i="10" s="1"/>
  <c r="T127" i="10" s="1"/>
  <c r="T128" i="10" s="1"/>
  <c r="T129" i="10" s="1"/>
  <c r="T130" i="10" s="1"/>
  <c r="T131" i="10" s="1"/>
  <c r="T132" i="10" s="1"/>
  <c r="T133" i="10" s="1"/>
  <c r="T134" i="10" s="1"/>
  <c r="T135" i="10" s="1"/>
  <c r="T136" i="10" s="1"/>
  <c r="T137" i="10" s="1"/>
  <c r="T138" i="10" s="1"/>
  <c r="T139" i="10" s="1"/>
  <c r="T140" i="10" s="1"/>
  <c r="T141" i="10" s="1"/>
  <c r="T142" i="10" s="1"/>
  <c r="T143" i="10" s="1"/>
  <c r="T144" i="10" s="1"/>
  <c r="T145" i="10" s="1"/>
  <c r="T146" i="10" s="1"/>
  <c r="T147" i="10" s="1"/>
  <c r="T148" i="10" s="1"/>
  <c r="T149" i="10" s="1"/>
  <c r="T150" i="10" s="1"/>
  <c r="T151" i="10" s="1"/>
  <c r="T152" i="10" s="1"/>
  <c r="T153" i="10" s="1"/>
  <c r="T154" i="10" s="1"/>
  <c r="T155" i="10" s="1"/>
  <c r="T156" i="10" s="1"/>
  <c r="T157" i="10" s="1"/>
  <c r="T158" i="10" s="1"/>
  <c r="T159" i="10" s="1"/>
  <c r="T160" i="10" s="1"/>
  <c r="T161" i="10" s="1"/>
  <c r="B5" i="10"/>
  <c r="B6" i="10" s="1"/>
  <c r="B7" i="10" s="1"/>
  <c r="B8" i="10" s="1"/>
  <c r="B9" i="10" s="1"/>
  <c r="B10" i="10" s="1"/>
  <c r="B11" i="10" s="1"/>
  <c r="B12" i="10" s="1"/>
  <c r="B13" i="10" s="1"/>
  <c r="B14" i="10" s="1"/>
  <c r="B15" i="10" s="1"/>
  <c r="B16" i="10" s="1"/>
  <c r="B17" i="10" s="1"/>
  <c r="B18" i="10" s="1"/>
  <c r="B19" i="10" s="1"/>
  <c r="B20" i="10" s="1"/>
  <c r="B21" i="10" s="1"/>
  <c r="B22" i="10" s="1"/>
  <c r="B23" i="10" s="1"/>
  <c r="B24" i="10" s="1"/>
  <c r="B25" i="10" s="1"/>
  <c r="B26" i="10" s="1"/>
  <c r="B27" i="10" s="1"/>
  <c r="B28" i="10" s="1"/>
  <c r="B29" i="10" s="1"/>
  <c r="B30" i="10" s="1"/>
  <c r="B31" i="10" s="1"/>
  <c r="B32" i="10" s="1"/>
  <c r="B33" i="10" s="1"/>
  <c r="B34" i="10" s="1"/>
  <c r="B35" i="10" s="1"/>
  <c r="B36" i="10" s="1"/>
  <c r="B37" i="10" s="1"/>
  <c r="B38" i="10" s="1"/>
  <c r="B39" i="10" s="1"/>
  <c r="B40" i="10" s="1"/>
  <c r="B41" i="10" s="1"/>
  <c r="B42" i="10" s="1"/>
  <c r="B43" i="10" s="1"/>
  <c r="B44" i="10" s="1"/>
  <c r="B45" i="10" s="1"/>
  <c r="B46" i="10" s="1"/>
  <c r="B47" i="10" s="1"/>
  <c r="B48" i="10" s="1"/>
  <c r="B49" i="10" s="1"/>
  <c r="B50" i="10" s="1"/>
  <c r="B51" i="10" s="1"/>
  <c r="B52" i="10" s="1"/>
  <c r="B53" i="10" s="1"/>
  <c r="B54" i="10" s="1"/>
  <c r="B55" i="10" s="1"/>
  <c r="B56" i="10" s="1"/>
  <c r="B57" i="10" s="1"/>
  <c r="B58" i="10" s="1"/>
  <c r="B59" i="10" s="1"/>
  <c r="B60" i="10" s="1"/>
  <c r="B61" i="10" s="1"/>
  <c r="B62" i="10" s="1"/>
  <c r="B63" i="10" s="1"/>
  <c r="B64" i="10" s="1"/>
  <c r="B65" i="10" s="1"/>
  <c r="B66" i="10" s="1"/>
  <c r="B67" i="10" s="1"/>
  <c r="B68" i="10" s="1"/>
  <c r="B69" i="10" s="1"/>
  <c r="B70" i="10" s="1"/>
  <c r="B71" i="10" s="1"/>
  <c r="B72" i="10" s="1"/>
  <c r="B73" i="10" s="1"/>
  <c r="B74" i="10" s="1"/>
  <c r="B75" i="10" s="1"/>
  <c r="B76" i="10" s="1"/>
  <c r="B77" i="10" s="1"/>
  <c r="B78" i="10" s="1"/>
  <c r="B79" i="10" s="1"/>
  <c r="B80" i="10" s="1"/>
  <c r="B81" i="10" s="1"/>
  <c r="B82" i="10" s="1"/>
  <c r="B83" i="10" s="1"/>
  <c r="B84" i="10" s="1"/>
  <c r="B85" i="10" s="1"/>
  <c r="B86" i="10" s="1"/>
  <c r="B87" i="10" s="1"/>
  <c r="B88" i="10" s="1"/>
  <c r="B89" i="10" s="1"/>
  <c r="B90" i="10" s="1"/>
  <c r="B91" i="10" s="1"/>
  <c r="B92" i="10" s="1"/>
  <c r="B93" i="10" s="1"/>
  <c r="B94" i="10" s="1"/>
  <c r="B95" i="10" s="1"/>
  <c r="B96" i="10" s="1"/>
  <c r="B97" i="10" s="1"/>
  <c r="B98" i="10" s="1"/>
  <c r="B99" i="10" s="1"/>
  <c r="B100" i="10" s="1"/>
  <c r="B101" i="10" s="1"/>
  <c r="B102" i="10" s="1"/>
  <c r="B103" i="10" s="1"/>
  <c r="B104" i="10" s="1"/>
  <c r="B105" i="10" s="1"/>
  <c r="B106" i="10" s="1"/>
  <c r="B107" i="10" s="1"/>
  <c r="B108" i="10" s="1"/>
  <c r="B109" i="10" s="1"/>
  <c r="B110" i="10" s="1"/>
  <c r="B111" i="10" s="1"/>
  <c r="B112" i="10" s="1"/>
  <c r="B113" i="10" s="1"/>
  <c r="B114" i="10" s="1"/>
  <c r="B115" i="10" s="1"/>
  <c r="B116" i="10" s="1"/>
  <c r="B117" i="10" s="1"/>
  <c r="B118" i="10" s="1"/>
  <c r="B119" i="10" s="1"/>
  <c r="B120" i="10" s="1"/>
  <c r="B121" i="10" s="1"/>
  <c r="B122" i="10" s="1"/>
  <c r="B123" i="10" s="1"/>
  <c r="B124" i="10" s="1"/>
  <c r="B125" i="10" s="1"/>
  <c r="B126" i="10" s="1"/>
  <c r="B127" i="10" s="1"/>
  <c r="B128" i="10" s="1"/>
  <c r="B129" i="10" s="1"/>
  <c r="B130" i="10" s="1"/>
  <c r="B131" i="10" s="1"/>
  <c r="B132" i="10" s="1"/>
  <c r="B133" i="10" s="1"/>
  <c r="B134" i="10" s="1"/>
  <c r="B135" i="10" s="1"/>
  <c r="B136" i="10" s="1"/>
  <c r="B137" i="10" s="1"/>
  <c r="B138" i="10" s="1"/>
  <c r="B139" i="10" s="1"/>
  <c r="B140" i="10" s="1"/>
  <c r="B141" i="10" s="1"/>
  <c r="B142" i="10" s="1"/>
  <c r="B143" i="10" s="1"/>
  <c r="B144" i="10" s="1"/>
  <c r="B145" i="10" s="1"/>
  <c r="B146" i="10" s="1"/>
  <c r="B147" i="10" s="1"/>
  <c r="B148" i="10" s="1"/>
  <c r="B149" i="10" s="1"/>
  <c r="B150" i="10" s="1"/>
  <c r="B151" i="10" s="1"/>
  <c r="B152" i="10" s="1"/>
  <c r="B153" i="10" s="1"/>
  <c r="B154" i="10" s="1"/>
  <c r="B155" i="10" s="1"/>
  <c r="B156" i="10" s="1"/>
  <c r="B157" i="10" s="1"/>
  <c r="B158" i="10" s="1"/>
  <c r="B159" i="10" s="1"/>
  <c r="B160" i="10" s="1"/>
  <c r="B161" i="10" s="1"/>
  <c r="N5" i="10"/>
  <c r="N6" i="10"/>
  <c r="N7" i="10"/>
  <c r="N8" i="10"/>
  <c r="N9" i="10"/>
  <c r="A163" i="6"/>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67" i="6" s="1"/>
  <c r="A268" i="6" s="1"/>
  <c r="A269" i="6" s="1"/>
  <c r="A270" i="6" s="1"/>
  <c r="A271" i="6" s="1"/>
  <c r="A272" i="6" s="1"/>
  <c r="A273" i="6" s="1"/>
  <c r="A274" i="6" s="1"/>
  <c r="A275" i="6" s="1"/>
  <c r="A276" i="6" s="1"/>
  <c r="A277" i="6" s="1"/>
  <c r="A278" i="6" s="1"/>
  <c r="A279" i="6" s="1"/>
  <c r="A280" i="6" s="1"/>
  <c r="A281" i="6" s="1"/>
  <c r="A282" i="6" s="1"/>
  <c r="A283" i="6" s="1"/>
  <c r="A284" i="6" s="1"/>
  <c r="A285" i="6" s="1"/>
  <c r="A286" i="6" s="1"/>
  <c r="A287" i="6" s="1"/>
  <c r="A288" i="6" s="1"/>
  <c r="A289" i="6" s="1"/>
  <c r="A290" i="6" s="1"/>
  <c r="A291" i="6" s="1"/>
  <c r="A292" i="6" s="1"/>
  <c r="A293" i="6" s="1"/>
  <c r="A294" i="6" s="1"/>
  <c r="A295" i="6" s="1"/>
  <c r="A296" i="6" s="1"/>
  <c r="A297" i="6" s="1"/>
  <c r="A298" i="6" s="1"/>
  <c r="A299" i="6" s="1"/>
  <c r="A300" i="6" s="1"/>
  <c r="A301" i="6" s="1"/>
  <c r="A302" i="6" s="1"/>
  <c r="A303" i="6" s="1"/>
  <c r="A304" i="6" s="1"/>
  <c r="A305" i="6" s="1"/>
  <c r="A306" i="6" s="1"/>
  <c r="A307" i="6" s="1"/>
  <c r="A308" i="6" s="1"/>
  <c r="A309" i="6" s="1"/>
  <c r="A310" i="6" s="1"/>
  <c r="A311" i="6" s="1"/>
  <c r="A312" i="6" s="1"/>
  <c r="A313" i="6" s="1"/>
  <c r="A314" i="6" s="1"/>
  <c r="A315" i="6" s="1"/>
  <c r="A316" i="6" s="1"/>
  <c r="A317" i="6" s="1"/>
  <c r="A318" i="6" s="1"/>
  <c r="A319" i="6" s="1"/>
  <c r="A320" i="6" s="1"/>
  <c r="A321" i="6" s="1"/>
  <c r="A322" i="6" s="1"/>
  <c r="A323" i="6" s="1"/>
  <c r="A324" i="6" s="1"/>
  <c r="A325" i="6" s="1"/>
  <c r="A326" i="6" s="1"/>
  <c r="A327" i="6" s="1"/>
  <c r="A328" i="6" s="1"/>
  <c r="A329" i="6" s="1"/>
  <c r="A330" i="6" s="1"/>
  <c r="A331" i="6" s="1"/>
  <c r="A332" i="6" s="1"/>
  <c r="A333" i="6" s="1"/>
  <c r="A334" i="6" s="1"/>
  <c r="A335" i="6" s="1"/>
  <c r="A336" i="6" s="1"/>
  <c r="A337" i="6" s="1"/>
  <c r="A338" i="6" s="1"/>
  <c r="A339" i="6" s="1"/>
  <c r="A340" i="6" s="1"/>
  <c r="A341" i="6" s="1"/>
  <c r="A342" i="6" s="1"/>
  <c r="A343" i="6" s="1"/>
  <c r="A344" i="6" s="1"/>
  <c r="A345" i="6" s="1"/>
  <c r="A346" i="6" s="1"/>
  <c r="A347" i="6" s="1"/>
  <c r="A348" i="6" s="1"/>
  <c r="A349" i="6" s="1"/>
  <c r="A350" i="6" s="1"/>
  <c r="A351" i="6" s="1"/>
  <c r="A352" i="6" s="1"/>
  <c r="A353" i="6" s="1"/>
  <c r="A354" i="6" s="1"/>
  <c r="A355" i="6" s="1"/>
  <c r="A356" i="6" s="1"/>
  <c r="A357" i="6" s="1"/>
  <c r="A358" i="6" s="1"/>
  <c r="A359" i="6" s="1"/>
  <c r="A360" i="6" s="1"/>
  <c r="A361" i="6" s="1"/>
  <c r="A362" i="6" s="1"/>
  <c r="A363" i="6" s="1"/>
  <c r="A364" i="6" s="1"/>
  <c r="A365" i="6" s="1"/>
  <c r="A366" i="6" s="1"/>
  <c r="A367" i="6" s="1"/>
  <c r="A368" i="6" s="1"/>
  <c r="A369" i="6" s="1"/>
  <c r="A370" i="6" s="1"/>
  <c r="A371" i="6" s="1"/>
  <c r="A372" i="6" s="1"/>
  <c r="A373" i="6" s="1"/>
  <c r="A374" i="6" s="1"/>
  <c r="A375" i="6" s="1"/>
  <c r="A376" i="6" s="1"/>
  <c r="A377" i="6" s="1"/>
  <c r="A378" i="6" s="1"/>
  <c r="A379" i="6" s="1"/>
  <c r="A380" i="6" s="1"/>
  <c r="A381" i="6" s="1"/>
  <c r="A382" i="6" s="1"/>
  <c r="A383" i="6" s="1"/>
  <c r="A384" i="6" s="1"/>
  <c r="A385" i="6" s="1"/>
  <c r="A386" i="6" s="1"/>
  <c r="A387" i="6" s="1"/>
  <c r="A388" i="6" s="1"/>
  <c r="A389" i="6" s="1"/>
  <c r="A390" i="6" s="1"/>
  <c r="A391" i="6" s="1"/>
  <c r="A392" i="6" s="1"/>
  <c r="A393" i="6" s="1"/>
  <c r="A394" i="6" s="1"/>
  <c r="A395" i="6" s="1"/>
  <c r="A396" i="6" s="1"/>
  <c r="A397" i="6" s="1"/>
  <c r="A398" i="6" s="1"/>
  <c r="A399" i="6" s="1"/>
  <c r="A400" i="6" s="1"/>
  <c r="A401" i="6" s="1"/>
  <c r="A402" i="6" s="1"/>
  <c r="A403" i="6" s="1"/>
  <c r="A404" i="6" s="1"/>
  <c r="A405" i="6" s="1"/>
  <c r="A406" i="6" s="1"/>
  <c r="A407" i="6" s="1"/>
  <c r="A408" i="6" s="1"/>
  <c r="A409" i="6" s="1"/>
  <c r="A410" i="6" s="1"/>
  <c r="A411" i="6" s="1"/>
  <c r="A412" i="6" s="1"/>
  <c r="A413" i="6" s="1"/>
  <c r="A414" i="6" s="1"/>
  <c r="A415" i="6" s="1"/>
  <c r="A416" i="6" s="1"/>
  <c r="A417" i="6" s="1"/>
  <c r="A418" i="6" s="1"/>
  <c r="A419" i="6" s="1"/>
  <c r="A420" i="6" s="1"/>
  <c r="A421" i="6" s="1"/>
  <c r="A422" i="6" s="1"/>
  <c r="A423" i="6" s="1"/>
  <c r="A424" i="6" s="1"/>
  <c r="A425" i="6" s="1"/>
  <c r="A426" i="6" s="1"/>
  <c r="A427" i="6" s="1"/>
  <c r="A428" i="6" s="1"/>
  <c r="A429" i="6" s="1"/>
  <c r="A430" i="6" s="1"/>
  <c r="A431" i="6" s="1"/>
  <c r="A432" i="6" s="1"/>
  <c r="A433" i="6" s="1"/>
  <c r="A434" i="6" s="1"/>
  <c r="A435" i="6" s="1"/>
  <c r="A436" i="6" s="1"/>
  <c r="A437" i="6" s="1"/>
  <c r="A438" i="6" s="1"/>
  <c r="A439" i="6" s="1"/>
  <c r="A440" i="6" s="1"/>
  <c r="A441" i="6" s="1"/>
  <c r="A442" i="6" s="1"/>
  <c r="A443" i="6" s="1"/>
  <c r="A444" i="6" s="1"/>
  <c r="A445" i="6" s="1"/>
  <c r="A446" i="6" s="1"/>
  <c r="A447" i="6" s="1"/>
  <c r="A448" i="6" s="1"/>
  <c r="A449" i="6" s="1"/>
  <c r="A450" i="6" s="1"/>
  <c r="A451" i="6" s="1"/>
  <c r="A452" i="6" s="1"/>
  <c r="A453" i="6" s="1"/>
  <c r="A454" i="6" s="1"/>
  <c r="A455" i="6" s="1"/>
  <c r="A456" i="6" s="1"/>
  <c r="A457" i="6" s="1"/>
  <c r="A458" i="6" s="1"/>
  <c r="A459" i="6" s="1"/>
  <c r="A460" i="6" s="1"/>
  <c r="A461" i="6" s="1"/>
  <c r="A462" i="6" s="1"/>
  <c r="A463" i="6" s="1"/>
  <c r="A464" i="6" s="1"/>
  <c r="A465" i="6" s="1"/>
  <c r="A466" i="6" s="1"/>
  <c r="A467" i="6" s="1"/>
  <c r="A468" i="6" s="1"/>
  <c r="A469" i="6" s="1"/>
  <c r="A470" i="6" s="1"/>
  <c r="A471" i="6" s="1"/>
  <c r="A472" i="6" s="1"/>
  <c r="A473" i="6" s="1"/>
  <c r="A474" i="6" s="1"/>
  <c r="A475" i="6" s="1"/>
  <c r="A476" i="6" s="1"/>
  <c r="A477" i="6" s="1"/>
  <c r="A478" i="6" s="1"/>
  <c r="A479" i="6" s="1"/>
  <c r="A480" i="6" s="1"/>
  <c r="A481" i="6" s="1"/>
  <c r="A482" i="6" s="1"/>
  <c r="A483" i="6" s="1"/>
  <c r="A484" i="6" s="1"/>
  <c r="A485" i="6" s="1"/>
  <c r="A486" i="6" s="1"/>
  <c r="A487" i="6" s="1"/>
  <c r="A488" i="6" s="1"/>
  <c r="A489" i="6" s="1"/>
  <c r="A490" i="6" s="1"/>
  <c r="A491" i="6" s="1"/>
  <c r="A492" i="6" s="1"/>
  <c r="A493" i="6" s="1"/>
  <c r="A494" i="6" s="1"/>
  <c r="A495" i="6" s="1"/>
  <c r="A496" i="6" s="1"/>
  <c r="A497" i="6" s="1"/>
  <c r="A498" i="6" s="1"/>
  <c r="A499" i="6" s="1"/>
  <c r="A500" i="6" s="1"/>
  <c r="A501" i="6" s="1"/>
  <c r="A502" i="6" s="1"/>
  <c r="A503" i="6" s="1"/>
  <c r="A504" i="6" s="1"/>
  <c r="A505" i="6" s="1"/>
  <c r="A506" i="6" s="1"/>
  <c r="A507" i="6" s="1"/>
  <c r="A508" i="6" s="1"/>
  <c r="A509" i="6" s="1"/>
  <c r="A510" i="6" s="1"/>
  <c r="A511" i="6" s="1"/>
  <c r="A512" i="6" s="1"/>
  <c r="A513" i="6" s="1"/>
  <c r="A514" i="6" s="1"/>
  <c r="A515" i="6" s="1"/>
  <c r="A516" i="6" s="1"/>
  <c r="A517" i="6" s="1"/>
  <c r="A518" i="6" s="1"/>
  <c r="A519" i="6" s="1"/>
  <c r="A520" i="6" s="1"/>
  <c r="A521" i="6" s="1"/>
  <c r="A522" i="6" s="1"/>
  <c r="A523" i="6" s="1"/>
  <c r="A524" i="6" s="1"/>
  <c r="A525" i="6" s="1"/>
  <c r="A526" i="6" s="1"/>
  <c r="A527" i="6" s="1"/>
  <c r="A528" i="6" s="1"/>
  <c r="A529" i="6" s="1"/>
  <c r="A530" i="6" s="1"/>
  <c r="A531" i="6" s="1"/>
  <c r="A532" i="6" s="1"/>
  <c r="A533" i="6" s="1"/>
  <c r="A534" i="6" s="1"/>
  <c r="A535" i="6" s="1"/>
  <c r="A536" i="6" s="1"/>
  <c r="A537" i="6" s="1"/>
  <c r="A538" i="6" s="1"/>
  <c r="A539" i="6" s="1"/>
  <c r="A540" i="6" s="1"/>
  <c r="A541" i="6" s="1"/>
  <c r="A542" i="6" s="1"/>
  <c r="A543" i="6" s="1"/>
  <c r="A544" i="6" s="1"/>
  <c r="A545" i="6" s="1"/>
  <c r="A546" i="6" s="1"/>
  <c r="A547" i="6" s="1"/>
  <c r="A548" i="6" s="1"/>
  <c r="A549" i="6" s="1"/>
  <c r="A550" i="6" s="1"/>
  <c r="A551" i="6" s="1"/>
  <c r="A552" i="6" s="1"/>
  <c r="A553" i="6" s="1"/>
  <c r="A554" i="6" s="1"/>
  <c r="A555" i="6" s="1"/>
  <c r="A556" i="6" s="1"/>
  <c r="A557" i="6" s="1"/>
  <c r="A558" i="6" s="1"/>
  <c r="A559" i="6" s="1"/>
  <c r="A560" i="6" s="1"/>
  <c r="A561" i="6" s="1"/>
  <c r="A562" i="6" s="1"/>
  <c r="A563" i="6" s="1"/>
  <c r="A564" i="6" s="1"/>
  <c r="A565" i="6" s="1"/>
  <c r="A566" i="6" s="1"/>
  <c r="A567" i="6" s="1"/>
  <c r="A568" i="6" s="1"/>
  <c r="A569" i="6" s="1"/>
  <c r="A570" i="6" s="1"/>
  <c r="A571" i="6" s="1"/>
  <c r="A572" i="6" s="1"/>
  <c r="A573" i="6" s="1"/>
  <c r="A574" i="6" s="1"/>
  <c r="A575" i="6" s="1"/>
  <c r="A576" i="6" s="1"/>
  <c r="A577" i="6" s="1"/>
  <c r="A578" i="6" s="1"/>
  <c r="A579" i="6" s="1"/>
  <c r="A580" i="6" s="1"/>
  <c r="A581" i="6" s="1"/>
  <c r="A582" i="6" s="1"/>
  <c r="A583" i="6" s="1"/>
  <c r="A584" i="6" s="1"/>
  <c r="A585" i="6" s="1"/>
  <c r="A586" i="6" s="1"/>
  <c r="A587" i="6" s="1"/>
  <c r="A588" i="6" s="1"/>
  <c r="A589" i="6" s="1"/>
  <c r="A590" i="6" s="1"/>
  <c r="A591" i="6" s="1"/>
  <c r="A592" i="6" s="1"/>
  <c r="A593" i="6" s="1"/>
  <c r="A594" i="6" s="1"/>
  <c r="A595" i="6" s="1"/>
  <c r="A596" i="6" s="1"/>
  <c r="A597" i="6" s="1"/>
  <c r="A598" i="6" s="1"/>
  <c r="A599" i="6" s="1"/>
  <c r="A600" i="6" s="1"/>
  <c r="A601" i="6" s="1"/>
  <c r="A602" i="6" s="1"/>
  <c r="A603" i="6" s="1"/>
  <c r="A604" i="6" s="1"/>
  <c r="A605" i="6" s="1"/>
  <c r="A606" i="6" s="1"/>
  <c r="A607" i="6" s="1"/>
  <c r="A608" i="6" s="1"/>
  <c r="A609" i="6" s="1"/>
  <c r="A610" i="6" s="1"/>
  <c r="A611" i="6" s="1"/>
  <c r="A612" i="6" s="1"/>
  <c r="A613" i="6" s="1"/>
  <c r="A614" i="6" s="1"/>
  <c r="A615" i="6" s="1"/>
  <c r="A616" i="6" s="1"/>
  <c r="A617" i="6" s="1"/>
  <c r="A618" i="6" s="1"/>
  <c r="A619" i="6" s="1"/>
  <c r="A620" i="6" s="1"/>
  <c r="A621" i="6" s="1"/>
  <c r="A622" i="6" s="1"/>
  <c r="A623" i="6" s="1"/>
  <c r="A624" i="6" s="1"/>
  <c r="A625" i="6" s="1"/>
  <c r="A626" i="6" s="1"/>
  <c r="A627" i="6" s="1"/>
  <c r="A628" i="6" s="1"/>
  <c r="A629" i="6" s="1"/>
  <c r="A630" i="6" s="1"/>
  <c r="A631" i="6" s="1"/>
  <c r="A632" i="6" s="1"/>
  <c r="A633" i="6" s="1"/>
  <c r="A634" i="6" s="1"/>
  <c r="A635" i="6" s="1"/>
  <c r="A636" i="6" s="1"/>
  <c r="A637" i="6" s="1"/>
  <c r="A638" i="6" s="1"/>
  <c r="A639" i="6" s="1"/>
  <c r="A640" i="6" s="1"/>
  <c r="A641" i="6" s="1"/>
  <c r="A642" i="6" s="1"/>
  <c r="A643" i="6" s="1"/>
  <c r="A644" i="6" s="1"/>
  <c r="A645" i="6" s="1"/>
  <c r="A646" i="6" s="1"/>
  <c r="A647" i="6" s="1"/>
  <c r="A648" i="6" s="1"/>
  <c r="A649" i="6" s="1"/>
  <c r="A650" i="6" s="1"/>
  <c r="A651" i="6" s="1"/>
  <c r="A652" i="6" s="1"/>
  <c r="A653" i="6" s="1"/>
  <c r="A654" i="6" s="1"/>
  <c r="A655" i="6" s="1"/>
  <c r="A656" i="6" s="1"/>
  <c r="A657" i="6" s="1"/>
  <c r="A658" i="6" s="1"/>
  <c r="A659" i="6" s="1"/>
  <c r="A660" i="6" s="1"/>
  <c r="A661" i="6" s="1"/>
  <c r="A662" i="6" s="1"/>
  <c r="A663" i="6" s="1"/>
  <c r="A664" i="6" s="1"/>
  <c r="A665" i="6" s="1"/>
  <c r="A666" i="6" s="1"/>
  <c r="A667" i="6" s="1"/>
  <c r="A668" i="6" s="1"/>
  <c r="A669" i="6" s="1"/>
  <c r="A670" i="6" s="1"/>
  <c r="A671" i="6" s="1"/>
  <c r="A672" i="6" s="1"/>
  <c r="A673" i="6" s="1"/>
  <c r="A674" i="6" s="1"/>
  <c r="A675" i="6" s="1"/>
  <c r="A676" i="6" s="1"/>
  <c r="A677" i="6" s="1"/>
  <c r="A678" i="6" s="1"/>
  <c r="A679" i="6" s="1"/>
  <c r="A680" i="6" s="1"/>
  <c r="A681" i="6" s="1"/>
  <c r="A682" i="6" s="1"/>
  <c r="A683" i="6" s="1"/>
  <c r="A684" i="6" s="1"/>
  <c r="A685" i="6" s="1"/>
  <c r="A686" i="6" s="1"/>
  <c r="A687" i="6" s="1"/>
  <c r="A688" i="6" s="1"/>
  <c r="A689" i="6" s="1"/>
  <c r="A690" i="6" s="1"/>
  <c r="A691" i="6" s="1"/>
  <c r="A692" i="6" s="1"/>
  <c r="A693" i="6" s="1"/>
  <c r="A694" i="6" s="1"/>
  <c r="A695" i="6" s="1"/>
  <c r="A696" i="6" s="1"/>
  <c r="A697" i="6" s="1"/>
  <c r="A698" i="6" s="1"/>
  <c r="A699" i="6" s="1"/>
  <c r="A700" i="6" s="1"/>
  <c r="A701" i="6" s="1"/>
  <c r="A702" i="6" s="1"/>
  <c r="A703" i="6" s="1"/>
  <c r="A704" i="6" s="1"/>
  <c r="A705" i="6" s="1"/>
  <c r="A706" i="6" s="1"/>
  <c r="A707" i="6" s="1"/>
  <c r="A708" i="6" s="1"/>
  <c r="A709" i="6" s="1"/>
  <c r="A710" i="6" s="1"/>
  <c r="A711" i="6" s="1"/>
  <c r="A712" i="6" s="1"/>
  <c r="A713" i="6" s="1"/>
  <c r="A714" i="6" s="1"/>
  <c r="A715" i="6" s="1"/>
  <c r="A716" i="6" s="1"/>
  <c r="A717" i="6" s="1"/>
  <c r="A718" i="6" s="1"/>
  <c r="A719" i="6" s="1"/>
  <c r="A720" i="6" s="1"/>
  <c r="A721" i="6" s="1"/>
  <c r="A722" i="6" s="1"/>
  <c r="A723" i="6" s="1"/>
  <c r="A724" i="6" s="1"/>
  <c r="A725" i="6" s="1"/>
  <c r="A726" i="6" s="1"/>
  <c r="A727" i="6" s="1"/>
  <c r="A728" i="6" s="1"/>
  <c r="A729" i="6" s="1"/>
  <c r="A730" i="6" s="1"/>
  <c r="A731" i="6" s="1"/>
  <c r="A732" i="6" s="1"/>
  <c r="A733" i="6" s="1"/>
  <c r="A734" i="6" s="1"/>
  <c r="A735" i="6" s="1"/>
  <c r="A736" i="6" s="1"/>
  <c r="A737" i="6" s="1"/>
  <c r="A738" i="6" s="1"/>
  <c r="A739" i="6" s="1"/>
  <c r="A740" i="6" s="1"/>
  <c r="A741" i="6" s="1"/>
  <c r="A742" i="6" s="1"/>
  <c r="A743" i="6" s="1"/>
  <c r="A744" i="6" s="1"/>
  <c r="A745" i="6" s="1"/>
  <c r="A746" i="6" s="1"/>
  <c r="A747" i="6" s="1"/>
  <c r="A748" i="6" s="1"/>
  <c r="A749" i="6" s="1"/>
  <c r="A750" i="6" s="1"/>
  <c r="A751" i="6" s="1"/>
  <c r="A752" i="6" s="1"/>
  <c r="A753" i="6" s="1"/>
  <c r="A754" i="6" s="1"/>
  <c r="A755" i="6" s="1"/>
  <c r="A756" i="6" s="1"/>
  <c r="A757" i="6" s="1"/>
  <c r="A758" i="6" s="1"/>
  <c r="A759" i="6" s="1"/>
  <c r="A760" i="6" s="1"/>
  <c r="A761" i="6" s="1"/>
  <c r="A762" i="6" s="1"/>
  <c r="A763" i="6" s="1"/>
  <c r="A764" i="6" s="1"/>
  <c r="A765" i="6" s="1"/>
  <c r="A766" i="6" s="1"/>
  <c r="A767" i="6" s="1"/>
  <c r="A768" i="6" s="1"/>
  <c r="A769" i="6" s="1"/>
  <c r="A770" i="6" s="1"/>
  <c r="A771" i="6" s="1"/>
  <c r="A772" i="6" s="1"/>
  <c r="A773" i="6" s="1"/>
  <c r="A774" i="6" s="1"/>
  <c r="A775" i="6" s="1"/>
  <c r="A776" i="6" s="1"/>
  <c r="A777" i="6" s="1"/>
  <c r="A778" i="6" s="1"/>
  <c r="A779" i="6" s="1"/>
  <c r="A780" i="6" s="1"/>
  <c r="A781" i="6" s="1"/>
  <c r="A782" i="6" s="1"/>
  <c r="A783" i="6" s="1"/>
  <c r="A784" i="6" s="1"/>
  <c r="A785" i="6" s="1"/>
  <c r="A786" i="6" s="1"/>
  <c r="A787" i="6" s="1"/>
  <c r="A788" i="6" s="1"/>
  <c r="A789" i="6" s="1"/>
  <c r="A790" i="6" s="1"/>
  <c r="A791" i="6" s="1"/>
  <c r="A792" i="6" s="1"/>
  <c r="A793" i="6" s="1"/>
  <c r="A794" i="6" s="1"/>
  <c r="A795" i="6" s="1"/>
  <c r="A796" i="6" s="1"/>
  <c r="A797" i="6" s="1"/>
  <c r="A798" i="6" s="1"/>
  <c r="A799" i="6" s="1"/>
  <c r="A800" i="6" s="1"/>
  <c r="A801" i="6" s="1"/>
  <c r="A802" i="6" s="1"/>
  <c r="A803" i="6" s="1"/>
  <c r="A804" i="6" s="1"/>
  <c r="A805" i="6" s="1"/>
  <c r="A806" i="6" s="1"/>
  <c r="A807" i="6" s="1"/>
  <c r="A808" i="6" s="1"/>
  <c r="A809" i="6" s="1"/>
  <c r="A810" i="6" s="1"/>
  <c r="A811" i="6" s="1"/>
  <c r="A812" i="6" s="1"/>
  <c r="A813" i="6" s="1"/>
  <c r="A814" i="6" s="1"/>
  <c r="A815" i="6" s="1"/>
  <c r="A816" i="6" s="1"/>
  <c r="A817" i="6" s="1"/>
  <c r="A818" i="6" s="1"/>
  <c r="A819" i="6" s="1"/>
  <c r="A820" i="6" s="1"/>
  <c r="A821" i="6" s="1"/>
  <c r="A822" i="6" s="1"/>
  <c r="A823" i="6" s="1"/>
  <c r="A824" i="6" s="1"/>
  <c r="A825" i="6" s="1"/>
  <c r="A826" i="6" s="1"/>
  <c r="A827" i="6" s="1"/>
  <c r="A828" i="6" s="1"/>
  <c r="A829" i="6" s="1"/>
  <c r="A830" i="6" s="1"/>
  <c r="A831" i="6" s="1"/>
  <c r="A832" i="6" s="1"/>
  <c r="A833" i="6" s="1"/>
  <c r="A834" i="6" s="1"/>
  <c r="A835" i="6" s="1"/>
  <c r="A836" i="6" s="1"/>
  <c r="A837" i="6" s="1"/>
  <c r="A838" i="6" s="1"/>
  <c r="A839" i="6" s="1"/>
  <c r="A840" i="6" s="1"/>
  <c r="A841" i="6" s="1"/>
  <c r="A842" i="6" s="1"/>
  <c r="A843" i="6" s="1"/>
  <c r="A844" i="6" s="1"/>
  <c r="A845" i="6" s="1"/>
  <c r="A846" i="6" s="1"/>
  <c r="A847" i="6" s="1"/>
  <c r="A848" i="6" s="1"/>
  <c r="A849" i="6" s="1"/>
  <c r="A850" i="6" s="1"/>
  <c r="A851" i="6" s="1"/>
  <c r="A852" i="6" s="1"/>
  <c r="A853" i="6" s="1"/>
  <c r="A854" i="6" s="1"/>
  <c r="A855" i="6" s="1"/>
  <c r="A856" i="6" s="1"/>
  <c r="A857" i="6" s="1"/>
  <c r="A858" i="6" s="1"/>
  <c r="A859" i="6" s="1"/>
  <c r="A860" i="6" s="1"/>
  <c r="A861" i="6" s="1"/>
  <c r="A862" i="6" s="1"/>
  <c r="A863" i="6" s="1"/>
  <c r="A864" i="6" s="1"/>
  <c r="A865" i="6" s="1"/>
  <c r="A866" i="6" s="1"/>
  <c r="A867" i="6" s="1"/>
  <c r="A868" i="6" s="1"/>
  <c r="A869" i="6" s="1"/>
  <c r="A870" i="6" s="1"/>
  <c r="A871" i="6" s="1"/>
  <c r="A872" i="6" s="1"/>
  <c r="A873" i="6" s="1"/>
  <c r="A874" i="6" s="1"/>
  <c r="A875" i="6" s="1"/>
  <c r="A876" i="6" s="1"/>
  <c r="A877" i="6" s="1"/>
  <c r="A878" i="6" s="1"/>
  <c r="A879" i="6" s="1"/>
  <c r="A880" i="6" s="1"/>
  <c r="A881" i="6" s="1"/>
  <c r="A882" i="6" s="1"/>
  <c r="A883" i="6" s="1"/>
  <c r="A884" i="6" s="1"/>
  <c r="A885" i="6" s="1"/>
  <c r="A886" i="6" s="1"/>
  <c r="A887" i="6" s="1"/>
  <c r="A888" i="6" s="1"/>
  <c r="A889" i="6" s="1"/>
  <c r="A890" i="6" s="1"/>
  <c r="A891" i="6" s="1"/>
  <c r="A892" i="6" s="1"/>
  <c r="A893" i="6" s="1"/>
  <c r="A894" i="6" s="1"/>
  <c r="A895" i="6" s="1"/>
  <c r="A896" i="6" s="1"/>
  <c r="A897" i="6" s="1"/>
  <c r="A898" i="6" s="1"/>
  <c r="A899" i="6" s="1"/>
  <c r="A900" i="6" s="1"/>
  <c r="A901" i="6" s="1"/>
  <c r="A902" i="6" s="1"/>
  <c r="A903" i="6" s="1"/>
  <c r="A904" i="6" s="1"/>
  <c r="A905" i="6" s="1"/>
  <c r="A906" i="6" s="1"/>
  <c r="A907" i="6" s="1"/>
  <c r="A908" i="6" s="1"/>
  <c r="A909" i="6" s="1"/>
  <c r="A910" i="6" s="1"/>
  <c r="A911" i="6" s="1"/>
  <c r="A912" i="6" s="1"/>
  <c r="A913" i="6" s="1"/>
  <c r="A914" i="6" s="1"/>
  <c r="A915" i="6" s="1"/>
  <c r="A916" i="6" s="1"/>
  <c r="A917" i="6" s="1"/>
  <c r="A918" i="6" s="1"/>
  <c r="A919" i="6" s="1"/>
  <c r="A920" i="6" s="1"/>
  <c r="A921" i="6" s="1"/>
  <c r="A922" i="6" s="1"/>
  <c r="A923" i="6" s="1"/>
  <c r="A924" i="6" s="1"/>
  <c r="A925" i="6" s="1"/>
  <c r="A926" i="6" s="1"/>
  <c r="A927" i="6" s="1"/>
  <c r="A928" i="6" s="1"/>
  <c r="A929" i="6" s="1"/>
  <c r="A930" i="6" s="1"/>
  <c r="A931" i="6" s="1"/>
  <c r="A932" i="6" s="1"/>
  <c r="A933" i="6" s="1"/>
  <c r="A934" i="6" s="1"/>
  <c r="A935" i="6" s="1"/>
  <c r="A936" i="6" s="1"/>
  <c r="A937" i="6" s="1"/>
  <c r="A938" i="6" s="1"/>
  <c r="A939" i="6" s="1"/>
  <c r="A940" i="6" s="1"/>
  <c r="A941" i="6" s="1"/>
  <c r="A942" i="6" s="1"/>
  <c r="A943" i="6" s="1"/>
  <c r="A944" i="6" s="1"/>
  <c r="A945" i="6" s="1"/>
  <c r="A946" i="6" s="1"/>
  <c r="A947" i="6" s="1"/>
  <c r="A948" i="6" s="1"/>
  <c r="A949" i="6" s="1"/>
  <c r="A950" i="6" s="1"/>
  <c r="A951" i="6" s="1"/>
  <c r="A952" i="6" s="1"/>
  <c r="A953" i="6" s="1"/>
  <c r="A954" i="6" s="1"/>
  <c r="A955" i="6" s="1"/>
  <c r="A956" i="6" s="1"/>
  <c r="A957" i="6" s="1"/>
  <c r="A958" i="6" s="1"/>
  <c r="A959" i="6" s="1"/>
  <c r="A960" i="6" s="1"/>
  <c r="A961" i="6" s="1"/>
  <c r="A962" i="6" s="1"/>
  <c r="A963" i="6" s="1"/>
  <c r="A964" i="6" s="1"/>
  <c r="A965" i="6" s="1"/>
  <c r="A966" i="6" s="1"/>
  <c r="A967" i="6" s="1"/>
  <c r="A968" i="6" s="1"/>
  <c r="A969" i="6" s="1"/>
  <c r="A970" i="6" s="1"/>
  <c r="A971" i="6" s="1"/>
  <c r="A972" i="6" s="1"/>
  <c r="A973" i="6" s="1"/>
  <c r="A974" i="6" s="1"/>
  <c r="A975" i="6" s="1"/>
  <c r="A976" i="6" s="1"/>
  <c r="A977" i="6" s="1"/>
  <c r="A978" i="6" s="1"/>
  <c r="A979" i="6" s="1"/>
  <c r="A980" i="6" s="1"/>
  <c r="A981" i="6" s="1"/>
  <c r="A982" i="6" s="1"/>
  <c r="A983" i="6" s="1"/>
  <c r="A984" i="6" s="1"/>
  <c r="A985" i="6" s="1"/>
  <c r="A986" i="6" s="1"/>
  <c r="A987" i="6" s="1"/>
  <c r="A988" i="6" s="1"/>
  <c r="A989" i="6" s="1"/>
  <c r="A990" i="6" s="1"/>
  <c r="A991" i="6" s="1"/>
  <c r="A992" i="6" s="1"/>
  <c r="A993" i="6" s="1"/>
  <c r="A994" i="6" s="1"/>
  <c r="A995" i="6" s="1"/>
  <c r="A996" i="6" s="1"/>
  <c r="A997" i="6" s="1"/>
  <c r="A998" i="6" s="1"/>
  <c r="A999" i="6" s="1"/>
  <c r="A1000" i="6" s="1"/>
  <c r="A1001" i="6" s="1"/>
  <c r="A1002" i="6" s="1"/>
  <c r="A1003" i="6" s="1"/>
  <c r="A1004" i="6" s="1"/>
  <c r="A1005" i="6" s="1"/>
  <c r="A1006" i="6" s="1"/>
  <c r="A1007" i="6" s="1"/>
  <c r="A1008" i="6" s="1"/>
  <c r="A1009" i="6" s="1"/>
  <c r="A1010" i="6" s="1"/>
  <c r="A1011" i="6" s="1"/>
  <c r="A1012" i="6" s="1"/>
  <c r="A1013" i="6" s="1"/>
  <c r="A1014" i="6" s="1"/>
  <c r="A1015" i="6" s="1"/>
  <c r="A1016" i="6" s="1"/>
  <c r="A1017" i="6" s="1"/>
  <c r="A1018" i="6" s="1"/>
  <c r="A1019" i="6" s="1"/>
  <c r="A1020" i="6" s="1"/>
  <c r="A1021" i="6" s="1"/>
  <c r="A1022" i="6" s="1"/>
  <c r="A1023" i="6" s="1"/>
  <c r="A1024" i="6" s="1"/>
  <c r="A1025" i="6" s="1"/>
  <c r="A1026" i="6" s="1"/>
  <c r="A1027" i="6" s="1"/>
  <c r="A1028" i="6" s="1"/>
  <c r="A1029" i="6" s="1"/>
  <c r="A1030" i="6" s="1"/>
  <c r="A1031" i="6" s="1"/>
  <c r="A1032" i="6" s="1"/>
  <c r="A1033" i="6" s="1"/>
  <c r="A1034" i="6" s="1"/>
  <c r="A1035" i="6" s="1"/>
  <c r="A1036" i="6" s="1"/>
  <c r="A1037" i="6" s="1"/>
  <c r="A1038" i="6" s="1"/>
  <c r="A1039" i="6" s="1"/>
  <c r="A1040" i="6" s="1"/>
  <c r="A1041" i="6" s="1"/>
  <c r="A1042" i="6" s="1"/>
  <c r="A1043" i="6" s="1"/>
  <c r="A1044" i="6" s="1"/>
  <c r="A1045" i="6" s="1"/>
  <c r="A1046" i="6" s="1"/>
  <c r="A1047" i="6" s="1"/>
  <c r="A1048" i="6" s="1"/>
  <c r="A1049" i="6" s="1"/>
  <c r="A1050" i="6" s="1"/>
  <c r="A1051" i="6" s="1"/>
  <c r="A1052" i="6" s="1"/>
  <c r="A1053" i="6" s="1"/>
  <c r="A1054" i="6" s="1"/>
  <c r="A1055" i="6" s="1"/>
  <c r="A1056" i="6" s="1"/>
  <c r="A1057" i="6" s="1"/>
  <c r="A1058" i="6" s="1"/>
  <c r="A1059" i="6" s="1"/>
  <c r="A1060" i="6" s="1"/>
  <c r="A1061" i="6" s="1"/>
  <c r="A1062" i="6" s="1"/>
  <c r="A1063" i="6" s="1"/>
  <c r="A1064" i="6" s="1"/>
  <c r="A1065" i="6" s="1"/>
  <c r="A1066" i="6" s="1"/>
  <c r="A1067" i="6" s="1"/>
  <c r="A1068" i="6" s="1"/>
  <c r="A1069" i="6" s="1"/>
  <c r="A1070" i="6" s="1"/>
  <c r="A1071" i="6" s="1"/>
  <c r="A1072" i="6" s="1"/>
  <c r="A1073" i="6" s="1"/>
  <c r="A1074" i="6" s="1"/>
  <c r="A1075" i="6" s="1"/>
  <c r="A1076" i="6" s="1"/>
  <c r="A1077" i="6" s="1"/>
  <c r="A1078" i="6" s="1"/>
  <c r="A1079" i="6" s="1"/>
  <c r="A1080" i="6" s="1"/>
  <c r="A1081" i="6" s="1"/>
  <c r="A1082" i="6" s="1"/>
  <c r="A1083" i="6" s="1"/>
  <c r="A1084" i="6" s="1"/>
  <c r="A1085" i="6" s="1"/>
  <c r="A1086" i="6" s="1"/>
  <c r="A1087" i="6" s="1"/>
  <c r="A1088" i="6" s="1"/>
  <c r="A1089" i="6" s="1"/>
  <c r="A1090" i="6" s="1"/>
  <c r="A1091" i="6" s="1"/>
  <c r="A1092" i="6" s="1"/>
  <c r="A1093" i="6" s="1"/>
  <c r="A1094" i="6" s="1"/>
  <c r="A1095" i="6" s="1"/>
  <c r="A1096" i="6" s="1"/>
  <c r="A1097" i="6" s="1"/>
  <c r="A1098" i="6" s="1"/>
  <c r="A1099" i="6" s="1"/>
  <c r="A1100" i="6" s="1"/>
  <c r="A1101" i="6" s="1"/>
  <c r="A1102" i="6" s="1"/>
  <c r="A1103" i="6" s="1"/>
  <c r="A1104" i="6" s="1"/>
  <c r="A1105" i="6" s="1"/>
  <c r="A1106" i="6" s="1"/>
  <c r="A1107" i="6" s="1"/>
  <c r="A1108" i="6" s="1"/>
  <c r="A1109" i="6" s="1"/>
  <c r="A1110" i="6" s="1"/>
  <c r="A1111" i="6" s="1"/>
  <c r="A1112" i="6" s="1"/>
  <c r="A1113" i="6" s="1"/>
  <c r="A1114" i="6" s="1"/>
  <c r="A1115" i="6" s="1"/>
  <c r="A1116" i="6" s="1"/>
  <c r="A1117" i="6" s="1"/>
  <c r="A1118" i="6" s="1"/>
  <c r="A1119" i="6" s="1"/>
  <c r="A1120" i="6" s="1"/>
  <c r="A1121" i="6" s="1"/>
  <c r="A1122" i="6" s="1"/>
  <c r="A1123" i="6" s="1"/>
  <c r="A1124" i="6" s="1"/>
  <c r="A1125" i="6" s="1"/>
  <c r="A1126" i="6" s="1"/>
  <c r="A1127" i="6" s="1"/>
  <c r="A1128" i="6" s="1"/>
  <c r="A1129" i="6" s="1"/>
  <c r="A1130" i="6" s="1"/>
  <c r="A1131" i="6" s="1"/>
  <c r="A1132" i="6" s="1"/>
  <c r="A1133" i="6" s="1"/>
  <c r="A1134" i="6" s="1"/>
  <c r="A1135" i="6" s="1"/>
  <c r="A1136" i="6" s="1"/>
  <c r="A1137" i="6" s="1"/>
  <c r="A1138" i="6" s="1"/>
  <c r="A1139" i="6" s="1"/>
  <c r="A1140" i="6" s="1"/>
  <c r="A1141" i="6" s="1"/>
  <c r="A1142" i="6" s="1"/>
  <c r="A1143" i="6" s="1"/>
  <c r="A1144" i="6" s="1"/>
  <c r="A1145" i="6" s="1"/>
  <c r="A1146" i="6" s="1"/>
  <c r="A1147" i="6" s="1"/>
  <c r="A1148" i="6" s="1"/>
  <c r="A1149" i="6" s="1"/>
  <c r="A1150" i="6" s="1"/>
  <c r="A1151" i="6" s="1"/>
  <c r="A1152" i="6" s="1"/>
  <c r="A1153" i="6" s="1"/>
  <c r="A1154" i="6" s="1"/>
  <c r="A1155" i="6" s="1"/>
  <c r="A1156" i="6" s="1"/>
  <c r="A1157" i="6" s="1"/>
  <c r="A1158" i="6" s="1"/>
  <c r="A1159" i="6" s="1"/>
  <c r="A1160" i="6" s="1"/>
  <c r="A1161" i="6" s="1"/>
  <c r="A1162" i="6" s="1"/>
  <c r="A1163" i="6" s="1"/>
  <c r="A1164" i="6" s="1"/>
  <c r="A1165" i="6" s="1"/>
  <c r="A1166" i="6" s="1"/>
  <c r="A1167" i="6" s="1"/>
  <c r="A1168" i="6" s="1"/>
  <c r="A1169" i="6" s="1"/>
  <c r="A1170" i="6" s="1"/>
  <c r="A1171" i="6" s="1"/>
  <c r="A1172" i="6" s="1"/>
  <c r="A1173" i="6" s="1"/>
  <c r="A1174" i="6" s="1"/>
  <c r="A1175" i="6" s="1"/>
  <c r="A1176" i="6" s="1"/>
  <c r="A1177" i="6" s="1"/>
  <c r="A1178" i="6" s="1"/>
  <c r="A1179" i="6" s="1"/>
  <c r="A1180" i="6" s="1"/>
  <c r="A1181" i="6" s="1"/>
  <c r="A1182" i="6" s="1"/>
  <c r="A1183" i="6" s="1"/>
  <c r="A1184" i="6" s="1"/>
  <c r="A1185" i="6" s="1"/>
  <c r="A1186" i="6" s="1"/>
  <c r="A1187" i="6" s="1"/>
  <c r="A1188" i="6" s="1"/>
  <c r="A1189" i="6" s="1"/>
  <c r="A1190" i="6" s="1"/>
  <c r="A1191" i="6" s="1"/>
  <c r="A1192" i="6" s="1"/>
  <c r="A1193" i="6" s="1"/>
  <c r="A1194" i="6" s="1"/>
  <c r="A1195" i="6" s="1"/>
  <c r="A1196" i="6" s="1"/>
  <c r="A1197" i="6" s="1"/>
  <c r="A1198" i="6" s="1"/>
  <c r="A1199" i="6" s="1"/>
  <c r="A1200" i="6" s="1"/>
  <c r="A1201" i="6" s="1"/>
  <c r="A1202" i="6" s="1"/>
  <c r="A1203" i="6" s="1"/>
  <c r="A1204" i="6" s="1"/>
  <c r="A1205" i="6" s="1"/>
  <c r="A1206" i="6" s="1"/>
  <c r="A1207" i="6" s="1"/>
  <c r="A1208" i="6" s="1"/>
  <c r="A1209" i="6" s="1"/>
  <c r="A1210" i="6" s="1"/>
  <c r="A1211" i="6" s="1"/>
  <c r="A1212" i="6" s="1"/>
  <c r="A1213" i="6" s="1"/>
  <c r="A1214" i="6" s="1"/>
  <c r="A1215" i="6" s="1"/>
  <c r="A1216" i="6" s="1"/>
  <c r="A1217" i="6" s="1"/>
  <c r="A1218" i="6" s="1"/>
  <c r="A1219" i="6" s="1"/>
  <c r="A1220" i="6" s="1"/>
  <c r="A1221" i="6" s="1"/>
  <c r="A1222" i="6" s="1"/>
  <c r="A1223" i="6" s="1"/>
  <c r="A1224" i="6" s="1"/>
  <c r="A1225" i="6" s="1"/>
  <c r="A1226" i="6" s="1"/>
  <c r="A1227" i="6" s="1"/>
  <c r="A1228" i="6" s="1"/>
  <c r="A1229" i="6" s="1"/>
  <c r="A1230" i="6" s="1"/>
  <c r="A1231" i="6" s="1"/>
  <c r="A1232" i="6" s="1"/>
  <c r="A1233" i="6" s="1"/>
  <c r="A1234" i="6" s="1"/>
  <c r="A1235" i="6" s="1"/>
  <c r="A1236" i="6" s="1"/>
  <c r="A1237" i="6" s="1"/>
  <c r="A1238" i="6" s="1"/>
  <c r="A1239" i="6" s="1"/>
  <c r="A1240" i="6" s="1"/>
  <c r="A1241" i="6" s="1"/>
  <c r="A1242" i="6" s="1"/>
  <c r="A1243" i="6" s="1"/>
  <c r="A1244" i="6" s="1"/>
  <c r="A1245" i="6" s="1"/>
  <c r="A1246" i="6" s="1"/>
  <c r="A1247" i="6" s="1"/>
  <c r="A1248" i="6" s="1"/>
  <c r="A1249" i="6" s="1"/>
  <c r="A1250" i="6" s="1"/>
  <c r="A1251" i="6" s="1"/>
  <c r="A1252" i="6" s="1"/>
  <c r="A1253" i="6" s="1"/>
  <c r="A1254" i="6" s="1"/>
  <c r="A1255" i="6" s="1"/>
  <c r="A1256" i="6" s="1"/>
  <c r="A1257" i="6" s="1"/>
  <c r="A1258" i="6" s="1"/>
  <c r="A1259" i="6" s="1"/>
  <c r="A1260" i="6" s="1"/>
  <c r="A1261" i="6" s="1"/>
  <c r="A1262" i="6" s="1"/>
  <c r="A1263" i="6" s="1"/>
  <c r="A1264" i="6" s="1"/>
  <c r="A1265" i="6" s="1"/>
  <c r="A1266" i="6" s="1"/>
  <c r="A1267" i="6" s="1"/>
  <c r="A1268" i="6" s="1"/>
  <c r="A1269" i="6" s="1"/>
  <c r="A1270" i="6" s="1"/>
  <c r="A1271" i="6" s="1"/>
  <c r="A1272" i="6" s="1"/>
  <c r="A1273" i="6" s="1"/>
  <c r="A1274" i="6" s="1"/>
  <c r="A1275" i="6" s="1"/>
  <c r="A1276" i="6" s="1"/>
  <c r="A1277" i="6" s="1"/>
  <c r="A1278" i="6" s="1"/>
  <c r="A1279" i="6" s="1"/>
  <c r="A1280" i="6" s="1"/>
  <c r="A1281" i="6" s="1"/>
  <c r="A1282" i="6" s="1"/>
  <c r="A1283" i="6" s="1"/>
  <c r="A1284" i="6" s="1"/>
  <c r="A1285" i="6" s="1"/>
  <c r="A1286" i="6" s="1"/>
  <c r="A1287" i="6" s="1"/>
  <c r="A1288" i="6" s="1"/>
  <c r="A1289" i="6" s="1"/>
  <c r="A1290" i="6" s="1"/>
  <c r="A1291" i="6" s="1"/>
  <c r="A1292" i="6" s="1"/>
  <c r="A1293" i="6" s="1"/>
  <c r="A1294" i="6" s="1"/>
  <c r="A1295" i="6" s="1"/>
  <c r="A1296" i="6" s="1"/>
  <c r="A1297" i="6" s="1"/>
  <c r="A1298" i="6" s="1"/>
  <c r="A1299" i="6" s="1"/>
  <c r="A1300" i="6" s="1"/>
  <c r="A1301" i="6" s="1"/>
  <c r="A1302" i="6" s="1"/>
  <c r="A1303" i="6" s="1"/>
  <c r="A1304" i="6" s="1"/>
  <c r="A1305" i="6" s="1"/>
  <c r="A1306" i="6" s="1"/>
  <c r="A1307" i="6" s="1"/>
  <c r="A1308" i="6" s="1"/>
  <c r="A1309" i="6" s="1"/>
  <c r="A1310" i="6" s="1"/>
  <c r="A1311" i="6" s="1"/>
  <c r="A1312" i="6" s="1"/>
  <c r="A1313" i="6" s="1"/>
  <c r="A1314" i="6" s="1"/>
  <c r="A1315" i="6" s="1"/>
  <c r="A1316" i="6" s="1"/>
  <c r="A1317" i="6" s="1"/>
  <c r="A1318" i="6" s="1"/>
  <c r="A1319" i="6" s="1"/>
  <c r="A1320" i="6" s="1"/>
  <c r="A1321" i="6" s="1"/>
  <c r="A1322" i="6" s="1"/>
  <c r="A1323" i="6" s="1"/>
  <c r="A1324" i="6" s="1"/>
  <c r="A1325" i="6" s="1"/>
  <c r="A1326" i="6" s="1"/>
  <c r="A1327" i="6" s="1"/>
  <c r="A1328" i="6" s="1"/>
  <c r="A1329" i="6" s="1"/>
  <c r="A1330" i="6" s="1"/>
  <c r="A1331" i="6" s="1"/>
  <c r="A1332" i="6" s="1"/>
  <c r="A1333" i="6" s="1"/>
  <c r="A1334" i="6" s="1"/>
  <c r="A1335" i="6" s="1"/>
  <c r="A1336" i="6" s="1"/>
  <c r="A1337" i="6" s="1"/>
  <c r="A1338" i="6" s="1"/>
  <c r="A1339" i="6" s="1"/>
  <c r="A1340" i="6" s="1"/>
  <c r="A1341" i="6" s="1"/>
  <c r="A1342" i="6" s="1"/>
  <c r="A1343" i="6" s="1"/>
  <c r="A1344" i="6" s="1"/>
  <c r="A1345" i="6" s="1"/>
  <c r="A1346" i="6" s="1"/>
  <c r="A1347" i="6" s="1"/>
  <c r="A1348" i="6" s="1"/>
  <c r="A1349" i="6" s="1"/>
  <c r="A1350" i="6" s="1"/>
  <c r="A1351" i="6" s="1"/>
  <c r="A1352" i="6" s="1"/>
  <c r="A1353" i="6" s="1"/>
  <c r="A1354" i="6" s="1"/>
  <c r="A1355" i="6" s="1"/>
  <c r="A1356" i="6" s="1"/>
  <c r="A1357" i="6" s="1"/>
  <c r="A1358" i="6" s="1"/>
  <c r="A1359" i="6" s="1"/>
  <c r="A1360" i="6" s="1"/>
  <c r="A1361" i="6" s="1"/>
  <c r="A1362" i="6" s="1"/>
  <c r="A1363" i="6" s="1"/>
  <c r="A1364" i="6" s="1"/>
  <c r="A1365" i="6" s="1"/>
  <c r="A1366" i="6" s="1"/>
  <c r="A1367" i="6" s="1"/>
  <c r="A1368" i="6" s="1"/>
  <c r="A1369" i="6" s="1"/>
  <c r="A1370" i="6" s="1"/>
  <c r="A1371" i="6" s="1"/>
  <c r="A1372" i="6" s="1"/>
  <c r="A1373" i="6" s="1"/>
  <c r="A1374" i="6" s="1"/>
  <c r="A1375" i="6" s="1"/>
  <c r="A1376" i="6" s="1"/>
  <c r="A1377" i="6" s="1"/>
  <c r="A1378" i="6" s="1"/>
  <c r="A1379" i="6" s="1"/>
  <c r="A1380" i="6" s="1"/>
  <c r="A1381" i="6" s="1"/>
  <c r="A1382" i="6" s="1"/>
  <c r="A1383" i="6" s="1"/>
  <c r="A1384" i="6" s="1"/>
  <c r="A1385" i="6" s="1"/>
  <c r="A1386" i="6" s="1"/>
  <c r="A1387" i="6" s="1"/>
  <c r="A1388" i="6" s="1"/>
  <c r="A1389" i="6" s="1"/>
  <c r="A1390" i="6" s="1"/>
  <c r="A1391" i="6" s="1"/>
  <c r="A1392" i="6" s="1"/>
  <c r="A1393" i="6" s="1"/>
  <c r="A1394" i="6" s="1"/>
  <c r="A1395" i="6" s="1"/>
  <c r="C62" i="3"/>
  <c r="Q64" i="1"/>
  <c r="B62" i="3"/>
  <c r="C25" i="3"/>
  <c r="C26" i="3"/>
  <c r="B26" i="3"/>
  <c r="Q28" i="1"/>
  <c r="C60" i="3"/>
  <c r="C24" i="3"/>
  <c r="C61" i="3"/>
  <c r="C27" i="3"/>
  <c r="B27" i="3"/>
  <c r="Q29" i="1"/>
  <c r="C63" i="3"/>
  <c r="B63" i="3"/>
  <c r="Q65" i="1"/>
  <c r="C64" i="3"/>
  <c r="B64" i="3"/>
  <c r="Q66" i="1"/>
  <c r="C28" i="3"/>
  <c r="B28" i="3"/>
  <c r="Q30" i="1"/>
  <c r="C29" i="3"/>
  <c r="B29" i="3"/>
  <c r="Q31" i="1"/>
  <c r="C65" i="3"/>
  <c r="B65" i="3"/>
  <c r="Q67" i="1"/>
  <c r="C66" i="3"/>
  <c r="B66" i="3"/>
  <c r="Q68" i="1"/>
  <c r="C30" i="3"/>
  <c r="B30" i="3"/>
  <c r="Q32" i="1"/>
  <c r="C31" i="3"/>
  <c r="B31" i="3"/>
  <c r="Q33" i="1"/>
  <c r="C67" i="3"/>
  <c r="Q69" i="1"/>
  <c r="B67" i="3"/>
  <c r="C32" i="3"/>
  <c r="B32" i="3"/>
  <c r="Q34" i="1"/>
  <c r="C68" i="3"/>
  <c r="B68" i="3"/>
  <c r="Q70" i="1"/>
  <c r="C33" i="3"/>
  <c r="Q35" i="1"/>
  <c r="B33" i="3"/>
  <c r="C69" i="3"/>
  <c r="B69" i="3"/>
  <c r="Q71" i="1"/>
  <c r="C70" i="3"/>
  <c r="Q72" i="1"/>
  <c r="B70" i="3"/>
  <c r="C34" i="3"/>
  <c r="Q36" i="1"/>
  <c r="B34" i="3"/>
  <c r="C71" i="3"/>
  <c r="B71" i="3"/>
  <c r="Q73" i="1"/>
  <c r="C35" i="3"/>
  <c r="B35" i="3"/>
  <c r="Q37" i="1"/>
  <c r="C36" i="3"/>
  <c r="Q38" i="1"/>
  <c r="B36" i="3"/>
  <c r="C72" i="3"/>
  <c r="B72" i="3"/>
  <c r="Q74" i="1"/>
  <c r="C73" i="3"/>
  <c r="Q75" i="1"/>
  <c r="B73" i="3"/>
  <c r="C37" i="3"/>
  <c r="B37" i="3"/>
  <c r="Q39" i="1"/>
  <c r="C38" i="3"/>
  <c r="Q40" i="1"/>
  <c r="B38" i="3"/>
  <c r="C39" i="3"/>
  <c r="B39" i="3"/>
  <c r="Q41" i="1"/>
  <c r="C40" i="3"/>
  <c r="B40" i="3"/>
  <c r="Q42" i="1"/>
  <c r="C41" i="3"/>
  <c r="B41" i="3"/>
  <c r="Q43" i="1"/>
  <c r="C42" i="3"/>
  <c r="B42" i="3"/>
  <c r="Q44" i="1"/>
  <c r="C43" i="3"/>
  <c r="Q45" i="1"/>
  <c r="B43" i="3"/>
  <c r="C44" i="3"/>
  <c r="Q46" i="1"/>
  <c r="B44" i="3"/>
  <c r="N44" i="19" s="1"/>
  <c r="C45" i="3"/>
  <c r="B45" i="3"/>
  <c r="Q47" i="1"/>
  <c r="C46" i="3"/>
  <c r="Q48" i="1"/>
  <c r="B46" i="3"/>
  <c r="N46" i="19" s="1"/>
  <c r="C47" i="3"/>
  <c r="B47" i="3"/>
  <c r="Q49" i="1"/>
  <c r="C48" i="3"/>
  <c r="B48" i="3"/>
  <c r="Q50" i="1"/>
  <c r="C49" i="3"/>
  <c r="B49" i="3"/>
  <c r="Q51" i="1"/>
  <c r="L7" i="2"/>
  <c r="M9" i="2"/>
  <c r="M11" i="2"/>
  <c r="M13" i="2"/>
  <c r="M15" i="2"/>
  <c r="M17" i="2"/>
  <c r="M19" i="2"/>
  <c r="M21" i="2"/>
  <c r="M23" i="2"/>
  <c r="M25" i="2"/>
  <c r="M27" i="2"/>
  <c r="M29" i="2"/>
  <c r="M31" i="2"/>
  <c r="M33" i="2"/>
  <c r="M35" i="2"/>
  <c r="M37" i="2"/>
  <c r="M39" i="2"/>
  <c r="M41" i="2"/>
  <c r="M43" i="2"/>
  <c r="M45" i="2"/>
  <c r="M47" i="2"/>
  <c r="M49" i="2"/>
  <c r="M51" i="2"/>
  <c r="M53" i="2"/>
  <c r="M55" i="2"/>
  <c r="M57" i="2"/>
  <c r="M59" i="2"/>
  <c r="M61" i="2"/>
  <c r="M63" i="2"/>
  <c r="M65" i="2"/>
  <c r="M67" i="2"/>
  <c r="L11" i="2"/>
  <c r="L18" i="2"/>
  <c r="M20" i="2"/>
  <c r="L27" i="2"/>
  <c r="L34" i="2"/>
  <c r="M36" i="2"/>
  <c r="L43" i="2"/>
  <c r="L50" i="2"/>
  <c r="M52" i="2"/>
  <c r="L59" i="2"/>
  <c r="L66" i="2"/>
  <c r="M68" i="2"/>
  <c r="L9" i="2"/>
  <c r="L16" i="2"/>
  <c r="M18" i="2"/>
  <c r="L25" i="2"/>
  <c r="L32" i="2"/>
  <c r="M34" i="2"/>
  <c r="L41" i="2"/>
  <c r="L48" i="2"/>
  <c r="M50" i="2"/>
  <c r="L57" i="2"/>
  <c r="L64" i="2"/>
  <c r="M66" i="2"/>
  <c r="M10" i="2"/>
  <c r="L17" i="2"/>
  <c r="L24" i="2"/>
  <c r="M26" i="2"/>
  <c r="L33" i="2"/>
  <c r="L40" i="2"/>
  <c r="M42" i="2"/>
  <c r="L49" i="2"/>
  <c r="L56" i="2"/>
  <c r="M58" i="2"/>
  <c r="L65" i="2"/>
  <c r="L15" i="2"/>
  <c r="L22" i="2"/>
  <c r="M24" i="2"/>
  <c r="L31" i="2"/>
  <c r="L38" i="2"/>
  <c r="M40" i="2"/>
  <c r="L47" i="2"/>
  <c r="L54" i="2"/>
  <c r="M56" i="2"/>
  <c r="L63" i="2"/>
  <c r="K7" i="2"/>
  <c r="M14" i="2"/>
  <c r="L39" i="2"/>
  <c r="M46" i="2"/>
  <c r="L29" i="2"/>
  <c r="M32" i="2"/>
  <c r="L36" i="2"/>
  <c r="L61" i="2"/>
  <c r="M64" i="2"/>
  <c r="L68" i="2"/>
  <c r="M12" i="2"/>
  <c r="L19" i="2"/>
  <c r="L26" i="2"/>
  <c r="L30" i="2"/>
  <c r="L37" i="2"/>
  <c r="M44" i="2"/>
  <c r="L51" i="2"/>
  <c r="L58" i="2"/>
  <c r="L62" i="2"/>
  <c r="L13" i="2"/>
  <c r="M16" i="2"/>
  <c r="L20" i="2"/>
  <c r="L45" i="2"/>
  <c r="M48" i="2"/>
  <c r="L52" i="2"/>
  <c r="M7" i="2"/>
  <c r="L28" i="2"/>
  <c r="L60" i="2"/>
  <c r="L12" i="2"/>
  <c r="L23" i="2"/>
  <c r="M28" i="2"/>
  <c r="M38" i="2"/>
  <c r="L44" i="2"/>
  <c r="L55" i="2"/>
  <c r="M60" i="2"/>
  <c r="L14" i="2"/>
  <c r="M30" i="2"/>
  <c r="L35" i="2"/>
  <c r="L46" i="2"/>
  <c r="M62" i="2"/>
  <c r="L67" i="2"/>
  <c r="L21" i="2"/>
  <c r="L53" i="2"/>
  <c r="L10" i="2"/>
  <c r="L42" i="2"/>
  <c r="M22" i="2"/>
  <c r="M54" i="2"/>
  <c r="C107" i="3"/>
  <c r="B107" i="3"/>
  <c r="C108" i="3"/>
  <c r="B108" i="3"/>
  <c r="C109" i="3"/>
  <c r="B109" i="3"/>
  <c r="B110" i="3"/>
  <c r="C110" i="3"/>
  <c r="C111" i="3"/>
  <c r="B111" i="3"/>
  <c r="C112" i="3"/>
  <c r="B112" i="3"/>
  <c r="E112" i="3" s="1"/>
  <c r="C113" i="3"/>
  <c r="B113" i="3"/>
  <c r="C114" i="3"/>
  <c r="B114" i="3"/>
  <c r="E114" i="3" s="1"/>
  <c r="C115" i="3"/>
  <c r="B115" i="3"/>
  <c r="D115" i="3" s="1"/>
  <c r="C116" i="3"/>
  <c r="B116" i="3"/>
  <c r="E116" i="3" s="1"/>
  <c r="C117" i="3"/>
  <c r="B117" i="3"/>
  <c r="I2" i="6"/>
  <c r="P3" i="6" s="1"/>
  <c r="B118" i="3"/>
  <c r="E118" i="3" s="1"/>
  <c r="C118" i="3"/>
  <c r="C119" i="3"/>
  <c r="B119" i="3"/>
  <c r="E119" i="3" s="1"/>
  <c r="C120" i="3"/>
  <c r="B120" i="3"/>
  <c r="E120" i="3" s="1"/>
  <c r="C121" i="3"/>
  <c r="B121" i="3"/>
  <c r="E121" i="3" s="1"/>
  <c r="B122" i="3"/>
  <c r="C123" i="3"/>
  <c r="C122" i="3"/>
  <c r="C124" i="3"/>
  <c r="B123" i="3"/>
  <c r="D123" i="3" s="1"/>
  <c r="C100" i="3"/>
  <c r="O100" i="19" s="1"/>
  <c r="B100" i="3"/>
  <c r="N100" i="19" s="1"/>
  <c r="C101" i="3"/>
  <c r="O101" i="19" s="1"/>
  <c r="B101" i="3"/>
  <c r="N101" i="19" s="1"/>
  <c r="C102" i="3"/>
  <c r="B102" i="3"/>
  <c r="C103" i="3"/>
  <c r="B103" i="3"/>
  <c r="E103" i="3" s="1"/>
  <c r="C104" i="3"/>
  <c r="B104" i="3"/>
  <c r="E104" i="3" s="1"/>
  <c r="C105" i="3"/>
  <c r="B105" i="3"/>
  <c r="E105" i="3" s="1"/>
  <c r="C106" i="3"/>
  <c r="B106" i="3"/>
  <c r="E106" i="3" s="1"/>
  <c r="N10" i="10"/>
  <c r="N11" i="10"/>
  <c r="N12" i="10"/>
  <c r="N13" i="10"/>
  <c r="N14" i="10"/>
  <c r="N15" i="10"/>
  <c r="N16" i="10"/>
  <c r="N17" i="10"/>
  <c r="N18" i="10"/>
  <c r="N19" i="10"/>
  <c r="N20" i="10"/>
  <c r="N21" i="10"/>
  <c r="N22" i="10"/>
  <c r="N23" i="10"/>
  <c r="N24" i="10"/>
  <c r="N25" i="10"/>
  <c r="N26" i="10"/>
  <c r="N27" i="10"/>
  <c r="N28" i="10"/>
  <c r="N29" i="10"/>
  <c r="N30" i="10"/>
  <c r="N31" i="10"/>
  <c r="N32" i="10"/>
  <c r="N33" i="10"/>
  <c r="N34" i="10"/>
  <c r="N35" i="10"/>
  <c r="N36" i="10"/>
  <c r="N37" i="10"/>
  <c r="N38" i="10"/>
  <c r="N39" i="10"/>
  <c r="N40" i="10"/>
  <c r="N41" i="10"/>
  <c r="N42" i="10"/>
  <c r="N43" i="10"/>
  <c r="N44" i="10"/>
  <c r="N45" i="10"/>
  <c r="N46" i="10"/>
  <c r="N47" i="10"/>
  <c r="N48" i="10"/>
  <c r="N49" i="10"/>
  <c r="N50" i="10"/>
  <c r="N51" i="10"/>
  <c r="N52" i="10"/>
  <c r="N53" i="10"/>
  <c r="N54" i="10"/>
  <c r="N55" i="10"/>
  <c r="N56" i="10"/>
  <c r="N57" i="10"/>
  <c r="N58" i="10"/>
  <c r="N59" i="10"/>
  <c r="N60" i="10"/>
  <c r="N61" i="10"/>
  <c r="N62" i="10"/>
  <c r="N63" i="10"/>
  <c r="N64" i="10"/>
  <c r="N65" i="10"/>
  <c r="N66" i="10"/>
  <c r="N67" i="10"/>
  <c r="N68" i="10"/>
  <c r="N69" i="10"/>
  <c r="N70" i="10"/>
  <c r="N71" i="10"/>
  <c r="N72" i="10"/>
  <c r="N73" i="10"/>
  <c r="N74" i="10"/>
  <c r="N75" i="10"/>
  <c r="N76" i="10"/>
  <c r="N77" i="10"/>
  <c r="N78" i="10"/>
  <c r="N79" i="10"/>
  <c r="N80" i="10"/>
  <c r="N81" i="10"/>
  <c r="N82" i="10"/>
  <c r="N83" i="10"/>
  <c r="N84" i="10"/>
  <c r="N85" i="10"/>
  <c r="N86" i="10"/>
  <c r="N87" i="10"/>
  <c r="N88" i="10"/>
  <c r="N89" i="10"/>
  <c r="N90" i="10"/>
  <c r="N91" i="10"/>
  <c r="N92" i="10"/>
  <c r="N93" i="10"/>
  <c r="N94" i="10"/>
  <c r="N95" i="10"/>
  <c r="N96" i="10"/>
  <c r="N97" i="10"/>
  <c r="N98" i="10"/>
  <c r="N99" i="10"/>
  <c r="N100" i="10"/>
  <c r="N101" i="10"/>
  <c r="N102" i="10"/>
  <c r="N103" i="10"/>
  <c r="N104" i="10"/>
  <c r="N105" i="10"/>
  <c r="N106" i="10"/>
  <c r="N107" i="10"/>
  <c r="N108" i="10"/>
  <c r="N109" i="10"/>
  <c r="N110" i="10"/>
  <c r="N111" i="10"/>
  <c r="N112" i="10"/>
  <c r="N113" i="10"/>
  <c r="N114" i="10"/>
  <c r="N115" i="10"/>
  <c r="N116" i="10"/>
  <c r="N117" i="10"/>
  <c r="N118" i="10"/>
  <c r="N119" i="10"/>
  <c r="N120" i="10"/>
  <c r="N121" i="10"/>
  <c r="N159" i="10"/>
  <c r="N160" i="10"/>
  <c r="F159" i="10"/>
  <c r="F160" i="10"/>
  <c r="G2" i="9"/>
  <c r="E3" i="9" s="1"/>
  <c r="I85" i="2"/>
  <c r="A1396" i="6"/>
  <c r="A1397" i="6"/>
  <c r="A1398" i="6"/>
  <c r="A1399" i="6" s="1"/>
  <c r="A1400" i="6" s="1"/>
  <c r="V100" i="19" l="1"/>
  <c r="W100" i="19"/>
  <c r="V101" i="19"/>
  <c r="W101" i="19" s="1"/>
  <c r="A99" i="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C69" i="2"/>
  <c r="C70" i="2" s="1"/>
  <c r="C71" i="2" s="1"/>
  <c r="C72" i="2" s="1"/>
  <c r="C73" i="2" s="1"/>
  <c r="C74" i="2" s="1"/>
  <c r="C75" i="2" s="1"/>
  <c r="C76" i="2" s="1"/>
  <c r="C77" i="2" s="1"/>
  <c r="A69" i="2"/>
  <c r="A70" i="2" s="1"/>
  <c r="A71" i="2" s="1"/>
  <c r="A72" i="2" s="1"/>
  <c r="A73" i="2" s="1"/>
  <c r="A74" i="2" s="1"/>
  <c r="A75" i="2" s="1"/>
  <c r="A76" i="2" s="1"/>
  <c r="A77" i="2" s="1"/>
  <c r="B7" i="2"/>
  <c r="B8" i="2" s="1"/>
  <c r="B9" i="2" s="1"/>
  <c r="B10" i="2" s="1"/>
  <c r="B11" i="2" s="1"/>
  <c r="B109" i="1"/>
  <c r="B110" i="1" s="1"/>
  <c r="B111" i="1" s="1"/>
  <c r="B112" i="1" s="1"/>
  <c r="B113" i="1" s="1"/>
  <c r="B114" i="1" s="1"/>
  <c r="B115" i="1" s="1"/>
  <c r="B116" i="1" s="1"/>
  <c r="B117" i="1" s="1"/>
  <c r="B118" i="1" s="1"/>
  <c r="B119" i="1" s="1"/>
  <c r="B120" i="1" s="1"/>
  <c r="B121" i="1" s="1"/>
  <c r="B122" i="1" s="1"/>
  <c r="B123" i="1" s="1"/>
  <c r="B124" i="1" s="1"/>
  <c r="B125" i="1" s="1"/>
  <c r="B126" i="1" s="1"/>
  <c r="B127" i="1" s="1"/>
  <c r="B128" i="1" s="1"/>
  <c r="D1021" i="9"/>
  <c r="W109" i="1"/>
  <c r="W110" i="1" s="1"/>
  <c r="W111" i="1" s="1"/>
  <c r="W112" i="1" s="1"/>
  <c r="W113" i="1" s="1"/>
  <c r="W114" i="1" s="1"/>
  <c r="W115" i="1" s="1"/>
  <c r="W116" i="1" s="1"/>
  <c r="W117" i="1" s="1"/>
  <c r="W118" i="1" s="1"/>
  <c r="W119" i="1" s="1"/>
  <c r="W120" i="1" s="1"/>
  <c r="W121" i="1" s="1"/>
  <c r="W122" i="1" s="1"/>
  <c r="W123" i="1" s="1"/>
  <c r="W124" i="1" s="1"/>
  <c r="W125" i="1" s="1"/>
  <c r="W126" i="1" s="1"/>
  <c r="W127" i="1" s="1"/>
  <c r="W128" i="1" s="1"/>
  <c r="M25" i="19"/>
  <c r="M42" i="19"/>
  <c r="P42" i="3"/>
  <c r="O42" i="3"/>
  <c r="M54" i="19"/>
  <c r="P54" i="3"/>
  <c r="O54" i="3"/>
  <c r="P66" i="3"/>
  <c r="O66" i="3"/>
  <c r="P78" i="3"/>
  <c r="O78" i="3"/>
  <c r="P90" i="3"/>
  <c r="O90" i="3"/>
  <c r="AC110" i="3"/>
  <c r="AG110" i="3" s="1"/>
  <c r="P110" i="3"/>
  <c r="O110" i="3"/>
  <c r="AC122" i="3"/>
  <c r="AG122" i="3" s="1"/>
  <c r="P122" i="3"/>
  <c r="O122" i="3"/>
  <c r="M43" i="19"/>
  <c r="P43" i="3"/>
  <c r="O43" i="3"/>
  <c r="P55" i="3"/>
  <c r="O55" i="3"/>
  <c r="M67" i="19"/>
  <c r="P67" i="3"/>
  <c r="O67" i="3"/>
  <c r="M79" i="19"/>
  <c r="P79" i="3"/>
  <c r="O79" i="3"/>
  <c r="M91" i="19"/>
  <c r="P91" i="3"/>
  <c r="O91" i="3"/>
  <c r="AC111" i="3"/>
  <c r="AG111" i="3" s="1"/>
  <c r="P111" i="3"/>
  <c r="O111" i="3"/>
  <c r="P123" i="3"/>
  <c r="M20" i="19"/>
  <c r="P20" i="3"/>
  <c r="M16" i="19"/>
  <c r="M12" i="19"/>
  <c r="P12" i="3"/>
  <c r="O32" i="3"/>
  <c r="O44" i="3"/>
  <c r="P44" i="3"/>
  <c r="M56" i="19"/>
  <c r="O56" i="3"/>
  <c r="P56" i="3"/>
  <c r="M68" i="19"/>
  <c r="O68" i="3"/>
  <c r="P68" i="3"/>
  <c r="M80" i="19"/>
  <c r="O80" i="3"/>
  <c r="P80" i="3"/>
  <c r="AC100" i="3"/>
  <c r="AG100" i="3" s="1"/>
  <c r="O100" i="3"/>
  <c r="P100" i="3"/>
  <c r="AC112" i="3"/>
  <c r="AG112" i="3" s="1"/>
  <c r="P112" i="3"/>
  <c r="O112" i="3"/>
  <c r="AC124" i="3"/>
  <c r="AG124" i="3" s="1"/>
  <c r="P124" i="3"/>
  <c r="O124" i="3"/>
  <c r="M45" i="19"/>
  <c r="O45" i="3"/>
  <c r="M57" i="19"/>
  <c r="O57" i="3"/>
  <c r="P57" i="3"/>
  <c r="M69" i="19"/>
  <c r="O69" i="3"/>
  <c r="P69" i="3"/>
  <c r="M81" i="19"/>
  <c r="O81" i="3"/>
  <c r="P81" i="3"/>
  <c r="AC101" i="3"/>
  <c r="AG101" i="3" s="1"/>
  <c r="O101" i="3"/>
  <c r="P101" i="3"/>
  <c r="AC113" i="3"/>
  <c r="AG113" i="3" s="1"/>
  <c r="P113" i="3"/>
  <c r="O113" i="3"/>
  <c r="AC125" i="3"/>
  <c r="AG125" i="3" s="1"/>
  <c r="P125" i="3"/>
  <c r="O125" i="3"/>
  <c r="M46" i="19"/>
  <c r="O46" i="3"/>
  <c r="P58" i="3"/>
  <c r="O58" i="3"/>
  <c r="M70" i="19"/>
  <c r="P70" i="3"/>
  <c r="O70" i="3"/>
  <c r="M82" i="19"/>
  <c r="P82" i="3"/>
  <c r="O82" i="3"/>
  <c r="AC102" i="3"/>
  <c r="AG102" i="3" s="1"/>
  <c r="P102" i="3"/>
  <c r="O102" i="3"/>
  <c r="AC114" i="3"/>
  <c r="AG114" i="3" s="1"/>
  <c r="O114" i="3"/>
  <c r="P114" i="3"/>
  <c r="O126" i="3"/>
  <c r="P126" i="3"/>
  <c r="P23" i="3"/>
  <c r="O23" i="3"/>
  <c r="M19" i="19"/>
  <c r="M11" i="19"/>
  <c r="P11" i="3"/>
  <c r="O35" i="3"/>
  <c r="M47" i="19"/>
  <c r="O47" i="3"/>
  <c r="M59" i="19"/>
  <c r="P59" i="3"/>
  <c r="O59" i="3"/>
  <c r="M71" i="19"/>
  <c r="P71" i="3"/>
  <c r="O71" i="3"/>
  <c r="M83" i="19"/>
  <c r="P83" i="3"/>
  <c r="O83" i="3"/>
  <c r="AC103" i="3"/>
  <c r="AG103" i="3" s="1"/>
  <c r="P103" i="3"/>
  <c r="O103" i="3"/>
  <c r="AC115" i="3"/>
  <c r="AG115" i="3" s="1"/>
  <c r="P115" i="3"/>
  <c r="O115" i="3"/>
  <c r="M30" i="19"/>
  <c r="P7" i="3"/>
  <c r="O7" i="3"/>
  <c r="M36" i="19"/>
  <c r="O36" i="3"/>
  <c r="M48" i="19"/>
  <c r="O48" i="3"/>
  <c r="M60" i="19"/>
  <c r="P60" i="3"/>
  <c r="O60" i="3"/>
  <c r="M72" i="19"/>
  <c r="P72" i="3"/>
  <c r="O72" i="3"/>
  <c r="P84" i="3"/>
  <c r="O84" i="3"/>
  <c r="AC104" i="3"/>
  <c r="AG104" i="3" s="1"/>
  <c r="P104" i="3"/>
  <c r="O104" i="3"/>
  <c r="AC116" i="3"/>
  <c r="AG116" i="3" s="1"/>
  <c r="P116" i="3"/>
  <c r="O116" i="3"/>
  <c r="M29" i="19"/>
  <c r="M37" i="19"/>
  <c r="O37" i="3"/>
  <c r="P49" i="3"/>
  <c r="O49" i="3"/>
  <c r="M61" i="19"/>
  <c r="P61" i="3"/>
  <c r="O61" i="3"/>
  <c r="M73" i="19"/>
  <c r="P73" i="3"/>
  <c r="O73" i="3"/>
  <c r="M85" i="19"/>
  <c r="P85" i="3"/>
  <c r="O85" i="3"/>
  <c r="AC105" i="3"/>
  <c r="AG105" i="3" s="1"/>
  <c r="P105" i="3"/>
  <c r="O105" i="3"/>
  <c r="AC117" i="3"/>
  <c r="AG117" i="3" s="1"/>
  <c r="P117" i="3"/>
  <c r="O117" i="3"/>
  <c r="M28" i="19"/>
  <c r="M22" i="19"/>
  <c r="P22" i="3"/>
  <c r="M18" i="19"/>
  <c r="P14" i="3"/>
  <c r="M10" i="19"/>
  <c r="P10" i="3"/>
  <c r="M38" i="19"/>
  <c r="O38" i="3"/>
  <c r="M50" i="19"/>
  <c r="O50" i="3"/>
  <c r="P50" i="3"/>
  <c r="M62" i="19"/>
  <c r="O62" i="3"/>
  <c r="P62" i="3"/>
  <c r="M74" i="19"/>
  <c r="O74" i="3"/>
  <c r="P74" i="3"/>
  <c r="M86" i="19"/>
  <c r="O86" i="3"/>
  <c r="P86" i="3"/>
  <c r="AC106" i="3"/>
  <c r="AG106" i="3" s="1"/>
  <c r="O106" i="3"/>
  <c r="P106" i="3"/>
  <c r="AC118" i="3"/>
  <c r="AG118" i="3" s="1"/>
  <c r="P118" i="3"/>
  <c r="O118" i="3"/>
  <c r="O27" i="3"/>
  <c r="M39" i="19"/>
  <c r="O39" i="3"/>
  <c r="M51" i="19"/>
  <c r="O51" i="3"/>
  <c r="P51" i="3"/>
  <c r="M63" i="19"/>
  <c r="P63" i="3"/>
  <c r="O63" i="3"/>
  <c r="M75" i="19"/>
  <c r="P75" i="3"/>
  <c r="O75" i="3"/>
  <c r="O87" i="3"/>
  <c r="P87" i="3"/>
  <c r="AC107" i="3"/>
  <c r="AG107" i="3" s="1"/>
  <c r="P107" i="3"/>
  <c r="O107" i="3"/>
  <c r="AC119" i="3"/>
  <c r="AG119" i="3" s="1"/>
  <c r="P119" i="3"/>
  <c r="O119" i="3"/>
  <c r="M26" i="19"/>
  <c r="M40" i="19"/>
  <c r="O40" i="3"/>
  <c r="M52" i="19"/>
  <c r="P52" i="3"/>
  <c r="O52" i="3"/>
  <c r="M64" i="19"/>
  <c r="P64" i="3"/>
  <c r="O64" i="3"/>
  <c r="M76" i="19"/>
  <c r="P76" i="3"/>
  <c r="O76" i="3"/>
  <c r="M88" i="19"/>
  <c r="P88" i="3"/>
  <c r="O88" i="3"/>
  <c r="AC108" i="3"/>
  <c r="AG108" i="3" s="1"/>
  <c r="O108" i="3"/>
  <c r="P108" i="3"/>
  <c r="AC120" i="3"/>
  <c r="AG120" i="3" s="1"/>
  <c r="O120" i="3"/>
  <c r="P120" i="3"/>
  <c r="M21" i="19"/>
  <c r="P21" i="3"/>
  <c r="P17" i="3"/>
  <c r="M9" i="19"/>
  <c r="P9" i="3"/>
  <c r="P41" i="3"/>
  <c r="M53" i="19"/>
  <c r="P53" i="3"/>
  <c r="O53" i="3"/>
  <c r="M65" i="19"/>
  <c r="P65" i="3"/>
  <c r="O65" i="3"/>
  <c r="P77" i="3"/>
  <c r="O77" i="3"/>
  <c r="M89" i="19"/>
  <c r="P89" i="3"/>
  <c r="O89" i="3"/>
  <c r="AC109" i="3"/>
  <c r="AG109" i="3" s="1"/>
  <c r="P109" i="3"/>
  <c r="O109" i="3"/>
  <c r="AC121" i="3"/>
  <c r="AG121" i="3" s="1"/>
  <c r="O121" i="3"/>
  <c r="P121" i="3"/>
  <c r="F1020" i="9"/>
  <c r="F1022" i="9"/>
  <c r="I1860" i="6"/>
  <c r="I1858" i="6"/>
  <c r="D1858" i="6"/>
  <c r="D1859" i="6"/>
  <c r="F1023" i="9"/>
  <c r="K42" i="2"/>
  <c r="K78" i="2"/>
  <c r="K79" i="2"/>
  <c r="K45" i="2"/>
  <c r="K30" i="2"/>
  <c r="K39" i="2"/>
  <c r="K34" i="2"/>
  <c r="K24" i="2"/>
  <c r="K27" i="2"/>
  <c r="K36" i="2"/>
  <c r="K33" i="2"/>
  <c r="K22" i="2"/>
  <c r="K40" i="2"/>
  <c r="K41" i="2"/>
  <c r="K29" i="2"/>
  <c r="K13" i="2"/>
  <c r="K35" i="2"/>
  <c r="K38" i="2"/>
  <c r="K37" i="2"/>
  <c r="K28" i="2"/>
  <c r="M14" i="19"/>
  <c r="M15" i="19"/>
  <c r="K47" i="2"/>
  <c r="K44" i="2"/>
  <c r="K43" i="2"/>
  <c r="K31" i="2"/>
  <c r="K32" i="2"/>
  <c r="K26" i="2"/>
  <c r="K25" i="2"/>
  <c r="K23" i="2"/>
  <c r="K48" i="2"/>
  <c r="K46" i="2"/>
  <c r="K9" i="2"/>
  <c r="K12" i="2"/>
  <c r="K10" i="2"/>
  <c r="AB9" i="1"/>
  <c r="AA7" i="3"/>
  <c r="Z7" i="3" s="1"/>
  <c r="S7" i="3"/>
  <c r="AQ7" i="3"/>
  <c r="O40" i="19"/>
  <c r="O66" i="19"/>
  <c r="N23" i="19"/>
  <c r="O79" i="19"/>
  <c r="E72" i="3"/>
  <c r="Q72" i="19" s="1"/>
  <c r="N72" i="19"/>
  <c r="E71" i="3"/>
  <c r="Q71" i="19" s="1"/>
  <c r="N71" i="19"/>
  <c r="E68" i="3"/>
  <c r="Q68" i="19" s="1"/>
  <c r="N68" i="19"/>
  <c r="E31" i="3"/>
  <c r="Q31" i="19" s="1"/>
  <c r="N31" i="19"/>
  <c r="E28" i="3"/>
  <c r="Q28" i="19" s="1"/>
  <c r="N28" i="19"/>
  <c r="N27" i="19"/>
  <c r="E62" i="3"/>
  <c r="Q62" i="19" s="1"/>
  <c r="N62" i="19"/>
  <c r="O22" i="19"/>
  <c r="O18" i="19"/>
  <c r="O14" i="19"/>
  <c r="O10" i="19"/>
  <c r="M7" i="19"/>
  <c r="C2" i="10"/>
  <c r="O54" i="19"/>
  <c r="O80" i="19"/>
  <c r="O92" i="19"/>
  <c r="M84" i="19"/>
  <c r="D51" i="3"/>
  <c r="P51" i="19" s="1"/>
  <c r="N51" i="19"/>
  <c r="N75" i="19"/>
  <c r="E87" i="3"/>
  <c r="Q87" i="19" s="1"/>
  <c r="N87" i="19"/>
  <c r="O72" i="19"/>
  <c r="O71" i="19"/>
  <c r="O68" i="19"/>
  <c r="O31" i="19"/>
  <c r="O28" i="19"/>
  <c r="O27" i="19"/>
  <c r="E22" i="3"/>
  <c r="Q22" i="19" s="1"/>
  <c r="N22" i="19"/>
  <c r="E18" i="3"/>
  <c r="Q18" i="19" s="1"/>
  <c r="N18" i="19"/>
  <c r="E14" i="3"/>
  <c r="Q14" i="19" s="1"/>
  <c r="N14" i="19"/>
  <c r="E10" i="3"/>
  <c r="Q10" i="19" s="1"/>
  <c r="N10" i="19"/>
  <c r="O55" i="19"/>
  <c r="O81" i="19"/>
  <c r="O93" i="19"/>
  <c r="M49" i="19"/>
  <c r="N52" i="19"/>
  <c r="N76" i="19"/>
  <c r="E88" i="3"/>
  <c r="Q88" i="19" s="1"/>
  <c r="N88" i="19"/>
  <c r="O48" i="19"/>
  <c r="O63" i="19"/>
  <c r="E11" i="3"/>
  <c r="Q11" i="19" s="1"/>
  <c r="N11" i="19"/>
  <c r="M31" i="19"/>
  <c r="E36" i="3"/>
  <c r="Q36" i="19" s="1"/>
  <c r="N36" i="19"/>
  <c r="O62" i="19"/>
  <c r="O56" i="19"/>
  <c r="O82" i="19"/>
  <c r="O94" i="19"/>
  <c r="N53" i="19"/>
  <c r="E77" i="3"/>
  <c r="Q77" i="19" s="1"/>
  <c r="N77" i="19"/>
  <c r="E89" i="3"/>
  <c r="Q89" i="19" s="1"/>
  <c r="N89" i="19"/>
  <c r="O46" i="19"/>
  <c r="E19" i="3"/>
  <c r="Q19" i="19" s="1"/>
  <c r="N19" i="19"/>
  <c r="E15" i="3"/>
  <c r="Q15" i="19" s="1"/>
  <c r="N15" i="19"/>
  <c r="O7" i="19"/>
  <c r="O78" i="19"/>
  <c r="O90" i="19"/>
  <c r="M94" i="19"/>
  <c r="E61" i="3"/>
  <c r="Q61" i="19" s="1"/>
  <c r="N61" i="19"/>
  <c r="E7" i="3"/>
  <c r="Q7" i="19" s="1"/>
  <c r="N7" i="19"/>
  <c r="E49" i="3"/>
  <c r="Q49" i="19" s="1"/>
  <c r="N49" i="19"/>
  <c r="N45" i="19"/>
  <c r="E41" i="3"/>
  <c r="Q41" i="19" s="1"/>
  <c r="N41" i="19"/>
  <c r="D39" i="3"/>
  <c r="P39" i="19" s="1"/>
  <c r="N39" i="19"/>
  <c r="E37" i="3"/>
  <c r="Q37" i="19" s="1"/>
  <c r="N37" i="19"/>
  <c r="D69" i="3"/>
  <c r="P69" i="19" s="1"/>
  <c r="N69" i="19"/>
  <c r="E32" i="3"/>
  <c r="Q32" i="19" s="1"/>
  <c r="N32" i="19"/>
  <c r="E65" i="3"/>
  <c r="Q65" i="19" s="1"/>
  <c r="N65" i="19"/>
  <c r="E64" i="3"/>
  <c r="Q64" i="19" s="1"/>
  <c r="N64" i="19"/>
  <c r="M27" i="19"/>
  <c r="O21" i="19"/>
  <c r="O17" i="19"/>
  <c r="O13" i="19"/>
  <c r="O9" i="19"/>
  <c r="O57" i="19"/>
  <c r="O83" i="19"/>
  <c r="O95" i="19"/>
  <c r="M87" i="19"/>
  <c r="AS87" i="3"/>
  <c r="AW87" i="3" s="1"/>
  <c r="D54" i="3"/>
  <c r="P54" i="19" s="1"/>
  <c r="N54" i="19"/>
  <c r="E78" i="3"/>
  <c r="Q78" i="19" s="1"/>
  <c r="N78" i="19"/>
  <c r="E90" i="3"/>
  <c r="Q90" i="19" s="1"/>
  <c r="N90" i="19"/>
  <c r="O25" i="19"/>
  <c r="O49" i="19"/>
  <c r="O45" i="19"/>
  <c r="O41" i="19"/>
  <c r="O39" i="19"/>
  <c r="O37" i="19"/>
  <c r="O36" i="19"/>
  <c r="O69" i="19"/>
  <c r="O32" i="19"/>
  <c r="O65" i="19"/>
  <c r="O64" i="19"/>
  <c r="N21" i="19"/>
  <c r="E17" i="3"/>
  <c r="Q17" i="19" s="1"/>
  <c r="N17" i="19"/>
  <c r="N13" i="19"/>
  <c r="E9" i="3"/>
  <c r="Q9" i="19" s="1"/>
  <c r="N9" i="19"/>
  <c r="O58" i="19"/>
  <c r="O84" i="19"/>
  <c r="E55" i="3"/>
  <c r="Q55" i="19" s="1"/>
  <c r="N55" i="19"/>
  <c r="N79" i="19"/>
  <c r="N91" i="19"/>
  <c r="O70" i="19"/>
  <c r="O52" i="19"/>
  <c r="M23" i="19"/>
  <c r="E74" i="3"/>
  <c r="Q74" i="19" s="1"/>
  <c r="N74" i="19"/>
  <c r="E73" i="3"/>
  <c r="Q73" i="19" s="1"/>
  <c r="N73" i="19"/>
  <c r="E34" i="3"/>
  <c r="Q34" i="19" s="1"/>
  <c r="N34" i="19"/>
  <c r="E33" i="3"/>
  <c r="Q33" i="19" s="1"/>
  <c r="N33" i="19"/>
  <c r="O61" i="19"/>
  <c r="E25" i="3"/>
  <c r="Q25" i="19" s="1"/>
  <c r="N25" i="19"/>
  <c r="M17" i="19"/>
  <c r="M13" i="19"/>
  <c r="O59" i="19"/>
  <c r="O85" i="19"/>
  <c r="M41" i="19"/>
  <c r="M77" i="19"/>
  <c r="E56" i="3"/>
  <c r="Q56" i="19" s="1"/>
  <c r="N56" i="19"/>
  <c r="E80" i="3"/>
  <c r="Q80" i="19" s="1"/>
  <c r="N80" i="19"/>
  <c r="Q92" i="19"/>
  <c r="N92" i="19"/>
  <c r="O44" i="19"/>
  <c r="O38" i="19"/>
  <c r="O26" i="19"/>
  <c r="M34" i="19"/>
  <c r="E30" i="3"/>
  <c r="Q30" i="19" s="1"/>
  <c r="N30" i="19"/>
  <c r="E29" i="3"/>
  <c r="Q29" i="19" s="1"/>
  <c r="N29" i="19"/>
  <c r="O24" i="19"/>
  <c r="O20" i="19"/>
  <c r="O16" i="19"/>
  <c r="O12" i="19"/>
  <c r="O8" i="19"/>
  <c r="O74" i="19"/>
  <c r="O86" i="19"/>
  <c r="M66" i="19"/>
  <c r="M78" i="19"/>
  <c r="AS90" i="3"/>
  <c r="AW90" i="3" s="1"/>
  <c r="M90" i="19"/>
  <c r="E57" i="3"/>
  <c r="Q57" i="19" s="1"/>
  <c r="N57" i="19"/>
  <c r="E81" i="3"/>
  <c r="Q81" i="19" s="1"/>
  <c r="N81" i="19"/>
  <c r="Q93" i="19"/>
  <c r="N93" i="19"/>
  <c r="O53" i="19"/>
  <c r="O91" i="19"/>
  <c r="M35" i="19"/>
  <c r="M95" i="19"/>
  <c r="E50" i="3"/>
  <c r="Q50" i="19" s="1"/>
  <c r="N50" i="19"/>
  <c r="O73" i="19"/>
  <c r="O34" i="19"/>
  <c r="O33" i="19"/>
  <c r="O30" i="19"/>
  <c r="O29" i="19"/>
  <c r="O60" i="19"/>
  <c r="N24" i="19"/>
  <c r="E20" i="3"/>
  <c r="Q20" i="19" s="1"/>
  <c r="N20" i="19"/>
  <c r="N16" i="19"/>
  <c r="E12" i="3"/>
  <c r="Q12" i="19" s="1"/>
  <c r="N12" i="19"/>
  <c r="E8" i="3"/>
  <c r="Q8" i="19" s="1"/>
  <c r="N8" i="19"/>
  <c r="O75" i="19"/>
  <c r="O87" i="19"/>
  <c r="M55" i="19"/>
  <c r="N58" i="19"/>
  <c r="N82" i="19"/>
  <c r="Q94" i="19"/>
  <c r="N94" i="19"/>
  <c r="O35" i="19"/>
  <c r="E86" i="3"/>
  <c r="Q86" i="19" s="1"/>
  <c r="N86" i="19"/>
  <c r="N38" i="19"/>
  <c r="N70" i="19"/>
  <c r="E67" i="3"/>
  <c r="Q67" i="19" s="1"/>
  <c r="N67" i="19"/>
  <c r="M24" i="19"/>
  <c r="M8" i="19"/>
  <c r="O50" i="19"/>
  <c r="O76" i="19"/>
  <c r="O88" i="19"/>
  <c r="M32" i="19"/>
  <c r="M44" i="19"/>
  <c r="M92" i="19"/>
  <c r="E59" i="3"/>
  <c r="Q59" i="19" s="1"/>
  <c r="N59" i="19"/>
  <c r="D83" i="3"/>
  <c r="P83" i="19" s="1"/>
  <c r="N83" i="19"/>
  <c r="Q95" i="19"/>
  <c r="N95" i="19"/>
  <c r="O67" i="19"/>
  <c r="M58" i="19"/>
  <c r="E85" i="3"/>
  <c r="Q85" i="19" s="1"/>
  <c r="N85" i="19"/>
  <c r="N48" i="19"/>
  <c r="N40" i="19"/>
  <c r="N35" i="19"/>
  <c r="E66" i="3"/>
  <c r="Q66" i="19" s="1"/>
  <c r="N66" i="19"/>
  <c r="E63" i="3"/>
  <c r="Q63" i="19" s="1"/>
  <c r="N63" i="19"/>
  <c r="E26" i="3"/>
  <c r="Q26" i="19" s="1"/>
  <c r="N26" i="19"/>
  <c r="O23" i="19"/>
  <c r="O19" i="19"/>
  <c r="O15" i="19"/>
  <c r="O11" i="19"/>
  <c r="O51" i="19"/>
  <c r="O77" i="19"/>
  <c r="O89" i="19"/>
  <c r="M33" i="19"/>
  <c r="M93" i="19"/>
  <c r="E60" i="3"/>
  <c r="Q60" i="19" s="1"/>
  <c r="N60" i="19"/>
  <c r="E84" i="3"/>
  <c r="Q84" i="19" s="1"/>
  <c r="N84" i="19"/>
  <c r="K11" i="2"/>
  <c r="O47" i="19"/>
  <c r="N47" i="19"/>
  <c r="E42" i="3"/>
  <c r="Q42" i="19" s="1"/>
  <c r="N42" i="19"/>
  <c r="O42" i="19"/>
  <c r="O43" i="19"/>
  <c r="N43" i="19"/>
  <c r="AV7" i="3"/>
  <c r="AB11" i="19"/>
  <c r="D88" i="3"/>
  <c r="D91" i="3"/>
  <c r="P91" i="19" s="1"/>
  <c r="E91" i="3"/>
  <c r="Q91" i="19" s="1"/>
  <c r="D126" i="3"/>
  <c r="G126" i="3" s="1"/>
  <c r="AI11" i="3"/>
  <c r="D124" i="3"/>
  <c r="F124" i="3" s="1"/>
  <c r="H124" i="3" s="1"/>
  <c r="L124" i="3" s="1"/>
  <c r="D86" i="3"/>
  <c r="Z9" i="1"/>
  <c r="U7" i="3"/>
  <c r="L1" i="6"/>
  <c r="M1" i="6" s="1"/>
  <c r="E53" i="3"/>
  <c r="Q53" i="19" s="1"/>
  <c r="D68" i="3"/>
  <c r="D56" i="3"/>
  <c r="E70" i="3"/>
  <c r="Q70" i="19" s="1"/>
  <c r="D33" i="3"/>
  <c r="D34" i="3"/>
  <c r="D125" i="3"/>
  <c r="G125" i="3" s="1"/>
  <c r="I125" i="3" s="1"/>
  <c r="M125" i="3" s="1"/>
  <c r="D78" i="3"/>
  <c r="D90" i="3"/>
  <c r="D106" i="3"/>
  <c r="F106" i="3" s="1"/>
  <c r="J106" i="3" s="1"/>
  <c r="AD106" i="3" s="1"/>
  <c r="D109" i="3"/>
  <c r="E43" i="3"/>
  <c r="Q43" i="19" s="1"/>
  <c r="D66" i="3"/>
  <c r="D35" i="3"/>
  <c r="P35" i="19" s="1"/>
  <c r="P4" i="9"/>
  <c r="E48" i="3"/>
  <c r="Q48" i="19" s="1"/>
  <c r="D112" i="3"/>
  <c r="G112" i="3" s="1"/>
  <c r="D80" i="3"/>
  <c r="D48" i="3"/>
  <c r="P48" i="19" s="1"/>
  <c r="D70" i="3"/>
  <c r="P70" i="19" s="1"/>
  <c r="D67" i="3"/>
  <c r="D75" i="3"/>
  <c r="P75" i="19" s="1"/>
  <c r="E75" i="3"/>
  <c r="Q75" i="19" s="1"/>
  <c r="E35" i="3"/>
  <c r="Q35" i="19" s="1"/>
  <c r="D57" i="3"/>
  <c r="D77" i="3"/>
  <c r="D81" i="3"/>
  <c r="E69" i="3"/>
  <c r="D89" i="3"/>
  <c r="D58" i="3"/>
  <c r="P58" i="19" s="1"/>
  <c r="E45" i="3"/>
  <c r="Q45" i="19" s="1"/>
  <c r="T10" i="1"/>
  <c r="S10" i="1"/>
  <c r="S11" i="1" s="1"/>
  <c r="T9" i="3" s="1"/>
  <c r="D41" i="3"/>
  <c r="D22" i="3"/>
  <c r="D17" i="3"/>
  <c r="E58" i="3"/>
  <c r="Q58" i="19" s="1"/>
  <c r="D10" i="3"/>
  <c r="R10" i="1"/>
  <c r="D53" i="3"/>
  <c r="P53" i="19" s="1"/>
  <c r="D55" i="3"/>
  <c r="D42" i="3"/>
  <c r="D12" i="3"/>
  <c r="D30" i="3"/>
  <c r="D8" i="3"/>
  <c r="AF12" i="1"/>
  <c r="AG11" i="1"/>
  <c r="P3" i="9"/>
  <c r="AC9" i="1"/>
  <c r="E54" i="3"/>
  <c r="AA9" i="1"/>
  <c r="U10" i="1"/>
  <c r="AC10" i="1" s="1"/>
  <c r="D11" i="3"/>
  <c r="L2" i="6"/>
  <c r="D15" i="3"/>
  <c r="D28" i="3"/>
  <c r="D14" i="3"/>
  <c r="D26" i="3"/>
  <c r="D18" i="3"/>
  <c r="D29" i="3"/>
  <c r="D20" i="3"/>
  <c r="D121" i="3"/>
  <c r="F121" i="3" s="1"/>
  <c r="H121" i="3" s="1"/>
  <c r="L121" i="3" s="1"/>
  <c r="E38" i="3"/>
  <c r="Q38" i="19" s="1"/>
  <c r="D113" i="3"/>
  <c r="D87" i="3"/>
  <c r="D101" i="3"/>
  <c r="P101" i="19" s="1"/>
  <c r="E101" i="3"/>
  <c r="Q101" i="19" s="1"/>
  <c r="D59" i="3"/>
  <c r="E113" i="3"/>
  <c r="D25" i="3"/>
  <c r="D110" i="3"/>
  <c r="D74" i="3"/>
  <c r="D49" i="3"/>
  <c r="D45" i="3"/>
  <c r="P45" i="19" s="1"/>
  <c r="D9" i="3"/>
  <c r="D85" i="3"/>
  <c r="E39" i="3"/>
  <c r="D76" i="3"/>
  <c r="P76" i="19" s="1"/>
  <c r="D27" i="3"/>
  <c r="P27" i="19" s="1"/>
  <c r="E123" i="3"/>
  <c r="G123" i="3" s="1"/>
  <c r="D73" i="3"/>
  <c r="D111" i="3"/>
  <c r="D38" i="3"/>
  <c r="P38" i="19" s="1"/>
  <c r="D103" i="3"/>
  <c r="F103" i="3" s="1"/>
  <c r="J103" i="3" s="1"/>
  <c r="AD103" i="3" s="1"/>
  <c r="D50" i="3"/>
  <c r="E111" i="3"/>
  <c r="D118" i="3"/>
  <c r="G118" i="3" s="1"/>
  <c r="I118" i="3" s="1"/>
  <c r="M118" i="3" s="1"/>
  <c r="D84" i="3"/>
  <c r="D40" i="3"/>
  <c r="P40" i="19" s="1"/>
  <c r="D43" i="3"/>
  <c r="P43" i="19" s="1"/>
  <c r="E27" i="3"/>
  <c r="Q27" i="19" s="1"/>
  <c r="E40" i="3"/>
  <c r="Q40" i="19" s="1"/>
  <c r="D7" i="3"/>
  <c r="D62" i="3"/>
  <c r="E76" i="3"/>
  <c r="Q76" i="19" s="1"/>
  <c r="D63" i="3"/>
  <c r="D116" i="3"/>
  <c r="F116" i="3" s="1"/>
  <c r="J116" i="3" s="1"/>
  <c r="AD116" i="3" s="1"/>
  <c r="D105" i="3"/>
  <c r="F105" i="3" s="1"/>
  <c r="E110" i="3"/>
  <c r="D60" i="3"/>
  <c r="D47" i="3"/>
  <c r="P47" i="19" s="1"/>
  <c r="D72" i="3"/>
  <c r="E47" i="3"/>
  <c r="Q47" i="19" s="1"/>
  <c r="D65" i="3"/>
  <c r="D61" i="3"/>
  <c r="D19" i="3"/>
  <c r="E83" i="3"/>
  <c r="D64" i="3"/>
  <c r="D31" i="3"/>
  <c r="P31" i="19" s="1"/>
  <c r="D2" i="1"/>
  <c r="B3" i="9"/>
  <c r="E102" i="3"/>
  <c r="D102" i="3"/>
  <c r="E46" i="3"/>
  <c r="Q46" i="19" s="1"/>
  <c r="D46" i="3"/>
  <c r="P46" i="19" s="1"/>
  <c r="D117" i="3"/>
  <c r="E117" i="3"/>
  <c r="E115" i="3"/>
  <c r="G115" i="3" s="1"/>
  <c r="K115" i="3" s="1"/>
  <c r="AE115" i="3" s="1"/>
  <c r="D122" i="3"/>
  <c r="D1861" i="6"/>
  <c r="I1861" i="6"/>
  <c r="E13" i="3"/>
  <c r="Q13" i="19" s="1"/>
  <c r="D13" i="3"/>
  <c r="P13" i="19" s="1"/>
  <c r="E16" i="3"/>
  <c r="Q16" i="19" s="1"/>
  <c r="D16" i="3"/>
  <c r="P16" i="19" s="1"/>
  <c r="E21" i="3"/>
  <c r="Q21" i="19" s="1"/>
  <c r="D21" i="3"/>
  <c r="P21" i="19" s="1"/>
  <c r="D24" i="3"/>
  <c r="P24" i="19" s="1"/>
  <c r="E24" i="3"/>
  <c r="Q24" i="19" s="1"/>
  <c r="E79" i="3"/>
  <c r="Q79" i="19" s="1"/>
  <c r="D79" i="3"/>
  <c r="P79" i="19" s="1"/>
  <c r="E52" i="3"/>
  <c r="Q52" i="19" s="1"/>
  <c r="D52" i="3"/>
  <c r="P52" i="19" s="1"/>
  <c r="D36" i="3"/>
  <c r="A859" i="9"/>
  <c r="A1401" i="6"/>
  <c r="D119" i="3"/>
  <c r="E100" i="3"/>
  <c r="Q100" i="19" s="1"/>
  <c r="D100" i="3"/>
  <c r="P100" i="19" s="1"/>
  <c r="D120" i="3"/>
  <c r="E107" i="3"/>
  <c r="D107" i="3"/>
  <c r="E108" i="3"/>
  <c r="D108" i="3"/>
  <c r="E44" i="3"/>
  <c r="Q44" i="19" s="1"/>
  <c r="D44" i="3"/>
  <c r="P44" i="19" s="1"/>
  <c r="D104" i="3"/>
  <c r="F104" i="3" s="1"/>
  <c r="E122" i="3"/>
  <c r="D114" i="3"/>
  <c r="F114" i="3" s="1"/>
  <c r="E109" i="3"/>
  <c r="D37" i="3"/>
  <c r="P37" i="19" s="1"/>
  <c r="D71" i="3"/>
  <c r="P71" i="19" s="1"/>
  <c r="D32" i="3"/>
  <c r="P32" i="19" s="1"/>
  <c r="E3" i="6"/>
  <c r="E51" i="3"/>
  <c r="Q51" i="19" s="1"/>
  <c r="E23" i="3"/>
  <c r="Q23" i="19" s="1"/>
  <c r="D23" i="3"/>
  <c r="P23" i="19" s="1"/>
  <c r="E82" i="3"/>
  <c r="Q82" i="19" s="1"/>
  <c r="D82" i="3"/>
  <c r="P82" i="19" s="1"/>
  <c r="P92" i="19"/>
  <c r="V11" i="19" l="1"/>
  <c r="W11" i="19" s="1"/>
  <c r="V95" i="19"/>
  <c r="W95" i="19" s="1"/>
  <c r="V71" i="19"/>
  <c r="Y71" i="19" s="1"/>
  <c r="V34" i="19"/>
  <c r="W34" i="19"/>
  <c r="V51" i="19"/>
  <c r="W51" i="19"/>
  <c r="V57" i="19"/>
  <c r="W57" i="19"/>
  <c r="V37" i="19"/>
  <c r="W37" i="19"/>
  <c r="V24" i="19"/>
  <c r="W24" i="19" s="1"/>
  <c r="V60" i="19"/>
  <c r="W60" i="19" s="1"/>
  <c r="V33" i="19"/>
  <c r="W33" i="19"/>
  <c r="V94" i="19"/>
  <c r="W94" i="19"/>
  <c r="V40" i="19"/>
  <c r="W40" i="19"/>
  <c r="V75" i="19"/>
  <c r="W75" i="19" s="1"/>
  <c r="V62" i="19"/>
  <c r="W62" i="19" s="1"/>
  <c r="V73" i="19"/>
  <c r="W73" i="19" s="1"/>
  <c r="V48" i="19"/>
  <c r="W48" i="19"/>
  <c r="V46" i="19"/>
  <c r="W46" i="19" s="1"/>
  <c r="V81" i="19"/>
  <c r="W81" i="19" s="1"/>
  <c r="V67" i="19"/>
  <c r="W67" i="19" s="1"/>
  <c r="V38" i="19"/>
  <c r="W38" i="19" s="1"/>
  <c r="V82" i="19"/>
  <c r="W82" i="19" s="1"/>
  <c r="V66" i="19"/>
  <c r="W66" i="19"/>
  <c r="V65" i="19"/>
  <c r="W65" i="19" s="1"/>
  <c r="V70" i="19"/>
  <c r="W70" i="19"/>
  <c r="V80" i="19"/>
  <c r="W80" i="19" s="1"/>
  <c r="V23" i="19"/>
  <c r="W23" i="19" s="1"/>
  <c r="V85" i="19"/>
  <c r="W85" i="19" s="1"/>
  <c r="V42" i="19"/>
  <c r="W42" i="19"/>
  <c r="W26" i="19"/>
  <c r="V35" i="19"/>
  <c r="W35" i="19"/>
  <c r="V91" i="19"/>
  <c r="W91" i="19" s="1"/>
  <c r="V64" i="19"/>
  <c r="W64" i="19" s="1"/>
  <c r="V31" i="19"/>
  <c r="W31" i="19" s="1"/>
  <c r="V39" i="19"/>
  <c r="W39" i="19" s="1"/>
  <c r="V27" i="19"/>
  <c r="W27" i="19"/>
  <c r="V36" i="19"/>
  <c r="W36" i="19"/>
  <c r="V83" i="19"/>
  <c r="W83" i="19"/>
  <c r="V56" i="19"/>
  <c r="W56" i="19" s="1"/>
  <c r="V59" i="19"/>
  <c r="W59" i="19" s="1"/>
  <c r="V45" i="19"/>
  <c r="W45" i="19" s="1"/>
  <c r="V17" i="19"/>
  <c r="W17" i="19"/>
  <c r="V53" i="19"/>
  <c r="W53" i="19" s="1"/>
  <c r="V79" i="19"/>
  <c r="W79" i="19" s="1"/>
  <c r="V55" i="19"/>
  <c r="W55" i="19" s="1"/>
  <c r="V52" i="19"/>
  <c r="W52" i="19" s="1"/>
  <c r="V47" i="19"/>
  <c r="W47" i="19" s="1"/>
  <c r="V93" i="19"/>
  <c r="W93" i="19"/>
  <c r="V68" i="19"/>
  <c r="W68" i="19"/>
  <c r="V92" i="19"/>
  <c r="W92" i="19" s="1"/>
  <c r="V63" i="19"/>
  <c r="W63" i="19" s="1"/>
  <c r="V50" i="19"/>
  <c r="W50" i="19" s="1"/>
  <c r="V61" i="19"/>
  <c r="W61" i="19" s="1"/>
  <c r="V69" i="19"/>
  <c r="W69" i="19" s="1"/>
  <c r="V32" i="19"/>
  <c r="W32" i="19" s="1"/>
  <c r="V78" i="19"/>
  <c r="W78" i="19" s="1"/>
  <c r="V41" i="19"/>
  <c r="W41" i="19"/>
  <c r="V49" i="19"/>
  <c r="W49" i="19" s="1"/>
  <c r="V43" i="19"/>
  <c r="W43" i="19"/>
  <c r="V86" i="19"/>
  <c r="W86" i="19" s="1"/>
  <c r="V58" i="19"/>
  <c r="W58" i="19" s="1"/>
  <c r="V72" i="19"/>
  <c r="W72" i="19" s="1"/>
  <c r="V54" i="19"/>
  <c r="W54" i="19" s="1"/>
  <c r="V74" i="19"/>
  <c r="W74" i="19" s="1"/>
  <c r="V44" i="19"/>
  <c r="W44" i="19"/>
  <c r="V77" i="19"/>
  <c r="W77" i="19" s="1"/>
  <c r="V84" i="19"/>
  <c r="W84" i="19" s="1"/>
  <c r="V21" i="19"/>
  <c r="W21" i="19" s="1"/>
  <c r="V76" i="19"/>
  <c r="W76" i="19" s="1"/>
  <c r="P4" i="6"/>
  <c r="V89" i="19"/>
  <c r="W89" i="19" s="1"/>
  <c r="V88" i="19"/>
  <c r="W88" i="19" s="1"/>
  <c r="V90" i="19"/>
  <c r="W90" i="19" s="1"/>
  <c r="V87" i="19"/>
  <c r="W87" i="19" s="1"/>
  <c r="V12" i="19"/>
  <c r="W12" i="19" s="1"/>
  <c r="V26" i="19"/>
  <c r="V18" i="19"/>
  <c r="W18" i="19" s="1"/>
  <c r="V20" i="19"/>
  <c r="W20" i="19" s="1"/>
  <c r="V22" i="19"/>
  <c r="W22" i="19" s="1"/>
  <c r="V29" i="19"/>
  <c r="W29" i="19" s="1"/>
  <c r="V28" i="19"/>
  <c r="W28" i="19" s="1"/>
  <c r="V30" i="19"/>
  <c r="W30" i="19" s="1"/>
  <c r="V19" i="19"/>
  <c r="W19" i="19" s="1"/>
  <c r="V25" i="19"/>
  <c r="W25" i="19" s="1"/>
  <c r="V15" i="19"/>
  <c r="W15" i="19" s="1"/>
  <c r="V16" i="19"/>
  <c r="W16" i="19" s="1"/>
  <c r="V14" i="19"/>
  <c r="W14" i="19" s="1"/>
  <c r="V9" i="19"/>
  <c r="W9" i="19" s="1"/>
  <c r="AP7" i="3"/>
  <c r="V10" i="19"/>
  <c r="W10" i="19" s="1"/>
  <c r="V13" i="19"/>
  <c r="W13" i="19" s="1"/>
  <c r="V8" i="19"/>
  <c r="W8" i="19" s="1"/>
  <c r="V7" i="19"/>
  <c r="W7" i="19" s="1"/>
  <c r="K52" i="2"/>
  <c r="K51" i="2"/>
  <c r="K53" i="2"/>
  <c r="S12" i="1"/>
  <c r="T10" i="3" s="1"/>
  <c r="AQ8" i="3"/>
  <c r="AV8" i="3"/>
  <c r="U8" i="3"/>
  <c r="AA8" i="3"/>
  <c r="Z8" i="3" s="1"/>
  <c r="X100" i="19"/>
  <c r="F126" i="3"/>
  <c r="J126" i="3" s="1"/>
  <c r="K50" i="2"/>
  <c r="K49" i="2"/>
  <c r="F80" i="3"/>
  <c r="J80" i="3" s="1"/>
  <c r="AD80" i="3" s="1"/>
  <c r="P80" i="19"/>
  <c r="G66" i="3"/>
  <c r="P66" i="19"/>
  <c r="F90" i="3"/>
  <c r="H90" i="3" s="1"/>
  <c r="P90" i="19"/>
  <c r="F62" i="3"/>
  <c r="P62" i="19"/>
  <c r="G49" i="3"/>
  <c r="S49" i="19" s="1"/>
  <c r="P49" i="19"/>
  <c r="F25" i="3"/>
  <c r="P25" i="19"/>
  <c r="G87" i="3"/>
  <c r="S87" i="19" s="1"/>
  <c r="P87" i="19"/>
  <c r="G11" i="3"/>
  <c r="S11" i="19" s="1"/>
  <c r="P11" i="19"/>
  <c r="G78" i="3"/>
  <c r="K78" i="3" s="1"/>
  <c r="AE78" i="3" s="1"/>
  <c r="P78" i="19"/>
  <c r="G73" i="3"/>
  <c r="K73" i="3" s="1"/>
  <c r="AE73" i="3" s="1"/>
  <c r="P73" i="19"/>
  <c r="F9" i="3"/>
  <c r="P9" i="19"/>
  <c r="F14" i="3"/>
  <c r="P14" i="19"/>
  <c r="G89" i="3"/>
  <c r="I89" i="3" s="1"/>
  <c r="P89" i="19"/>
  <c r="P93" i="19"/>
  <c r="G84" i="3"/>
  <c r="K84" i="3" s="1"/>
  <c r="AE84" i="3" s="1"/>
  <c r="P84" i="19"/>
  <c r="G39" i="3"/>
  <c r="Q39" i="19"/>
  <c r="F72" i="3"/>
  <c r="P72" i="19"/>
  <c r="F61" i="3"/>
  <c r="J61" i="3" s="1"/>
  <c r="AD61" i="3" s="1"/>
  <c r="P61" i="19"/>
  <c r="S95" i="19"/>
  <c r="P95" i="19"/>
  <c r="G28" i="3"/>
  <c r="P28" i="19"/>
  <c r="F10" i="3"/>
  <c r="P10" i="19"/>
  <c r="F69" i="3"/>
  <c r="H69" i="3" s="1"/>
  <c r="Q69" i="19"/>
  <c r="G60" i="3"/>
  <c r="I60" i="3" s="1"/>
  <c r="P60" i="19"/>
  <c r="F85" i="3"/>
  <c r="J85" i="3" s="1"/>
  <c r="AD85" i="3" s="1"/>
  <c r="P85" i="19"/>
  <c r="G77" i="3"/>
  <c r="S77" i="19" s="1"/>
  <c r="P77" i="19"/>
  <c r="G19" i="3"/>
  <c r="P19" i="19"/>
  <c r="F65" i="3"/>
  <c r="H65" i="3" s="1"/>
  <c r="P65" i="19"/>
  <c r="G18" i="3"/>
  <c r="P18" i="19"/>
  <c r="F8" i="3"/>
  <c r="P8" i="19"/>
  <c r="F64" i="3"/>
  <c r="H64" i="3" s="1"/>
  <c r="P64" i="19"/>
  <c r="G29" i="3"/>
  <c r="P29" i="19"/>
  <c r="F30" i="3"/>
  <c r="P30" i="19"/>
  <c r="G57" i="3"/>
  <c r="P57" i="19"/>
  <c r="F74" i="3"/>
  <c r="H74" i="3" s="1"/>
  <c r="P74" i="19"/>
  <c r="F59" i="3"/>
  <c r="H59" i="3" s="1"/>
  <c r="P59" i="19"/>
  <c r="F15" i="3"/>
  <c r="P15" i="19"/>
  <c r="F12" i="3"/>
  <c r="P12" i="19"/>
  <c r="G17" i="3"/>
  <c r="I17" i="3" s="1"/>
  <c r="P17" i="19"/>
  <c r="G42" i="3"/>
  <c r="I42" i="3" s="1"/>
  <c r="P42" i="19"/>
  <c r="G22" i="3"/>
  <c r="I22" i="3" s="1"/>
  <c r="P22" i="19"/>
  <c r="F36" i="3"/>
  <c r="R36" i="19" s="1"/>
  <c r="P36" i="19"/>
  <c r="F7" i="3"/>
  <c r="H7" i="3" s="1"/>
  <c r="AT7" i="3" s="1"/>
  <c r="P7" i="19"/>
  <c r="F20" i="3"/>
  <c r="P20" i="19"/>
  <c r="G41" i="3"/>
  <c r="I41" i="3" s="1"/>
  <c r="P41" i="19"/>
  <c r="G34" i="3"/>
  <c r="P34" i="19"/>
  <c r="G56" i="3"/>
  <c r="I56" i="3" s="1"/>
  <c r="P56" i="19"/>
  <c r="F86" i="3"/>
  <c r="P86" i="19"/>
  <c r="F67" i="3"/>
  <c r="H67" i="3" s="1"/>
  <c r="P67" i="19"/>
  <c r="G83" i="3"/>
  <c r="I83" i="3" s="1"/>
  <c r="Q83" i="19"/>
  <c r="F63" i="3"/>
  <c r="J63" i="3" s="1"/>
  <c r="AD63" i="3" s="1"/>
  <c r="P63" i="19"/>
  <c r="G26" i="3"/>
  <c r="P26" i="19"/>
  <c r="G55" i="3"/>
  <c r="P55" i="19"/>
  <c r="G88" i="3"/>
  <c r="K88" i="3" s="1"/>
  <c r="AE88" i="3" s="1"/>
  <c r="P88" i="19"/>
  <c r="G50" i="3"/>
  <c r="S50" i="19" s="1"/>
  <c r="P50" i="19"/>
  <c r="F54" i="3"/>
  <c r="H54" i="3" s="1"/>
  <c r="Q54" i="19"/>
  <c r="P94" i="19"/>
  <c r="F81" i="3"/>
  <c r="J81" i="3" s="1"/>
  <c r="AD81" i="3" s="1"/>
  <c r="P81" i="19"/>
  <c r="G33" i="3"/>
  <c r="P33" i="19"/>
  <c r="F68" i="3"/>
  <c r="J68" i="3" s="1"/>
  <c r="AD68" i="3" s="1"/>
  <c r="P68" i="19"/>
  <c r="F88" i="3"/>
  <c r="H88" i="3" s="1"/>
  <c r="AB12" i="19"/>
  <c r="F91" i="3"/>
  <c r="G91" i="3"/>
  <c r="G124" i="3"/>
  <c r="I124" i="3" s="1"/>
  <c r="M124" i="3" s="1"/>
  <c r="AI12" i="3"/>
  <c r="G86" i="3"/>
  <c r="G90" i="3"/>
  <c r="K54" i="2"/>
  <c r="F66" i="3"/>
  <c r="G53" i="3"/>
  <c r="G68" i="3"/>
  <c r="F89" i="3"/>
  <c r="G70" i="3"/>
  <c r="G106" i="3"/>
  <c r="I106" i="3" s="1"/>
  <c r="M106" i="3" s="1"/>
  <c r="G103" i="3"/>
  <c r="I103" i="3" s="1"/>
  <c r="M103" i="3" s="1"/>
  <c r="F34" i="3"/>
  <c r="O34" i="3" s="1"/>
  <c r="F56" i="3"/>
  <c r="F77" i="3"/>
  <c r="F70" i="3"/>
  <c r="T8" i="3"/>
  <c r="F55" i="3"/>
  <c r="F41" i="3"/>
  <c r="F76" i="3"/>
  <c r="K125" i="3"/>
  <c r="AE125" i="3" s="1"/>
  <c r="F125" i="3"/>
  <c r="F78" i="3"/>
  <c r="G81" i="3"/>
  <c r="F33" i="3"/>
  <c r="G43" i="3"/>
  <c r="F42" i="3"/>
  <c r="G35" i="3"/>
  <c r="G75" i="3"/>
  <c r="F75" i="3"/>
  <c r="G67" i="3"/>
  <c r="G116" i="3"/>
  <c r="K116" i="3" s="1"/>
  <c r="AE116" i="3" s="1"/>
  <c r="G69" i="3"/>
  <c r="G48" i="3"/>
  <c r="G80" i="3"/>
  <c r="F35" i="3"/>
  <c r="F53" i="3"/>
  <c r="G45" i="3"/>
  <c r="AB10" i="1"/>
  <c r="G85" i="3"/>
  <c r="F48" i="3"/>
  <c r="F49" i="3"/>
  <c r="F17" i="3"/>
  <c r="F22" i="3"/>
  <c r="F112" i="3"/>
  <c r="H112" i="3" s="1"/>
  <c r="L112" i="3" s="1"/>
  <c r="G12" i="3"/>
  <c r="F58" i="3"/>
  <c r="G64" i="3"/>
  <c r="G8" i="3"/>
  <c r="F57" i="3"/>
  <c r="G110" i="3"/>
  <c r="I110" i="3" s="1"/>
  <c r="M110" i="3" s="1"/>
  <c r="G58" i="3"/>
  <c r="Z10" i="1"/>
  <c r="G30" i="3"/>
  <c r="T11" i="1"/>
  <c r="G63" i="3"/>
  <c r="S8" i="3"/>
  <c r="R11" i="1"/>
  <c r="G9" i="3"/>
  <c r="G10" i="3"/>
  <c r="AF13" i="1"/>
  <c r="AG12" i="1"/>
  <c r="G40" i="3"/>
  <c r="G54" i="3"/>
  <c r="U11" i="1"/>
  <c r="AA10" i="1"/>
  <c r="V8" i="3"/>
  <c r="G59" i="3"/>
  <c r="F118" i="3"/>
  <c r="G38" i="3"/>
  <c r="G121" i="3"/>
  <c r="K121" i="3" s="1"/>
  <c r="AE121" i="3" s="1"/>
  <c r="F60" i="3"/>
  <c r="G47" i="3"/>
  <c r="P47" i="3" s="1"/>
  <c r="F11" i="3"/>
  <c r="G7" i="3"/>
  <c r="G72" i="3"/>
  <c r="F28" i="3"/>
  <c r="F38" i="3"/>
  <c r="F123" i="3"/>
  <c r="G14" i="3"/>
  <c r="F111" i="3"/>
  <c r="H111" i="3" s="1"/>
  <c r="L111" i="3" s="1"/>
  <c r="G62" i="3"/>
  <c r="F39" i="3"/>
  <c r="F84" i="3"/>
  <c r="F101" i="3"/>
  <c r="F18" i="3"/>
  <c r="G25" i="3"/>
  <c r="G113" i="3"/>
  <c r="I113" i="3" s="1"/>
  <c r="M113" i="3" s="1"/>
  <c r="G101" i="3"/>
  <c r="S101" i="19" s="1"/>
  <c r="F40" i="3"/>
  <c r="F113" i="3"/>
  <c r="H113" i="3" s="1"/>
  <c r="L113" i="3" s="1"/>
  <c r="F26" i="3"/>
  <c r="G15" i="3"/>
  <c r="G20" i="3"/>
  <c r="F29" i="3"/>
  <c r="O29" i="3" s="1"/>
  <c r="G111" i="3"/>
  <c r="K111" i="3" s="1"/>
  <c r="AE111" i="3" s="1"/>
  <c r="K118" i="3"/>
  <c r="AE118" i="3" s="1"/>
  <c r="F47" i="3"/>
  <c r="F27" i="3"/>
  <c r="F87" i="3"/>
  <c r="F50" i="3"/>
  <c r="G65" i="3"/>
  <c r="F45" i="3"/>
  <c r="F83" i="3"/>
  <c r="F73" i="3"/>
  <c r="F110" i="3"/>
  <c r="J110" i="3" s="1"/>
  <c r="AD110" i="3" s="1"/>
  <c r="J121" i="3"/>
  <c r="AD121" i="3" s="1"/>
  <c r="G74" i="3"/>
  <c r="H105" i="3"/>
  <c r="L105" i="3" s="1"/>
  <c r="J105" i="3"/>
  <c r="AD105" i="3" s="1"/>
  <c r="G105" i="3"/>
  <c r="I105" i="3" s="1"/>
  <c r="M105" i="3" s="1"/>
  <c r="H103" i="3"/>
  <c r="L103" i="3" s="1"/>
  <c r="G76" i="3"/>
  <c r="S76" i="19" s="1"/>
  <c r="G27" i="3"/>
  <c r="F43" i="3"/>
  <c r="G61" i="3"/>
  <c r="S61" i="19" s="1"/>
  <c r="H116" i="3"/>
  <c r="L116" i="3" s="1"/>
  <c r="F19" i="3"/>
  <c r="J124" i="3"/>
  <c r="AD124" i="3" s="1"/>
  <c r="K123" i="3"/>
  <c r="AE123" i="3" s="1"/>
  <c r="I115" i="3"/>
  <c r="M115" i="3" s="1"/>
  <c r="K126" i="3"/>
  <c r="I126" i="3"/>
  <c r="M126" i="3" s="1"/>
  <c r="I123" i="3"/>
  <c r="M123" i="3" s="1"/>
  <c r="F102" i="3"/>
  <c r="H102" i="3" s="1"/>
  <c r="L102" i="3" s="1"/>
  <c r="G100" i="3"/>
  <c r="H106" i="3"/>
  <c r="L106" i="3" s="1"/>
  <c r="G117" i="3"/>
  <c r="K117" i="3" s="1"/>
  <c r="AE117" i="3" s="1"/>
  <c r="F16" i="3"/>
  <c r="F31" i="3"/>
  <c r="G31" i="3"/>
  <c r="F108" i="3"/>
  <c r="J108" i="3" s="1"/>
  <c r="AD108" i="3" s="1"/>
  <c r="G52" i="3"/>
  <c r="F13" i="3"/>
  <c r="F82" i="3"/>
  <c r="G79" i="3"/>
  <c r="F24" i="3"/>
  <c r="G21" i="3"/>
  <c r="S21" i="19" s="1"/>
  <c r="G36" i="3"/>
  <c r="F107" i="3"/>
  <c r="J107" i="3" s="1"/>
  <c r="AD107" i="3" s="1"/>
  <c r="F46" i="3"/>
  <c r="G102" i="3"/>
  <c r="G44" i="3"/>
  <c r="F52" i="3"/>
  <c r="R52" i="19" s="1"/>
  <c r="F79" i="3"/>
  <c r="R79" i="19" s="1"/>
  <c r="G24" i="3"/>
  <c r="F21" i="3"/>
  <c r="G13" i="3"/>
  <c r="S13" i="19" s="1"/>
  <c r="G46" i="3"/>
  <c r="F117" i="3"/>
  <c r="G16" i="3"/>
  <c r="G23" i="3"/>
  <c r="F115" i="3"/>
  <c r="A1402" i="6"/>
  <c r="G82" i="3"/>
  <c r="S82" i="19" s="1"/>
  <c r="F23" i="3"/>
  <c r="R23" i="19" s="1"/>
  <c r="D130" i="3"/>
  <c r="G71" i="3"/>
  <c r="S71" i="19" s="1"/>
  <c r="F71" i="3"/>
  <c r="R71" i="19" s="1"/>
  <c r="F109" i="3"/>
  <c r="G109" i="3"/>
  <c r="G107" i="3"/>
  <c r="G114" i="3"/>
  <c r="F119" i="3"/>
  <c r="G119" i="3"/>
  <c r="F32" i="3"/>
  <c r="R32" i="19" s="1"/>
  <c r="G32" i="3"/>
  <c r="F44" i="3"/>
  <c r="R44" i="19" s="1"/>
  <c r="G104" i="3"/>
  <c r="G108" i="3"/>
  <c r="H114" i="3"/>
  <c r="L114" i="3" s="1"/>
  <c r="J114" i="3"/>
  <c r="AD114" i="3" s="1"/>
  <c r="G122" i="3"/>
  <c r="F122" i="3"/>
  <c r="G120" i="3"/>
  <c r="F120" i="3"/>
  <c r="K112" i="3"/>
  <c r="AE112" i="3" s="1"/>
  <c r="I112" i="3"/>
  <c r="M112" i="3" s="1"/>
  <c r="F51" i="3"/>
  <c r="R51" i="19" s="1"/>
  <c r="G51" i="3"/>
  <c r="S51" i="19" s="1"/>
  <c r="F100" i="3"/>
  <c r="R100" i="19" s="1"/>
  <c r="R92" i="19"/>
  <c r="S92" i="19"/>
  <c r="F37" i="3"/>
  <c r="R37" i="19" s="1"/>
  <c r="G37" i="3"/>
  <c r="E130" i="3"/>
  <c r="A860" i="9"/>
  <c r="J104" i="3"/>
  <c r="AD104" i="3" s="1"/>
  <c r="H104" i="3"/>
  <c r="L104" i="3" s="1"/>
  <c r="W71" i="19" l="1"/>
  <c r="S31" i="19"/>
  <c r="P31" i="3"/>
  <c r="O17" i="3"/>
  <c r="O24" i="3"/>
  <c r="P35" i="3"/>
  <c r="X71" i="19"/>
  <c r="O18" i="3"/>
  <c r="P25" i="3"/>
  <c r="O22" i="3"/>
  <c r="O11" i="3"/>
  <c r="P30" i="3"/>
  <c r="O19" i="3"/>
  <c r="S34" i="19"/>
  <c r="P34" i="3"/>
  <c r="S24" i="19"/>
  <c r="P24" i="3"/>
  <c r="I26" i="3"/>
  <c r="AU26" i="3" s="1"/>
  <c r="P26" i="3"/>
  <c r="S32" i="19"/>
  <c r="P32" i="3"/>
  <c r="P27" i="3"/>
  <c r="I29" i="3"/>
  <c r="AU29" i="3" s="1"/>
  <c r="P29" i="3"/>
  <c r="I33" i="3"/>
  <c r="AU33" i="3" s="1"/>
  <c r="P33" i="3"/>
  <c r="S28" i="19"/>
  <c r="P28" i="3"/>
  <c r="H101" i="3"/>
  <c r="L101" i="3" s="1"/>
  <c r="R101" i="19"/>
  <c r="K100" i="3"/>
  <c r="AE100" i="3" s="1"/>
  <c r="S100" i="19"/>
  <c r="P36" i="3"/>
  <c r="O28" i="3"/>
  <c r="P40" i="3"/>
  <c r="O33" i="3"/>
  <c r="S37" i="19"/>
  <c r="P37" i="3"/>
  <c r="R21" i="19"/>
  <c r="O21" i="3"/>
  <c r="P48" i="3"/>
  <c r="J20" i="3"/>
  <c r="AD20" i="3" s="1"/>
  <c r="O20" i="3"/>
  <c r="S46" i="19"/>
  <c r="P46" i="3"/>
  <c r="J15" i="3"/>
  <c r="AD15" i="3" s="1"/>
  <c r="O15" i="3"/>
  <c r="O26" i="3"/>
  <c r="P38" i="3"/>
  <c r="P45" i="3"/>
  <c r="I39" i="3"/>
  <c r="AU39" i="3" s="1"/>
  <c r="P39" i="3"/>
  <c r="H14" i="3"/>
  <c r="AT14" i="3" s="1"/>
  <c r="O14" i="3"/>
  <c r="R31" i="19"/>
  <c r="O31" i="3"/>
  <c r="H25" i="3"/>
  <c r="AT25" i="3" s="1"/>
  <c r="O25" i="3"/>
  <c r="O16" i="3"/>
  <c r="H30" i="3"/>
  <c r="L30" i="3" s="1"/>
  <c r="O30" i="3"/>
  <c r="O41" i="3"/>
  <c r="H123" i="3"/>
  <c r="L123" i="3" s="1"/>
  <c r="O123" i="3"/>
  <c r="S13" i="1"/>
  <c r="T11" i="3" s="1"/>
  <c r="P15" i="3"/>
  <c r="J8" i="3"/>
  <c r="AD8" i="3" s="1"/>
  <c r="O8" i="3"/>
  <c r="K19" i="3"/>
  <c r="AE19" i="3" s="1"/>
  <c r="P19" i="3"/>
  <c r="J9" i="3"/>
  <c r="AD9" i="3" s="1"/>
  <c r="O9" i="3"/>
  <c r="H10" i="3"/>
  <c r="AT10" i="3" s="1"/>
  <c r="O10" i="3"/>
  <c r="I18" i="3"/>
  <c r="M18" i="3" s="1"/>
  <c r="P18" i="3"/>
  <c r="S16" i="19"/>
  <c r="P16" i="3"/>
  <c r="O12" i="3"/>
  <c r="O13" i="3"/>
  <c r="Y7" i="19"/>
  <c r="X7" i="19"/>
  <c r="X8" i="19"/>
  <c r="Y8" i="19"/>
  <c r="X31" i="19"/>
  <c r="Y31" i="19"/>
  <c r="AP8" i="3"/>
  <c r="K34" i="3"/>
  <c r="AE34" i="3" s="1"/>
  <c r="X37" i="19"/>
  <c r="K77" i="3"/>
  <c r="AE77" i="3" s="1"/>
  <c r="I87" i="3"/>
  <c r="AU87" i="3" s="1"/>
  <c r="I77" i="3"/>
  <c r="M77" i="3" s="1"/>
  <c r="Y37" i="19"/>
  <c r="X32" i="19"/>
  <c r="Y100" i="19"/>
  <c r="Y32" i="19"/>
  <c r="AB11" i="1"/>
  <c r="AA9" i="3"/>
  <c r="Z9" i="3" s="1"/>
  <c r="AQ9" i="3"/>
  <c r="AV9" i="3"/>
  <c r="K49" i="3"/>
  <c r="AE49" i="3" s="1"/>
  <c r="K87" i="3"/>
  <c r="AE87" i="3" s="1"/>
  <c r="I49" i="3"/>
  <c r="M49" i="3" s="1"/>
  <c r="I34" i="3"/>
  <c r="AU34" i="3" s="1"/>
  <c r="K11" i="3"/>
  <c r="AE11" i="3" s="1"/>
  <c r="H126" i="3"/>
  <c r="L126" i="3" s="1"/>
  <c r="X44" i="19"/>
  <c r="K50" i="3"/>
  <c r="AE50" i="3" s="1"/>
  <c r="Y44" i="19"/>
  <c r="K28" i="3"/>
  <c r="AE28" i="3" s="1"/>
  <c r="I28" i="3"/>
  <c r="M28" i="3" s="1"/>
  <c r="I11" i="3"/>
  <c r="AU11" i="3" s="1"/>
  <c r="I50" i="3"/>
  <c r="M50" i="3" s="1"/>
  <c r="J56" i="3"/>
  <c r="AD56" i="3" s="1"/>
  <c r="R56" i="19"/>
  <c r="J86" i="3"/>
  <c r="AD86" i="3" s="1"/>
  <c r="R86" i="19"/>
  <c r="S25" i="19"/>
  <c r="H38" i="3"/>
  <c r="L38" i="3" s="1"/>
  <c r="R38" i="19"/>
  <c r="I63" i="3"/>
  <c r="M63" i="3" s="1"/>
  <c r="S63" i="19"/>
  <c r="R95" i="19"/>
  <c r="R94" i="19"/>
  <c r="H33" i="3"/>
  <c r="AT33" i="3" s="1"/>
  <c r="R33" i="19"/>
  <c r="X98" i="19"/>
  <c r="Y98" i="19"/>
  <c r="Y22" i="19"/>
  <c r="X22" i="19"/>
  <c r="Y30" i="19"/>
  <c r="X30" i="19"/>
  <c r="X52" i="19"/>
  <c r="Y52" i="19"/>
  <c r="I73" i="3"/>
  <c r="S73" i="19"/>
  <c r="J13" i="3"/>
  <c r="AD13" i="3" s="1"/>
  <c r="R13" i="19"/>
  <c r="K27" i="3"/>
  <c r="AE27" i="3" s="1"/>
  <c r="S27" i="19"/>
  <c r="K62" i="3"/>
  <c r="AE62" i="3" s="1"/>
  <c r="S62" i="19"/>
  <c r="S69" i="19"/>
  <c r="J12" i="3"/>
  <c r="AD12" i="3" s="1"/>
  <c r="R12" i="19"/>
  <c r="K57" i="3"/>
  <c r="AE57" i="3" s="1"/>
  <c r="S57" i="19"/>
  <c r="I66" i="3"/>
  <c r="S66" i="19"/>
  <c r="I65" i="3"/>
  <c r="AU65" i="3" s="1"/>
  <c r="S65" i="19"/>
  <c r="J84" i="3"/>
  <c r="AD84" i="3" s="1"/>
  <c r="AC84" i="3" s="1"/>
  <c r="R84" i="19"/>
  <c r="R11" i="19"/>
  <c r="K38" i="3"/>
  <c r="AE38" i="3" s="1"/>
  <c r="S38" i="19"/>
  <c r="I54" i="3"/>
  <c r="M54" i="3" s="1"/>
  <c r="S54" i="19"/>
  <c r="K64" i="3"/>
  <c r="AE64" i="3" s="1"/>
  <c r="S64" i="19"/>
  <c r="K85" i="3"/>
  <c r="AE85" i="3" s="1"/>
  <c r="AC85" i="3" s="1"/>
  <c r="S85" i="19"/>
  <c r="H34" i="3"/>
  <c r="L34" i="3" s="1"/>
  <c r="R34" i="19"/>
  <c r="K70" i="3"/>
  <c r="AE70" i="3" s="1"/>
  <c r="S70" i="19"/>
  <c r="K26" i="3"/>
  <c r="AE26" i="3" s="1"/>
  <c r="S26" i="19"/>
  <c r="X47" i="19"/>
  <c r="Y47" i="19"/>
  <c r="K56" i="3"/>
  <c r="AE56" i="3" s="1"/>
  <c r="S56" i="19"/>
  <c r="K41" i="3"/>
  <c r="AE41" i="3" s="1"/>
  <c r="S41" i="19"/>
  <c r="X92" i="19"/>
  <c r="Y92" i="19"/>
  <c r="K22" i="3"/>
  <c r="AE22" i="3" s="1"/>
  <c r="S22" i="19"/>
  <c r="H15" i="3"/>
  <c r="R15" i="19"/>
  <c r="J30" i="3"/>
  <c r="AD30" i="3" s="1"/>
  <c r="R30" i="19"/>
  <c r="H80" i="3"/>
  <c r="R80" i="19"/>
  <c r="K86" i="3"/>
  <c r="AE86" i="3" s="1"/>
  <c r="S86" i="19"/>
  <c r="I53" i="3"/>
  <c r="M53" i="3" s="1"/>
  <c r="S53" i="19"/>
  <c r="I55" i="3"/>
  <c r="S55" i="19"/>
  <c r="H62" i="3"/>
  <c r="R62" i="19"/>
  <c r="K52" i="3"/>
  <c r="AE52" i="3" s="1"/>
  <c r="S52" i="19"/>
  <c r="I44" i="3"/>
  <c r="AU44" i="3" s="1"/>
  <c r="S44" i="19"/>
  <c r="H46" i="3"/>
  <c r="L46" i="3" s="1"/>
  <c r="R46" i="19"/>
  <c r="H18" i="3"/>
  <c r="L18" i="3" s="1"/>
  <c r="R18" i="19"/>
  <c r="H39" i="3"/>
  <c r="L39" i="3" s="1"/>
  <c r="R39" i="19"/>
  <c r="H28" i="3"/>
  <c r="L28" i="3" s="1"/>
  <c r="R28" i="19"/>
  <c r="K30" i="3"/>
  <c r="AE30" i="3" s="1"/>
  <c r="S30" i="19"/>
  <c r="K81" i="3"/>
  <c r="AE81" i="3" s="1"/>
  <c r="S81" i="19"/>
  <c r="J76" i="3"/>
  <c r="AD76" i="3" s="1"/>
  <c r="R76" i="19"/>
  <c r="H66" i="3"/>
  <c r="L66" i="3" s="1"/>
  <c r="R66" i="19"/>
  <c r="Y34" i="19"/>
  <c r="X34" i="19"/>
  <c r="Y20" i="19"/>
  <c r="X20" i="19"/>
  <c r="Y42" i="19"/>
  <c r="X42" i="19"/>
  <c r="H61" i="3"/>
  <c r="R61" i="19"/>
  <c r="K39" i="3"/>
  <c r="AE39" i="3" s="1"/>
  <c r="S39" i="19"/>
  <c r="Y40" i="19"/>
  <c r="X40" i="19"/>
  <c r="X13" i="19"/>
  <c r="Y13" i="19"/>
  <c r="R49" i="19"/>
  <c r="J77" i="3"/>
  <c r="AD77" i="3" s="1"/>
  <c r="R77" i="19"/>
  <c r="Y36" i="19"/>
  <c r="X36" i="19"/>
  <c r="X76" i="19"/>
  <c r="Y76" i="19"/>
  <c r="K36" i="3"/>
  <c r="AE36" i="3" s="1"/>
  <c r="S36" i="19"/>
  <c r="H12" i="3"/>
  <c r="L12" i="3" s="1"/>
  <c r="H29" i="3"/>
  <c r="L29" i="3" s="1"/>
  <c r="R29" i="19"/>
  <c r="K12" i="3"/>
  <c r="AE12" i="3" s="1"/>
  <c r="S12" i="19"/>
  <c r="K80" i="3"/>
  <c r="AE80" i="3" s="1"/>
  <c r="AC80" i="3" s="1"/>
  <c r="S80" i="19"/>
  <c r="J41" i="3"/>
  <c r="AD41" i="3" s="1"/>
  <c r="R41" i="19"/>
  <c r="I88" i="3"/>
  <c r="S88" i="19"/>
  <c r="K83" i="3"/>
  <c r="AE83" i="3" s="1"/>
  <c r="S83" i="19"/>
  <c r="H20" i="3"/>
  <c r="R20" i="19"/>
  <c r="K42" i="3"/>
  <c r="AE42" i="3" s="1"/>
  <c r="S42" i="19"/>
  <c r="K29" i="3"/>
  <c r="AE29" i="3" s="1"/>
  <c r="S29" i="19"/>
  <c r="X70" i="19"/>
  <c r="Y70" i="19"/>
  <c r="H85" i="3"/>
  <c r="R85" i="19"/>
  <c r="R87" i="19"/>
  <c r="J10" i="3"/>
  <c r="AD10" i="3" s="1"/>
  <c r="R10" i="19"/>
  <c r="H16" i="3"/>
  <c r="AT16" i="3" s="1"/>
  <c r="R16" i="19"/>
  <c r="J62" i="3"/>
  <c r="AD62" i="3" s="1"/>
  <c r="I20" i="3"/>
  <c r="AU20" i="3" s="1"/>
  <c r="S20" i="19"/>
  <c r="I47" i="3"/>
  <c r="AU47" i="3" s="1"/>
  <c r="S47" i="19"/>
  <c r="K55" i="3"/>
  <c r="AE55" i="3" s="1"/>
  <c r="K58" i="3"/>
  <c r="AE58" i="3" s="1"/>
  <c r="S58" i="19"/>
  <c r="I57" i="3"/>
  <c r="M57" i="3" s="1"/>
  <c r="K48" i="3"/>
  <c r="AE48" i="3" s="1"/>
  <c r="S48" i="19"/>
  <c r="K75" i="3"/>
  <c r="AE75" i="3" s="1"/>
  <c r="S75" i="19"/>
  <c r="H78" i="3"/>
  <c r="L78" i="3" s="1"/>
  <c r="R78" i="19"/>
  <c r="H89" i="3"/>
  <c r="L89" i="3" s="1"/>
  <c r="R89" i="19"/>
  <c r="I91" i="3"/>
  <c r="M91" i="3" s="1"/>
  <c r="S91" i="19"/>
  <c r="J88" i="3"/>
  <c r="AD88" i="3" s="1"/>
  <c r="AC88" i="3" s="1"/>
  <c r="R88" i="19"/>
  <c r="H81" i="3"/>
  <c r="R81" i="19"/>
  <c r="U7" i="19"/>
  <c r="U8" i="19" s="1"/>
  <c r="U9" i="19" s="1"/>
  <c r="Y38" i="19"/>
  <c r="X38" i="19"/>
  <c r="I84" i="3"/>
  <c r="S84" i="19"/>
  <c r="S93" i="19"/>
  <c r="Y25" i="19"/>
  <c r="X25" i="19"/>
  <c r="Y24" i="19"/>
  <c r="X24" i="19"/>
  <c r="J47" i="3"/>
  <c r="AD47" i="3" s="1"/>
  <c r="R47" i="19"/>
  <c r="H57" i="3"/>
  <c r="L57" i="3" s="1"/>
  <c r="R57" i="19"/>
  <c r="I7" i="3"/>
  <c r="M7" i="3" s="1"/>
  <c r="S7" i="19"/>
  <c r="J48" i="3"/>
  <c r="AD48" i="3" s="1"/>
  <c r="R48" i="19"/>
  <c r="H63" i="3"/>
  <c r="R63" i="19"/>
  <c r="H24" i="3"/>
  <c r="AT24" i="3" s="1"/>
  <c r="R24" i="19"/>
  <c r="H19" i="3"/>
  <c r="L19" i="3" s="1"/>
  <c r="R19" i="19"/>
  <c r="J50" i="3"/>
  <c r="AD50" i="3" s="1"/>
  <c r="R50" i="19"/>
  <c r="S15" i="19"/>
  <c r="H40" i="3"/>
  <c r="L40" i="3" s="1"/>
  <c r="R40" i="19"/>
  <c r="I40" i="3"/>
  <c r="M40" i="3" s="1"/>
  <c r="S40" i="19"/>
  <c r="R93" i="19"/>
  <c r="K35" i="3"/>
  <c r="AE35" i="3" s="1"/>
  <c r="S35" i="19"/>
  <c r="R55" i="19"/>
  <c r="K68" i="3"/>
  <c r="AE68" i="3" s="1"/>
  <c r="AC68" i="3" s="1"/>
  <c r="S68" i="19"/>
  <c r="X91" i="19"/>
  <c r="Y91" i="19"/>
  <c r="J7" i="3"/>
  <c r="AD7" i="3" s="1"/>
  <c r="R7" i="19"/>
  <c r="J59" i="3"/>
  <c r="AD59" i="3" s="1"/>
  <c r="R59" i="19"/>
  <c r="X82" i="19"/>
  <c r="Y82" i="19"/>
  <c r="X58" i="19"/>
  <c r="Y58" i="19"/>
  <c r="J65" i="3"/>
  <c r="AD65" i="3" s="1"/>
  <c r="R65" i="19"/>
  <c r="K60" i="3"/>
  <c r="AE60" i="3" s="1"/>
  <c r="S60" i="19"/>
  <c r="J25" i="3"/>
  <c r="AD25" i="3" s="1"/>
  <c r="R25" i="19"/>
  <c r="K72" i="3"/>
  <c r="AE72" i="3" s="1"/>
  <c r="S72" i="19"/>
  <c r="K33" i="3"/>
  <c r="AE33" i="3" s="1"/>
  <c r="S33" i="19"/>
  <c r="J72" i="3"/>
  <c r="AD72" i="3" s="1"/>
  <c r="R72" i="19"/>
  <c r="J36" i="3"/>
  <c r="AD36" i="3" s="1"/>
  <c r="I79" i="3"/>
  <c r="M79" i="3" s="1"/>
  <c r="S79" i="19"/>
  <c r="K66" i="3"/>
  <c r="AE66" i="3" s="1"/>
  <c r="J26" i="3"/>
  <c r="AD26" i="3" s="1"/>
  <c r="R26" i="19"/>
  <c r="J60" i="3"/>
  <c r="AD60" i="3" s="1"/>
  <c r="R60" i="19"/>
  <c r="K59" i="3"/>
  <c r="AE59" i="3" s="1"/>
  <c r="S59" i="19"/>
  <c r="H22" i="3"/>
  <c r="L22" i="3" s="1"/>
  <c r="R22" i="19"/>
  <c r="K45" i="3"/>
  <c r="AE45" i="3" s="1"/>
  <c r="S45" i="19"/>
  <c r="J75" i="3"/>
  <c r="AD75" i="3" s="1"/>
  <c r="R75" i="19"/>
  <c r="J42" i="3"/>
  <c r="AD42" i="3" s="1"/>
  <c r="R42" i="19"/>
  <c r="H91" i="3"/>
  <c r="AT91" i="3" s="1"/>
  <c r="R91" i="19"/>
  <c r="S94" i="19"/>
  <c r="Y19" i="19"/>
  <c r="X19" i="19"/>
  <c r="Y27" i="19"/>
  <c r="X27" i="19"/>
  <c r="Y21" i="19"/>
  <c r="X21" i="19"/>
  <c r="K89" i="3"/>
  <c r="AE89" i="3" s="1"/>
  <c r="S89" i="19"/>
  <c r="X53" i="19"/>
  <c r="Y53" i="19"/>
  <c r="H36" i="3"/>
  <c r="AT36" i="3" s="1"/>
  <c r="H82" i="3"/>
  <c r="AT82" i="3" s="1"/>
  <c r="R82" i="19"/>
  <c r="H72" i="3"/>
  <c r="L72" i="3" s="1"/>
  <c r="J73" i="3"/>
  <c r="AD73" i="3" s="1"/>
  <c r="AC73" i="3" s="1"/>
  <c r="R73" i="19"/>
  <c r="K14" i="3"/>
  <c r="AE14" i="3" s="1"/>
  <c r="S14" i="19"/>
  <c r="S8" i="19"/>
  <c r="H53" i="3"/>
  <c r="L53" i="3" s="1"/>
  <c r="R53" i="19"/>
  <c r="K43" i="3"/>
  <c r="AE43" i="3" s="1"/>
  <c r="S43" i="19"/>
  <c r="H70" i="3"/>
  <c r="L70" i="3" s="1"/>
  <c r="R70" i="19"/>
  <c r="X46" i="19"/>
  <c r="Y46" i="19"/>
  <c r="J67" i="3"/>
  <c r="AD67" i="3" s="1"/>
  <c r="R67" i="19"/>
  <c r="J74" i="3"/>
  <c r="AD74" i="3" s="1"/>
  <c r="R74" i="19"/>
  <c r="J64" i="3"/>
  <c r="AD64" i="3" s="1"/>
  <c r="R64" i="19"/>
  <c r="H8" i="3"/>
  <c r="R8" i="19"/>
  <c r="I19" i="3"/>
  <c r="S19" i="19"/>
  <c r="Y48" i="19"/>
  <c r="X48" i="19"/>
  <c r="Y23" i="19"/>
  <c r="X23" i="19"/>
  <c r="H9" i="3"/>
  <c r="R9" i="19"/>
  <c r="S74" i="19"/>
  <c r="J83" i="3"/>
  <c r="AD83" i="3" s="1"/>
  <c r="R83" i="19"/>
  <c r="H86" i="3"/>
  <c r="AT86" i="3" s="1"/>
  <c r="K10" i="3"/>
  <c r="AE10" i="3" s="1"/>
  <c r="S10" i="19"/>
  <c r="H58" i="3"/>
  <c r="L58" i="3" s="1"/>
  <c r="R58" i="19"/>
  <c r="J35" i="3"/>
  <c r="AD35" i="3" s="1"/>
  <c r="R35" i="19"/>
  <c r="K90" i="3"/>
  <c r="AE90" i="3" s="1"/>
  <c r="AC90" i="3" s="1"/>
  <c r="S90" i="19"/>
  <c r="H68" i="3"/>
  <c r="R68" i="19"/>
  <c r="J54" i="3"/>
  <c r="AD54" i="3" s="1"/>
  <c r="R54" i="19"/>
  <c r="Y35" i="19"/>
  <c r="X35" i="19"/>
  <c r="J69" i="3"/>
  <c r="AD69" i="3" s="1"/>
  <c r="R69" i="19"/>
  <c r="Y45" i="19"/>
  <c r="X45" i="19"/>
  <c r="X79" i="19"/>
  <c r="Y79" i="19"/>
  <c r="J14" i="3"/>
  <c r="AD14" i="3" s="1"/>
  <c r="R14" i="19"/>
  <c r="I78" i="3"/>
  <c r="S78" i="19"/>
  <c r="K23" i="3"/>
  <c r="AE23" i="3" s="1"/>
  <c r="S23" i="19"/>
  <c r="H43" i="3"/>
  <c r="L43" i="3" s="1"/>
  <c r="R43" i="19"/>
  <c r="H45" i="3"/>
  <c r="AT45" i="3" s="1"/>
  <c r="R45" i="19"/>
  <c r="J27" i="3"/>
  <c r="AD27" i="3" s="1"/>
  <c r="R27" i="19"/>
  <c r="K9" i="3"/>
  <c r="AE9" i="3" s="1"/>
  <c r="S9" i="19"/>
  <c r="J17" i="3"/>
  <c r="AD17" i="3" s="1"/>
  <c r="R17" i="19"/>
  <c r="I67" i="3"/>
  <c r="AU67" i="3" s="1"/>
  <c r="S67" i="19"/>
  <c r="Y51" i="19"/>
  <c r="X51" i="19"/>
  <c r="Y75" i="19"/>
  <c r="X75" i="19"/>
  <c r="K17" i="3"/>
  <c r="AE17" i="3" s="1"/>
  <c r="S17" i="19"/>
  <c r="K18" i="3"/>
  <c r="AE18" i="3" s="1"/>
  <c r="S18" i="19"/>
  <c r="Y16" i="19"/>
  <c r="X16" i="19"/>
  <c r="Y10" i="19"/>
  <c r="X10" i="19"/>
  <c r="Y43" i="19"/>
  <c r="X43" i="19"/>
  <c r="J90" i="3"/>
  <c r="AD90" i="3" s="1"/>
  <c r="R90" i="19"/>
  <c r="J91" i="3"/>
  <c r="AD91" i="3" s="1"/>
  <c r="AB13" i="19"/>
  <c r="M41" i="3"/>
  <c r="AU41" i="3"/>
  <c r="M83" i="3"/>
  <c r="AU83" i="3"/>
  <c r="M89" i="3"/>
  <c r="AU89" i="3"/>
  <c r="L88" i="3"/>
  <c r="AT88" i="3"/>
  <c r="M60" i="3"/>
  <c r="AU60" i="3"/>
  <c r="L54" i="3"/>
  <c r="AT54" i="3"/>
  <c r="L59" i="3"/>
  <c r="AT59" i="3"/>
  <c r="L90" i="3"/>
  <c r="AT90" i="3"/>
  <c r="L69" i="3"/>
  <c r="AT69" i="3"/>
  <c r="M17" i="3"/>
  <c r="AU17" i="3"/>
  <c r="L64" i="3"/>
  <c r="AT64" i="3"/>
  <c r="L7" i="3"/>
  <c r="L74" i="3"/>
  <c r="AT74" i="3"/>
  <c r="M42" i="3"/>
  <c r="AU42" i="3"/>
  <c r="M22" i="3"/>
  <c r="AU22" i="3"/>
  <c r="L67" i="3"/>
  <c r="AT67" i="3"/>
  <c r="L65" i="3"/>
  <c r="AT65" i="3"/>
  <c r="M56" i="3"/>
  <c r="AU56" i="3"/>
  <c r="K91" i="3"/>
  <c r="AE91" i="3" s="1"/>
  <c r="K124" i="3"/>
  <c r="AE124" i="3" s="1"/>
  <c r="AC81" i="3"/>
  <c r="AI13" i="3"/>
  <c r="I90" i="3"/>
  <c r="I86" i="3"/>
  <c r="K55" i="2"/>
  <c r="J66" i="3"/>
  <c r="AD66" i="3" s="1"/>
  <c r="I68" i="3"/>
  <c r="J89" i="3"/>
  <c r="AD89" i="3" s="1"/>
  <c r="K53" i="3"/>
  <c r="AE53" i="3" s="1"/>
  <c r="I70" i="3"/>
  <c r="K103" i="3"/>
  <c r="AE103" i="3" s="1"/>
  <c r="J55" i="3"/>
  <c r="AD55" i="3" s="1"/>
  <c r="K106" i="3"/>
  <c r="AE106" i="3" s="1"/>
  <c r="H55" i="3"/>
  <c r="I75" i="3"/>
  <c r="J78" i="3"/>
  <c r="AD78" i="3" s="1"/>
  <c r="AC78" i="3" s="1"/>
  <c r="H41" i="3"/>
  <c r="H77" i="3"/>
  <c r="J70" i="3"/>
  <c r="AD70" i="3" s="1"/>
  <c r="J34" i="3"/>
  <c r="AD34" i="3" s="1"/>
  <c r="K8" i="3"/>
  <c r="AE8" i="3" s="1"/>
  <c r="H56" i="3"/>
  <c r="I8" i="3"/>
  <c r="K40" i="3"/>
  <c r="AE40" i="3" s="1"/>
  <c r="I116" i="3"/>
  <c r="M116" i="3" s="1"/>
  <c r="H76" i="3"/>
  <c r="H125" i="3"/>
  <c r="L125" i="3" s="1"/>
  <c r="K63" i="3"/>
  <c r="AE63" i="3" s="1"/>
  <c r="AC63" i="3" s="1"/>
  <c r="I81" i="3"/>
  <c r="J125" i="3"/>
  <c r="AD125" i="3" s="1"/>
  <c r="H42" i="3"/>
  <c r="J33" i="3"/>
  <c r="AD33" i="3" s="1"/>
  <c r="I35" i="3"/>
  <c r="I72" i="3"/>
  <c r="I43" i="3"/>
  <c r="K69" i="3"/>
  <c r="AE69" i="3" s="1"/>
  <c r="I12" i="3"/>
  <c r="I69" i="3"/>
  <c r="I80" i="3"/>
  <c r="I64" i="3"/>
  <c r="U9" i="3"/>
  <c r="H75" i="3"/>
  <c r="J111" i="3"/>
  <c r="AD111" i="3" s="1"/>
  <c r="H48" i="3"/>
  <c r="J58" i="3"/>
  <c r="AD58" i="3" s="1"/>
  <c r="H49" i="3"/>
  <c r="I48" i="3"/>
  <c r="J112" i="3"/>
  <c r="AD112" i="3" s="1"/>
  <c r="K67" i="3"/>
  <c r="AE67" i="3" s="1"/>
  <c r="H35" i="3"/>
  <c r="J49" i="3"/>
  <c r="AD49" i="3" s="1"/>
  <c r="I45" i="3"/>
  <c r="K25" i="3"/>
  <c r="AE25" i="3" s="1"/>
  <c r="J53" i="3"/>
  <c r="AD53" i="3" s="1"/>
  <c r="J22" i="3"/>
  <c r="AD22" i="3" s="1"/>
  <c r="H17" i="3"/>
  <c r="I85" i="3"/>
  <c r="H118" i="3"/>
  <c r="L118" i="3" s="1"/>
  <c r="J101" i="3"/>
  <c r="AD101" i="3" s="1"/>
  <c r="I58" i="3"/>
  <c r="J57" i="3"/>
  <c r="AD57" i="3" s="1"/>
  <c r="AC57" i="3" s="1"/>
  <c r="J113" i="3"/>
  <c r="AD113" i="3" s="1"/>
  <c r="I9" i="3"/>
  <c r="K110" i="3"/>
  <c r="AE110" i="3" s="1"/>
  <c r="J118" i="3"/>
  <c r="AD118" i="3" s="1"/>
  <c r="I10" i="3"/>
  <c r="S9" i="3"/>
  <c r="R12" i="1"/>
  <c r="J11" i="3"/>
  <c r="AD11" i="3" s="1"/>
  <c r="I30" i="3"/>
  <c r="H11" i="3"/>
  <c r="Z11" i="1"/>
  <c r="T12" i="1"/>
  <c r="J38" i="3"/>
  <c r="AD38" i="3" s="1"/>
  <c r="K15" i="3"/>
  <c r="AE15" i="3" s="1"/>
  <c r="I38" i="3"/>
  <c r="AA11" i="1"/>
  <c r="AF14" i="1"/>
  <c r="AG13" i="1"/>
  <c r="K54" i="3"/>
  <c r="AE54" i="3" s="1"/>
  <c r="K47" i="3"/>
  <c r="AE47" i="3" s="1"/>
  <c r="U12" i="1"/>
  <c r="AC11" i="1"/>
  <c r="V9" i="3"/>
  <c r="J28" i="3"/>
  <c r="AD28" i="3" s="1"/>
  <c r="H60" i="3"/>
  <c r="I62" i="3"/>
  <c r="J123" i="3"/>
  <c r="AD123" i="3" s="1"/>
  <c r="AC123" i="3" s="1"/>
  <c r="AG123" i="3" s="1"/>
  <c r="I121" i="3"/>
  <c r="M121" i="3" s="1"/>
  <c r="I59" i="3"/>
  <c r="J40" i="3"/>
  <c r="AD40" i="3" s="1"/>
  <c r="I25" i="3"/>
  <c r="K7" i="3"/>
  <c r="AE7" i="3" s="1"/>
  <c r="J18" i="3"/>
  <c r="AD18" i="3" s="1"/>
  <c r="H26" i="3"/>
  <c r="I111" i="3"/>
  <c r="M111" i="3" s="1"/>
  <c r="K65" i="3"/>
  <c r="AE65" i="3" s="1"/>
  <c r="K113" i="3"/>
  <c r="AE113" i="3" s="1"/>
  <c r="K20" i="3"/>
  <c r="AE20" i="3" s="1"/>
  <c r="I14" i="3"/>
  <c r="J39" i="3"/>
  <c r="AD39" i="3" s="1"/>
  <c r="H84" i="3"/>
  <c r="I15" i="3"/>
  <c r="J29" i="3"/>
  <c r="AD29" i="3" s="1"/>
  <c r="K74" i="3"/>
  <c r="AE74" i="3" s="1"/>
  <c r="K101" i="3"/>
  <c r="AE101" i="3" s="1"/>
  <c r="I101" i="3"/>
  <c r="M101" i="3" s="1"/>
  <c r="I100" i="3"/>
  <c r="M100" i="3" s="1"/>
  <c r="H83" i="3"/>
  <c r="J43" i="3"/>
  <c r="AD43" i="3" s="1"/>
  <c r="H47" i="3"/>
  <c r="H110" i="3"/>
  <c r="L110" i="3" s="1"/>
  <c r="H27" i="3"/>
  <c r="I74" i="3"/>
  <c r="H50" i="3"/>
  <c r="J45" i="3"/>
  <c r="AD45" i="3" s="1"/>
  <c r="K105" i="3"/>
  <c r="AE105" i="3" s="1"/>
  <c r="H73" i="3"/>
  <c r="H87" i="3"/>
  <c r="J87" i="3"/>
  <c r="AD87" i="3" s="1"/>
  <c r="AC87" i="3" s="1"/>
  <c r="AG87" i="3" s="1"/>
  <c r="I27" i="3"/>
  <c r="K61" i="3"/>
  <c r="AE61" i="3" s="1"/>
  <c r="AC61" i="3" s="1"/>
  <c r="I61" i="3"/>
  <c r="K76" i="3"/>
  <c r="AE76" i="3" s="1"/>
  <c r="I76" i="3"/>
  <c r="H107" i="3"/>
  <c r="L107" i="3" s="1"/>
  <c r="J19" i="3"/>
  <c r="AD19" i="3" s="1"/>
  <c r="H13" i="3"/>
  <c r="J102" i="3"/>
  <c r="AD102" i="3" s="1"/>
  <c r="J82" i="3"/>
  <c r="AD82" i="3" s="1"/>
  <c r="H108" i="3"/>
  <c r="L108" i="3" s="1"/>
  <c r="I52" i="3"/>
  <c r="J16" i="3"/>
  <c r="AD16" i="3" s="1"/>
  <c r="K79" i="3"/>
  <c r="AE79" i="3" s="1"/>
  <c r="I36" i="3"/>
  <c r="K44" i="3"/>
  <c r="AE44" i="3" s="1"/>
  <c r="I117" i="3"/>
  <c r="M117" i="3" s="1"/>
  <c r="J46" i="3"/>
  <c r="AD46" i="3" s="1"/>
  <c r="I23" i="3"/>
  <c r="K31" i="3"/>
  <c r="AE31" i="3" s="1"/>
  <c r="I31" i="3"/>
  <c r="H31" i="3"/>
  <c r="J31" i="3"/>
  <c r="AD31" i="3" s="1"/>
  <c r="J24" i="3"/>
  <c r="AD24" i="3" s="1"/>
  <c r="I21" i="3"/>
  <c r="K21" i="3"/>
  <c r="AE21" i="3" s="1"/>
  <c r="B12" i="2"/>
  <c r="B13" i="2" s="1"/>
  <c r="F130" i="3"/>
  <c r="I46" i="3"/>
  <c r="K46" i="3"/>
  <c r="AE46" i="3" s="1"/>
  <c r="H52" i="3"/>
  <c r="J52" i="3"/>
  <c r="AD52" i="3" s="1"/>
  <c r="J117" i="3"/>
  <c r="AD117" i="3" s="1"/>
  <c r="H117" i="3"/>
  <c r="L117" i="3" s="1"/>
  <c r="K16" i="3"/>
  <c r="AE16" i="3" s="1"/>
  <c r="I16" i="3"/>
  <c r="I13" i="3"/>
  <c r="K13" i="3"/>
  <c r="AE13" i="3" s="1"/>
  <c r="H21" i="3"/>
  <c r="J21" i="3"/>
  <c r="AD21" i="3" s="1"/>
  <c r="I102" i="3"/>
  <c r="M102" i="3" s="1"/>
  <c r="K102" i="3"/>
  <c r="AE102" i="3" s="1"/>
  <c r="J115" i="3"/>
  <c r="AD115" i="3" s="1"/>
  <c r="H115" i="3"/>
  <c r="L115" i="3" s="1"/>
  <c r="I24" i="3"/>
  <c r="K24" i="3"/>
  <c r="AE24" i="3" s="1"/>
  <c r="J79" i="3"/>
  <c r="AD79" i="3" s="1"/>
  <c r="H79" i="3"/>
  <c r="K107" i="3"/>
  <c r="AE107" i="3" s="1"/>
  <c r="I107" i="3"/>
  <c r="M107" i="3" s="1"/>
  <c r="A1403" i="6"/>
  <c r="I37" i="3"/>
  <c r="K37" i="3"/>
  <c r="AE37" i="3" s="1"/>
  <c r="H122" i="3"/>
  <c r="L122" i="3" s="1"/>
  <c r="J122" i="3"/>
  <c r="AD122" i="3" s="1"/>
  <c r="I82" i="3"/>
  <c r="K82" i="3"/>
  <c r="AE82" i="3" s="1"/>
  <c r="G130" i="3"/>
  <c r="H37" i="3"/>
  <c r="J37" i="3"/>
  <c r="AD37" i="3" s="1"/>
  <c r="I122" i="3"/>
  <c r="M122" i="3" s="1"/>
  <c r="K122" i="3"/>
  <c r="AE122" i="3" s="1"/>
  <c r="K32" i="3"/>
  <c r="AE32" i="3" s="1"/>
  <c r="I32" i="3"/>
  <c r="J32" i="3"/>
  <c r="AD32" i="3" s="1"/>
  <c r="H32" i="3"/>
  <c r="I114" i="3"/>
  <c r="M114" i="3" s="1"/>
  <c r="K114" i="3"/>
  <c r="AE114" i="3" s="1"/>
  <c r="H44" i="3"/>
  <c r="J44" i="3"/>
  <c r="AD44" i="3" s="1"/>
  <c r="K119" i="3"/>
  <c r="AE119" i="3" s="1"/>
  <c r="I119" i="3"/>
  <c r="M119" i="3" s="1"/>
  <c r="J119" i="3"/>
  <c r="AD119" i="3" s="1"/>
  <c r="H119" i="3"/>
  <c r="L119" i="3" s="1"/>
  <c r="H100" i="3"/>
  <c r="L100" i="3" s="1"/>
  <c r="J100" i="3"/>
  <c r="AD100" i="3" s="1"/>
  <c r="I108" i="3"/>
  <c r="M108" i="3" s="1"/>
  <c r="K108" i="3"/>
  <c r="AE108" i="3" s="1"/>
  <c r="I109" i="3"/>
  <c r="M109" i="3" s="1"/>
  <c r="K109" i="3"/>
  <c r="AE109" i="3" s="1"/>
  <c r="J109" i="3"/>
  <c r="AD109" i="3" s="1"/>
  <c r="H109" i="3"/>
  <c r="L109" i="3" s="1"/>
  <c r="H71" i="3"/>
  <c r="J71" i="3"/>
  <c r="AD71" i="3" s="1"/>
  <c r="A861" i="9"/>
  <c r="H120" i="3"/>
  <c r="L120" i="3" s="1"/>
  <c r="J120" i="3"/>
  <c r="AD120" i="3" s="1"/>
  <c r="I71" i="3"/>
  <c r="K71" i="3"/>
  <c r="AE71" i="3" s="1"/>
  <c r="K51" i="3"/>
  <c r="AE51" i="3" s="1"/>
  <c r="I51" i="3"/>
  <c r="K120" i="3"/>
  <c r="AE120" i="3" s="1"/>
  <c r="I120" i="3"/>
  <c r="M120" i="3" s="1"/>
  <c r="I104" i="3"/>
  <c r="M104" i="3" s="1"/>
  <c r="K104" i="3"/>
  <c r="AE104" i="3" s="1"/>
  <c r="H51" i="3"/>
  <c r="J51" i="3"/>
  <c r="AD51" i="3" s="1"/>
  <c r="H23" i="3"/>
  <c r="J23" i="3"/>
  <c r="AD23" i="3" s="1"/>
  <c r="AC50" i="3" l="1"/>
  <c r="AC20" i="3"/>
  <c r="S14" i="1"/>
  <c r="T12" i="3" s="1"/>
  <c r="M29" i="3"/>
  <c r="M33" i="3"/>
  <c r="AC34" i="3"/>
  <c r="M26" i="3"/>
  <c r="L14" i="3"/>
  <c r="L25" i="3"/>
  <c r="AC15" i="3"/>
  <c r="AC19" i="3"/>
  <c r="AC45" i="3"/>
  <c r="AC29" i="3"/>
  <c r="AC55" i="3"/>
  <c r="AC60" i="3"/>
  <c r="AC65" i="3"/>
  <c r="AC44" i="3"/>
  <c r="AC58" i="3"/>
  <c r="AC49" i="3"/>
  <c r="AG50" i="3" s="1"/>
  <c r="AC77" i="3"/>
  <c r="AC66" i="3"/>
  <c r="AT30" i="3"/>
  <c r="M39" i="3"/>
  <c r="AC62" i="3"/>
  <c r="AC26" i="3"/>
  <c r="AC8" i="3"/>
  <c r="AC41" i="3"/>
  <c r="AC9" i="3"/>
  <c r="L10" i="3"/>
  <c r="AU18" i="3"/>
  <c r="M34" i="3"/>
  <c r="AC35" i="3"/>
  <c r="AC32" i="3"/>
  <c r="AC28" i="3"/>
  <c r="AC27" i="3"/>
  <c r="AP9" i="3"/>
  <c r="M44" i="3"/>
  <c r="AU54" i="3"/>
  <c r="AS54" i="3" s="1"/>
  <c r="AU49" i="3"/>
  <c r="AU63" i="3"/>
  <c r="M11" i="3"/>
  <c r="M87" i="3"/>
  <c r="AU28" i="3"/>
  <c r="AU77" i="3"/>
  <c r="AC11" i="3"/>
  <c r="AC24" i="3"/>
  <c r="AT40" i="3"/>
  <c r="AU53" i="3"/>
  <c r="M20" i="3"/>
  <c r="AT57" i="3"/>
  <c r="AC17" i="3"/>
  <c r="L24" i="3"/>
  <c r="M47" i="3"/>
  <c r="AC23" i="3"/>
  <c r="AA10" i="3"/>
  <c r="Z10" i="3" s="1"/>
  <c r="AC7" i="3"/>
  <c r="AG7" i="3" s="1"/>
  <c r="AC13" i="3"/>
  <c r="AQ10" i="3"/>
  <c r="AV10" i="3"/>
  <c r="AU7" i="3"/>
  <c r="AS7" i="3" s="1"/>
  <c r="AW7" i="3" s="1"/>
  <c r="AT70" i="3"/>
  <c r="AT89" i="3"/>
  <c r="AS89" i="3" s="1"/>
  <c r="M65" i="3"/>
  <c r="AT39" i="3"/>
  <c r="AS39" i="3" s="1"/>
  <c r="AU79" i="3"/>
  <c r="AC52" i="3"/>
  <c r="AC18" i="3"/>
  <c r="AC89" i="3"/>
  <c r="AT43" i="3"/>
  <c r="AC22" i="3"/>
  <c r="AC67" i="3"/>
  <c r="AC33" i="3"/>
  <c r="AT29" i="3"/>
  <c r="AS29" i="3" s="1"/>
  <c r="AT22" i="3"/>
  <c r="AS22" i="3" s="1"/>
  <c r="AC38" i="3"/>
  <c r="AC42" i="3"/>
  <c r="AC69" i="3"/>
  <c r="AC54" i="3"/>
  <c r="AC36" i="3"/>
  <c r="L16" i="3"/>
  <c r="AC43" i="3"/>
  <c r="AC59" i="3"/>
  <c r="AC83" i="3"/>
  <c r="L82" i="3"/>
  <c r="AC25" i="3"/>
  <c r="AU50" i="3"/>
  <c r="AC30" i="3"/>
  <c r="AU57" i="3"/>
  <c r="AS57" i="3" s="1"/>
  <c r="AC86" i="3"/>
  <c r="AS65" i="3"/>
  <c r="AU91" i="3"/>
  <c r="AS91" i="3" s="1"/>
  <c r="AC39" i="3"/>
  <c r="AC70" i="3"/>
  <c r="AT18" i="3"/>
  <c r="L36" i="3"/>
  <c r="AT53" i="3"/>
  <c r="AC48" i="3"/>
  <c r="M67" i="3"/>
  <c r="L45" i="3"/>
  <c r="AT66" i="3"/>
  <c r="AS33" i="3"/>
  <c r="AC75" i="3"/>
  <c r="L91" i="3"/>
  <c r="AT34" i="3"/>
  <c r="AS34" i="3" s="1"/>
  <c r="L86" i="3"/>
  <c r="AC10" i="3"/>
  <c r="Y12" i="19"/>
  <c r="X12" i="19"/>
  <c r="X73" i="19"/>
  <c r="Y73" i="19"/>
  <c r="AU88" i="3"/>
  <c r="AS88" i="3" s="1"/>
  <c r="M88" i="3"/>
  <c r="L33" i="3"/>
  <c r="AT58" i="3"/>
  <c r="AU40" i="3"/>
  <c r="X17" i="19"/>
  <c r="Y17" i="19"/>
  <c r="Y60" i="19"/>
  <c r="X60" i="19"/>
  <c r="L81" i="3"/>
  <c r="AT81" i="3"/>
  <c r="X101" i="19"/>
  <c r="Y101" i="19"/>
  <c r="Y81" i="19"/>
  <c r="X81" i="19"/>
  <c r="X80" i="19"/>
  <c r="Y80" i="19"/>
  <c r="Y28" i="19"/>
  <c r="X28" i="19"/>
  <c r="Y15" i="19"/>
  <c r="X15" i="19"/>
  <c r="AT46" i="3"/>
  <c r="Y72" i="19"/>
  <c r="X72" i="19"/>
  <c r="M19" i="3"/>
  <c r="AU19" i="3"/>
  <c r="Y54" i="19"/>
  <c r="X54" i="19"/>
  <c r="Y84" i="19"/>
  <c r="X84" i="19"/>
  <c r="X61" i="19"/>
  <c r="Y61" i="19"/>
  <c r="AC12" i="3"/>
  <c r="X29" i="19"/>
  <c r="Y29" i="19"/>
  <c r="Y26" i="19"/>
  <c r="X26" i="19"/>
  <c r="AC91" i="3"/>
  <c r="AG91" i="3" s="1"/>
  <c r="AT12" i="3"/>
  <c r="L68" i="3"/>
  <c r="AT68" i="3"/>
  <c r="Y78" i="19"/>
  <c r="X78" i="19"/>
  <c r="X65" i="19"/>
  <c r="Y65" i="19"/>
  <c r="AT85" i="3"/>
  <c r="L85" i="3"/>
  <c r="X50" i="19"/>
  <c r="Y50" i="19"/>
  <c r="AT61" i="3"/>
  <c r="L61" i="3"/>
  <c r="AU55" i="3"/>
  <c r="M55" i="3"/>
  <c r="AC76" i="3"/>
  <c r="AT28" i="3"/>
  <c r="X95" i="19"/>
  <c r="Y95" i="19"/>
  <c r="L8" i="3"/>
  <c r="AT8" i="3"/>
  <c r="X68" i="19"/>
  <c r="Y68" i="19"/>
  <c r="X49" i="19"/>
  <c r="Y49" i="19"/>
  <c r="Y63" i="19"/>
  <c r="X63" i="19"/>
  <c r="X83" i="19"/>
  <c r="Y83" i="19"/>
  <c r="L80" i="3"/>
  <c r="AT80" i="3"/>
  <c r="AT15" i="3"/>
  <c r="L15" i="3"/>
  <c r="AC64" i="3"/>
  <c r="M66" i="3"/>
  <c r="AU66" i="3"/>
  <c r="X77" i="19"/>
  <c r="Y77" i="19"/>
  <c r="X74" i="19"/>
  <c r="Y74" i="19"/>
  <c r="Y90" i="19"/>
  <c r="X90" i="19"/>
  <c r="Y14" i="19"/>
  <c r="X14" i="19"/>
  <c r="L20" i="3"/>
  <c r="AT20" i="3"/>
  <c r="AS20" i="3" s="1"/>
  <c r="Y87" i="19"/>
  <c r="X87" i="19"/>
  <c r="Y11" i="19"/>
  <c r="X11" i="19"/>
  <c r="AC56" i="3"/>
  <c r="AT19" i="3"/>
  <c r="X18" i="19"/>
  <c r="Y18" i="19"/>
  <c r="AC72" i="3"/>
  <c r="X62" i="19"/>
  <c r="Y62" i="19"/>
  <c r="X59" i="19"/>
  <c r="Y59" i="19"/>
  <c r="Y93" i="19"/>
  <c r="X93" i="19"/>
  <c r="Y96" i="19"/>
  <c r="X96" i="19"/>
  <c r="AT62" i="3"/>
  <c r="L62" i="3"/>
  <c r="Y41" i="19"/>
  <c r="X41" i="19"/>
  <c r="X55" i="19"/>
  <c r="Y55" i="19"/>
  <c r="AT78" i="3"/>
  <c r="X67" i="19"/>
  <c r="Y67" i="19"/>
  <c r="X94" i="19"/>
  <c r="Y94" i="19"/>
  <c r="X85" i="19"/>
  <c r="Y85" i="19"/>
  <c r="X88" i="19"/>
  <c r="Y88" i="19"/>
  <c r="Y99" i="19"/>
  <c r="X99" i="19"/>
  <c r="L9" i="3"/>
  <c r="AT9" i="3"/>
  <c r="AC47" i="3"/>
  <c r="AC74" i="3"/>
  <c r="X86" i="19"/>
  <c r="Y86" i="19"/>
  <c r="AS67" i="3"/>
  <c r="AT38" i="3"/>
  <c r="AT72" i="3"/>
  <c r="AT63" i="3"/>
  <c r="L63" i="3"/>
  <c r="Y66" i="19"/>
  <c r="X66" i="19"/>
  <c r="Y57" i="19"/>
  <c r="X57" i="19"/>
  <c r="Y39" i="19"/>
  <c r="X39" i="19"/>
  <c r="AU73" i="3"/>
  <c r="M73" i="3"/>
  <c r="X56" i="19"/>
  <c r="Y56" i="19"/>
  <c r="Y69" i="19"/>
  <c r="X69" i="19"/>
  <c r="X9" i="19"/>
  <c r="Y9" i="19"/>
  <c r="U10" i="19"/>
  <c r="U11" i="19" s="1"/>
  <c r="U12" i="19" s="1"/>
  <c r="U13" i="19" s="1"/>
  <c r="U14" i="19" s="1"/>
  <c r="U15" i="19" s="1"/>
  <c r="U16" i="19" s="1"/>
  <c r="U17" i="19" s="1"/>
  <c r="U18" i="19" s="1"/>
  <c r="U19" i="19" s="1"/>
  <c r="U20" i="19" s="1"/>
  <c r="U21" i="19" s="1"/>
  <c r="U22" i="19" s="1"/>
  <c r="U23" i="19" s="1"/>
  <c r="U24" i="19" s="1"/>
  <c r="U25" i="19" s="1"/>
  <c r="U26" i="19" s="1"/>
  <c r="U27" i="19" s="1"/>
  <c r="U28" i="19" s="1"/>
  <c r="U29" i="19" s="1"/>
  <c r="U30" i="19" s="1"/>
  <c r="U31" i="19" s="1"/>
  <c r="U32" i="19" s="1"/>
  <c r="U33" i="19" s="1"/>
  <c r="U34" i="19" s="1"/>
  <c r="U35" i="19" s="1"/>
  <c r="U36" i="19" s="1"/>
  <c r="U37" i="19" s="1"/>
  <c r="U38" i="19" s="1"/>
  <c r="U39" i="19" s="1"/>
  <c r="U40" i="19" s="1"/>
  <c r="U41" i="19" s="1"/>
  <c r="U42" i="19" s="1"/>
  <c r="U43" i="19" s="1"/>
  <c r="U44" i="19" s="1"/>
  <c r="U45" i="19" s="1"/>
  <c r="U46" i="19" s="1"/>
  <c r="U47" i="19" s="1"/>
  <c r="U48" i="19" s="1"/>
  <c r="U49" i="19" s="1"/>
  <c r="U50" i="19" s="1"/>
  <c r="U51" i="19" s="1"/>
  <c r="U52" i="19" s="1"/>
  <c r="U53" i="19" s="1"/>
  <c r="U54" i="19" s="1"/>
  <c r="U55" i="19" s="1"/>
  <c r="U56" i="19" s="1"/>
  <c r="U57" i="19" s="1"/>
  <c r="U58" i="19" s="1"/>
  <c r="U59" i="19" s="1"/>
  <c r="U60" i="19" s="1"/>
  <c r="U61" i="19" s="1"/>
  <c r="U62" i="19" s="1"/>
  <c r="U63" i="19" s="1"/>
  <c r="U64" i="19" s="1"/>
  <c r="U65" i="19" s="1"/>
  <c r="U66" i="19" s="1"/>
  <c r="U67" i="19" s="1"/>
  <c r="U68" i="19" s="1"/>
  <c r="U69" i="19" s="1"/>
  <c r="U70" i="19" s="1"/>
  <c r="U71" i="19" s="1"/>
  <c r="U72" i="19" s="1"/>
  <c r="U73" i="19" s="1"/>
  <c r="U74" i="19" s="1"/>
  <c r="U75" i="19" s="1"/>
  <c r="U76" i="19" s="1"/>
  <c r="U77" i="19" s="1"/>
  <c r="U78" i="19" s="1"/>
  <c r="U79" i="19" s="1"/>
  <c r="U80" i="19" s="1"/>
  <c r="U81" i="19" s="1"/>
  <c r="U82" i="19" s="1"/>
  <c r="U83" i="19" s="1"/>
  <c r="Y33" i="19"/>
  <c r="X33" i="19"/>
  <c r="M78" i="3"/>
  <c r="AU78" i="3"/>
  <c r="AC14" i="3"/>
  <c r="X64" i="19"/>
  <c r="Y64" i="19"/>
  <c r="X89" i="19"/>
  <c r="Y89" i="19"/>
  <c r="X97" i="19"/>
  <c r="Y97" i="19"/>
  <c r="M84" i="3"/>
  <c r="AU84" i="3"/>
  <c r="AB14" i="19"/>
  <c r="M35" i="3"/>
  <c r="AU35" i="3"/>
  <c r="M23" i="3"/>
  <c r="AU23" i="3"/>
  <c r="M45" i="3"/>
  <c r="AU45" i="3"/>
  <c r="L49" i="3"/>
  <c r="AT49" i="3"/>
  <c r="M8" i="3"/>
  <c r="AU8" i="3"/>
  <c r="M75" i="3"/>
  <c r="AU75" i="3"/>
  <c r="L13" i="3"/>
  <c r="AT13" i="3"/>
  <c r="L51" i="3"/>
  <c r="AT51" i="3"/>
  <c r="L37" i="3"/>
  <c r="AT37" i="3"/>
  <c r="M61" i="3"/>
  <c r="AU61" i="3"/>
  <c r="L47" i="3"/>
  <c r="AT47" i="3"/>
  <c r="AS47" i="3" s="1"/>
  <c r="M62" i="3"/>
  <c r="AU62" i="3"/>
  <c r="L11" i="3"/>
  <c r="AT11" i="3"/>
  <c r="AS11" i="3" s="1"/>
  <c r="M85" i="3"/>
  <c r="AU85" i="3"/>
  <c r="L77" i="3"/>
  <c r="AT77" i="3"/>
  <c r="L79" i="3"/>
  <c r="AT79" i="3"/>
  <c r="M31" i="3"/>
  <c r="AU31" i="3"/>
  <c r="M46" i="3"/>
  <c r="AU46" i="3"/>
  <c r="M21" i="3"/>
  <c r="AU21" i="3"/>
  <c r="M36" i="3"/>
  <c r="AU36" i="3"/>
  <c r="AS36" i="3" s="1"/>
  <c r="L50" i="3"/>
  <c r="AT50" i="3"/>
  <c r="M9" i="3"/>
  <c r="AU9" i="3"/>
  <c r="M58" i="3"/>
  <c r="AU58" i="3"/>
  <c r="L35" i="3"/>
  <c r="AT35" i="3"/>
  <c r="M80" i="3"/>
  <c r="AU80" i="3"/>
  <c r="L42" i="3"/>
  <c r="AT42" i="3"/>
  <c r="AS42" i="3" s="1"/>
  <c r="L55" i="3"/>
  <c r="AT55" i="3"/>
  <c r="L23" i="3"/>
  <c r="AT23" i="3"/>
  <c r="L75" i="3"/>
  <c r="AT75" i="3"/>
  <c r="L60" i="3"/>
  <c r="AT60" i="3"/>
  <c r="AS60" i="3" s="1"/>
  <c r="M30" i="3"/>
  <c r="AU30" i="3"/>
  <c r="M69" i="3"/>
  <c r="AU69" i="3"/>
  <c r="AS69" i="3" s="1"/>
  <c r="M32" i="3"/>
  <c r="AU32" i="3"/>
  <c r="M76" i="3"/>
  <c r="AU76" i="3"/>
  <c r="L87" i="3"/>
  <c r="AT87" i="3"/>
  <c r="M74" i="3"/>
  <c r="AU74" i="3"/>
  <c r="AS74" i="3" s="1"/>
  <c r="L84" i="3"/>
  <c r="AT84" i="3"/>
  <c r="M14" i="3"/>
  <c r="AU14" i="3"/>
  <c r="M25" i="3"/>
  <c r="AU25" i="3"/>
  <c r="L17" i="3"/>
  <c r="AT17" i="3"/>
  <c r="AS17" i="3" s="1"/>
  <c r="L48" i="3"/>
  <c r="AT48" i="3"/>
  <c r="M43" i="3"/>
  <c r="AU43" i="3"/>
  <c r="M81" i="3"/>
  <c r="AU81" i="3"/>
  <c r="L41" i="3"/>
  <c r="AT41" i="3"/>
  <c r="AS41" i="3" s="1"/>
  <c r="L83" i="3"/>
  <c r="AT83" i="3"/>
  <c r="AS83" i="3" s="1"/>
  <c r="L32" i="3"/>
  <c r="AT32" i="3"/>
  <c r="L44" i="3"/>
  <c r="AT44" i="3"/>
  <c r="AS44" i="3" s="1"/>
  <c r="M82" i="3"/>
  <c r="AU82" i="3"/>
  <c r="AS82" i="3" s="1"/>
  <c r="M16" i="3"/>
  <c r="AU16" i="3"/>
  <c r="AS16" i="3" s="1"/>
  <c r="M48" i="3"/>
  <c r="AU48" i="3"/>
  <c r="M27" i="3"/>
  <c r="AU27" i="3"/>
  <c r="L73" i="3"/>
  <c r="AT73" i="3"/>
  <c r="L27" i="3"/>
  <c r="AT27" i="3"/>
  <c r="L26" i="3"/>
  <c r="AT26" i="3"/>
  <c r="AS26" i="3" s="1"/>
  <c r="M12" i="3"/>
  <c r="AU12" i="3"/>
  <c r="M71" i="3"/>
  <c r="AU71" i="3"/>
  <c r="M64" i="3"/>
  <c r="AU64" i="3"/>
  <c r="AS64" i="3" s="1"/>
  <c r="M24" i="3"/>
  <c r="AU24" i="3"/>
  <c r="AS24" i="3" s="1"/>
  <c r="L52" i="3"/>
  <c r="AT52" i="3"/>
  <c r="M38" i="3"/>
  <c r="AU38" i="3"/>
  <c r="M10" i="3"/>
  <c r="AU10" i="3"/>
  <c r="AS10" i="3" s="1"/>
  <c r="L76" i="3"/>
  <c r="AT76" i="3"/>
  <c r="M90" i="3"/>
  <c r="AU90" i="3"/>
  <c r="M59" i="3"/>
  <c r="AU59" i="3"/>
  <c r="AS59" i="3" s="1"/>
  <c r="M72" i="3"/>
  <c r="AU72" i="3"/>
  <c r="L56" i="3"/>
  <c r="AT56" i="3"/>
  <c r="M70" i="3"/>
  <c r="AU70" i="3"/>
  <c r="M15" i="3"/>
  <c r="AU15" i="3"/>
  <c r="M51" i="3"/>
  <c r="AU51" i="3"/>
  <c r="M37" i="3"/>
  <c r="AU37" i="3"/>
  <c r="L21" i="3"/>
  <c r="AT21" i="3"/>
  <c r="M52" i="3"/>
  <c r="AU52" i="3"/>
  <c r="L71" i="3"/>
  <c r="AT71" i="3"/>
  <c r="M13" i="3"/>
  <c r="AU13" i="3"/>
  <c r="L31" i="3"/>
  <c r="AT31" i="3"/>
  <c r="M68" i="3"/>
  <c r="AU68" i="3"/>
  <c r="M86" i="3"/>
  <c r="AU86" i="3"/>
  <c r="AG90" i="3"/>
  <c r="AG88" i="3"/>
  <c r="AC37" i="3"/>
  <c r="AC51" i="3"/>
  <c r="AC16" i="3"/>
  <c r="AC71" i="3"/>
  <c r="AC46" i="3"/>
  <c r="AC21" i="3"/>
  <c r="AC82" i="3"/>
  <c r="AC79" i="3"/>
  <c r="AC40" i="3"/>
  <c r="AC31" i="3"/>
  <c r="AC53" i="3"/>
  <c r="AI14" i="3"/>
  <c r="K56" i="2"/>
  <c r="U10" i="3"/>
  <c r="Z12" i="1"/>
  <c r="T13" i="1"/>
  <c r="AB12" i="1"/>
  <c r="S10" i="3"/>
  <c r="R13" i="1"/>
  <c r="AF15" i="1"/>
  <c r="AG14" i="1"/>
  <c r="U13" i="1"/>
  <c r="AA12" i="1"/>
  <c r="V10" i="3"/>
  <c r="AC12" i="1"/>
  <c r="K15" i="2"/>
  <c r="K20" i="2"/>
  <c r="K18" i="2"/>
  <c r="K16" i="2"/>
  <c r="J130" i="3"/>
  <c r="K130" i="3"/>
  <c r="H130" i="3"/>
  <c r="I130" i="3"/>
  <c r="A1404" i="6"/>
  <c r="A862" i="9"/>
  <c r="S15" i="1" l="1"/>
  <c r="AG35" i="3"/>
  <c r="AS53" i="3"/>
  <c r="AS30" i="3"/>
  <c r="AS70" i="3"/>
  <c r="AS49" i="3"/>
  <c r="AS84" i="3"/>
  <c r="AS77" i="3"/>
  <c r="AS63" i="3"/>
  <c r="AS18" i="3"/>
  <c r="AS43" i="3"/>
  <c r="AS71" i="3"/>
  <c r="AS58" i="3"/>
  <c r="AS66" i="3"/>
  <c r="AS55" i="3"/>
  <c r="AS78" i="3"/>
  <c r="AG8" i="3"/>
  <c r="AG9" i="3" s="1"/>
  <c r="AG10" i="3" s="1"/>
  <c r="AG11" i="3" s="1"/>
  <c r="AG12" i="3" s="1"/>
  <c r="AG13" i="3" s="1"/>
  <c r="AG14" i="3" s="1"/>
  <c r="AG15" i="3" s="1"/>
  <c r="AG16" i="3" s="1"/>
  <c r="AG17" i="3" s="1"/>
  <c r="AG18" i="3" s="1"/>
  <c r="AG19" i="3" s="1"/>
  <c r="AG20" i="3" s="1"/>
  <c r="AG21" i="3" s="1"/>
  <c r="AG22" i="3" s="1"/>
  <c r="AG23" i="3" s="1"/>
  <c r="AG24" i="3" s="1"/>
  <c r="AG25" i="3" s="1"/>
  <c r="AG26" i="3" s="1"/>
  <c r="AG27" i="3" s="1"/>
  <c r="AG28" i="3" s="1"/>
  <c r="AG29" i="3" s="1"/>
  <c r="AG30" i="3" s="1"/>
  <c r="AG31" i="3" s="1"/>
  <c r="AG32" i="3" s="1"/>
  <c r="AG33" i="3" s="1"/>
  <c r="AG34" i="3" s="1"/>
  <c r="AS40" i="3"/>
  <c r="AG36" i="3"/>
  <c r="AG37" i="3" s="1"/>
  <c r="AG38" i="3" s="1"/>
  <c r="AG39" i="3" s="1"/>
  <c r="AG40" i="3" s="1"/>
  <c r="AG41" i="3" s="1"/>
  <c r="AG42" i="3" s="1"/>
  <c r="AG43" i="3" s="1"/>
  <c r="AG44" i="3" s="1"/>
  <c r="AG45" i="3" s="1"/>
  <c r="AG46" i="3" s="1"/>
  <c r="AG47" i="3" s="1"/>
  <c r="AG48" i="3" s="1"/>
  <c r="AG49" i="3" s="1"/>
  <c r="AS21" i="3"/>
  <c r="AS27" i="3"/>
  <c r="AS32" i="3"/>
  <c r="AS35" i="3"/>
  <c r="AS28" i="3"/>
  <c r="AP10" i="3"/>
  <c r="AG89" i="3"/>
  <c r="AS13" i="3"/>
  <c r="AS23" i="3"/>
  <c r="AS8" i="3"/>
  <c r="AW8" i="3" s="1"/>
  <c r="AQ11" i="3"/>
  <c r="AV11" i="3"/>
  <c r="AA11" i="3"/>
  <c r="Z11" i="3" s="1"/>
  <c r="AS37" i="3"/>
  <c r="AS31" i="3"/>
  <c r="AS46" i="3"/>
  <c r="AS76" i="3"/>
  <c r="AS81" i="3"/>
  <c r="AS75" i="3"/>
  <c r="AS38" i="3"/>
  <c r="AS72" i="3"/>
  <c r="AS9" i="3"/>
  <c r="AS68" i="3"/>
  <c r="AS19" i="3"/>
  <c r="AS25" i="3"/>
  <c r="AS73" i="3"/>
  <c r="AS48" i="3"/>
  <c r="AS51" i="3"/>
  <c r="AS85" i="3"/>
  <c r="AS15" i="3"/>
  <c r="AS14" i="3"/>
  <c r="AS50" i="3"/>
  <c r="AS79" i="3"/>
  <c r="AS45" i="3"/>
  <c r="AS80" i="3"/>
  <c r="AS56" i="3"/>
  <c r="AS52" i="3"/>
  <c r="AS62" i="3"/>
  <c r="U84" i="19"/>
  <c r="U85" i="19" s="1"/>
  <c r="U86" i="19" s="1"/>
  <c r="U87" i="19" s="1"/>
  <c r="U88" i="19" s="1"/>
  <c r="U89" i="19" s="1"/>
  <c r="U90" i="19" s="1"/>
  <c r="U91" i="19" s="1"/>
  <c r="U92" i="19" s="1"/>
  <c r="U93" i="19" s="1"/>
  <c r="U94" i="19" s="1"/>
  <c r="U95" i="19" s="1"/>
  <c r="AF7" i="19"/>
  <c r="AS12" i="3"/>
  <c r="AS61" i="3"/>
  <c r="AS86" i="3"/>
  <c r="AB15" i="19"/>
  <c r="L130" i="3"/>
  <c r="AG51" i="3"/>
  <c r="AG52" i="3" s="1"/>
  <c r="AG53" i="3" s="1"/>
  <c r="AG54" i="3" s="1"/>
  <c r="AG55" i="3" s="1"/>
  <c r="AG56" i="3" s="1"/>
  <c r="AI15" i="3"/>
  <c r="K57" i="2"/>
  <c r="R14" i="1"/>
  <c r="S11" i="3"/>
  <c r="Z13" i="1"/>
  <c r="AB13" i="1"/>
  <c r="U11" i="3"/>
  <c r="T14" i="1"/>
  <c r="AF16" i="1"/>
  <c r="AG15" i="1"/>
  <c r="U14" i="1"/>
  <c r="V11" i="3"/>
  <c r="AA13" i="1"/>
  <c r="AC13" i="1"/>
  <c r="K131" i="3"/>
  <c r="C131" i="3" s="1"/>
  <c r="J131" i="3"/>
  <c r="K14" i="2"/>
  <c r="K21" i="2"/>
  <c r="K19" i="2"/>
  <c r="K17" i="2"/>
  <c r="W5" i="6"/>
  <c r="W8" i="6"/>
  <c r="B14" i="2"/>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A863" i="9"/>
  <c r="I131" i="3"/>
  <c r="A1405" i="6"/>
  <c r="H131" i="3"/>
  <c r="T13" i="3"/>
  <c r="S16" i="1"/>
  <c r="AG81" i="3" l="1"/>
  <c r="AG82" i="3" s="1"/>
  <c r="AG83" i="3" s="1"/>
  <c r="AG84" i="3" s="1"/>
  <c r="AG85" i="3" s="1"/>
  <c r="AG86" i="3" s="1"/>
  <c r="AG57" i="3"/>
  <c r="AG58" i="3" s="1"/>
  <c r="AG59" i="3" s="1"/>
  <c r="AG60" i="3" s="1"/>
  <c r="AG61" i="3"/>
  <c r="AG62" i="3" s="1"/>
  <c r="AG63" i="3" s="1"/>
  <c r="AG64" i="3" s="1"/>
  <c r="AG65" i="3" s="1"/>
  <c r="AG66" i="3" s="1"/>
  <c r="AG67" i="3" s="1"/>
  <c r="AG68" i="3" s="1"/>
  <c r="AG69" i="3" s="1"/>
  <c r="AG70" i="3" s="1"/>
  <c r="AG71" i="3" s="1"/>
  <c r="AG72" i="3" s="1"/>
  <c r="AG73" i="3" s="1"/>
  <c r="AG74" i="3" s="1"/>
  <c r="AG75" i="3" s="1"/>
  <c r="AG76" i="3" s="1"/>
  <c r="AG77" i="3" s="1"/>
  <c r="AG78" i="3" s="1"/>
  <c r="AG79" i="3" s="1"/>
  <c r="AG80" i="3" s="1"/>
  <c r="AN3" i="3"/>
  <c r="M1" i="3"/>
  <c r="J132" i="3"/>
  <c r="B69" i="2"/>
  <c r="B70" i="2" s="1"/>
  <c r="B71" i="2" s="1"/>
  <c r="B72" i="2" s="1"/>
  <c r="B73" i="2" s="1"/>
  <c r="B74" i="2" s="1"/>
  <c r="B75" i="2" s="1"/>
  <c r="B76" i="2" s="1"/>
  <c r="B77" i="2" s="1"/>
  <c r="U96" i="19"/>
  <c r="U97" i="19" s="1"/>
  <c r="U98" i="19" s="1"/>
  <c r="U99" i="19" s="1"/>
  <c r="U100" i="19" s="1"/>
  <c r="U101" i="19" s="1"/>
  <c r="O4" i="19" s="1"/>
  <c r="AD7" i="19" s="1"/>
  <c r="P6" i="3"/>
  <c r="P4" i="3" s="1"/>
  <c r="Q4" i="19"/>
  <c r="J1" i="19" s="1"/>
  <c r="O6" i="3"/>
  <c r="O4" i="3" s="1"/>
  <c r="AP11" i="3"/>
  <c r="AW9" i="3"/>
  <c r="AW10" i="3" s="1"/>
  <c r="AW11" i="3" s="1"/>
  <c r="AA12" i="3"/>
  <c r="Z12" i="3" s="1"/>
  <c r="AH8" i="19"/>
  <c r="AK8" i="19" s="1"/>
  <c r="AE8" i="19"/>
  <c r="AF15" i="19"/>
  <c r="AF13" i="19"/>
  <c r="AH11" i="19"/>
  <c r="AK11" i="19" s="1"/>
  <c r="AF12" i="19"/>
  <c r="AQ12" i="3"/>
  <c r="AV12" i="3"/>
  <c r="AH7" i="19"/>
  <c r="AK7" i="19" s="1"/>
  <c r="AI8" i="19"/>
  <c r="AI9" i="19"/>
  <c r="AH10" i="19"/>
  <c r="AK10" i="19" s="1"/>
  <c r="AI11" i="19"/>
  <c r="AI12" i="19"/>
  <c r="AE7" i="19"/>
  <c r="AI7" i="19"/>
  <c r="AE12" i="19"/>
  <c r="AE10" i="19"/>
  <c r="AI10" i="19"/>
  <c r="AE15" i="19"/>
  <c r="AE13" i="19"/>
  <c r="M130" i="3"/>
  <c r="AF8" i="19"/>
  <c r="AB16" i="19"/>
  <c r="I132" i="3"/>
  <c r="AI16" i="3"/>
  <c r="K58" i="2"/>
  <c r="T15" i="1"/>
  <c r="Z14" i="1"/>
  <c r="AB14" i="1"/>
  <c r="U12" i="3"/>
  <c r="S12" i="3"/>
  <c r="R15" i="1"/>
  <c r="AF17" i="1"/>
  <c r="AG16" i="1"/>
  <c r="V12" i="3"/>
  <c r="U15" i="1"/>
  <c r="AC14" i="1"/>
  <c r="AA14" i="1"/>
  <c r="K132" i="3"/>
  <c r="H132" i="3"/>
  <c r="A1406" i="6"/>
  <c r="S17" i="1"/>
  <c r="T14" i="3"/>
  <c r="C78" i="2"/>
  <c r="C79" i="2" s="1"/>
  <c r="A864" i="9"/>
  <c r="AH15" i="19" l="1"/>
  <c r="AK15" i="19" s="1"/>
  <c r="AF10" i="19"/>
  <c r="AH9" i="19"/>
  <c r="AK9" i="19" s="1"/>
  <c r="AF14" i="19"/>
  <c r="AF16" i="19"/>
  <c r="AH14" i="19"/>
  <c r="AK14" i="19" s="1"/>
  <c r="AE9" i="19"/>
  <c r="AE14" i="19"/>
  <c r="AE11" i="19"/>
  <c r="AF9" i="19"/>
  <c r="AF11" i="19"/>
  <c r="AI15" i="19"/>
  <c r="AI14" i="19"/>
  <c r="AI13" i="19"/>
  <c r="AH13" i="19"/>
  <c r="AK13" i="19" s="1"/>
  <c r="AH12" i="19"/>
  <c r="AK12" i="19" s="1"/>
  <c r="B78" i="2"/>
  <c r="B79" i="2" s="1"/>
  <c r="B80" i="2" s="1"/>
  <c r="B81" i="2" s="1"/>
  <c r="B82" i="2" s="1"/>
  <c r="B83" i="2" s="1"/>
  <c r="B84" i="2" s="1"/>
  <c r="AE6" i="19"/>
  <c r="AF6" i="19"/>
  <c r="AI6" i="19"/>
  <c r="R4" i="19"/>
  <c r="AH6" i="19" s="1"/>
  <c r="AP12" i="3"/>
  <c r="AW12" i="3"/>
  <c r="AA13" i="3"/>
  <c r="Z13" i="3" s="1"/>
  <c r="AQ13" i="3"/>
  <c r="AV13" i="3"/>
  <c r="K4" i="19"/>
  <c r="AH16" i="19"/>
  <c r="AK16" i="19" s="1"/>
  <c r="AI16" i="19"/>
  <c r="AE16" i="19"/>
  <c r="R12" i="18"/>
  <c r="AB17" i="19"/>
  <c r="AI17" i="3"/>
  <c r="K59" i="2"/>
  <c r="R16" i="1"/>
  <c r="S13" i="3"/>
  <c r="U13" i="3"/>
  <c r="T16" i="1"/>
  <c r="Z15" i="1"/>
  <c r="AB15" i="1"/>
  <c r="AA15" i="1"/>
  <c r="AF18" i="1"/>
  <c r="AG17" i="1"/>
  <c r="U16" i="1"/>
  <c r="V13" i="3"/>
  <c r="AC15" i="1"/>
  <c r="C80" i="2"/>
  <c r="C81" i="2" s="1"/>
  <c r="C82" i="2" s="1"/>
  <c r="A1407" i="6"/>
  <c r="L1" i="2"/>
  <c r="AC1" i="19" s="1"/>
  <c r="S18" i="1"/>
  <c r="T15" i="3"/>
  <c r="A865" i="9"/>
  <c r="C3" i="18" l="1"/>
  <c r="M137" i="3" s="1" a="1"/>
  <c r="M137" i="3" s="1"/>
  <c r="C3" i="19"/>
  <c r="M136" i="3" s="1"/>
  <c r="B8" i="6"/>
  <c r="B9" i="6" s="1"/>
  <c r="K1" i="19"/>
  <c r="AA14" i="3"/>
  <c r="D3" i="19"/>
  <c r="Z14" i="3"/>
  <c r="AP13" i="3"/>
  <c r="AW13" i="3"/>
  <c r="AQ14" i="3"/>
  <c r="AV14" i="3"/>
  <c r="AF17" i="19"/>
  <c r="AE17" i="19"/>
  <c r="AH17" i="19"/>
  <c r="AK17" i="19" s="1"/>
  <c r="AI17" i="19"/>
  <c r="AB18" i="19"/>
  <c r="AI18" i="3"/>
  <c r="K60" i="2"/>
  <c r="Z16" i="1"/>
  <c r="U14" i="3"/>
  <c r="T17" i="1"/>
  <c r="AB16" i="1"/>
  <c r="R17" i="1"/>
  <c r="S14" i="3"/>
  <c r="AF19" i="1"/>
  <c r="AG18" i="1"/>
  <c r="AA16" i="1"/>
  <c r="U17" i="1"/>
  <c r="AC16" i="1"/>
  <c r="V14" i="3"/>
  <c r="T16" i="3"/>
  <c r="S19" i="1"/>
  <c r="U571" i="6"/>
  <c r="A866" i="9"/>
  <c r="C83" i="2"/>
  <c r="A1408" i="6"/>
  <c r="Q137" i="3" l="1"/>
  <c r="P137" i="3" s="1"/>
  <c r="K137" i="3" s="1"/>
  <c r="Q136" i="3"/>
  <c r="P136" i="3" s="1"/>
  <c r="K136" i="3" s="1"/>
  <c r="I8" i="6"/>
  <c r="J8" i="6" s="1"/>
  <c r="K8" i="6" s="1"/>
  <c r="H8" i="6"/>
  <c r="B4" i="6"/>
  <c r="Y8" i="6" s="1"/>
  <c r="Y9" i="6" s="1"/>
  <c r="Y10" i="6" s="1"/>
  <c r="D8" i="6"/>
  <c r="C8" i="6"/>
  <c r="AP14" i="3"/>
  <c r="AA15" i="3"/>
  <c r="Z15" i="3" s="1"/>
  <c r="AW14" i="3"/>
  <c r="AQ15" i="3"/>
  <c r="AV15" i="3"/>
  <c r="AF18" i="19"/>
  <c r="AH18" i="19"/>
  <c r="AK18" i="19" s="1"/>
  <c r="AE18" i="19"/>
  <c r="AI18" i="19"/>
  <c r="AB19" i="19"/>
  <c r="AI19" i="3"/>
  <c r="K61" i="2"/>
  <c r="U989" i="6"/>
  <c r="R18" i="1"/>
  <c r="S15" i="3"/>
  <c r="Z17" i="1"/>
  <c r="AB17" i="1"/>
  <c r="T18" i="1"/>
  <c r="U15" i="3"/>
  <c r="AF20" i="1"/>
  <c r="AG19" i="1"/>
  <c r="U74" i="6"/>
  <c r="U383" i="6"/>
  <c r="U727" i="6"/>
  <c r="U1285" i="6"/>
  <c r="AC17" i="1"/>
  <c r="AA17" i="1"/>
  <c r="U18" i="1"/>
  <c r="V15" i="3"/>
  <c r="T900" i="6"/>
  <c r="U252" i="6"/>
  <c r="U57" i="6"/>
  <c r="T480" i="6"/>
  <c r="T135" i="6"/>
  <c r="U327" i="6"/>
  <c r="T1335" i="6"/>
  <c r="T625" i="6"/>
  <c r="T434" i="6"/>
  <c r="U96" i="6"/>
  <c r="T1104" i="6"/>
  <c r="U470" i="6"/>
  <c r="U1096" i="6"/>
  <c r="T906" i="6"/>
  <c r="U134" i="6"/>
  <c r="U803" i="6"/>
  <c r="T1378" i="6"/>
  <c r="T43" i="6"/>
  <c r="U1259" i="6"/>
  <c r="U386" i="6"/>
  <c r="T896" i="6"/>
  <c r="U728" i="6"/>
  <c r="T1185" i="6"/>
  <c r="T17" i="6"/>
  <c r="U234" i="6"/>
  <c r="T119" i="6"/>
  <c r="U1139" i="6"/>
  <c r="T59" i="6"/>
  <c r="T312" i="6"/>
  <c r="T311" i="6"/>
  <c r="U233" i="6"/>
  <c r="T513" i="6"/>
  <c r="U1266" i="6"/>
  <c r="U444" i="6"/>
  <c r="T538" i="6"/>
  <c r="U1106" i="6"/>
  <c r="U964" i="6"/>
  <c r="U1136" i="6"/>
  <c r="U887" i="6"/>
  <c r="T1032" i="6"/>
  <c r="U211" i="6"/>
  <c r="U427" i="6"/>
  <c r="U309" i="6"/>
  <c r="T638" i="6"/>
  <c r="T637" i="6"/>
  <c r="T1284" i="6"/>
  <c r="T281" i="6"/>
  <c r="T471" i="6"/>
  <c r="T150" i="6"/>
  <c r="T248" i="6"/>
  <c r="U1081" i="6"/>
  <c r="T921" i="6"/>
  <c r="U1212" i="6"/>
  <c r="U374" i="6"/>
  <c r="T705" i="6"/>
  <c r="T230" i="6"/>
  <c r="T61" i="6"/>
  <c r="U923" i="6"/>
  <c r="T441" i="6"/>
  <c r="T384" i="6"/>
  <c r="U1108" i="6"/>
  <c r="U16" i="6"/>
  <c r="U342" i="6"/>
  <c r="T1128" i="6"/>
  <c r="U1140" i="6"/>
  <c r="T727" i="6"/>
  <c r="U1180" i="6"/>
  <c r="T920" i="6"/>
  <c r="U909" i="6"/>
  <c r="T137" i="6"/>
  <c r="T817" i="6"/>
  <c r="U1281" i="6"/>
  <c r="U270" i="6"/>
  <c r="U290" i="6"/>
  <c r="T1240" i="6"/>
  <c r="U566" i="6"/>
  <c r="U1029" i="6"/>
  <c r="T593" i="6"/>
  <c r="U851" i="6"/>
  <c r="U1332" i="6"/>
  <c r="U360" i="6"/>
  <c r="T193" i="6"/>
  <c r="U1286" i="6"/>
  <c r="T1120" i="6"/>
  <c r="T698" i="6"/>
  <c r="T565" i="6"/>
  <c r="U661" i="6"/>
  <c r="T400" i="6"/>
  <c r="T52" i="6"/>
  <c r="T1038" i="6"/>
  <c r="U537" i="6"/>
  <c r="U1142" i="6"/>
  <c r="T527" i="6"/>
  <c r="U1188" i="6"/>
  <c r="T857" i="6"/>
  <c r="T866" i="6"/>
  <c r="U132" i="6"/>
  <c r="U404" i="6"/>
  <c r="U430" i="6"/>
  <c r="U678" i="6"/>
  <c r="T654" i="6"/>
  <c r="U905" i="6"/>
  <c r="T949" i="6"/>
  <c r="U1227" i="6"/>
  <c r="U565" i="6"/>
  <c r="U1251" i="6"/>
  <c r="T696" i="6"/>
  <c r="U263" i="6"/>
  <c r="T816" i="6"/>
  <c r="T552" i="6"/>
  <c r="T1278" i="6"/>
  <c r="T789" i="6"/>
  <c r="U98" i="6"/>
  <c r="U587" i="6"/>
  <c r="T611" i="6"/>
  <c r="U1250" i="6"/>
  <c r="T1405" i="6"/>
  <c r="T1103" i="6"/>
  <c r="T584" i="6"/>
  <c r="T610" i="6"/>
  <c r="T121" i="6"/>
  <c r="T673" i="6"/>
  <c r="U767" i="6"/>
  <c r="U66" i="6"/>
  <c r="T403" i="6"/>
  <c r="U628" i="6"/>
  <c r="U232" i="6"/>
  <c r="U907" i="6"/>
  <c r="U746" i="6"/>
  <c r="T454" i="6"/>
  <c r="U1103" i="6"/>
  <c r="T152" i="6"/>
  <c r="U13" i="6"/>
  <c r="U359" i="6"/>
  <c r="U1063" i="6"/>
  <c r="U1158" i="6"/>
  <c r="T992" i="6"/>
  <c r="U1244" i="6"/>
  <c r="U1143" i="6"/>
  <c r="U70" i="6"/>
  <c r="U883" i="6"/>
  <c r="T367" i="6"/>
  <c r="T585" i="6"/>
  <c r="T251" i="6"/>
  <c r="U361" i="6"/>
  <c r="U1165" i="6"/>
  <c r="U1230" i="6"/>
  <c r="T996" i="6"/>
  <c r="U133" i="6"/>
  <c r="T1268" i="6"/>
  <c r="T598" i="6"/>
  <c r="T826" i="6"/>
  <c r="U598" i="6"/>
  <c r="U816" i="6"/>
  <c r="U645" i="6"/>
  <c r="T423" i="6"/>
  <c r="U980" i="6"/>
  <c r="T433" i="6"/>
  <c r="U1157" i="6"/>
  <c r="U525" i="6"/>
  <c r="T1080" i="6"/>
  <c r="U1097" i="6"/>
  <c r="U1077" i="6"/>
  <c r="U92" i="6"/>
  <c r="U341" i="6"/>
  <c r="T1379" i="6"/>
  <c r="U1156" i="6"/>
  <c r="T1022" i="6"/>
  <c r="T976" i="6"/>
  <c r="T416" i="6"/>
  <c r="T974" i="6"/>
  <c r="T998" i="6"/>
  <c r="T702" i="6"/>
  <c r="T189" i="6"/>
  <c r="U817" i="6"/>
  <c r="T322" i="6"/>
  <c r="T747" i="6"/>
  <c r="U370" i="6"/>
  <c r="T226" i="6"/>
  <c r="U759" i="6"/>
  <c r="U1272" i="6"/>
  <c r="U524" i="6"/>
  <c r="U859" i="6"/>
  <c r="T373" i="6"/>
  <c r="T147" i="6"/>
  <c r="U39" i="6"/>
  <c r="T626" i="6"/>
  <c r="U952" i="6"/>
  <c r="U510" i="6"/>
  <c r="T946" i="6"/>
  <c r="U547" i="6"/>
  <c r="U986" i="6"/>
  <c r="T404" i="6"/>
  <c r="U266" i="6"/>
  <c r="T486" i="6"/>
  <c r="U431" i="6"/>
  <c r="U564" i="6"/>
  <c r="T188" i="6"/>
  <c r="T1292" i="6"/>
  <c r="U1173" i="6"/>
  <c r="U961" i="6"/>
  <c r="U152" i="6"/>
  <c r="U493" i="6"/>
  <c r="T402" i="6"/>
  <c r="U1110" i="6"/>
  <c r="U1187" i="6"/>
  <c r="U1396" i="6"/>
  <c r="U1305" i="6"/>
  <c r="U91" i="6"/>
  <c r="T773" i="6"/>
  <c r="U971" i="6"/>
  <c r="T786" i="6"/>
  <c r="T267" i="6"/>
  <c r="T276" i="6"/>
  <c r="T179" i="6"/>
  <c r="T547" i="6"/>
  <c r="T426" i="6"/>
  <c r="T1076" i="6"/>
  <c r="U175" i="6"/>
  <c r="U294" i="6"/>
  <c r="T1053" i="6"/>
  <c r="U713" i="6"/>
  <c r="T1226" i="6"/>
  <c r="T1037" i="6"/>
  <c r="U334" i="6"/>
  <c r="T1235" i="6"/>
  <c r="U407" i="6"/>
  <c r="T958" i="6"/>
  <c r="U936" i="6"/>
  <c r="T1012" i="6"/>
  <c r="U993" i="6"/>
  <c r="T1097" i="6"/>
  <c r="U1192" i="6"/>
  <c r="U1292" i="6"/>
  <c r="T1015" i="6"/>
  <c r="U376" i="6"/>
  <c r="T347" i="6"/>
  <c r="U281" i="6"/>
  <c r="U17" i="6"/>
  <c r="T1299" i="6"/>
  <c r="U692" i="6"/>
  <c r="T623" i="6"/>
  <c r="T1155" i="6"/>
  <c r="U1216" i="6"/>
  <c r="T339" i="6"/>
  <c r="U1265" i="6"/>
  <c r="U530" i="6"/>
  <c r="T11" i="6"/>
  <c r="T556" i="6"/>
  <c r="U180" i="6"/>
  <c r="U149" i="6"/>
  <c r="T376" i="6"/>
  <c r="U976" i="6"/>
  <c r="U1236" i="6"/>
  <c r="T1370" i="6"/>
  <c r="T751" i="6"/>
  <c r="U589" i="6"/>
  <c r="U316" i="6"/>
  <c r="T379" i="6"/>
  <c r="T377" i="6"/>
  <c r="U581" i="6"/>
  <c r="U1018" i="6"/>
  <c r="U981" i="6"/>
  <c r="U788" i="6"/>
  <c r="U78" i="6"/>
  <c r="U992" i="6"/>
  <c r="T1260" i="6"/>
  <c r="T500" i="6"/>
  <c r="T36" i="6"/>
  <c r="T764" i="6"/>
  <c r="T645" i="6"/>
  <c r="T559" i="6"/>
  <c r="T1302" i="6"/>
  <c r="U1176" i="6"/>
  <c r="T1274" i="6"/>
  <c r="U710" i="6"/>
  <c r="U1154" i="6"/>
  <c r="U362" i="6"/>
  <c r="T123" i="6"/>
  <c r="U492" i="6"/>
  <c r="T1298" i="6"/>
  <c r="T1293" i="6"/>
  <c r="T1159" i="6"/>
  <c r="T505" i="6"/>
  <c r="T144" i="6"/>
  <c r="T50" i="6"/>
  <c r="U516" i="6"/>
  <c r="T966" i="6"/>
  <c r="U747" i="6"/>
  <c r="U396" i="6"/>
  <c r="U1126" i="6"/>
  <c r="T951" i="6"/>
  <c r="U501" i="6"/>
  <c r="T846" i="6"/>
  <c r="U602" i="6"/>
  <c r="T103" i="6"/>
  <c r="T1384" i="6"/>
  <c r="U667" i="6"/>
  <c r="T954" i="6"/>
  <c r="U349" i="6"/>
  <c r="T1126" i="6"/>
  <c r="U605" i="6"/>
  <c r="T693" i="6"/>
  <c r="U65" i="6"/>
  <c r="U838" i="6"/>
  <c r="T360" i="6"/>
  <c r="T1186" i="6"/>
  <c r="U998" i="6"/>
  <c r="U885" i="6"/>
  <c r="U426" i="6"/>
  <c r="T1074" i="6"/>
  <c r="T422" i="6"/>
  <c r="U1092" i="6"/>
  <c r="T1073" i="6"/>
  <c r="T1398" i="6"/>
  <c r="T1347" i="6"/>
  <c r="T1036" i="6"/>
  <c r="T136" i="6"/>
  <c r="T784" i="6"/>
  <c r="T881" i="6"/>
  <c r="U1307" i="6"/>
  <c r="U1403" i="6"/>
  <c r="T288" i="6"/>
  <c r="U1164" i="6"/>
  <c r="U478" i="6"/>
  <c r="U1004" i="6"/>
  <c r="U1346" i="6"/>
  <c r="T680" i="6"/>
  <c r="T662" i="6"/>
  <c r="T474" i="6"/>
  <c r="T621" i="6"/>
  <c r="U442" i="6"/>
  <c r="T79" i="6"/>
  <c r="U776" i="6"/>
  <c r="T568" i="6"/>
  <c r="T297" i="6"/>
  <c r="T291" i="6"/>
  <c r="T609" i="6"/>
  <c r="T446" i="6"/>
  <c r="U1279" i="6"/>
  <c r="T233" i="6"/>
  <c r="U567" i="6"/>
  <c r="T1388" i="6"/>
  <c r="T452" i="6"/>
  <c r="T349" i="6"/>
  <c r="U1047" i="6"/>
  <c r="U551" i="6"/>
  <c r="U748" i="6"/>
  <c r="T904" i="6"/>
  <c r="T124" i="6"/>
  <c r="T1111" i="6"/>
  <c r="T690" i="6"/>
  <c r="T264" i="6"/>
  <c r="T1325" i="6"/>
  <c r="T350" i="6"/>
  <c r="U299" i="6"/>
  <c r="U1280" i="6"/>
  <c r="T301" i="6"/>
  <c r="T1129" i="6"/>
  <c r="U1355" i="6"/>
  <c r="T1305" i="6"/>
  <c r="T684" i="6"/>
  <c r="T1265" i="6"/>
  <c r="T382" i="6"/>
  <c r="U1336" i="6"/>
  <c r="U1109" i="6"/>
  <c r="U53" i="6"/>
  <c r="T674" i="6"/>
  <c r="T388" i="6"/>
  <c r="T1196" i="6"/>
  <c r="U762" i="6"/>
  <c r="T241" i="6"/>
  <c r="U954" i="6"/>
  <c r="T603" i="6"/>
  <c r="T187" i="6"/>
  <c r="T683" i="6"/>
  <c r="U60" i="6"/>
  <c r="T206" i="6"/>
  <c r="T1034" i="6"/>
  <c r="T901" i="6"/>
  <c r="U582" i="6"/>
  <c r="U782" i="6"/>
  <c r="T409" i="6"/>
  <c r="T1054" i="6"/>
  <c r="T365" i="6"/>
  <c r="U1225" i="6"/>
  <c r="U136" i="6"/>
  <c r="T1165" i="6"/>
  <c r="T694" i="6"/>
  <c r="T555" i="6"/>
  <c r="T1352" i="6"/>
  <c r="U303" i="6"/>
  <c r="U888" i="6"/>
  <c r="T536" i="6"/>
  <c r="U902" i="6"/>
  <c r="T1039" i="6"/>
  <c r="T227" i="6"/>
  <c r="T574" i="6"/>
  <c r="T733" i="6"/>
  <c r="U558" i="6"/>
  <c r="T1027" i="6"/>
  <c r="U1118" i="6"/>
  <c r="U1330" i="6"/>
  <c r="U373" i="6"/>
  <c r="U1013" i="6"/>
  <c r="T1092" i="6"/>
  <c r="T177" i="6"/>
  <c r="T635" i="6"/>
  <c r="U462" i="6"/>
  <c r="T975" i="6"/>
  <c r="U235" i="6"/>
  <c r="U789" i="6"/>
  <c r="T993" i="6"/>
  <c r="U415" i="6"/>
  <c r="U1031" i="6"/>
  <c r="U529" i="6"/>
  <c r="U1068" i="6"/>
  <c r="T967" i="6"/>
  <c r="T1317" i="6"/>
  <c r="U523" i="6"/>
  <c r="T955" i="6"/>
  <c r="T171" i="6"/>
  <c r="T631" i="6"/>
  <c r="U476" i="6"/>
  <c r="T831" i="6"/>
  <c r="U160" i="6"/>
  <c r="T825" i="6"/>
  <c r="U1049" i="6"/>
  <c r="U722" i="6"/>
  <c r="T524" i="6"/>
  <c r="U1387" i="6"/>
  <c r="T166" i="6"/>
  <c r="T580" i="6"/>
  <c r="T1374" i="6"/>
  <c r="T38" i="6"/>
  <c r="T477" i="6"/>
  <c r="U1131" i="6"/>
  <c r="U154" i="6"/>
  <c r="U1313" i="6"/>
  <c r="T1118" i="6"/>
  <c r="T1081" i="6"/>
  <c r="T499" i="6"/>
  <c r="T1102" i="6"/>
  <c r="T1296" i="6"/>
  <c r="T110" i="6"/>
  <c r="T46" i="6"/>
  <c r="U1185" i="6"/>
  <c r="U104" i="6"/>
  <c r="U506" i="6"/>
  <c r="U569" i="6"/>
  <c r="U1221" i="6"/>
  <c r="U607" i="6"/>
  <c r="U963" i="6"/>
  <c r="U36" i="6"/>
  <c r="U1359" i="6"/>
  <c r="U502" i="6"/>
  <c r="U71" i="6"/>
  <c r="U398" i="6"/>
  <c r="T697" i="6"/>
  <c r="T63" i="6"/>
  <c r="U367" i="6"/>
  <c r="U245" i="6"/>
  <c r="T943" i="6"/>
  <c r="T1069" i="6"/>
  <c r="T795" i="6"/>
  <c r="T1139" i="6"/>
  <c r="T392" i="6"/>
  <c r="U1207" i="6"/>
  <c r="U779" i="6"/>
  <c r="U324" i="6"/>
  <c r="T1067" i="6"/>
  <c r="T16" i="6"/>
  <c r="U114" i="6"/>
  <c r="T320" i="6"/>
  <c r="T602" i="6"/>
  <c r="T836" i="6"/>
  <c r="T1351" i="6"/>
  <c r="U1229" i="6"/>
  <c r="U1293" i="6"/>
  <c r="U655" i="6"/>
  <c r="T757" i="6"/>
  <c r="U1199" i="6"/>
  <c r="T1050" i="6"/>
  <c r="U812" i="6"/>
  <c r="T1154" i="6"/>
  <c r="T839" i="6"/>
  <c r="T994" i="6"/>
  <c r="T191" i="6"/>
  <c r="T497" i="6"/>
  <c r="U368" i="6"/>
  <c r="T305" i="6"/>
  <c r="T924" i="6"/>
  <c r="T1166" i="6"/>
  <c r="U1321" i="6"/>
  <c r="U8" i="6"/>
  <c r="U45" i="6"/>
  <c r="T1272" i="6"/>
  <c r="T506" i="6"/>
  <c r="T1093" i="6"/>
  <c r="T104" i="6"/>
  <c r="U1273" i="6"/>
  <c r="T449" i="6"/>
  <c r="T1369" i="6"/>
  <c r="T308" i="6"/>
  <c r="T1239" i="6"/>
  <c r="U665" i="6"/>
  <c r="U305" i="6"/>
  <c r="T1241" i="6"/>
  <c r="T871" i="6"/>
  <c r="U616" i="6"/>
  <c r="U563" i="6"/>
  <c r="T1148" i="6"/>
  <c r="U148" i="6"/>
  <c r="T201" i="6"/>
  <c r="U604" i="6"/>
  <c r="T1319" i="6"/>
  <c r="U1301" i="6"/>
  <c r="U668" i="6"/>
  <c r="U1312" i="6"/>
  <c r="U1145" i="6"/>
  <c r="U1378" i="6"/>
  <c r="U1289" i="6"/>
  <c r="U1389" i="6"/>
  <c r="T1184" i="6"/>
  <c r="U801" i="6"/>
  <c r="U1357" i="6"/>
  <c r="U328" i="6"/>
  <c r="U186" i="6"/>
  <c r="T874" i="6"/>
  <c r="T34" i="6"/>
  <c r="T398" i="6"/>
  <c r="T292" i="6"/>
  <c r="U621" i="6"/>
  <c r="T783" i="6"/>
  <c r="U1394" i="6"/>
  <c r="U116" i="6"/>
  <c r="U910" i="6"/>
  <c r="U690" i="6"/>
  <c r="U93" i="6"/>
  <c r="T838" i="6"/>
  <c r="T242" i="6"/>
  <c r="T198" i="6"/>
  <c r="T215" i="6"/>
  <c r="U802" i="6"/>
  <c r="U482" i="6"/>
  <c r="T443" i="6"/>
  <c r="T550" i="6"/>
  <c r="U1297" i="6"/>
  <c r="U651" i="6"/>
  <c r="U866" i="6"/>
  <c r="T516" i="6"/>
  <c r="T1255" i="6"/>
  <c r="T165" i="6"/>
  <c r="U338" i="6"/>
  <c r="U1181" i="6"/>
  <c r="T1389" i="6"/>
  <c r="U210" i="6"/>
  <c r="T539" i="6"/>
  <c r="T126" i="6"/>
  <c r="T219" i="6"/>
  <c r="U125" i="6"/>
  <c r="T746" i="6"/>
  <c r="T1075" i="6"/>
  <c r="U1243" i="6"/>
  <c r="U422" i="6"/>
  <c r="U51" i="6"/>
  <c r="U552" i="6"/>
  <c r="T1245" i="6"/>
  <c r="T790" i="6"/>
  <c r="U618" i="6"/>
  <c r="U1339" i="6"/>
  <c r="U390" i="6"/>
  <c r="T1324" i="6"/>
  <c r="T214" i="6"/>
  <c r="T111" i="6"/>
  <c r="T1209" i="6"/>
  <c r="T507" i="6"/>
  <c r="U298" i="6"/>
  <c r="U1392" i="6"/>
  <c r="U742" i="6"/>
  <c r="U765" i="6"/>
  <c r="U1362" i="6"/>
  <c r="T1332" i="6"/>
  <c r="U731" i="6"/>
  <c r="U1174" i="6"/>
  <c r="U663" i="6"/>
  <c r="T1001" i="6"/>
  <c r="U319" i="6"/>
  <c r="U703" i="6"/>
  <c r="U471" i="6"/>
  <c r="U724" i="6"/>
  <c r="U1372" i="6"/>
  <c r="T912" i="6"/>
  <c r="U1144" i="6"/>
  <c r="U626" i="6"/>
  <c r="U198" i="6"/>
  <c r="U1036" i="6"/>
  <c r="U657" i="6"/>
  <c r="U179" i="6"/>
  <c r="U1247" i="6"/>
  <c r="U1340" i="6"/>
  <c r="T1100" i="6"/>
  <c r="T275" i="6"/>
  <c r="U274" i="6"/>
  <c r="U292" i="6"/>
  <c r="U105" i="6"/>
  <c r="U505" i="6"/>
  <c r="T380" i="6"/>
  <c r="T1280" i="6"/>
  <c r="T1197" i="6"/>
  <c r="T1344" i="6"/>
  <c r="T389" i="6"/>
  <c r="U751" i="6"/>
  <c r="T1291" i="6"/>
  <c r="U725" i="6"/>
  <c r="T1361" i="6"/>
  <c r="T1160" i="6"/>
  <c r="T677" i="6"/>
  <c r="U238" i="6"/>
  <c r="U364" i="6"/>
  <c r="U141" i="6"/>
  <c r="T258" i="6"/>
  <c r="U1053" i="6"/>
  <c r="T1063" i="6"/>
  <c r="T997" i="6"/>
  <c r="U454" i="6"/>
  <c r="T48" i="6"/>
  <c r="U949" i="6"/>
  <c r="U59" i="6"/>
  <c r="T576" i="6"/>
  <c r="T855" i="6"/>
  <c r="T1327" i="6"/>
  <c r="T641" i="6"/>
  <c r="U42" i="6"/>
  <c r="T1219" i="6"/>
  <c r="T1277" i="6"/>
  <c r="T155" i="6"/>
  <c r="T149" i="6"/>
  <c r="T1142" i="6"/>
  <c r="U296" i="6"/>
  <c r="T937" i="6"/>
  <c r="U1147" i="6"/>
  <c r="U815" i="6"/>
  <c r="T1042" i="6"/>
  <c r="T262" i="6"/>
  <c r="U358" i="6"/>
  <c r="T128" i="6"/>
  <c r="T352" i="6"/>
  <c r="T200" i="6"/>
  <c r="T277" i="6"/>
  <c r="U619" i="6"/>
  <c r="U797" i="6"/>
  <c r="U641" i="6"/>
  <c r="U241" i="6"/>
  <c r="T1358" i="6"/>
  <c r="U1152" i="6"/>
  <c r="U37" i="6"/>
  <c r="T73" i="6"/>
  <c r="T502" i="6"/>
  <c r="U934" i="6"/>
  <c r="T1264" i="6"/>
  <c r="T210" i="6"/>
  <c r="T202" i="6"/>
  <c r="U425" i="6"/>
  <c r="U729" i="6"/>
  <c r="U842" i="6"/>
  <c r="T615" i="6"/>
  <c r="U387" i="6"/>
  <c r="T1158" i="6"/>
  <c r="U223" i="6"/>
  <c r="T875" i="6"/>
  <c r="T112" i="6"/>
  <c r="U1022" i="6"/>
  <c r="U575" i="6"/>
  <c r="U795" i="6"/>
  <c r="T1138" i="6"/>
  <c r="U117" i="6"/>
  <c r="U595" i="6"/>
  <c r="T331" i="6"/>
  <c r="U1001" i="6"/>
  <c r="T1315" i="6"/>
  <c r="U487" i="6"/>
  <c r="T945" i="6"/>
  <c r="U22" i="6"/>
  <c r="U440" i="6"/>
  <c r="T835" i="6"/>
  <c r="T818" i="6"/>
  <c r="U251" i="6"/>
  <c r="T1297" i="6"/>
  <c r="U322" i="6"/>
  <c r="U755" i="6"/>
  <c r="U1060" i="6"/>
  <c r="T983" i="6"/>
  <c r="U147" i="6"/>
  <c r="U459" i="6"/>
  <c r="T632" i="6"/>
  <c r="T905" i="6"/>
  <c r="T80" i="6"/>
  <c r="T979" i="6"/>
  <c r="T1340" i="6"/>
  <c r="T1368" i="6"/>
  <c r="U102" i="6"/>
  <c r="T97" i="6"/>
  <c r="T880" i="6"/>
  <c r="U995" i="6"/>
  <c r="T232" i="6"/>
  <c r="T169" i="6"/>
  <c r="T843" i="6"/>
  <c r="T431" i="6"/>
  <c r="T381" i="6"/>
  <c r="U652" i="6"/>
  <c r="U711" i="6"/>
  <c r="U221" i="6"/>
  <c r="T94" i="6"/>
  <c r="T1357" i="6"/>
  <c r="U521" i="6"/>
  <c r="T270" i="6"/>
  <c r="U579" i="6"/>
  <c r="T158" i="6"/>
  <c r="T1192" i="6"/>
  <c r="T1376" i="6"/>
  <c r="T760" i="6"/>
  <c r="T735" i="6"/>
  <c r="U1178" i="6"/>
  <c r="U43" i="6"/>
  <c r="U1325" i="6"/>
  <c r="T319" i="6"/>
  <c r="U1135" i="6"/>
  <c r="U541" i="6"/>
  <c r="U1043" i="6"/>
  <c r="T706" i="6"/>
  <c r="T529" i="6"/>
  <c r="T1072" i="6"/>
  <c r="T932" i="6"/>
  <c r="U596" i="6"/>
  <c r="U1039" i="6"/>
  <c r="U800" i="6"/>
  <c r="U744" i="6"/>
  <c r="U983" i="6"/>
  <c r="T109" i="6"/>
  <c r="T752" i="6"/>
  <c r="U461" i="6"/>
  <c r="U169" i="6"/>
  <c r="U1344" i="6"/>
  <c r="U308" i="6"/>
  <c r="T1336" i="6"/>
  <c r="T583" i="6"/>
  <c r="T1178" i="6"/>
  <c r="T560" i="6"/>
  <c r="T1316" i="6"/>
  <c r="T1014" i="6"/>
  <c r="U841" i="6"/>
  <c r="T289" i="6"/>
  <c r="T561" i="6"/>
  <c r="T1061" i="6"/>
  <c r="T1175" i="6"/>
  <c r="U716" i="6"/>
  <c r="T1105" i="6"/>
  <c r="T68" i="6"/>
  <c r="T1221" i="6"/>
  <c r="U603" i="6"/>
  <c r="U977" i="6"/>
  <c r="T1182" i="6"/>
  <c r="T1131" i="6"/>
  <c r="T1246" i="6"/>
  <c r="T985" i="6"/>
  <c r="U611" i="6"/>
  <c r="U813" i="6"/>
  <c r="U931" i="6"/>
  <c r="T608" i="6"/>
  <c r="T315" i="6"/>
  <c r="U900" i="6"/>
  <c r="T304" i="6"/>
  <c r="U733" i="6"/>
  <c r="T205" i="6"/>
  <c r="U56" i="6"/>
  <c r="T1199" i="6"/>
  <c r="U560" i="6"/>
  <c r="U1310" i="6"/>
  <c r="U126" i="6"/>
  <c r="T1058" i="6"/>
  <c r="U302" i="6"/>
  <c r="T448" i="6"/>
  <c r="U769" i="6"/>
  <c r="T1356" i="6"/>
  <c r="U1356" i="6"/>
  <c r="T554" i="6"/>
  <c r="T374" i="6"/>
  <c r="T822" i="6"/>
  <c r="T84" i="6"/>
  <c r="T541" i="6"/>
  <c r="T844" i="6"/>
  <c r="T1342" i="6"/>
  <c r="U101" i="6"/>
  <c r="U1324" i="6"/>
  <c r="T933" i="6"/>
  <c r="T359" i="6"/>
  <c r="U1299" i="6"/>
  <c r="U247" i="6"/>
  <c r="T850" i="6"/>
  <c r="U1121" i="6"/>
  <c r="U555" i="6"/>
  <c r="T345" i="6"/>
  <c r="T643" i="6"/>
  <c r="U85" i="6"/>
  <c r="T719" i="6"/>
  <c r="T1308" i="6"/>
  <c r="U242" i="6"/>
  <c r="U171" i="6"/>
  <c r="T768" i="6"/>
  <c r="T300" i="6"/>
  <c r="U843" i="6"/>
  <c r="U656" i="6"/>
  <c r="T461" i="6"/>
  <c r="T1010" i="6"/>
  <c r="T1360" i="6"/>
  <c r="U1072" i="6"/>
  <c r="T1198" i="6"/>
  <c r="U44" i="6"/>
  <c r="U1218" i="6"/>
  <c r="U19" i="6"/>
  <c r="U350" i="6"/>
  <c r="U405" i="6"/>
  <c r="U222" i="6"/>
  <c r="T1220" i="6"/>
  <c r="U174" i="6"/>
  <c r="U212" i="6"/>
  <c r="U790" i="6"/>
  <c r="U88" i="6"/>
  <c r="U1398" i="6"/>
  <c r="U1083" i="6"/>
  <c r="U600" i="6"/>
  <c r="U83" i="6"/>
  <c r="U357" i="6"/>
  <c r="U1189" i="6"/>
  <c r="U702" i="6"/>
  <c r="T1244" i="6"/>
  <c r="T570" i="6"/>
  <c r="T991" i="6"/>
  <c r="U128" i="6"/>
  <c r="T472" i="6"/>
  <c r="U860" i="6"/>
  <c r="T926" i="6"/>
  <c r="U520" i="6"/>
  <c r="U805" i="6"/>
  <c r="U201" i="6"/>
  <c r="U640" i="6"/>
  <c r="U477" i="6"/>
  <c r="T478" i="6"/>
  <c r="U580" i="6"/>
  <c r="U1058" i="6"/>
  <c r="T1254" i="6"/>
  <c r="U1203" i="6"/>
  <c r="T488" i="6"/>
  <c r="U157" i="6"/>
  <c r="T82" i="6"/>
  <c r="U239" i="6"/>
  <c r="U18" i="6"/>
  <c r="T1281" i="6"/>
  <c r="U494" i="6"/>
  <c r="T72" i="6"/>
  <c r="U380" i="6"/>
  <c r="T1373" i="6"/>
  <c r="U583" i="6"/>
  <c r="T1163" i="6"/>
  <c r="T1304" i="6"/>
  <c r="T753" i="6"/>
  <c r="U1204" i="6"/>
  <c r="U58" i="6"/>
  <c r="U891" i="6"/>
  <c r="U1010" i="6"/>
  <c r="T837" i="6"/>
  <c r="T1242" i="6"/>
  <c r="U1302" i="6"/>
  <c r="T1055" i="6"/>
  <c r="U578" i="6"/>
  <c r="U366" i="6"/>
  <c r="T1025" i="6"/>
  <c r="T1248" i="6"/>
  <c r="T824" i="6"/>
  <c r="T77" i="6"/>
  <c r="U1007" i="6"/>
  <c r="U129" i="6"/>
  <c r="T257" i="6"/>
  <c r="U576" i="6"/>
  <c r="U267" i="6"/>
  <c r="U515" i="6"/>
  <c r="T18" i="6"/>
  <c r="U784" i="6"/>
  <c r="U206" i="6"/>
  <c r="U1038" i="6"/>
  <c r="U855" i="6"/>
  <c r="U355" i="6"/>
  <c r="T1191" i="6"/>
  <c r="U691" i="6"/>
  <c r="U1198" i="6"/>
  <c r="U445" i="6"/>
  <c r="T1152" i="6"/>
  <c r="T980" i="6"/>
  <c r="T457" i="6"/>
  <c r="U1303" i="6"/>
  <c r="U732" i="6"/>
  <c r="T146" i="6"/>
  <c r="U1261" i="6"/>
  <c r="U32" i="6"/>
  <c r="U1166" i="6"/>
  <c r="U1023" i="6"/>
  <c r="T651" i="6"/>
  <c r="U1037" i="6"/>
  <c r="T386" i="6"/>
  <c r="U768" i="6"/>
  <c r="U163" i="6"/>
  <c r="U1342" i="6"/>
  <c r="U1268" i="6"/>
  <c r="U526" i="6"/>
  <c r="U915" i="6"/>
  <c r="U254" i="6"/>
  <c r="U772" i="6"/>
  <c r="U808" i="6"/>
  <c r="T371" i="6"/>
  <c r="U1099" i="6"/>
  <c r="T101" i="6"/>
  <c r="T616" i="6"/>
  <c r="U617" i="6"/>
  <c r="U192" i="6"/>
  <c r="U1354" i="6"/>
  <c r="U979" i="6"/>
  <c r="U1213" i="6"/>
  <c r="T821" i="6"/>
  <c r="U912" i="6"/>
  <c r="U922" i="6"/>
  <c r="U196" i="6"/>
  <c r="U509" i="6"/>
  <c r="T618" i="6"/>
  <c r="T741" i="6"/>
  <c r="T793" i="6"/>
  <c r="T787" i="6"/>
  <c r="U1089" i="6"/>
  <c r="T385" i="6"/>
  <c r="T856" i="6"/>
  <c r="U257" i="6"/>
  <c r="T892" i="6"/>
  <c r="T1151" i="6"/>
  <c r="T869" i="6"/>
  <c r="T401" i="6"/>
  <c r="U1019" i="6"/>
  <c r="T42" i="6"/>
  <c r="T465" i="6"/>
  <c r="U740" i="6"/>
  <c r="T1168" i="6"/>
  <c r="U1304" i="6"/>
  <c r="T1002" i="6"/>
  <c r="T907" i="6"/>
  <c r="U642" i="6"/>
  <c r="U273" i="6"/>
  <c r="U1257" i="6"/>
  <c r="U624" i="6"/>
  <c r="U1027" i="6"/>
  <c r="T1395" i="6"/>
  <c r="T108" i="6"/>
  <c r="U215" i="6"/>
  <c r="T596" i="6"/>
  <c r="U749" i="6"/>
  <c r="U634" i="6"/>
  <c r="U1319" i="6"/>
  <c r="T1295" i="6"/>
  <c r="T734" i="6"/>
  <c r="U718" i="6"/>
  <c r="T430" i="6"/>
  <c r="U265" i="6"/>
  <c r="T1237" i="6"/>
  <c r="T656" i="6"/>
  <c r="T984" i="6"/>
  <c r="U1253" i="6"/>
  <c r="T1294" i="6"/>
  <c r="U1200" i="6"/>
  <c r="U75" i="6"/>
  <c r="T644" i="6"/>
  <c r="U1260" i="6"/>
  <c r="U1222" i="6"/>
  <c r="T743" i="6"/>
  <c r="T1137" i="6"/>
  <c r="T139" i="6"/>
  <c r="T238" i="6"/>
  <c r="U951" i="6"/>
  <c r="U1400" i="6"/>
  <c r="T167" i="6"/>
  <c r="T1403" i="6"/>
  <c r="T390" i="6"/>
  <c r="U1379" i="6"/>
  <c r="T493" i="6"/>
  <c r="T174" i="6"/>
  <c r="U570" i="6"/>
  <c r="T1204" i="6"/>
  <c r="T40" i="6"/>
  <c r="U511" i="6"/>
  <c r="T815" i="6"/>
  <c r="U300" i="6"/>
  <c r="T1338" i="6"/>
  <c r="U1066" i="6"/>
  <c r="U837" i="6"/>
  <c r="U939" i="6"/>
  <c r="U1125" i="6"/>
  <c r="U811" i="6"/>
  <c r="U236" i="6"/>
  <c r="T530" i="6"/>
  <c r="U372" i="6"/>
  <c r="U972" i="6"/>
  <c r="T648" i="6"/>
  <c r="T1359" i="6"/>
  <c r="U434" i="6"/>
  <c r="T700" i="6"/>
  <c r="T411" i="6"/>
  <c r="U35" i="6"/>
  <c r="T12" i="6"/>
  <c r="U830" i="6"/>
  <c r="U761" i="6"/>
  <c r="U892" i="6"/>
  <c r="T947" i="6"/>
  <c r="T950" i="6"/>
  <c r="T1085" i="6"/>
  <c r="T228" i="6"/>
  <c r="U216" i="6"/>
  <c r="U1146" i="6"/>
  <c r="T1200" i="6"/>
  <c r="U1391" i="6"/>
  <c r="T1060" i="6"/>
  <c r="U246" i="6"/>
  <c r="U608" i="6"/>
  <c r="U518" i="6"/>
  <c r="U165" i="6"/>
  <c r="T1306" i="6"/>
  <c r="U714" i="6"/>
  <c r="U543" i="6"/>
  <c r="T1057" i="6"/>
  <c r="T1339" i="6"/>
  <c r="T806" i="6"/>
  <c r="U468" i="6"/>
  <c r="T185" i="6"/>
  <c r="U399" i="6"/>
  <c r="T1372" i="6"/>
  <c r="U256" i="6"/>
  <c r="T1345" i="6"/>
  <c r="T138" i="6"/>
  <c r="U451" i="6"/>
  <c r="T74" i="6"/>
  <c r="T1023" i="6"/>
  <c r="T729" i="6"/>
  <c r="U1231" i="6"/>
  <c r="T414" i="6"/>
  <c r="U696" i="6"/>
  <c r="T794" i="6"/>
  <c r="T192" i="6"/>
  <c r="U356" i="6"/>
  <c r="U1352" i="6"/>
  <c r="U1073" i="6"/>
  <c r="T803" i="6"/>
  <c r="T406" i="6"/>
  <c r="T840" i="6"/>
  <c r="T813" i="6"/>
  <c r="T703" i="6"/>
  <c r="T178" i="6"/>
  <c r="T303" i="6"/>
  <c r="U1168" i="6"/>
  <c r="T535" i="6"/>
  <c r="T1313" i="6"/>
  <c r="U392" i="6"/>
  <c r="U1008" i="6"/>
  <c r="U1274" i="6"/>
  <c r="U1219" i="6"/>
  <c r="U881" i="6"/>
  <c r="T1033" i="6"/>
  <c r="U781" i="6"/>
  <c r="U637" i="6"/>
  <c r="T70" i="6"/>
  <c r="T33" i="6"/>
  <c r="T1285" i="6"/>
  <c r="T494" i="6"/>
  <c r="T391" i="6"/>
  <c r="U40" i="6"/>
  <c r="T1377" i="6"/>
  <c r="T650" i="6"/>
  <c r="T1179" i="6"/>
  <c r="U630" i="6"/>
  <c r="T1009" i="6"/>
  <c r="T393" i="6"/>
  <c r="U25" i="6"/>
  <c r="T1323" i="6"/>
  <c r="T884" i="6"/>
  <c r="U438" i="6"/>
  <c r="U957" i="6"/>
  <c r="T437" i="6"/>
  <c r="T1156" i="6"/>
  <c r="T355" i="6"/>
  <c r="U1206" i="6"/>
  <c r="T569" i="6"/>
  <c r="U870" i="6"/>
  <c r="U118" i="6"/>
  <c r="T701" i="6"/>
  <c r="T986" i="6"/>
  <c r="U1337" i="6"/>
  <c r="U609" i="6"/>
  <c r="U447" i="6"/>
  <c r="T181" i="6"/>
  <c r="U385" i="6"/>
  <c r="U393" i="6"/>
  <c r="T1136" i="6"/>
  <c r="U119" i="6"/>
  <c r="U906" i="6"/>
  <c r="U631" i="6"/>
  <c r="U503" i="6"/>
  <c r="U819" i="6"/>
  <c r="T1311" i="6"/>
  <c r="T1096" i="6"/>
  <c r="U1255" i="6"/>
  <c r="T962" i="6"/>
  <c r="T691" i="6"/>
  <c r="U1380" i="6"/>
  <c r="T249" i="6"/>
  <c r="U1190" i="6"/>
  <c r="T298" i="6"/>
  <c r="T931" i="6"/>
  <c r="T878" i="6"/>
  <c r="T808" i="6"/>
  <c r="U898" i="6"/>
  <c r="T13" i="6"/>
  <c r="T427" i="6"/>
  <c r="U400" i="6"/>
  <c r="U1161" i="6"/>
  <c r="T820" i="6"/>
  <c r="U896" i="6"/>
  <c r="T1035" i="6"/>
  <c r="U593" i="6"/>
  <c r="T758" i="6"/>
  <c r="U956" i="6"/>
  <c r="U1288" i="6"/>
  <c r="T282" i="6"/>
  <c r="T681" i="6"/>
  <c r="U646" i="6"/>
  <c r="U672" i="6"/>
  <c r="T1207" i="6"/>
  <c r="T470" i="6"/>
  <c r="U189" i="6"/>
  <c r="U21" i="6"/>
  <c r="U162" i="6"/>
  <c r="U11" i="6"/>
  <c r="T1066" i="6"/>
  <c r="U312" i="6"/>
  <c r="T1271" i="6"/>
  <c r="T1181" i="6"/>
  <c r="T1119" i="6"/>
  <c r="T287" i="6"/>
  <c r="T670" i="6"/>
  <c r="U1326" i="6"/>
  <c r="U103" i="6"/>
  <c r="U561" i="6"/>
  <c r="T196" i="6"/>
  <c r="T1331" i="6"/>
  <c r="T766" i="6"/>
  <c r="U304" i="6"/>
  <c r="T590" i="6"/>
  <c r="U913" i="6"/>
  <c r="T294" i="6"/>
  <c r="T1141" i="6"/>
  <c r="U353" i="6"/>
  <c r="U1122" i="6"/>
  <c r="T613" i="6"/>
  <c r="U822" i="6"/>
  <c r="U1331" i="6"/>
  <c r="T141" i="6"/>
  <c r="U1385" i="6"/>
  <c r="T307" i="6"/>
  <c r="U592" i="6"/>
  <c r="T225" i="6"/>
  <c r="T154" i="6"/>
  <c r="T716" i="6"/>
  <c r="U1119" i="6"/>
  <c r="U674" i="6"/>
  <c r="T988" i="6"/>
  <c r="T847" i="6"/>
  <c r="T1048" i="6"/>
  <c r="T1251" i="6"/>
  <c r="T186" i="6"/>
  <c r="T953" i="6"/>
  <c r="T1407" i="6"/>
  <c r="T910" i="6"/>
  <c r="U490" i="6"/>
  <c r="U1000" i="6"/>
  <c r="T399" i="6"/>
  <c r="T1045" i="6"/>
  <c r="U498" i="6"/>
  <c r="T1346" i="6"/>
  <c r="U1327" i="6"/>
  <c r="T715" i="6"/>
  <c r="T919" i="6"/>
  <c r="T220" i="6"/>
  <c r="T250" i="6"/>
  <c r="U1017" i="6"/>
  <c r="T15" i="6"/>
  <c r="U269" i="6"/>
  <c r="U403" i="6"/>
  <c r="T798" i="6"/>
  <c r="T25" i="6"/>
  <c r="T1257" i="6"/>
  <c r="U77" i="6"/>
  <c r="T778" i="6"/>
  <c r="U243" i="6"/>
  <c r="U863" i="6"/>
  <c r="T306" i="6"/>
  <c r="T1078" i="6"/>
  <c r="T908" i="6"/>
  <c r="T1375" i="6"/>
  <c r="T212" i="6"/>
  <c r="T1210" i="6"/>
  <c r="T30" i="6"/>
  <c r="T260" i="6"/>
  <c r="T622" i="6"/>
  <c r="U395" i="6"/>
  <c r="T1250" i="6"/>
  <c r="T218" i="6"/>
  <c r="T860" i="6"/>
  <c r="T211" i="6"/>
  <c r="U1267" i="6"/>
  <c r="U757" i="6"/>
  <c r="U187" i="6"/>
  <c r="U809" i="6"/>
  <c r="U614" i="6"/>
  <c r="T573" i="6"/>
  <c r="U1407" i="6"/>
  <c r="T1170" i="6"/>
  <c r="T877" i="6"/>
  <c r="T551" i="6"/>
  <c r="U280" i="6"/>
  <c r="U723" i="6"/>
  <c r="T348" i="6"/>
  <c r="U715" i="6"/>
  <c r="T1259" i="6"/>
  <c r="T261" i="6"/>
  <c r="U991" i="6"/>
  <c r="U948" i="6"/>
  <c r="T1021" i="6"/>
  <c r="T867" i="6"/>
  <c r="T346" i="6"/>
  <c r="T266" i="6"/>
  <c r="T810" i="6"/>
  <c r="T852" i="6"/>
  <c r="T893" i="6"/>
  <c r="T1153" i="6"/>
  <c r="T518" i="6"/>
  <c r="T1314" i="6"/>
  <c r="U1186" i="6"/>
  <c r="U76" i="6"/>
  <c r="U1006" i="6"/>
  <c r="U904" i="6"/>
  <c r="T1349" i="6"/>
  <c r="T447" i="6"/>
  <c r="U899" i="6"/>
  <c r="T1052" i="6"/>
  <c r="U994" i="6"/>
  <c r="U1233" i="6"/>
  <c r="T468" i="6"/>
  <c r="U332" i="6"/>
  <c r="U770" i="6"/>
  <c r="T1056" i="6"/>
  <c r="T605" i="6"/>
  <c r="T1401" i="6"/>
  <c r="U1393" i="6"/>
  <c r="T579" i="6"/>
  <c r="U469" i="6"/>
  <c r="U1113" i="6"/>
  <c r="U1390" i="6"/>
  <c r="U1112" i="6"/>
  <c r="U847" i="6"/>
  <c r="T647" i="6"/>
  <c r="T1367" i="6"/>
  <c r="T1380" i="6"/>
  <c r="U852" i="6"/>
  <c r="U343" i="6"/>
  <c r="T1399" i="6"/>
  <c r="U823" i="6"/>
  <c r="T899" i="6"/>
  <c r="T685" i="6"/>
  <c r="U890" i="6"/>
  <c r="U584" i="6"/>
  <c r="T779" i="6"/>
  <c r="U287" i="6"/>
  <c r="U635" i="6"/>
  <c r="T88" i="6"/>
  <c r="U1311" i="6"/>
  <c r="U519" i="6"/>
  <c r="U878" i="6"/>
  <c r="T833" i="6"/>
  <c r="U204" i="6"/>
  <c r="U1098" i="6"/>
  <c r="T122" i="6"/>
  <c r="U1062" i="6"/>
  <c r="T744" i="6"/>
  <c r="U1341" i="6"/>
  <c r="T655" i="6"/>
  <c r="T1282" i="6"/>
  <c r="U82" i="6"/>
  <c r="T885" i="6"/>
  <c r="T1187" i="6"/>
  <c r="T372" i="6"/>
  <c r="T941" i="6"/>
  <c r="U481" i="6"/>
  <c r="U568" i="6"/>
  <c r="U507" i="6"/>
  <c r="T1140" i="6"/>
  <c r="U142" i="6"/>
  <c r="U139" i="6"/>
  <c r="T76" i="6"/>
  <c r="U97" i="6"/>
  <c r="U262" i="6"/>
  <c r="T354" i="6"/>
  <c r="T682" i="6"/>
  <c r="T1040" i="6"/>
  <c r="U330" i="6"/>
  <c r="T1394" i="6"/>
  <c r="T35" i="6"/>
  <c r="T321" i="6"/>
  <c r="T483" i="6"/>
  <c r="U1347" i="6"/>
  <c r="T134" i="6"/>
  <c r="U1040" i="6"/>
  <c r="T594" i="6"/>
  <c r="U1205" i="6"/>
  <c r="U1033" i="6"/>
  <c r="T1261" i="6"/>
  <c r="U793" i="6"/>
  <c r="U1386" i="6"/>
  <c r="U336" i="6"/>
  <c r="U89" i="6"/>
  <c r="U181" i="6"/>
  <c r="T1343" i="6"/>
  <c r="U1069" i="6"/>
  <c r="U953" i="6"/>
  <c r="T804" i="6"/>
  <c r="T663" i="6"/>
  <c r="U796" i="6"/>
  <c r="T1130" i="6"/>
  <c r="U1134" i="6"/>
  <c r="U99" i="6"/>
  <c r="U738" i="6"/>
  <c r="T510" i="6"/>
  <c r="U1159" i="6"/>
  <c r="T1223" i="6"/>
  <c r="U572" i="6"/>
  <c r="U28" i="6"/>
  <c r="T1402" i="6"/>
  <c r="T1252" i="6"/>
  <c r="T162" i="6"/>
  <c r="T329" i="6"/>
  <c r="U155" i="6"/>
  <c r="T156" i="6"/>
  <c r="U1078" i="6"/>
  <c r="T1114" i="6"/>
  <c r="U1021" i="6"/>
  <c r="U63" i="6"/>
  <c r="U219" i="6"/>
  <c r="U1088" i="6"/>
  <c r="T928" i="6"/>
  <c r="T1041" i="6"/>
  <c r="U700" i="6"/>
  <c r="U140" i="6"/>
  <c r="U375" i="6"/>
  <c r="T965" i="6"/>
  <c r="U1298" i="6"/>
  <c r="T1024" i="6"/>
  <c r="T1147" i="6"/>
  <c r="U1167" i="6"/>
  <c r="U1271" i="6"/>
  <c r="T57" i="6"/>
  <c r="T1328" i="6"/>
  <c r="U1314" i="6"/>
  <c r="U720" i="6"/>
  <c r="T533" i="6"/>
  <c r="U1254" i="6"/>
  <c r="U884" i="6"/>
  <c r="U937" i="6"/>
  <c r="T1227" i="6"/>
  <c r="U463" i="6"/>
  <c r="U901" i="6"/>
  <c r="T133" i="6"/>
  <c r="C9" i="6"/>
  <c r="D9" i="6"/>
  <c r="I9" i="6"/>
  <c r="J9" i="6" s="1"/>
  <c r="K9" i="6" s="1"/>
  <c r="B10" i="6"/>
  <c r="H9" i="6"/>
  <c r="T604" i="6"/>
  <c r="U272" i="6"/>
  <c r="U1358" i="6"/>
  <c r="U1127" i="6"/>
  <c r="T1125" i="6"/>
  <c r="U84" i="6"/>
  <c r="U197" i="6"/>
  <c r="T83" i="6"/>
  <c r="T1366" i="6"/>
  <c r="T540" i="6"/>
  <c r="U1183" i="6"/>
  <c r="T436" i="6"/>
  <c r="T738" i="6"/>
  <c r="U680" i="6"/>
  <c r="U556" i="6"/>
  <c r="U230" i="6"/>
  <c r="U597" i="6"/>
  <c r="U1317" i="6"/>
  <c r="T223" i="6"/>
  <c r="U1291" i="6"/>
  <c r="T695" i="6"/>
  <c r="T336" i="6"/>
  <c r="T1312" i="6"/>
  <c r="T805" i="6"/>
  <c r="U315" i="6"/>
  <c r="U1011" i="6"/>
  <c r="T222" i="6"/>
  <c r="T1101" i="6"/>
  <c r="U418" i="6"/>
  <c r="U127" i="6"/>
  <c r="U27" i="6"/>
  <c r="U633" i="6"/>
  <c r="T873" i="6"/>
  <c r="U861" i="6"/>
  <c r="T1307" i="6"/>
  <c r="T236" i="6"/>
  <c r="T1396" i="6"/>
  <c r="U1252" i="6"/>
  <c r="U920" i="6"/>
  <c r="U928" i="6"/>
  <c r="U960" i="6"/>
  <c r="U1290" i="6"/>
  <c r="T9" i="6"/>
  <c r="T1011" i="6"/>
  <c r="U446" i="6"/>
  <c r="U853" i="6"/>
  <c r="U365" i="6"/>
  <c r="T412" i="6"/>
  <c r="T274" i="6"/>
  <c r="U947" i="6"/>
  <c r="T671" i="6"/>
  <c r="U557" i="6"/>
  <c r="U867" i="6"/>
  <c r="U682" i="6"/>
  <c r="U1074" i="6"/>
  <c r="U455" i="6"/>
  <c r="U394" i="6"/>
  <c r="U1275" i="6"/>
  <c r="U741" i="6"/>
  <c r="T85" i="6"/>
  <c r="T887" i="6"/>
  <c r="T1279" i="6"/>
  <c r="U659" i="6"/>
  <c r="T646" i="6"/>
  <c r="U1061" i="6"/>
  <c r="U895" i="6"/>
  <c r="U1383" i="6"/>
  <c r="U68" i="6"/>
  <c r="U544" i="6"/>
  <c r="U627" i="6"/>
  <c r="T971" i="6"/>
  <c r="T938" i="6"/>
  <c r="C84" i="2"/>
  <c r="K600" i="9" s="1"/>
  <c r="A867" i="9"/>
  <c r="U1115" i="6"/>
  <c r="U313" i="6"/>
  <c r="T1164" i="6"/>
  <c r="U484" i="6"/>
  <c r="U1360" i="6"/>
  <c r="U1369" i="6"/>
  <c r="T630" i="6"/>
  <c r="U694" i="6"/>
  <c r="U122" i="6"/>
  <c r="U871" i="6"/>
  <c r="U1282" i="6"/>
  <c r="U872" i="6"/>
  <c r="T456" i="6"/>
  <c r="T1195" i="6"/>
  <c r="U532" i="6"/>
  <c r="U1215" i="6"/>
  <c r="U1235" i="6"/>
  <c r="U1003" i="6"/>
  <c r="U420" i="6"/>
  <c r="U1399" i="6"/>
  <c r="U745" i="6"/>
  <c r="T450" i="6"/>
  <c r="U429" i="6"/>
  <c r="T1149" i="6"/>
  <c r="T989" i="6"/>
  <c r="U636" i="6"/>
  <c r="U806" i="6"/>
  <c r="U79" i="6"/>
  <c r="T113" i="6"/>
  <c r="T1115" i="6"/>
  <c r="T1322" i="6"/>
  <c r="U1262" i="6"/>
  <c r="T736" i="6"/>
  <c r="U369" i="6"/>
  <c r="T1000" i="6"/>
  <c r="T1134" i="6"/>
  <c r="U107" i="6"/>
  <c r="U182" i="6"/>
  <c r="T714" i="6"/>
  <c r="U1002" i="6"/>
  <c r="T455" i="6"/>
  <c r="T707" i="6"/>
  <c r="T197" i="6"/>
  <c r="T435" i="6"/>
  <c r="T357" i="6"/>
  <c r="T317" i="6"/>
  <c r="U229" i="6"/>
  <c r="U945" i="6"/>
  <c r="T1229" i="6"/>
  <c r="T699" i="6"/>
  <c r="T534" i="6"/>
  <c r="U683" i="6"/>
  <c r="T666" i="6"/>
  <c r="U240" i="6"/>
  <c r="U248" i="6"/>
  <c r="U428" i="6"/>
  <c r="U1082" i="6"/>
  <c r="T1133" i="6"/>
  <c r="U483" i="6"/>
  <c r="T37" i="6"/>
  <c r="U47" i="6"/>
  <c r="T1127" i="6"/>
  <c r="U346" i="6"/>
  <c r="T363" i="6"/>
  <c r="T1190" i="6"/>
  <c r="U574" i="6"/>
  <c r="T788" i="6"/>
  <c r="U1240" i="6"/>
  <c r="U1059" i="6"/>
  <c r="T1065" i="6"/>
  <c r="T525" i="6"/>
  <c r="T259" i="6"/>
  <c r="T549" i="6"/>
  <c r="U845" i="6"/>
  <c r="T204" i="6"/>
  <c r="T1289" i="6"/>
  <c r="U314" i="6"/>
  <c r="T1355" i="6"/>
  <c r="T870" i="6"/>
  <c r="T791" i="6"/>
  <c r="T1090" i="6"/>
  <c r="U260" i="6"/>
  <c r="U1345" i="6"/>
  <c r="T1019" i="6"/>
  <c r="T1070" i="6"/>
  <c r="U911" i="6"/>
  <c r="T1310" i="6"/>
  <c r="T718" i="6"/>
  <c r="U774" i="6"/>
  <c r="T245" i="6"/>
  <c r="T769" i="6"/>
  <c r="T462" i="6"/>
  <c r="T1238" i="6"/>
  <c r="T612" i="6"/>
  <c r="U1162" i="6"/>
  <c r="U1228" i="6"/>
  <c r="U1226" i="6"/>
  <c r="T1333" i="6"/>
  <c r="T482" i="6"/>
  <c r="U26" i="6"/>
  <c r="U172" i="6"/>
  <c r="U868" i="6"/>
  <c r="T823" i="6"/>
  <c r="U448" i="6"/>
  <c r="U831" i="6"/>
  <c r="T353" i="6"/>
  <c r="T1217" i="6"/>
  <c r="T296" i="6"/>
  <c r="T597" i="6"/>
  <c r="T224" i="6"/>
  <c r="T14" i="6"/>
  <c r="U345" i="6"/>
  <c r="U1300" i="6"/>
  <c r="T295" i="6"/>
  <c r="T328" i="6"/>
  <c r="U739" i="6"/>
  <c r="T338" i="6"/>
  <c r="T849" i="6"/>
  <c r="U449" i="6"/>
  <c r="U1160" i="6"/>
  <c r="T868" i="6"/>
  <c r="T1122" i="6"/>
  <c r="T792" i="6"/>
  <c r="U377" i="6"/>
  <c r="T323" i="6"/>
  <c r="T463" i="6"/>
  <c r="T1354" i="6"/>
  <c r="U962" i="6"/>
  <c r="U577" i="6"/>
  <c r="U164" i="6"/>
  <c r="T254" i="6"/>
  <c r="T151" i="6"/>
  <c r="T827" i="6"/>
  <c r="U857" i="6"/>
  <c r="U834" i="6"/>
  <c r="U402" i="6"/>
  <c r="T351" i="6"/>
  <c r="U553" i="6"/>
  <c r="U743" i="6"/>
  <c r="U291" i="6"/>
  <c r="U1269" i="6"/>
  <c r="U850" i="6"/>
  <c r="T1177" i="6"/>
  <c r="T1099" i="6"/>
  <c r="T102" i="6"/>
  <c r="T1202" i="6"/>
  <c r="T528" i="6"/>
  <c r="U1350" i="6"/>
  <c r="U1263" i="6"/>
  <c r="U886" i="6"/>
  <c r="T558" i="6"/>
  <c r="T982" i="6"/>
  <c r="T542" i="6"/>
  <c r="U64" i="6"/>
  <c r="U209" i="6"/>
  <c r="T87" i="6"/>
  <c r="U999" i="6"/>
  <c r="T1263" i="6"/>
  <c r="T1206" i="6"/>
  <c r="T1016" i="6"/>
  <c r="U1371" i="6"/>
  <c r="T864" i="6"/>
  <c r="T861" i="6"/>
  <c r="T782" i="6"/>
  <c r="T47" i="6"/>
  <c r="T863" i="6"/>
  <c r="T504" i="6"/>
  <c r="T923" i="6"/>
  <c r="U30" i="6"/>
  <c r="T1107" i="6"/>
  <c r="T1290" i="6"/>
  <c r="T1124" i="6"/>
  <c r="U666" i="6"/>
  <c r="T592" i="6"/>
  <c r="T742" i="6"/>
  <c r="T909" i="6"/>
  <c r="T713" i="6"/>
  <c r="U894" i="6"/>
  <c r="T1243" i="6"/>
  <c r="T334" i="6"/>
  <c r="U559" i="6"/>
  <c r="U550" i="6"/>
  <c r="T785" i="6"/>
  <c r="U191" i="6"/>
  <c r="U34" i="6"/>
  <c r="T1098" i="6"/>
  <c r="T195" i="6"/>
  <c r="U1102" i="6"/>
  <c r="T710" i="6"/>
  <c r="U1045" i="6"/>
  <c r="U874" i="6"/>
  <c r="T358" i="6"/>
  <c r="U1054" i="6"/>
  <c r="T553" i="6"/>
  <c r="U348" i="6"/>
  <c r="U1329" i="6"/>
  <c r="T830" i="6"/>
  <c r="U208" i="6"/>
  <c r="T1005" i="6"/>
  <c r="T532" i="6"/>
  <c r="T142" i="6"/>
  <c r="U916" i="6"/>
  <c r="T934" i="6"/>
  <c r="U1028" i="6"/>
  <c r="T1400" i="6"/>
  <c r="U736" i="6"/>
  <c r="U926" i="6"/>
  <c r="T408" i="6"/>
  <c r="U1295" i="6"/>
  <c r="T203" i="6"/>
  <c r="T1029" i="6"/>
  <c r="T1216" i="6"/>
  <c r="U1348" i="6"/>
  <c r="T1108" i="6"/>
  <c r="U183" i="6"/>
  <c r="U1208" i="6"/>
  <c r="T1330" i="6"/>
  <c r="T44" i="6"/>
  <c r="U787" i="6"/>
  <c r="U613" i="6"/>
  <c r="U113" i="6"/>
  <c r="T428" i="6"/>
  <c r="T283" i="6"/>
  <c r="U62" i="6"/>
  <c r="U606" i="6"/>
  <c r="T269" i="6"/>
  <c r="T819" i="6"/>
  <c r="U650" i="6"/>
  <c r="T1269" i="6"/>
  <c r="U1351" i="6"/>
  <c r="U50" i="6"/>
  <c r="U1150" i="6"/>
  <c r="T548" i="6"/>
  <c r="U756" i="6"/>
  <c r="U1283" i="6"/>
  <c r="U351" i="6"/>
  <c r="U927" i="6"/>
  <c r="T325" i="6"/>
  <c r="T732" i="6"/>
  <c r="T1059" i="6"/>
  <c r="T58" i="6"/>
  <c r="U293" i="6"/>
  <c r="U639" i="6"/>
  <c r="U1232" i="6"/>
  <c r="T335" i="6"/>
  <c r="U81" i="6"/>
  <c r="U737" i="6"/>
  <c r="U73" i="6"/>
  <c r="T496" i="6"/>
  <c r="T531" i="6"/>
  <c r="U323" i="6"/>
  <c r="U1404" i="6"/>
  <c r="U475" i="6"/>
  <c r="T972" i="6"/>
  <c r="U601" i="6"/>
  <c r="U594" i="6"/>
  <c r="U864" i="6"/>
  <c r="T216" i="6"/>
  <c r="U1070" i="6"/>
  <c r="U1334" i="6"/>
  <c r="T476" i="6"/>
  <c r="T1008" i="6"/>
  <c r="T780" i="6"/>
  <c r="U1373" i="6"/>
  <c r="U673" i="6"/>
  <c r="T1350" i="6"/>
  <c r="T309" i="6"/>
  <c r="U1067" i="6"/>
  <c r="T127" i="6"/>
  <c r="T990" i="6"/>
  <c r="U41" i="6"/>
  <c r="T1321" i="6"/>
  <c r="U982" i="6"/>
  <c r="T828" i="6"/>
  <c r="T512" i="6"/>
  <c r="T1318" i="6"/>
  <c r="U625" i="6"/>
  <c r="T368" i="6"/>
  <c r="U138" i="6"/>
  <c r="T182" i="6"/>
  <c r="U275" i="6"/>
  <c r="T160" i="6"/>
  <c r="T27" i="6"/>
  <c r="U433" i="6"/>
  <c r="T290" i="6"/>
  <c r="U253" i="6"/>
  <c r="T1211" i="6"/>
  <c r="T32" i="6"/>
  <c r="T286" i="6"/>
  <c r="T582" i="6"/>
  <c r="U100" i="6"/>
  <c r="T485" i="6"/>
  <c r="T687" i="6"/>
  <c r="U250" i="6"/>
  <c r="T606" i="6"/>
  <c r="U573" i="6"/>
  <c r="T935" i="6"/>
  <c r="U452" i="6"/>
  <c r="T394" i="6"/>
  <c r="T1006" i="6"/>
  <c r="T278" i="6"/>
  <c r="U167" i="6"/>
  <c r="U1169" i="6"/>
  <c r="U591" i="6"/>
  <c r="T234" i="6"/>
  <c r="U259" i="6"/>
  <c r="T415" i="6"/>
  <c r="U436" i="6"/>
  <c r="U1242" i="6"/>
  <c r="T424" i="6"/>
  <c r="U677" i="6"/>
  <c r="U856" i="6"/>
  <c r="U1328" i="6"/>
  <c r="U284" i="6"/>
  <c r="U381" i="6"/>
  <c r="T936" i="6"/>
  <c r="U54" i="6"/>
  <c r="U226" i="6"/>
  <c r="T523" i="6"/>
  <c r="T86" i="6"/>
  <c r="T1121" i="6"/>
  <c r="U1079" i="6"/>
  <c r="U632" i="6"/>
  <c r="U264" i="6"/>
  <c r="T148" i="6"/>
  <c r="T314" i="6"/>
  <c r="U826" i="6"/>
  <c r="U288" i="6"/>
  <c r="T712" i="6"/>
  <c r="U675" i="6"/>
  <c r="T925" i="6"/>
  <c r="T977" i="6"/>
  <c r="U268" i="6"/>
  <c r="U282" i="6"/>
  <c r="T587" i="6"/>
  <c r="T387" i="6"/>
  <c r="T889" i="6"/>
  <c r="U467" i="6"/>
  <c r="U255" i="6"/>
  <c r="T1383" i="6"/>
  <c r="U940" i="6"/>
  <c r="U1105" i="6"/>
  <c r="T237" i="6"/>
  <c r="T445" i="6"/>
  <c r="U925" i="6"/>
  <c r="U771" i="6"/>
  <c r="T1233" i="6"/>
  <c r="U109" i="6"/>
  <c r="U435" i="6"/>
  <c r="U955" i="6"/>
  <c r="T240" i="6"/>
  <c r="U1101" i="6"/>
  <c r="T487" i="6"/>
  <c r="U145" i="6"/>
  <c r="U200" i="6"/>
  <c r="T442" i="6"/>
  <c r="T1003" i="6"/>
  <c r="U1116" i="6"/>
  <c r="U173" i="6"/>
  <c r="T1171" i="6"/>
  <c r="U95" i="6"/>
  <c r="U554" i="6"/>
  <c r="T1406" i="6"/>
  <c r="U562" i="6"/>
  <c r="T1365" i="6"/>
  <c r="T263" i="6"/>
  <c r="T591" i="6"/>
  <c r="T164" i="6"/>
  <c r="U1057" i="6"/>
  <c r="T619" i="6"/>
  <c r="U1050" i="6"/>
  <c r="T755" i="6"/>
  <c r="U1220" i="6"/>
  <c r="T444" i="6"/>
  <c r="U195" i="6"/>
  <c r="U52" i="6"/>
  <c r="T1109" i="6"/>
  <c r="T107" i="6"/>
  <c r="U933" i="6"/>
  <c r="U996" i="6"/>
  <c r="U807" i="6"/>
  <c r="U491" i="6"/>
  <c r="T1083" i="6"/>
  <c r="U1375" i="6"/>
  <c r="U512" i="6"/>
  <c r="U1120" i="6"/>
  <c r="U225" i="6"/>
  <c r="U974" i="6"/>
  <c r="U889" i="6"/>
  <c r="U693" i="6"/>
  <c r="T145" i="6"/>
  <c r="U1087" i="6"/>
  <c r="U664" i="6"/>
  <c r="U1086" i="6"/>
  <c r="U669" i="6"/>
  <c r="T1194" i="6"/>
  <c r="U969" i="6"/>
  <c r="T1051" i="6"/>
  <c r="T890" i="6"/>
  <c r="U14" i="6"/>
  <c r="U23" i="6"/>
  <c r="T324" i="6"/>
  <c r="U382" i="6"/>
  <c r="T49" i="6"/>
  <c r="U777" i="6"/>
  <c r="T157" i="6"/>
  <c r="U1333" i="6"/>
  <c r="T802" i="6"/>
  <c r="T153" i="6"/>
  <c r="U416" i="6"/>
  <c r="T564" i="6"/>
  <c r="T1387" i="6"/>
  <c r="T915" i="6"/>
  <c r="U486" i="6"/>
  <c r="T439" i="6"/>
  <c r="T343" i="6"/>
  <c r="T879" i="6"/>
  <c r="U1042" i="6"/>
  <c r="U970" i="6"/>
  <c r="T853" i="6"/>
  <c r="T1303" i="6"/>
  <c r="T1174" i="6"/>
  <c r="U535" i="6"/>
  <c r="T832" i="6"/>
  <c r="T98" i="6"/>
  <c r="U424" i="6"/>
  <c r="T397" i="6"/>
  <c r="T396" i="6"/>
  <c r="T589" i="6"/>
  <c r="U1020" i="6"/>
  <c r="T917" i="6"/>
  <c r="T595" i="6"/>
  <c r="T26" i="6"/>
  <c r="U1401" i="6"/>
  <c r="T1334" i="6"/>
  <c r="T848" i="6"/>
  <c r="U1223" i="6"/>
  <c r="U1264" i="6"/>
  <c r="T842" i="6"/>
  <c r="T963" i="6"/>
  <c r="T514" i="6"/>
  <c r="T310" i="6"/>
  <c r="U876" i="6"/>
  <c r="U1237" i="6"/>
  <c r="T1180" i="6"/>
  <c r="T772" i="6"/>
  <c r="T1146" i="6"/>
  <c r="U184" i="6"/>
  <c r="U1284" i="6"/>
  <c r="T1267" i="6"/>
  <c r="U698" i="6"/>
  <c r="U1316" i="6"/>
  <c r="T316" i="6"/>
  <c r="T759" i="6"/>
  <c r="U585" i="6"/>
  <c r="U110" i="6"/>
  <c r="T658" i="6"/>
  <c r="T1270" i="6"/>
  <c r="T95" i="6"/>
  <c r="T1082" i="6"/>
  <c r="U967" i="6"/>
  <c r="T672" i="6"/>
  <c r="U622" i="6"/>
  <c r="T1247" i="6"/>
  <c r="U704" i="6"/>
  <c r="U643" i="6"/>
  <c r="U321" i="6"/>
  <c r="T940" i="6"/>
  <c r="U123" i="6"/>
  <c r="T750" i="6"/>
  <c r="T723" i="6"/>
  <c r="U785" i="6"/>
  <c r="U1141" i="6"/>
  <c r="T537" i="6"/>
  <c r="U80" i="6"/>
  <c r="U522" i="6"/>
  <c r="T96" i="6"/>
  <c r="T961" i="6"/>
  <c r="T1391" i="6"/>
  <c r="U968" i="6"/>
  <c r="T39" i="6"/>
  <c r="T420" i="6"/>
  <c r="U1315" i="6"/>
  <c r="U168" i="6"/>
  <c r="U286" i="6"/>
  <c r="T939" i="6"/>
  <c r="U932" i="6"/>
  <c r="T1337" i="6"/>
  <c r="U588" i="6"/>
  <c r="U942" i="6"/>
  <c r="U1343" i="6"/>
  <c r="U1406" i="6"/>
  <c r="T1132" i="6"/>
  <c r="T1371" i="6"/>
  <c r="T1256" i="6"/>
  <c r="U207" i="6"/>
  <c r="U311" i="6"/>
  <c r="T1143" i="6"/>
  <c r="U1397" i="6"/>
  <c r="U1405" i="6"/>
  <c r="T383" i="6"/>
  <c r="U410" i="6"/>
  <c r="T326" i="6"/>
  <c r="U20" i="6"/>
  <c r="T1028" i="6"/>
  <c r="T176" i="6"/>
  <c r="T987" i="6"/>
  <c r="U460" i="6"/>
  <c r="T1086" i="6"/>
  <c r="U536" i="6"/>
  <c r="U199" i="6"/>
  <c r="U489" i="6"/>
  <c r="U721" i="6"/>
  <c r="U684" i="6"/>
  <c r="U443" i="6"/>
  <c r="T1084" i="6"/>
  <c r="U946" i="6"/>
  <c r="T845" i="6"/>
  <c r="U72" i="6"/>
  <c r="T1283" i="6"/>
  <c r="U354" i="6"/>
  <c r="U1402" i="6"/>
  <c r="U990" i="6"/>
  <c r="U391" i="6"/>
  <c r="T724" i="6"/>
  <c r="T978" i="6"/>
  <c r="U987" i="6"/>
  <c r="U194" i="6"/>
  <c r="T722" i="6"/>
  <c r="T807" i="6"/>
  <c r="U150" i="6"/>
  <c r="T588" i="6"/>
  <c r="U1026" i="6"/>
  <c r="T273" i="6"/>
  <c r="T851" i="6"/>
  <c r="U539" i="6"/>
  <c r="T221" i="6"/>
  <c r="U1133" i="6"/>
  <c r="T942" i="6"/>
  <c r="T859" i="6"/>
  <c r="T1106" i="6"/>
  <c r="U695" i="6"/>
  <c r="U662" i="6"/>
  <c r="U1364" i="6"/>
  <c r="U1363" i="6"/>
  <c r="U810" i="6"/>
  <c r="U497" i="6"/>
  <c r="T770" i="6"/>
  <c r="U496" i="6"/>
  <c r="U825" i="6"/>
  <c r="T159" i="6"/>
  <c r="U144" i="6"/>
  <c r="U55" i="6"/>
  <c r="U1009" i="6"/>
  <c r="U1137" i="6"/>
  <c r="U1246" i="6"/>
  <c r="T711" i="6"/>
  <c r="U90" i="6"/>
  <c r="U106" i="6"/>
  <c r="U306" i="6"/>
  <c r="T1390" i="6"/>
  <c r="T1145" i="6"/>
  <c r="T676" i="6"/>
  <c r="U513" i="6"/>
  <c r="U170" i="6"/>
  <c r="U340" i="6"/>
  <c r="U1239" i="6"/>
  <c r="U839" i="6"/>
  <c r="T1007" i="6"/>
  <c r="T252" i="6"/>
  <c r="T960" i="6"/>
  <c r="T344" i="6"/>
  <c r="T973" i="6"/>
  <c r="U158" i="6"/>
  <c r="U135" i="6"/>
  <c r="T545" i="6"/>
  <c r="U188" i="6"/>
  <c r="U1194" i="6"/>
  <c r="U453" i="6"/>
  <c r="T71" i="6"/>
  <c r="U1296" i="6"/>
  <c r="U798" i="6"/>
  <c r="T1117" i="6"/>
  <c r="U69" i="6"/>
  <c r="U439" i="6"/>
  <c r="U131" i="6"/>
  <c r="U827" i="6"/>
  <c r="U794" i="6"/>
  <c r="T627" i="6"/>
  <c r="T776" i="6"/>
  <c r="U437" i="6"/>
  <c r="T1062" i="6"/>
  <c r="T1201" i="6"/>
  <c r="T268" i="6"/>
  <c r="T515" i="6"/>
  <c r="U244" i="6"/>
  <c r="U1149" i="6"/>
  <c r="T24" i="6"/>
  <c r="U1163" i="6"/>
  <c r="U697" i="6"/>
  <c r="U707" i="6"/>
  <c r="T891" i="6"/>
  <c r="U1111" i="6"/>
  <c r="T247" i="6"/>
  <c r="U1361" i="6"/>
  <c r="U1055" i="6"/>
  <c r="T726" i="6"/>
  <c r="T1397" i="6"/>
  <c r="T1249" i="6"/>
  <c r="T567" i="6"/>
  <c r="T708" i="6"/>
  <c r="U903" i="6"/>
  <c r="U799" i="6"/>
  <c r="T130" i="6"/>
  <c r="U1353" i="6"/>
  <c r="U647" i="6"/>
  <c r="T361" i="6"/>
  <c r="T1230" i="6"/>
  <c r="T184" i="6"/>
  <c r="U1035" i="6"/>
  <c r="T481" i="6"/>
  <c r="T1071" i="6"/>
  <c r="U849" i="6"/>
  <c r="T1161" i="6"/>
  <c r="T628" i="6"/>
  <c r="U485" i="6"/>
  <c r="U858" i="6"/>
  <c r="T872" i="6"/>
  <c r="T617" i="6"/>
  <c r="U46" i="6"/>
  <c r="U228" i="6"/>
  <c r="T725" i="6"/>
  <c r="T118" i="6"/>
  <c r="T897" i="6"/>
  <c r="T639" i="6"/>
  <c r="T1353" i="6"/>
  <c r="T1157" i="6"/>
  <c r="T1266" i="6"/>
  <c r="T620" i="6"/>
  <c r="U220" i="6"/>
  <c r="U297" i="6"/>
  <c r="T814" i="6"/>
  <c r="T405" i="6"/>
  <c r="T886" i="6"/>
  <c r="T327" i="6"/>
  <c r="U1093" i="6"/>
  <c r="U500" i="6"/>
  <c r="T667" i="6"/>
  <c r="T572" i="6"/>
  <c r="U1210" i="6"/>
  <c r="U450" i="6"/>
  <c r="U411" i="6"/>
  <c r="U176" i="6"/>
  <c r="U709" i="6"/>
  <c r="U1065" i="6"/>
  <c r="T668" i="6"/>
  <c r="U421" i="6"/>
  <c r="U1091" i="6"/>
  <c r="T172" i="6"/>
  <c r="U792" i="6"/>
  <c r="U786" i="6"/>
  <c r="U1084" i="6"/>
  <c r="U752" i="6"/>
  <c r="U929" i="6"/>
  <c r="U9" i="6"/>
  <c r="T341" i="6"/>
  <c r="U717" i="6"/>
  <c r="U1071" i="6"/>
  <c r="U161" i="6"/>
  <c r="T120" i="6"/>
  <c r="U1377" i="6"/>
  <c r="U1209" i="6"/>
  <c r="T1309" i="6"/>
  <c r="T243" i="6"/>
  <c r="U423" i="6"/>
  <c r="T81" i="6"/>
  <c r="T272" i="6"/>
  <c r="U159" i="6"/>
  <c r="T1273" i="6"/>
  <c r="U549" i="6"/>
  <c r="T956" i="6"/>
  <c r="T1173" i="6"/>
  <c r="T235" i="6"/>
  <c r="T20" i="6"/>
  <c r="U973" i="6"/>
  <c r="T64" i="6"/>
  <c r="T521" i="6"/>
  <c r="T1214" i="6"/>
  <c r="T99" i="6"/>
  <c r="T526" i="6"/>
  <c r="U1132" i="6"/>
  <c r="T854" i="6"/>
  <c r="T800" i="6"/>
  <c r="T1341" i="6"/>
  <c r="T756" i="6"/>
  <c r="T745" i="6"/>
  <c r="U1338" i="6"/>
  <c r="U1041" i="6"/>
  <c r="T140" i="6"/>
  <c r="T675" i="6"/>
  <c r="U988" i="6"/>
  <c r="T498" i="6"/>
  <c r="U218" i="6"/>
  <c r="T1193" i="6"/>
  <c r="U965" i="6"/>
  <c r="U829" i="6"/>
  <c r="T902" i="6"/>
  <c r="T546" i="6"/>
  <c r="U472" i="6"/>
  <c r="U865" i="6"/>
  <c r="U1320" i="6"/>
  <c r="T581" i="6"/>
  <c r="T313" i="6"/>
  <c r="U495" i="6"/>
  <c r="U29" i="6"/>
  <c r="T858" i="6"/>
  <c r="T888" i="6"/>
  <c r="T748" i="6"/>
  <c r="U726" i="6"/>
  <c r="U295" i="6"/>
  <c r="U1349" i="6"/>
  <c r="U67" i="6"/>
  <c r="T332" i="6"/>
  <c r="T1234" i="6"/>
  <c r="U1195" i="6"/>
  <c r="T957" i="6"/>
  <c r="T882" i="6"/>
  <c r="T419" i="6"/>
  <c r="T1095" i="6"/>
  <c r="T577" i="6"/>
  <c r="U832" i="6"/>
  <c r="U1381" i="6"/>
  <c r="U958" i="6"/>
  <c r="T489" i="6"/>
  <c r="U538" i="6"/>
  <c r="T797" i="6"/>
  <c r="U1323" i="6"/>
  <c r="T1329" i="6"/>
  <c r="T944" i="6"/>
  <c r="U1368" i="6"/>
  <c r="T484" i="6"/>
  <c r="U1374" i="6"/>
  <c r="U778" i="6"/>
  <c r="U1094" i="6"/>
  <c r="U1201" i="6"/>
  <c r="T1064" i="6"/>
  <c r="U1294" i="6"/>
  <c r="U24" i="6"/>
  <c r="U791" i="6"/>
  <c r="U599" i="6"/>
  <c r="T762" i="6"/>
  <c r="U1128" i="6"/>
  <c r="U978" i="6"/>
  <c r="T642" i="6"/>
  <c r="T692" i="6"/>
  <c r="U185" i="6"/>
  <c r="T129" i="6"/>
  <c r="T418" i="6"/>
  <c r="U1171" i="6"/>
  <c r="T217" i="6"/>
  <c r="T170" i="6"/>
  <c r="T466" i="6"/>
  <c r="T1150" i="6"/>
  <c r="U897" i="6"/>
  <c r="U586" i="6"/>
  <c r="U1318" i="6"/>
  <c r="U325" i="6"/>
  <c r="T952" i="6"/>
  <c r="U1197" i="6"/>
  <c r="T464" i="6"/>
  <c r="T271" i="6"/>
  <c r="T894" i="6"/>
  <c r="U615" i="6"/>
  <c r="T1046" i="6"/>
  <c r="U917" i="6"/>
  <c r="U879" i="6"/>
  <c r="U750" i="6"/>
  <c r="U649" i="6"/>
  <c r="T302" i="6"/>
  <c r="T413" i="6"/>
  <c r="T395" i="6"/>
  <c r="T607" i="6"/>
  <c r="U938" i="6"/>
  <c r="U143" i="6"/>
  <c r="U1384" i="6"/>
  <c r="T657" i="6"/>
  <c r="T929" i="6"/>
  <c r="U480" i="6"/>
  <c r="U930" i="6"/>
  <c r="U773" i="6"/>
  <c r="U352" i="6"/>
  <c r="U820" i="6"/>
  <c r="U1248" i="6"/>
  <c r="U389" i="6"/>
  <c r="U289" i="6"/>
  <c r="T1381" i="6"/>
  <c r="U1048" i="6"/>
  <c r="U278" i="6"/>
  <c r="U177" i="6"/>
  <c r="T490" i="6"/>
  <c r="T370" i="6"/>
  <c r="T1258" i="6"/>
  <c r="U409" i="6"/>
  <c r="T777" i="6"/>
  <c r="U120" i="6"/>
  <c r="U156" i="6"/>
  <c r="U1335" i="6"/>
  <c r="U514" i="6"/>
  <c r="T1253" i="6"/>
  <c r="U821" i="6"/>
  <c r="U712" i="6"/>
  <c r="U804" i="6"/>
  <c r="T369" i="6"/>
  <c r="U975" i="6"/>
  <c r="U919" i="6"/>
  <c r="U124" i="6"/>
  <c r="T1228" i="6"/>
  <c r="T143" i="6"/>
  <c r="T1393" i="6"/>
  <c r="U706" i="6"/>
  <c r="T105" i="6"/>
  <c r="T731" i="6"/>
  <c r="T207" i="6"/>
  <c r="T601" i="6"/>
  <c r="T1087" i="6"/>
  <c r="U1196" i="6"/>
  <c r="T511" i="6"/>
  <c r="U384" i="6"/>
  <c r="T1116" i="6"/>
  <c r="T1088" i="6"/>
  <c r="U1234" i="6"/>
  <c r="T918" i="6"/>
  <c r="T809" i="6"/>
  <c r="U918" i="6"/>
  <c r="U764" i="6"/>
  <c r="U333" i="6"/>
  <c r="U623" i="6"/>
  <c r="U1085" i="6"/>
  <c r="U875" i="6"/>
  <c r="T41" i="6"/>
  <c r="T75" i="6"/>
  <c r="T19" i="6"/>
  <c r="T661" i="6"/>
  <c r="U653" i="6"/>
  <c r="U1376" i="6"/>
  <c r="U261" i="6"/>
  <c r="T28" i="6"/>
  <c r="T728" i="6"/>
  <c r="U854" i="6"/>
  <c r="U1287" i="6"/>
  <c r="T765" i="6"/>
  <c r="T1212" i="6"/>
  <c r="T1169" i="6"/>
  <c r="U1370" i="6"/>
  <c r="U258" i="6"/>
  <c r="U1076" i="6"/>
  <c r="U121" i="6"/>
  <c r="U347" i="6"/>
  <c r="T65" i="6"/>
  <c r="U115" i="6"/>
  <c r="T131" i="6"/>
  <c r="T767" i="6"/>
  <c r="T969" i="6"/>
  <c r="U38" i="6"/>
  <c r="T89" i="6"/>
  <c r="T92" i="6"/>
  <c r="U227" i="6"/>
  <c r="T799" i="6"/>
  <c r="T115" i="6"/>
  <c r="T168" i="6"/>
  <c r="T659" i="6"/>
  <c r="T1320" i="6"/>
  <c r="U1193" i="6"/>
  <c r="U276" i="6"/>
  <c r="T543" i="6"/>
  <c r="T1089" i="6"/>
  <c r="U87" i="6"/>
  <c r="T865" i="6"/>
  <c r="U508" i="6"/>
  <c r="U1104" i="6"/>
  <c r="T1044" i="6"/>
  <c r="U363" i="6"/>
  <c r="U317" i="6"/>
  <c r="U499" i="6"/>
  <c r="U921" i="6"/>
  <c r="U1123" i="6"/>
  <c r="U193" i="6"/>
  <c r="T279" i="6"/>
  <c r="T45" i="6"/>
  <c r="T763" i="6"/>
  <c r="T256" i="6"/>
  <c r="T229" i="6"/>
  <c r="T117" i="6"/>
  <c r="T125" i="6"/>
  <c r="T737" i="6"/>
  <c r="U335" i="6"/>
  <c r="U15" i="6"/>
  <c r="U620" i="6"/>
  <c r="T213" i="6"/>
  <c r="U1217" i="6"/>
  <c r="T1077" i="6"/>
  <c r="U1124" i="6"/>
  <c r="T1049" i="6"/>
  <c r="T501" i="6"/>
  <c r="T739" i="6"/>
  <c r="T740" i="6"/>
  <c r="T280" i="6"/>
  <c r="U1382" i="6"/>
  <c r="U754" i="6"/>
  <c r="U941" i="6"/>
  <c r="U1172" i="6"/>
  <c r="T1026" i="6"/>
  <c r="T183" i="6"/>
  <c r="U880" i="6"/>
  <c r="T862" i="6"/>
  <c r="T1110" i="6"/>
  <c r="U31" i="6"/>
  <c r="T562" i="6"/>
  <c r="U658" i="6"/>
  <c r="U846" i="6"/>
  <c r="U730" i="6"/>
  <c r="U1151" i="6"/>
  <c r="U780" i="6"/>
  <c r="U1179" i="6"/>
  <c r="T91" i="6"/>
  <c r="T652" i="6"/>
  <c r="T911" i="6"/>
  <c r="U950" i="6"/>
  <c r="U1130" i="6"/>
  <c r="U766" i="6"/>
  <c r="S8" i="6"/>
  <c r="X8" i="6" s="1"/>
  <c r="T1068" i="6"/>
  <c r="U279" i="6"/>
  <c r="T163" i="6"/>
  <c r="T876" i="6"/>
  <c r="U205" i="6"/>
  <c r="T903" i="6"/>
  <c r="U1107" i="6"/>
  <c r="T895" i="6"/>
  <c r="T829" i="6"/>
  <c r="T1183" i="6"/>
  <c r="U214" i="6"/>
  <c r="T255" i="6"/>
  <c r="U1256" i="6"/>
  <c r="T318" i="6"/>
  <c r="T1385" i="6"/>
  <c r="T578" i="6"/>
  <c r="U108" i="6"/>
  <c r="U833" i="6"/>
  <c r="T1236" i="6"/>
  <c r="U318" i="6"/>
  <c r="U531" i="6"/>
  <c r="T1043" i="6"/>
  <c r="T509" i="6"/>
  <c r="T51" i="6"/>
  <c r="T53" i="6"/>
  <c r="T1013" i="6"/>
  <c r="U545" i="6"/>
  <c r="T678" i="6"/>
  <c r="U1214" i="6"/>
  <c r="T1276" i="6"/>
  <c r="U1366" i="6"/>
  <c r="T599" i="6"/>
  <c r="U413" i="6"/>
  <c r="U644" i="6"/>
  <c r="T23" i="6"/>
  <c r="U474" i="6"/>
  <c r="U686" i="6"/>
  <c r="U283" i="6"/>
  <c r="U935" i="6"/>
  <c r="U914" i="6"/>
  <c r="T299" i="6"/>
  <c r="U217" i="6"/>
  <c r="T62" i="6"/>
  <c r="T812" i="6"/>
  <c r="T340" i="6"/>
  <c r="T1017" i="6"/>
  <c r="T709" i="6"/>
  <c r="T563" i="6"/>
  <c r="U231" i="6"/>
  <c r="U457" i="6"/>
  <c r="T342" i="6"/>
  <c r="U1245" i="6"/>
  <c r="T1189" i="6"/>
  <c r="U648" i="6"/>
  <c r="U1238" i="6"/>
  <c r="T600" i="6"/>
  <c r="T1262" i="6"/>
  <c r="T10" i="6"/>
  <c r="U760" i="6"/>
  <c r="U1322" i="6"/>
  <c r="U432" i="6"/>
  <c r="U151" i="6"/>
  <c r="T425" i="6"/>
  <c r="U877" i="6"/>
  <c r="T614" i="6"/>
  <c r="U1095" i="6"/>
  <c r="U1075" i="6"/>
  <c r="T1225" i="6"/>
  <c r="U882" i="6"/>
  <c r="T407" i="6"/>
  <c r="T492" i="6"/>
  <c r="U534" i="6"/>
  <c r="U166" i="6"/>
  <c r="U504" i="6"/>
  <c r="T1144" i="6"/>
  <c r="U959" i="6"/>
  <c r="U1276" i="6"/>
  <c r="U654" i="6"/>
  <c r="T634" i="6"/>
  <c r="U685" i="6"/>
  <c r="T1215" i="6"/>
  <c r="U533" i="6"/>
  <c r="T959" i="6"/>
  <c r="U836" i="6"/>
  <c r="T175" i="6"/>
  <c r="T475" i="6"/>
  <c r="U629" i="6"/>
  <c r="U1170" i="6"/>
  <c r="U190" i="6"/>
  <c r="U984" i="6"/>
  <c r="U1270" i="6"/>
  <c r="T231" i="6"/>
  <c r="U1191" i="6"/>
  <c r="T995" i="6"/>
  <c r="U406" i="6"/>
  <c r="T1222" i="6"/>
  <c r="T981" i="6"/>
  <c r="U708" i="6"/>
  <c r="T1113" i="6"/>
  <c r="T417" i="6"/>
  <c r="U1064" i="6"/>
  <c r="T364" i="6"/>
  <c r="U202" i="6"/>
  <c r="T557" i="6"/>
  <c r="T665" i="6"/>
  <c r="T132" i="6"/>
  <c r="U1306" i="6"/>
  <c r="T1326" i="6"/>
  <c r="U213" i="6"/>
  <c r="U1114" i="6"/>
  <c r="U1184" i="6"/>
  <c r="U1241" i="6"/>
  <c r="U1211" i="6"/>
  <c r="U824" i="6"/>
  <c r="T922" i="6"/>
  <c r="U326" i="6"/>
  <c r="U49" i="6"/>
  <c r="U1249" i="6"/>
  <c r="U61" i="6"/>
  <c r="U924" i="6"/>
  <c r="U224" i="6"/>
  <c r="T199" i="6"/>
  <c r="T1123" i="6"/>
  <c r="U1032" i="6"/>
  <c r="T970" i="6"/>
  <c r="U548" i="6"/>
  <c r="T1301" i="6"/>
  <c r="U862" i="6"/>
  <c r="U527" i="6"/>
  <c r="U1155" i="6"/>
  <c r="T453" i="6"/>
  <c r="U1016" i="6"/>
  <c r="T520" i="6"/>
  <c r="T914" i="6"/>
  <c r="T293" i="6"/>
  <c r="T180" i="6"/>
  <c r="U699" i="6"/>
  <c r="T116" i="6"/>
  <c r="T1362" i="6"/>
  <c r="T1364" i="6"/>
  <c r="U997" i="6"/>
  <c r="U814" i="6"/>
  <c r="U331" i="6"/>
  <c r="T8" i="6"/>
  <c r="U419" i="6"/>
  <c r="T330" i="6"/>
  <c r="U441" i="6"/>
  <c r="T194" i="6"/>
  <c r="T458" i="6"/>
  <c r="U112" i="6"/>
  <c r="T1213" i="6"/>
  <c r="U1182" i="6"/>
  <c r="U464" i="6"/>
  <c r="U10" i="6"/>
  <c r="U310" i="6"/>
  <c r="T1112" i="6"/>
  <c r="U301" i="6"/>
  <c r="U237" i="6"/>
  <c r="U456" i="6"/>
  <c r="T60" i="6"/>
  <c r="T67" i="6"/>
  <c r="T660" i="6"/>
  <c r="T473" i="6"/>
  <c r="U763" i="6"/>
  <c r="T669" i="6"/>
  <c r="U337" i="6"/>
  <c r="U681" i="6"/>
  <c r="U676" i="6"/>
  <c r="T636" i="6"/>
  <c r="U670" i="6"/>
  <c r="T1004" i="6"/>
  <c r="U111" i="6"/>
  <c r="U1052" i="6"/>
  <c r="U1005" i="6"/>
  <c r="T1404" i="6"/>
  <c r="U671" i="6"/>
  <c r="U1090" i="6"/>
  <c r="T834" i="6"/>
  <c r="U679" i="6"/>
  <c r="T284" i="6"/>
  <c r="U1365" i="6"/>
  <c r="T1208" i="6"/>
  <c r="U546" i="6"/>
  <c r="T460" i="6"/>
  <c r="T689" i="6"/>
  <c r="U1278" i="6"/>
  <c r="T761" i="6"/>
  <c r="T362" i="6"/>
  <c r="U1030" i="6"/>
  <c r="U844" i="6"/>
  <c r="U943" i="6"/>
  <c r="U687" i="6"/>
  <c r="U1015" i="6"/>
  <c r="T624" i="6"/>
  <c r="U705" i="6"/>
  <c r="U758" i="6"/>
  <c r="U908" i="6"/>
  <c r="T720" i="6"/>
  <c r="U1034" i="6"/>
  <c r="T469" i="6"/>
  <c r="U94" i="6"/>
  <c r="T421" i="6"/>
  <c r="U417" i="6"/>
  <c r="U1258" i="6"/>
  <c r="U869" i="6"/>
  <c r="U339" i="6"/>
  <c r="T21" i="6"/>
  <c r="U1044" i="6"/>
  <c r="U401" i="6"/>
  <c r="U1175" i="6"/>
  <c r="T948" i="6"/>
  <c r="U408" i="6"/>
  <c r="U12" i="6"/>
  <c r="T1203" i="6"/>
  <c r="T1286" i="6"/>
  <c r="T508" i="6"/>
  <c r="U397" i="6"/>
  <c r="U178" i="6"/>
  <c r="T356" i="6"/>
  <c r="U944" i="6"/>
  <c r="T629" i="6"/>
  <c r="U1046" i="6"/>
  <c r="U203" i="6"/>
  <c r="T467" i="6"/>
  <c r="T106" i="6"/>
  <c r="T239" i="6"/>
  <c r="T1218" i="6"/>
  <c r="T100" i="6"/>
  <c r="U412" i="6"/>
  <c r="U271" i="6"/>
  <c r="T1287" i="6"/>
  <c r="T1224" i="6"/>
  <c r="U638" i="6"/>
  <c r="T730" i="6"/>
  <c r="U1138" i="6"/>
  <c r="U835" i="6"/>
  <c r="U473" i="6"/>
  <c r="T1020" i="6"/>
  <c r="U1177" i="6"/>
  <c r="T811" i="6"/>
  <c r="U701" i="6"/>
  <c r="T916" i="6"/>
  <c r="T1363" i="6"/>
  <c r="T78" i="6"/>
  <c r="T29" i="6"/>
  <c r="T1232" i="6"/>
  <c r="U277" i="6"/>
  <c r="U1202" i="6"/>
  <c r="U528" i="6"/>
  <c r="U137" i="6"/>
  <c r="T54" i="6"/>
  <c r="T575" i="6"/>
  <c r="U488" i="6"/>
  <c r="U465" i="6"/>
  <c r="T1188" i="6"/>
  <c r="U848" i="6"/>
  <c r="T1348" i="6"/>
  <c r="T253" i="6"/>
  <c r="U1056" i="6"/>
  <c r="T927" i="6"/>
  <c r="T337" i="6"/>
  <c r="U285" i="6"/>
  <c r="T801" i="6"/>
  <c r="U378" i="6"/>
  <c r="T1091" i="6"/>
  <c r="T771" i="6"/>
  <c r="T664" i="6"/>
  <c r="U479" i="6"/>
  <c r="U388" i="6"/>
  <c r="T1018" i="6"/>
  <c r="U1395" i="6"/>
  <c r="T519" i="6"/>
  <c r="T586" i="6"/>
  <c r="T749" i="6"/>
  <c r="U1024" i="6"/>
  <c r="U86" i="6"/>
  <c r="T459" i="6"/>
  <c r="T333" i="6"/>
  <c r="T265" i="6"/>
  <c r="U1148" i="6"/>
  <c r="U873" i="6"/>
  <c r="U379" i="6"/>
  <c r="U1012" i="6"/>
  <c r="T999" i="6"/>
  <c r="T1030" i="6"/>
  <c r="U966" i="6"/>
  <c r="T754" i="6"/>
  <c r="T1135" i="6"/>
  <c r="T517" i="6"/>
  <c r="U371" i="6"/>
  <c r="T451" i="6"/>
  <c r="T1275" i="6"/>
  <c r="T479" i="6"/>
  <c r="T775" i="6"/>
  <c r="T1231" i="6"/>
  <c r="T375" i="6"/>
  <c r="T1205" i="6"/>
  <c r="T1288" i="6"/>
  <c r="T173" i="6"/>
  <c r="T898" i="6"/>
  <c r="U688" i="6"/>
  <c r="U828" i="6"/>
  <c r="T1382" i="6"/>
  <c r="T1094" i="6"/>
  <c r="T410" i="6"/>
  <c r="T1079" i="6"/>
  <c r="U458" i="6"/>
  <c r="T56" i="6"/>
  <c r="T883" i="6"/>
  <c r="T440" i="6"/>
  <c r="U344" i="6"/>
  <c r="T653" i="6"/>
  <c r="U660" i="6"/>
  <c r="T774" i="6"/>
  <c r="T246" i="6"/>
  <c r="T571" i="6"/>
  <c r="T90" i="6"/>
  <c r="U329" i="6"/>
  <c r="T522" i="6"/>
  <c r="U1367" i="6"/>
  <c r="U1153" i="6"/>
  <c r="T1167" i="6"/>
  <c r="U590" i="6"/>
  <c r="T366" i="6"/>
  <c r="T429" i="6"/>
  <c r="T633" i="6"/>
  <c r="T640" i="6"/>
  <c r="T566" i="6"/>
  <c r="T1386" i="6"/>
  <c r="T913" i="6"/>
  <c r="U1117" i="6"/>
  <c r="U1277" i="6"/>
  <c r="U1224" i="6"/>
  <c r="T55" i="6"/>
  <c r="U130" i="6"/>
  <c r="T781" i="6"/>
  <c r="U1129" i="6"/>
  <c r="T1031" i="6"/>
  <c r="T930" i="6"/>
  <c r="U719" i="6"/>
  <c r="T22" i="6"/>
  <c r="U1080" i="6"/>
  <c r="T1392" i="6"/>
  <c r="T69" i="6"/>
  <c r="T244" i="6"/>
  <c r="U1388" i="6"/>
  <c r="T968" i="6"/>
  <c r="T438" i="6"/>
  <c r="T796" i="6"/>
  <c r="U818" i="6"/>
  <c r="T688" i="6"/>
  <c r="T161" i="6"/>
  <c r="U753" i="6"/>
  <c r="U734" i="6"/>
  <c r="U985" i="6"/>
  <c r="U33" i="6"/>
  <c r="T378" i="6"/>
  <c r="U1309" i="6"/>
  <c r="T93" i="6"/>
  <c r="T31" i="6"/>
  <c r="T503" i="6"/>
  <c r="T721" i="6"/>
  <c r="U775" i="6"/>
  <c r="U1014" i="6"/>
  <c r="U1100" i="6"/>
  <c r="U307" i="6"/>
  <c r="U893" i="6"/>
  <c r="U840" i="6"/>
  <c r="U1308" i="6"/>
  <c r="U517" i="6"/>
  <c r="T66" i="6"/>
  <c r="T1300" i="6"/>
  <c r="T209" i="6"/>
  <c r="U1025" i="6"/>
  <c r="U540" i="6"/>
  <c r="U414" i="6"/>
  <c r="T190" i="6"/>
  <c r="T1047" i="6"/>
  <c r="U610" i="6"/>
  <c r="U146" i="6"/>
  <c r="T1162" i="6"/>
  <c r="T686" i="6"/>
  <c r="T432" i="6"/>
  <c r="U1051" i="6"/>
  <c r="T841" i="6"/>
  <c r="T491" i="6"/>
  <c r="T649" i="6"/>
  <c r="T679" i="6"/>
  <c r="U542" i="6"/>
  <c r="T208" i="6"/>
  <c r="U48" i="6"/>
  <c r="T114" i="6"/>
  <c r="U320" i="6"/>
  <c r="U249" i="6"/>
  <c r="U612" i="6"/>
  <c r="T285" i="6"/>
  <c r="U735" i="6"/>
  <c r="U689" i="6"/>
  <c r="U153" i="6"/>
  <c r="T1176" i="6"/>
  <c r="T964" i="6"/>
  <c r="T495" i="6"/>
  <c r="T717" i="6"/>
  <c r="T544" i="6"/>
  <c r="T704" i="6"/>
  <c r="T1172" i="6"/>
  <c r="U783" i="6"/>
  <c r="T1408" i="6"/>
  <c r="U1408" i="6"/>
  <c r="A1409" i="6"/>
  <c r="S20" i="1"/>
  <c r="T17" i="3"/>
  <c r="U466" i="6"/>
  <c r="L8" i="6" l="1"/>
  <c r="L9" i="6" s="1"/>
  <c r="P9" i="6" s="1"/>
  <c r="A78" i="2"/>
  <c r="A79" i="2" s="1"/>
  <c r="A80" i="2" s="1"/>
  <c r="A81" i="2" s="1"/>
  <c r="A82" i="2" s="1"/>
  <c r="A83" i="2" s="1"/>
  <c r="A84" i="2" s="1"/>
  <c r="AP15" i="3"/>
  <c r="AW15" i="3"/>
  <c r="AA16" i="3"/>
  <c r="Z16" i="3" s="1"/>
  <c r="AQ16" i="3"/>
  <c r="AV16" i="3"/>
  <c r="AE19" i="19"/>
  <c r="AF19" i="19"/>
  <c r="AI19" i="19"/>
  <c r="AH19" i="19"/>
  <c r="AK19" i="19" s="1"/>
  <c r="AB20" i="19"/>
  <c r="AI20" i="3"/>
  <c r="K62" i="2"/>
  <c r="L209" i="9"/>
  <c r="L390" i="9"/>
  <c r="L65" i="9"/>
  <c r="K788" i="9"/>
  <c r="K253" i="9"/>
  <c r="L710" i="9"/>
  <c r="L117" i="9"/>
  <c r="K82" i="9"/>
  <c r="L753" i="9"/>
  <c r="L797" i="9"/>
  <c r="L664" i="9"/>
  <c r="K481" i="9"/>
  <c r="L489" i="9"/>
  <c r="K185" i="9"/>
  <c r="K220" i="9"/>
  <c r="K311" i="9"/>
  <c r="K36" i="9"/>
  <c r="K796" i="9"/>
  <c r="L815" i="9"/>
  <c r="K211" i="9"/>
  <c r="K845" i="9"/>
  <c r="L334" i="9"/>
  <c r="K525" i="9"/>
  <c r="L634" i="9"/>
  <c r="L145" i="9"/>
  <c r="L754" i="9"/>
  <c r="L15" i="9"/>
  <c r="K154" i="9"/>
  <c r="L516" i="9"/>
  <c r="K326" i="9"/>
  <c r="K576" i="9"/>
  <c r="K217" i="9"/>
  <c r="K384" i="9"/>
  <c r="L221" i="9"/>
  <c r="L866" i="9"/>
  <c r="K632" i="9"/>
  <c r="L16" i="9"/>
  <c r="K866" i="9"/>
  <c r="K297" i="9"/>
  <c r="K608" i="9"/>
  <c r="AB18" i="1"/>
  <c r="U16" i="3"/>
  <c r="T19" i="1"/>
  <c r="Z18" i="1"/>
  <c r="R19" i="1"/>
  <c r="S16" i="3"/>
  <c r="AF21" i="1"/>
  <c r="AG20" i="1"/>
  <c r="L796" i="9"/>
  <c r="U19" i="1"/>
  <c r="AA18" i="1"/>
  <c r="AC18" i="1"/>
  <c r="V16" i="3"/>
  <c r="K51" i="9"/>
  <c r="L394" i="9"/>
  <c r="L612" i="9"/>
  <c r="L725" i="9"/>
  <c r="K708" i="9"/>
  <c r="K376" i="9"/>
  <c r="L60" i="9"/>
  <c r="K183" i="9"/>
  <c r="K565" i="9"/>
  <c r="K224" i="9"/>
  <c r="L93" i="9"/>
  <c r="K747" i="9"/>
  <c r="L788" i="9"/>
  <c r="L194" i="9"/>
  <c r="L763" i="9"/>
  <c r="L478" i="9"/>
  <c r="L269" i="9"/>
  <c r="L174" i="9"/>
  <c r="L375" i="9"/>
  <c r="K110" i="9"/>
  <c r="K555" i="9"/>
  <c r="L717" i="9"/>
  <c r="L704" i="9"/>
  <c r="K177" i="9"/>
  <c r="L865" i="9"/>
  <c r="K104" i="9"/>
  <c r="L126" i="9"/>
  <c r="K598" i="9"/>
  <c r="L367" i="9"/>
  <c r="L554" i="9"/>
  <c r="L789" i="9"/>
  <c r="K637" i="9"/>
  <c r="K546" i="9"/>
  <c r="K834" i="9"/>
  <c r="K517" i="9"/>
  <c r="K658" i="9"/>
  <c r="L731" i="9"/>
  <c r="K467" i="9"/>
  <c r="L398" i="9"/>
  <c r="L864" i="9"/>
  <c r="L198" i="9"/>
  <c r="K465" i="9"/>
  <c r="L35" i="9"/>
  <c r="K304" i="9"/>
  <c r="K345" i="9"/>
  <c r="V8" i="6"/>
  <c r="V9" i="6" s="1"/>
  <c r="V10" i="6" s="1"/>
  <c r="V11" i="6" s="1"/>
  <c r="V12" i="6" s="1"/>
  <c r="V13" i="6" s="1"/>
  <c r="V14" i="6" s="1"/>
  <c r="V15" i="6" s="1"/>
  <c r="V16" i="6" s="1"/>
  <c r="V17" i="6" s="1"/>
  <c r="V18" i="6" s="1"/>
  <c r="V19" i="6" s="1"/>
  <c r="V20" i="6" s="1"/>
  <c r="V21" i="6" s="1"/>
  <c r="V22" i="6" s="1"/>
  <c r="V23" i="6" s="1"/>
  <c r="V24" i="6" s="1"/>
  <c r="V25" i="6" s="1"/>
  <c r="V26" i="6" s="1"/>
  <c r="V27" i="6" s="1"/>
  <c r="V28" i="6" s="1"/>
  <c r="V29" i="6" s="1"/>
  <c r="V30" i="6" s="1"/>
  <c r="V31" i="6" s="1"/>
  <c r="V32" i="6" s="1"/>
  <c r="V33" i="6" s="1"/>
  <c r="V34" i="6" s="1"/>
  <c r="V35" i="6" s="1"/>
  <c r="V36" i="6" s="1"/>
  <c r="V37" i="6" s="1"/>
  <c r="V38" i="6" s="1"/>
  <c r="V39" i="6" s="1"/>
  <c r="V40" i="6" s="1"/>
  <c r="V41" i="6" s="1"/>
  <c r="V42" i="6" s="1"/>
  <c r="V43" i="6" s="1"/>
  <c r="V44" i="6" s="1"/>
  <c r="V45" i="6" s="1"/>
  <c r="V46" i="6" s="1"/>
  <c r="V47" i="6" s="1"/>
  <c r="V48" i="6" s="1"/>
  <c r="V49" i="6" s="1"/>
  <c r="V50" i="6" s="1"/>
  <c r="V51" i="6" s="1"/>
  <c r="V52" i="6" s="1"/>
  <c r="V53" i="6" s="1"/>
  <c r="V54" i="6" s="1"/>
  <c r="V55" i="6" s="1"/>
  <c r="V56" i="6" s="1"/>
  <c r="V57" i="6" s="1"/>
  <c r="V58" i="6" s="1"/>
  <c r="V59" i="6" s="1"/>
  <c r="V60" i="6" s="1"/>
  <c r="V61" i="6" s="1"/>
  <c r="V62" i="6" s="1"/>
  <c r="V63" i="6" s="1"/>
  <c r="V64" i="6" s="1"/>
  <c r="V65" i="6" s="1"/>
  <c r="V66" i="6" s="1"/>
  <c r="V67" i="6" s="1"/>
  <c r="V68" i="6" s="1"/>
  <c r="V69" i="6" s="1"/>
  <c r="V70" i="6" s="1"/>
  <c r="V71" i="6" s="1"/>
  <c r="V72" i="6" s="1"/>
  <c r="V73" i="6" s="1"/>
  <c r="V74" i="6" s="1"/>
  <c r="V75" i="6" s="1"/>
  <c r="V76" i="6" s="1"/>
  <c r="V77" i="6" s="1"/>
  <c r="V78" i="6" s="1"/>
  <c r="V79" i="6" s="1"/>
  <c r="V80" i="6" s="1"/>
  <c r="V81" i="6" s="1"/>
  <c r="V82" i="6" s="1"/>
  <c r="V83" i="6" s="1"/>
  <c r="V84" i="6" s="1"/>
  <c r="V85" i="6" s="1"/>
  <c r="V86" i="6" s="1"/>
  <c r="V87" i="6" s="1"/>
  <c r="V88" i="6" s="1"/>
  <c r="V89" i="6" s="1"/>
  <c r="V90" i="6" s="1"/>
  <c r="V91" i="6" s="1"/>
  <c r="V92" i="6" s="1"/>
  <c r="V93" i="6" s="1"/>
  <c r="V94" i="6" s="1"/>
  <c r="V95" i="6" s="1"/>
  <c r="V96" i="6" s="1"/>
  <c r="V97" i="6" s="1"/>
  <c r="V98" i="6" s="1"/>
  <c r="V99" i="6" s="1"/>
  <c r="V100" i="6" s="1"/>
  <c r="V101" i="6" s="1"/>
  <c r="V102" i="6" s="1"/>
  <c r="V103" i="6" s="1"/>
  <c r="V104" i="6" s="1"/>
  <c r="V105" i="6" s="1"/>
  <c r="V106" i="6" s="1"/>
  <c r="V107" i="6" s="1"/>
  <c r="V108" i="6" s="1"/>
  <c r="V109" i="6" s="1"/>
  <c r="V110" i="6" s="1"/>
  <c r="V111" i="6" s="1"/>
  <c r="V112" i="6" s="1"/>
  <c r="V113" i="6" s="1"/>
  <c r="V114" i="6" s="1"/>
  <c r="V115" i="6" s="1"/>
  <c r="V116" i="6" s="1"/>
  <c r="V117" i="6" s="1"/>
  <c r="V118" i="6" s="1"/>
  <c r="V119" i="6" s="1"/>
  <c r="V120" i="6" s="1"/>
  <c r="V121" i="6" s="1"/>
  <c r="V122" i="6" s="1"/>
  <c r="V123" i="6" s="1"/>
  <c r="V124" i="6" s="1"/>
  <c r="V125" i="6" s="1"/>
  <c r="V126" i="6" s="1"/>
  <c r="V127" i="6" s="1"/>
  <c r="V128" i="6" s="1"/>
  <c r="V129" i="6" s="1"/>
  <c r="V130" i="6" s="1"/>
  <c r="V131" i="6" s="1"/>
  <c r="V132" i="6" s="1"/>
  <c r="V133" i="6" s="1"/>
  <c r="V134" i="6" s="1"/>
  <c r="V135" i="6" s="1"/>
  <c r="V136" i="6" s="1"/>
  <c r="V137" i="6" s="1"/>
  <c r="V138" i="6" s="1"/>
  <c r="V139" i="6" s="1"/>
  <c r="V140" i="6" s="1"/>
  <c r="V141" i="6" s="1"/>
  <c r="V142" i="6" s="1"/>
  <c r="V143" i="6" s="1"/>
  <c r="V144" i="6" s="1"/>
  <c r="V145" i="6" s="1"/>
  <c r="V146" i="6" s="1"/>
  <c r="V147" i="6" s="1"/>
  <c r="V148" i="6" s="1"/>
  <c r="V149" i="6" s="1"/>
  <c r="V150" i="6" s="1"/>
  <c r="V151" i="6" s="1"/>
  <c r="V152" i="6" s="1"/>
  <c r="V153" i="6" s="1"/>
  <c r="V154" i="6" s="1"/>
  <c r="V155" i="6" s="1"/>
  <c r="V156" i="6" s="1"/>
  <c r="V157" i="6" s="1"/>
  <c r="V158" i="6" s="1"/>
  <c r="V159" i="6" s="1"/>
  <c r="V160" i="6" s="1"/>
  <c r="V161" i="6" s="1"/>
  <c r="V162" i="6" s="1"/>
  <c r="V163" i="6" s="1"/>
  <c r="V164" i="6" s="1"/>
  <c r="V165" i="6" s="1"/>
  <c r="V166" i="6" s="1"/>
  <c r="V167" i="6" s="1"/>
  <c r="V168" i="6" s="1"/>
  <c r="V169" i="6" s="1"/>
  <c r="V170" i="6" s="1"/>
  <c r="V171" i="6" s="1"/>
  <c r="V172" i="6" s="1"/>
  <c r="V173" i="6" s="1"/>
  <c r="V174" i="6" s="1"/>
  <c r="V175" i="6" s="1"/>
  <c r="V176" i="6" s="1"/>
  <c r="V177" i="6" s="1"/>
  <c r="V178" i="6" s="1"/>
  <c r="V179" i="6" s="1"/>
  <c r="V180" i="6" s="1"/>
  <c r="V181" i="6" s="1"/>
  <c r="V182" i="6" s="1"/>
  <c r="V183" i="6" s="1"/>
  <c r="V184" i="6" s="1"/>
  <c r="V185" i="6" s="1"/>
  <c r="V186" i="6" s="1"/>
  <c r="V187" i="6" s="1"/>
  <c r="V188" i="6" s="1"/>
  <c r="V189" i="6" s="1"/>
  <c r="V190" i="6" s="1"/>
  <c r="V191" i="6" s="1"/>
  <c r="V192" i="6" s="1"/>
  <c r="V193" i="6" s="1"/>
  <c r="V194" i="6" s="1"/>
  <c r="V195" i="6" s="1"/>
  <c r="V196" i="6" s="1"/>
  <c r="V197" i="6" s="1"/>
  <c r="V198" i="6" s="1"/>
  <c r="V199" i="6" s="1"/>
  <c r="V200" i="6" s="1"/>
  <c r="V201" i="6" s="1"/>
  <c r="V202" i="6" s="1"/>
  <c r="V203" i="6" s="1"/>
  <c r="V204" i="6" s="1"/>
  <c r="V205" i="6" s="1"/>
  <c r="V206" i="6" s="1"/>
  <c r="V207" i="6" s="1"/>
  <c r="V208" i="6" s="1"/>
  <c r="V209" i="6" s="1"/>
  <c r="V210" i="6" s="1"/>
  <c r="V211" i="6" s="1"/>
  <c r="V212" i="6" s="1"/>
  <c r="V213" i="6" s="1"/>
  <c r="V214" i="6" s="1"/>
  <c r="V215" i="6" s="1"/>
  <c r="V216" i="6" s="1"/>
  <c r="V217" i="6" s="1"/>
  <c r="V218" i="6" s="1"/>
  <c r="V219" i="6" s="1"/>
  <c r="V220" i="6" s="1"/>
  <c r="V221" i="6" s="1"/>
  <c r="V222" i="6" s="1"/>
  <c r="V223" i="6" s="1"/>
  <c r="V224" i="6" s="1"/>
  <c r="V225" i="6" s="1"/>
  <c r="V226" i="6" s="1"/>
  <c r="V227" i="6" s="1"/>
  <c r="V228" i="6" s="1"/>
  <c r="V229" i="6" s="1"/>
  <c r="V230" i="6" s="1"/>
  <c r="V231" i="6" s="1"/>
  <c r="V232" i="6" s="1"/>
  <c r="V233" i="6" s="1"/>
  <c r="V234" i="6" s="1"/>
  <c r="V235" i="6" s="1"/>
  <c r="V236" i="6" s="1"/>
  <c r="V237" i="6" s="1"/>
  <c r="V238" i="6" s="1"/>
  <c r="V239" i="6" s="1"/>
  <c r="V240" i="6" s="1"/>
  <c r="V241" i="6" s="1"/>
  <c r="V242" i="6" s="1"/>
  <c r="V243" i="6" s="1"/>
  <c r="V244" i="6" s="1"/>
  <c r="V245" i="6" s="1"/>
  <c r="V246" i="6" s="1"/>
  <c r="V247" i="6" s="1"/>
  <c r="V248" i="6" s="1"/>
  <c r="V249" i="6" s="1"/>
  <c r="V250" i="6" s="1"/>
  <c r="V251" i="6" s="1"/>
  <c r="V252" i="6" s="1"/>
  <c r="V253" i="6" s="1"/>
  <c r="V254" i="6" s="1"/>
  <c r="V255" i="6" s="1"/>
  <c r="V256" i="6" s="1"/>
  <c r="V257" i="6" s="1"/>
  <c r="V258" i="6" s="1"/>
  <c r="V259" i="6" s="1"/>
  <c r="V260" i="6" s="1"/>
  <c r="V261" i="6" s="1"/>
  <c r="V262" i="6" s="1"/>
  <c r="V263" i="6" s="1"/>
  <c r="V264" i="6" s="1"/>
  <c r="V265" i="6" s="1"/>
  <c r="V266" i="6" s="1"/>
  <c r="V267" i="6" s="1"/>
  <c r="V268" i="6" s="1"/>
  <c r="V269" i="6" s="1"/>
  <c r="V270" i="6" s="1"/>
  <c r="V271" i="6" s="1"/>
  <c r="V272" i="6" s="1"/>
  <c r="V273" i="6" s="1"/>
  <c r="V274" i="6" s="1"/>
  <c r="V275" i="6" s="1"/>
  <c r="V276" i="6" s="1"/>
  <c r="V277" i="6" s="1"/>
  <c r="V278" i="6" s="1"/>
  <c r="V279" i="6" s="1"/>
  <c r="V280" i="6" s="1"/>
  <c r="V281" i="6" s="1"/>
  <c r="V282" i="6" s="1"/>
  <c r="V283" i="6" s="1"/>
  <c r="V284" i="6" s="1"/>
  <c r="V285" i="6" s="1"/>
  <c r="V286" i="6" s="1"/>
  <c r="V287" i="6" s="1"/>
  <c r="V288" i="6" s="1"/>
  <c r="V289" i="6" s="1"/>
  <c r="V290" i="6" s="1"/>
  <c r="V291" i="6" s="1"/>
  <c r="V292" i="6" s="1"/>
  <c r="V293" i="6" s="1"/>
  <c r="V294" i="6" s="1"/>
  <c r="V295" i="6" s="1"/>
  <c r="V296" i="6" s="1"/>
  <c r="V297" i="6" s="1"/>
  <c r="V298" i="6" s="1"/>
  <c r="V299" i="6" s="1"/>
  <c r="V300" i="6" s="1"/>
  <c r="V301" i="6" s="1"/>
  <c r="V302" i="6" s="1"/>
  <c r="V303" i="6" s="1"/>
  <c r="V304" i="6" s="1"/>
  <c r="V305" i="6" s="1"/>
  <c r="V306" i="6" s="1"/>
  <c r="V307" i="6" s="1"/>
  <c r="V308" i="6" s="1"/>
  <c r="V309" i="6" s="1"/>
  <c r="V310" i="6" s="1"/>
  <c r="V311" i="6" s="1"/>
  <c r="V312" i="6" s="1"/>
  <c r="V313" i="6" s="1"/>
  <c r="V314" i="6" s="1"/>
  <c r="V315" i="6" s="1"/>
  <c r="V316" i="6" s="1"/>
  <c r="V317" i="6" s="1"/>
  <c r="V318" i="6" s="1"/>
  <c r="V319" i="6" s="1"/>
  <c r="V320" i="6" s="1"/>
  <c r="V321" i="6" s="1"/>
  <c r="V322" i="6" s="1"/>
  <c r="V323" i="6" s="1"/>
  <c r="V324" i="6" s="1"/>
  <c r="V325" i="6" s="1"/>
  <c r="V326" i="6" s="1"/>
  <c r="V327" i="6" s="1"/>
  <c r="V328" i="6" s="1"/>
  <c r="V329" i="6" s="1"/>
  <c r="V330" i="6" s="1"/>
  <c r="V331" i="6" s="1"/>
  <c r="V332" i="6" s="1"/>
  <c r="V333" i="6" s="1"/>
  <c r="V334" i="6" s="1"/>
  <c r="V335" i="6" s="1"/>
  <c r="V336" i="6" s="1"/>
  <c r="V337" i="6" s="1"/>
  <c r="V338" i="6" s="1"/>
  <c r="V339" i="6" s="1"/>
  <c r="V340" i="6" s="1"/>
  <c r="V341" i="6" s="1"/>
  <c r="V342" i="6" s="1"/>
  <c r="V343" i="6" s="1"/>
  <c r="V344" i="6" s="1"/>
  <c r="V345" i="6" s="1"/>
  <c r="V346" i="6" s="1"/>
  <c r="V347" i="6" s="1"/>
  <c r="V348" i="6" s="1"/>
  <c r="V349" i="6" s="1"/>
  <c r="V350" i="6" s="1"/>
  <c r="V351" i="6" s="1"/>
  <c r="V352" i="6" s="1"/>
  <c r="V353" i="6" s="1"/>
  <c r="V354" i="6" s="1"/>
  <c r="V355" i="6" s="1"/>
  <c r="V356" i="6" s="1"/>
  <c r="V357" i="6" s="1"/>
  <c r="V358" i="6" s="1"/>
  <c r="V359" i="6" s="1"/>
  <c r="V360" i="6" s="1"/>
  <c r="V361" i="6" s="1"/>
  <c r="V362" i="6" s="1"/>
  <c r="V363" i="6" s="1"/>
  <c r="V364" i="6" s="1"/>
  <c r="V365" i="6" s="1"/>
  <c r="V366" i="6" s="1"/>
  <c r="V367" i="6" s="1"/>
  <c r="V368" i="6" s="1"/>
  <c r="V369" i="6" s="1"/>
  <c r="V370" i="6" s="1"/>
  <c r="V371" i="6" s="1"/>
  <c r="V372" i="6" s="1"/>
  <c r="V373" i="6" s="1"/>
  <c r="V374" i="6" s="1"/>
  <c r="V375" i="6" s="1"/>
  <c r="V376" i="6" s="1"/>
  <c r="V377" i="6" s="1"/>
  <c r="V378" i="6" s="1"/>
  <c r="V379" i="6" s="1"/>
  <c r="V380" i="6" s="1"/>
  <c r="V381" i="6" s="1"/>
  <c r="V382" i="6" s="1"/>
  <c r="V383" i="6" s="1"/>
  <c r="V384" i="6" s="1"/>
  <c r="V385" i="6" s="1"/>
  <c r="V386" i="6" s="1"/>
  <c r="V387" i="6" s="1"/>
  <c r="V388" i="6" s="1"/>
  <c r="V389" i="6" s="1"/>
  <c r="V390" i="6" s="1"/>
  <c r="V391" i="6" s="1"/>
  <c r="V392" i="6" s="1"/>
  <c r="V393" i="6" s="1"/>
  <c r="V394" i="6" s="1"/>
  <c r="V395" i="6" s="1"/>
  <c r="V396" i="6" s="1"/>
  <c r="V397" i="6" s="1"/>
  <c r="V398" i="6" s="1"/>
  <c r="V399" i="6" s="1"/>
  <c r="V400" i="6" s="1"/>
  <c r="V401" i="6" s="1"/>
  <c r="V402" i="6" s="1"/>
  <c r="V403" i="6" s="1"/>
  <c r="V404" i="6" s="1"/>
  <c r="V405" i="6" s="1"/>
  <c r="V406" i="6" s="1"/>
  <c r="V407" i="6" s="1"/>
  <c r="V408" i="6" s="1"/>
  <c r="V409" i="6" s="1"/>
  <c r="V410" i="6" s="1"/>
  <c r="V411" i="6" s="1"/>
  <c r="V412" i="6" s="1"/>
  <c r="V413" i="6" s="1"/>
  <c r="V414" i="6" s="1"/>
  <c r="V415" i="6" s="1"/>
  <c r="V416" i="6" s="1"/>
  <c r="V417" i="6" s="1"/>
  <c r="V418" i="6" s="1"/>
  <c r="V419" i="6" s="1"/>
  <c r="V420" i="6" s="1"/>
  <c r="V421" i="6" s="1"/>
  <c r="V422" i="6" s="1"/>
  <c r="V423" i="6" s="1"/>
  <c r="V424" i="6" s="1"/>
  <c r="V425" i="6" s="1"/>
  <c r="V426" i="6" s="1"/>
  <c r="V427" i="6" s="1"/>
  <c r="V428" i="6" s="1"/>
  <c r="V429" i="6" s="1"/>
  <c r="V430" i="6" s="1"/>
  <c r="V431" i="6" s="1"/>
  <c r="V432" i="6" s="1"/>
  <c r="V433" i="6" s="1"/>
  <c r="V434" i="6" s="1"/>
  <c r="V435" i="6" s="1"/>
  <c r="V436" i="6" s="1"/>
  <c r="V437" i="6" s="1"/>
  <c r="V438" i="6" s="1"/>
  <c r="V439" i="6" s="1"/>
  <c r="V440" i="6" s="1"/>
  <c r="V441" i="6" s="1"/>
  <c r="V442" i="6" s="1"/>
  <c r="V443" i="6" s="1"/>
  <c r="V444" i="6" s="1"/>
  <c r="V445" i="6" s="1"/>
  <c r="V446" i="6" s="1"/>
  <c r="V447" i="6" s="1"/>
  <c r="V448" i="6" s="1"/>
  <c r="V449" i="6" s="1"/>
  <c r="V450" i="6" s="1"/>
  <c r="V451" i="6" s="1"/>
  <c r="V452" i="6" s="1"/>
  <c r="V453" i="6" s="1"/>
  <c r="V454" i="6" s="1"/>
  <c r="V455" i="6" s="1"/>
  <c r="V456" i="6" s="1"/>
  <c r="V457" i="6" s="1"/>
  <c r="V458" i="6" s="1"/>
  <c r="V459" i="6" s="1"/>
  <c r="V460" i="6" s="1"/>
  <c r="V461" i="6" s="1"/>
  <c r="V462" i="6" s="1"/>
  <c r="V463" i="6" s="1"/>
  <c r="V464" i="6" s="1"/>
  <c r="V465" i="6" s="1"/>
  <c r="V466" i="6" s="1"/>
  <c r="V467" i="6" s="1"/>
  <c r="V468" i="6" s="1"/>
  <c r="V469" i="6" s="1"/>
  <c r="V470" i="6" s="1"/>
  <c r="V471" i="6" s="1"/>
  <c r="V472" i="6" s="1"/>
  <c r="V473" i="6" s="1"/>
  <c r="V474" i="6" s="1"/>
  <c r="V475" i="6" s="1"/>
  <c r="V476" i="6" s="1"/>
  <c r="V477" i="6" s="1"/>
  <c r="V478" i="6" s="1"/>
  <c r="V479" i="6" s="1"/>
  <c r="V480" i="6" s="1"/>
  <c r="V481" i="6" s="1"/>
  <c r="V482" i="6" s="1"/>
  <c r="V483" i="6" s="1"/>
  <c r="V484" i="6" s="1"/>
  <c r="V485" i="6" s="1"/>
  <c r="V486" i="6" s="1"/>
  <c r="V487" i="6" s="1"/>
  <c r="V488" i="6" s="1"/>
  <c r="V489" i="6" s="1"/>
  <c r="V490" i="6" s="1"/>
  <c r="V491" i="6" s="1"/>
  <c r="V492" i="6" s="1"/>
  <c r="V493" i="6" s="1"/>
  <c r="V494" i="6" s="1"/>
  <c r="V495" i="6" s="1"/>
  <c r="V496" i="6" s="1"/>
  <c r="V497" i="6" s="1"/>
  <c r="V498" i="6" s="1"/>
  <c r="V499" i="6" s="1"/>
  <c r="V500" i="6" s="1"/>
  <c r="V501" i="6" s="1"/>
  <c r="V502" i="6" s="1"/>
  <c r="V503" i="6" s="1"/>
  <c r="V504" i="6" s="1"/>
  <c r="V505" i="6" s="1"/>
  <c r="V506" i="6" s="1"/>
  <c r="V507" i="6" s="1"/>
  <c r="V508" i="6" s="1"/>
  <c r="V509" i="6" s="1"/>
  <c r="V510" i="6" s="1"/>
  <c r="V511" i="6" s="1"/>
  <c r="V512" i="6" s="1"/>
  <c r="V513" i="6" s="1"/>
  <c r="V514" i="6" s="1"/>
  <c r="V515" i="6" s="1"/>
  <c r="V516" i="6" s="1"/>
  <c r="V517" i="6" s="1"/>
  <c r="V518" i="6" s="1"/>
  <c r="V519" i="6" s="1"/>
  <c r="V520" i="6" s="1"/>
  <c r="V521" i="6" s="1"/>
  <c r="V522" i="6" s="1"/>
  <c r="V523" i="6" s="1"/>
  <c r="V524" i="6" s="1"/>
  <c r="V525" i="6" s="1"/>
  <c r="V526" i="6" s="1"/>
  <c r="V527" i="6" s="1"/>
  <c r="V528" i="6" s="1"/>
  <c r="V529" i="6" s="1"/>
  <c r="V530" i="6" s="1"/>
  <c r="V531" i="6" s="1"/>
  <c r="V532" i="6" s="1"/>
  <c r="V533" i="6" s="1"/>
  <c r="V534" i="6" s="1"/>
  <c r="V535" i="6" s="1"/>
  <c r="V536" i="6" s="1"/>
  <c r="V537" i="6" s="1"/>
  <c r="V538" i="6" s="1"/>
  <c r="V539" i="6" s="1"/>
  <c r="V540" i="6" s="1"/>
  <c r="V541" i="6" s="1"/>
  <c r="V542" i="6" s="1"/>
  <c r="V543" i="6" s="1"/>
  <c r="V544" i="6" s="1"/>
  <c r="V545" i="6" s="1"/>
  <c r="V546" i="6" s="1"/>
  <c r="V547" i="6" s="1"/>
  <c r="V548" i="6" s="1"/>
  <c r="V549" i="6" s="1"/>
  <c r="V550" i="6" s="1"/>
  <c r="V551" i="6" s="1"/>
  <c r="V552" i="6" s="1"/>
  <c r="V553" i="6" s="1"/>
  <c r="V554" i="6" s="1"/>
  <c r="V555" i="6" s="1"/>
  <c r="V556" i="6" s="1"/>
  <c r="V557" i="6" s="1"/>
  <c r="V558" i="6" s="1"/>
  <c r="V559" i="6" s="1"/>
  <c r="V560" i="6" s="1"/>
  <c r="V561" i="6" s="1"/>
  <c r="V562" i="6" s="1"/>
  <c r="V563" i="6" s="1"/>
  <c r="V564" i="6" s="1"/>
  <c r="V565" i="6" s="1"/>
  <c r="V566" i="6" s="1"/>
  <c r="V567" i="6" s="1"/>
  <c r="V568" i="6" s="1"/>
  <c r="V569" i="6" s="1"/>
  <c r="V570" i="6" s="1"/>
  <c r="V571" i="6" s="1"/>
  <c r="V572" i="6" s="1"/>
  <c r="V573" i="6" s="1"/>
  <c r="V574" i="6" s="1"/>
  <c r="V575" i="6" s="1"/>
  <c r="V576" i="6" s="1"/>
  <c r="V577" i="6" s="1"/>
  <c r="V578" i="6" s="1"/>
  <c r="V579" i="6" s="1"/>
  <c r="V580" i="6" s="1"/>
  <c r="V581" i="6" s="1"/>
  <c r="V582" i="6" s="1"/>
  <c r="V583" i="6" s="1"/>
  <c r="V584" i="6" s="1"/>
  <c r="V585" i="6" s="1"/>
  <c r="V586" i="6" s="1"/>
  <c r="V587" i="6" s="1"/>
  <c r="V588" i="6" s="1"/>
  <c r="V589" i="6" s="1"/>
  <c r="V590" i="6" s="1"/>
  <c r="V591" i="6" s="1"/>
  <c r="V592" i="6" s="1"/>
  <c r="V593" i="6" s="1"/>
  <c r="V594" i="6" s="1"/>
  <c r="V595" i="6" s="1"/>
  <c r="V596" i="6" s="1"/>
  <c r="V597" i="6" s="1"/>
  <c r="V598" i="6" s="1"/>
  <c r="V599" i="6" s="1"/>
  <c r="V600" i="6" s="1"/>
  <c r="V601" i="6" s="1"/>
  <c r="V602" i="6" s="1"/>
  <c r="V603" i="6" s="1"/>
  <c r="V604" i="6" s="1"/>
  <c r="V605" i="6" s="1"/>
  <c r="V606" i="6" s="1"/>
  <c r="V607" i="6" s="1"/>
  <c r="V608" i="6" s="1"/>
  <c r="V609" i="6" s="1"/>
  <c r="V610" i="6" s="1"/>
  <c r="V611" i="6" s="1"/>
  <c r="V612" i="6" s="1"/>
  <c r="V613" i="6" s="1"/>
  <c r="V614" i="6" s="1"/>
  <c r="V615" i="6" s="1"/>
  <c r="V616" i="6" s="1"/>
  <c r="V617" i="6" s="1"/>
  <c r="V618" i="6" s="1"/>
  <c r="V619" i="6" s="1"/>
  <c r="V620" i="6" s="1"/>
  <c r="V621" i="6" s="1"/>
  <c r="V622" i="6" s="1"/>
  <c r="V623" i="6" s="1"/>
  <c r="V624" i="6" s="1"/>
  <c r="V625" i="6" s="1"/>
  <c r="V626" i="6" s="1"/>
  <c r="V627" i="6" s="1"/>
  <c r="V628" i="6" s="1"/>
  <c r="V629" i="6" s="1"/>
  <c r="V630" i="6" s="1"/>
  <c r="V631" i="6" s="1"/>
  <c r="V632" i="6" s="1"/>
  <c r="V633" i="6" s="1"/>
  <c r="V634" i="6" s="1"/>
  <c r="V635" i="6" s="1"/>
  <c r="V636" i="6" s="1"/>
  <c r="V637" i="6" s="1"/>
  <c r="V638" i="6" s="1"/>
  <c r="V639" i="6" s="1"/>
  <c r="V640" i="6" s="1"/>
  <c r="V641" i="6" s="1"/>
  <c r="V642" i="6" s="1"/>
  <c r="V643" i="6" s="1"/>
  <c r="V644" i="6" s="1"/>
  <c r="V645" i="6" s="1"/>
  <c r="V646" i="6" s="1"/>
  <c r="V647" i="6" s="1"/>
  <c r="V648" i="6" s="1"/>
  <c r="V649" i="6" s="1"/>
  <c r="V650" i="6" s="1"/>
  <c r="V651" i="6" s="1"/>
  <c r="V652" i="6" s="1"/>
  <c r="V653" i="6" s="1"/>
  <c r="V654" i="6" s="1"/>
  <c r="V655" i="6" s="1"/>
  <c r="V656" i="6" s="1"/>
  <c r="V657" i="6" s="1"/>
  <c r="V658" i="6" s="1"/>
  <c r="V659" i="6" s="1"/>
  <c r="V660" i="6" s="1"/>
  <c r="V661" i="6" s="1"/>
  <c r="V662" i="6" s="1"/>
  <c r="V663" i="6" s="1"/>
  <c r="V664" i="6" s="1"/>
  <c r="V665" i="6" s="1"/>
  <c r="V666" i="6" s="1"/>
  <c r="V667" i="6" s="1"/>
  <c r="V668" i="6" s="1"/>
  <c r="V669" i="6" s="1"/>
  <c r="V670" i="6" s="1"/>
  <c r="V671" i="6" s="1"/>
  <c r="V672" i="6" s="1"/>
  <c r="V673" i="6" s="1"/>
  <c r="V674" i="6" s="1"/>
  <c r="V675" i="6" s="1"/>
  <c r="V676" i="6" s="1"/>
  <c r="V677" i="6" s="1"/>
  <c r="V678" i="6" s="1"/>
  <c r="V679" i="6" s="1"/>
  <c r="V680" i="6" s="1"/>
  <c r="V681" i="6" s="1"/>
  <c r="V682" i="6" s="1"/>
  <c r="V683" i="6" s="1"/>
  <c r="V684" i="6" s="1"/>
  <c r="V685" i="6" s="1"/>
  <c r="V686" i="6" s="1"/>
  <c r="V687" i="6" s="1"/>
  <c r="V688" i="6" s="1"/>
  <c r="V689" i="6" s="1"/>
  <c r="V690" i="6" s="1"/>
  <c r="V691" i="6" s="1"/>
  <c r="V692" i="6" s="1"/>
  <c r="V693" i="6" s="1"/>
  <c r="V694" i="6" s="1"/>
  <c r="V695" i="6" s="1"/>
  <c r="V696" i="6" s="1"/>
  <c r="V697" i="6" s="1"/>
  <c r="V698" i="6" s="1"/>
  <c r="V699" i="6" s="1"/>
  <c r="V700" i="6" s="1"/>
  <c r="V701" i="6" s="1"/>
  <c r="V702" i="6" s="1"/>
  <c r="V703" i="6" s="1"/>
  <c r="V704" i="6" s="1"/>
  <c r="V705" i="6" s="1"/>
  <c r="V706" i="6" s="1"/>
  <c r="V707" i="6" s="1"/>
  <c r="V708" i="6" s="1"/>
  <c r="V709" i="6" s="1"/>
  <c r="V710" i="6" s="1"/>
  <c r="V711" i="6" s="1"/>
  <c r="V712" i="6" s="1"/>
  <c r="V713" i="6" s="1"/>
  <c r="V714" i="6" s="1"/>
  <c r="V715" i="6" s="1"/>
  <c r="V716" i="6" s="1"/>
  <c r="V717" i="6" s="1"/>
  <c r="V718" i="6" s="1"/>
  <c r="V719" i="6" s="1"/>
  <c r="V720" i="6" s="1"/>
  <c r="V721" i="6" s="1"/>
  <c r="V722" i="6" s="1"/>
  <c r="V723" i="6" s="1"/>
  <c r="V724" i="6" s="1"/>
  <c r="V725" i="6" s="1"/>
  <c r="V726" i="6" s="1"/>
  <c r="V727" i="6" s="1"/>
  <c r="V728" i="6" s="1"/>
  <c r="V729" i="6" s="1"/>
  <c r="V730" i="6" s="1"/>
  <c r="V731" i="6" s="1"/>
  <c r="V732" i="6" s="1"/>
  <c r="V733" i="6" s="1"/>
  <c r="V734" i="6" s="1"/>
  <c r="V735" i="6" s="1"/>
  <c r="V736" i="6" s="1"/>
  <c r="V737" i="6" s="1"/>
  <c r="V738" i="6" s="1"/>
  <c r="V739" i="6" s="1"/>
  <c r="V740" i="6" s="1"/>
  <c r="V741" i="6" s="1"/>
  <c r="V742" i="6" s="1"/>
  <c r="V743" i="6" s="1"/>
  <c r="V744" i="6" s="1"/>
  <c r="V745" i="6" s="1"/>
  <c r="V746" i="6" s="1"/>
  <c r="V747" i="6" s="1"/>
  <c r="V748" i="6" s="1"/>
  <c r="V749" i="6" s="1"/>
  <c r="V750" i="6" s="1"/>
  <c r="V751" i="6" s="1"/>
  <c r="V752" i="6" s="1"/>
  <c r="V753" i="6" s="1"/>
  <c r="V754" i="6" s="1"/>
  <c r="V755" i="6" s="1"/>
  <c r="V756" i="6" s="1"/>
  <c r="V757" i="6" s="1"/>
  <c r="V758" i="6" s="1"/>
  <c r="V759" i="6" s="1"/>
  <c r="V760" i="6" s="1"/>
  <c r="V761" i="6" s="1"/>
  <c r="V762" i="6" s="1"/>
  <c r="V763" i="6" s="1"/>
  <c r="V764" i="6" s="1"/>
  <c r="V765" i="6" s="1"/>
  <c r="V766" i="6" s="1"/>
  <c r="V767" i="6" s="1"/>
  <c r="V768" i="6" s="1"/>
  <c r="V769" i="6" s="1"/>
  <c r="V770" i="6" s="1"/>
  <c r="V771" i="6" s="1"/>
  <c r="V772" i="6" s="1"/>
  <c r="V773" i="6" s="1"/>
  <c r="V774" i="6" s="1"/>
  <c r="V775" i="6" s="1"/>
  <c r="V776" i="6" s="1"/>
  <c r="V777" i="6" s="1"/>
  <c r="V778" i="6" s="1"/>
  <c r="V779" i="6" s="1"/>
  <c r="V780" i="6" s="1"/>
  <c r="V781" i="6" s="1"/>
  <c r="V782" i="6" s="1"/>
  <c r="V783" i="6" s="1"/>
  <c r="V784" i="6" s="1"/>
  <c r="V785" i="6" s="1"/>
  <c r="V786" i="6" s="1"/>
  <c r="V787" i="6" s="1"/>
  <c r="V788" i="6" s="1"/>
  <c r="V789" i="6" s="1"/>
  <c r="V790" i="6" s="1"/>
  <c r="V791" i="6" s="1"/>
  <c r="V792" i="6" s="1"/>
  <c r="V793" i="6" s="1"/>
  <c r="V794" i="6" s="1"/>
  <c r="V795" i="6" s="1"/>
  <c r="V796" i="6" s="1"/>
  <c r="V797" i="6" s="1"/>
  <c r="V798" i="6" s="1"/>
  <c r="V799" i="6" s="1"/>
  <c r="V800" i="6" s="1"/>
  <c r="V801" i="6" s="1"/>
  <c r="V802" i="6" s="1"/>
  <c r="V803" i="6" s="1"/>
  <c r="V804" i="6" s="1"/>
  <c r="V805" i="6" s="1"/>
  <c r="V806" i="6" s="1"/>
  <c r="V807" i="6" s="1"/>
  <c r="V808" i="6" s="1"/>
  <c r="V809" i="6" s="1"/>
  <c r="V810" i="6" s="1"/>
  <c r="V811" i="6" s="1"/>
  <c r="V812" i="6" s="1"/>
  <c r="V813" i="6" s="1"/>
  <c r="V814" i="6" s="1"/>
  <c r="V815" i="6" s="1"/>
  <c r="V816" i="6" s="1"/>
  <c r="V817" i="6" s="1"/>
  <c r="V818" i="6" s="1"/>
  <c r="V819" i="6" s="1"/>
  <c r="V820" i="6" s="1"/>
  <c r="V821" i="6" s="1"/>
  <c r="V822" i="6" s="1"/>
  <c r="V823" i="6" s="1"/>
  <c r="V824" i="6" s="1"/>
  <c r="V825" i="6" s="1"/>
  <c r="V826" i="6" s="1"/>
  <c r="V827" i="6" s="1"/>
  <c r="V828" i="6" s="1"/>
  <c r="V829" i="6" s="1"/>
  <c r="V830" i="6" s="1"/>
  <c r="V831" i="6" s="1"/>
  <c r="V832" i="6" s="1"/>
  <c r="V833" i="6" s="1"/>
  <c r="V834" i="6" s="1"/>
  <c r="V835" i="6" s="1"/>
  <c r="V836" i="6" s="1"/>
  <c r="V837" i="6" s="1"/>
  <c r="V838" i="6" s="1"/>
  <c r="V839" i="6" s="1"/>
  <c r="V840" i="6" s="1"/>
  <c r="V841" i="6" s="1"/>
  <c r="V842" i="6" s="1"/>
  <c r="V843" i="6" s="1"/>
  <c r="V844" i="6" s="1"/>
  <c r="V845" i="6" s="1"/>
  <c r="V846" i="6" s="1"/>
  <c r="V847" i="6" s="1"/>
  <c r="V848" i="6" s="1"/>
  <c r="V849" i="6" s="1"/>
  <c r="V850" i="6" s="1"/>
  <c r="V851" i="6" s="1"/>
  <c r="V852" i="6" s="1"/>
  <c r="V853" i="6" s="1"/>
  <c r="V854" i="6" s="1"/>
  <c r="V855" i="6" s="1"/>
  <c r="V856" i="6" s="1"/>
  <c r="V857" i="6" s="1"/>
  <c r="V858" i="6" s="1"/>
  <c r="V859" i="6" s="1"/>
  <c r="V860" i="6" s="1"/>
  <c r="V861" i="6" s="1"/>
  <c r="V862" i="6" s="1"/>
  <c r="V863" i="6" s="1"/>
  <c r="V864" i="6" s="1"/>
  <c r="V865" i="6" s="1"/>
  <c r="V866" i="6" s="1"/>
  <c r="V867" i="6" s="1"/>
  <c r="V868" i="6" s="1"/>
  <c r="V869" i="6" s="1"/>
  <c r="V870" i="6" s="1"/>
  <c r="V871" i="6" s="1"/>
  <c r="V872" i="6" s="1"/>
  <c r="V873" i="6" s="1"/>
  <c r="V874" i="6" s="1"/>
  <c r="V875" i="6" s="1"/>
  <c r="V876" i="6" s="1"/>
  <c r="V877" i="6" s="1"/>
  <c r="V878" i="6" s="1"/>
  <c r="V879" i="6" s="1"/>
  <c r="V880" i="6" s="1"/>
  <c r="V881" i="6" s="1"/>
  <c r="V882" i="6" s="1"/>
  <c r="V883" i="6" s="1"/>
  <c r="V884" i="6" s="1"/>
  <c r="V885" i="6" s="1"/>
  <c r="V886" i="6" s="1"/>
  <c r="V887" i="6" s="1"/>
  <c r="V888" i="6" s="1"/>
  <c r="V889" i="6" s="1"/>
  <c r="V890" i="6" s="1"/>
  <c r="V891" i="6" s="1"/>
  <c r="V892" i="6" s="1"/>
  <c r="V893" i="6" s="1"/>
  <c r="V894" i="6" s="1"/>
  <c r="V895" i="6" s="1"/>
  <c r="V896" i="6" s="1"/>
  <c r="V897" i="6" s="1"/>
  <c r="V898" i="6" s="1"/>
  <c r="V899" i="6" s="1"/>
  <c r="V900" i="6" s="1"/>
  <c r="V901" i="6" s="1"/>
  <c r="V902" i="6" s="1"/>
  <c r="V903" i="6" s="1"/>
  <c r="V904" i="6" s="1"/>
  <c r="V905" i="6" s="1"/>
  <c r="V906" i="6" s="1"/>
  <c r="V907" i="6" s="1"/>
  <c r="V908" i="6" s="1"/>
  <c r="V909" i="6" s="1"/>
  <c r="V910" i="6" s="1"/>
  <c r="V911" i="6" s="1"/>
  <c r="V912" i="6" s="1"/>
  <c r="V913" i="6" s="1"/>
  <c r="V914" i="6" s="1"/>
  <c r="V915" i="6" s="1"/>
  <c r="V916" i="6" s="1"/>
  <c r="V917" i="6" s="1"/>
  <c r="V918" i="6" s="1"/>
  <c r="V919" i="6" s="1"/>
  <c r="V920" i="6" s="1"/>
  <c r="V921" i="6" s="1"/>
  <c r="V922" i="6" s="1"/>
  <c r="V923" i="6" s="1"/>
  <c r="V924" i="6" s="1"/>
  <c r="V925" i="6" s="1"/>
  <c r="V926" i="6" s="1"/>
  <c r="V927" i="6" s="1"/>
  <c r="V928" i="6" s="1"/>
  <c r="V929" i="6" s="1"/>
  <c r="V930" i="6" s="1"/>
  <c r="V931" i="6" s="1"/>
  <c r="V932" i="6" s="1"/>
  <c r="V933" i="6" s="1"/>
  <c r="V934" i="6" s="1"/>
  <c r="V935" i="6" s="1"/>
  <c r="V936" i="6" s="1"/>
  <c r="V937" i="6" s="1"/>
  <c r="V938" i="6" s="1"/>
  <c r="V939" i="6" s="1"/>
  <c r="V940" i="6" s="1"/>
  <c r="V941" i="6" s="1"/>
  <c r="V942" i="6" s="1"/>
  <c r="V943" i="6" s="1"/>
  <c r="V944" i="6" s="1"/>
  <c r="V945" i="6" s="1"/>
  <c r="V946" i="6" s="1"/>
  <c r="V947" i="6" s="1"/>
  <c r="V948" i="6" s="1"/>
  <c r="V949" i="6" s="1"/>
  <c r="V950" i="6" s="1"/>
  <c r="V951" i="6" s="1"/>
  <c r="V952" i="6" s="1"/>
  <c r="V953" i="6" s="1"/>
  <c r="V954" i="6" s="1"/>
  <c r="V955" i="6" s="1"/>
  <c r="V956" i="6" s="1"/>
  <c r="V957" i="6" s="1"/>
  <c r="V958" i="6" s="1"/>
  <c r="V959" i="6" s="1"/>
  <c r="V960" i="6" s="1"/>
  <c r="V961" i="6" s="1"/>
  <c r="V962" i="6" s="1"/>
  <c r="V963" i="6" s="1"/>
  <c r="V964" i="6" s="1"/>
  <c r="V965" i="6" s="1"/>
  <c r="V966" i="6" s="1"/>
  <c r="V967" i="6" s="1"/>
  <c r="V968" i="6" s="1"/>
  <c r="V969" i="6" s="1"/>
  <c r="V970" i="6" s="1"/>
  <c r="V971" i="6" s="1"/>
  <c r="V972" i="6" s="1"/>
  <c r="V973" i="6" s="1"/>
  <c r="V974" i="6" s="1"/>
  <c r="V975" i="6" s="1"/>
  <c r="V976" i="6" s="1"/>
  <c r="V977" i="6" s="1"/>
  <c r="V978" i="6" s="1"/>
  <c r="V979" i="6" s="1"/>
  <c r="V980" i="6" s="1"/>
  <c r="V981" i="6" s="1"/>
  <c r="V982" i="6" s="1"/>
  <c r="V983" i="6" s="1"/>
  <c r="V984" i="6" s="1"/>
  <c r="V985" i="6" s="1"/>
  <c r="V986" i="6" s="1"/>
  <c r="V987" i="6" s="1"/>
  <c r="V988" i="6" s="1"/>
  <c r="V989" i="6" s="1"/>
  <c r="V990" i="6" s="1"/>
  <c r="V991" i="6" s="1"/>
  <c r="V992" i="6" s="1"/>
  <c r="V993" i="6" s="1"/>
  <c r="V994" i="6" s="1"/>
  <c r="V995" i="6" s="1"/>
  <c r="V996" i="6" s="1"/>
  <c r="V997" i="6" s="1"/>
  <c r="V998" i="6" s="1"/>
  <c r="V999" i="6" s="1"/>
  <c r="V1000" i="6" s="1"/>
  <c r="V1001" i="6" s="1"/>
  <c r="V1002" i="6" s="1"/>
  <c r="V1003" i="6" s="1"/>
  <c r="V1004" i="6" s="1"/>
  <c r="V1005" i="6" s="1"/>
  <c r="V1006" i="6" s="1"/>
  <c r="V1007" i="6" s="1"/>
  <c r="V1008" i="6" s="1"/>
  <c r="V1009" i="6" s="1"/>
  <c r="V1010" i="6" s="1"/>
  <c r="V1011" i="6" s="1"/>
  <c r="V1012" i="6" s="1"/>
  <c r="V1013" i="6" s="1"/>
  <c r="V1014" i="6" s="1"/>
  <c r="V1015" i="6" s="1"/>
  <c r="V1016" i="6" s="1"/>
  <c r="V1017" i="6" s="1"/>
  <c r="V1018" i="6" s="1"/>
  <c r="V1019" i="6" s="1"/>
  <c r="V1020" i="6" s="1"/>
  <c r="V1021" i="6" s="1"/>
  <c r="V1022" i="6" s="1"/>
  <c r="V1023" i="6" s="1"/>
  <c r="V1024" i="6" s="1"/>
  <c r="V1025" i="6" s="1"/>
  <c r="V1026" i="6" s="1"/>
  <c r="V1027" i="6" s="1"/>
  <c r="V1028" i="6" s="1"/>
  <c r="V1029" i="6" s="1"/>
  <c r="V1030" i="6" s="1"/>
  <c r="V1031" i="6" s="1"/>
  <c r="V1032" i="6" s="1"/>
  <c r="V1033" i="6" s="1"/>
  <c r="V1034" i="6" s="1"/>
  <c r="V1035" i="6" s="1"/>
  <c r="V1036" i="6" s="1"/>
  <c r="V1037" i="6" s="1"/>
  <c r="V1038" i="6" s="1"/>
  <c r="V1039" i="6" s="1"/>
  <c r="V1040" i="6" s="1"/>
  <c r="V1041" i="6" s="1"/>
  <c r="V1042" i="6" s="1"/>
  <c r="V1043" i="6" s="1"/>
  <c r="V1044" i="6" s="1"/>
  <c r="V1045" i="6" s="1"/>
  <c r="V1046" i="6" s="1"/>
  <c r="V1047" i="6" s="1"/>
  <c r="V1048" i="6" s="1"/>
  <c r="V1049" i="6" s="1"/>
  <c r="V1050" i="6" s="1"/>
  <c r="V1051" i="6" s="1"/>
  <c r="V1052" i="6" s="1"/>
  <c r="V1053" i="6" s="1"/>
  <c r="V1054" i="6" s="1"/>
  <c r="V1055" i="6" s="1"/>
  <c r="V1056" i="6" s="1"/>
  <c r="V1057" i="6" s="1"/>
  <c r="V1058" i="6" s="1"/>
  <c r="V1059" i="6" s="1"/>
  <c r="V1060" i="6" s="1"/>
  <c r="V1061" i="6" s="1"/>
  <c r="V1062" i="6" s="1"/>
  <c r="V1063" i="6" s="1"/>
  <c r="V1064" i="6" s="1"/>
  <c r="V1065" i="6" s="1"/>
  <c r="V1066" i="6" s="1"/>
  <c r="V1067" i="6" s="1"/>
  <c r="V1068" i="6" s="1"/>
  <c r="V1069" i="6" s="1"/>
  <c r="V1070" i="6" s="1"/>
  <c r="V1071" i="6" s="1"/>
  <c r="V1072" i="6" s="1"/>
  <c r="V1073" i="6" s="1"/>
  <c r="V1074" i="6" s="1"/>
  <c r="V1075" i="6" s="1"/>
  <c r="V1076" i="6" s="1"/>
  <c r="V1077" i="6" s="1"/>
  <c r="V1078" i="6" s="1"/>
  <c r="V1079" i="6" s="1"/>
  <c r="V1080" i="6" s="1"/>
  <c r="V1081" i="6" s="1"/>
  <c r="V1082" i="6" s="1"/>
  <c r="V1083" i="6" s="1"/>
  <c r="V1084" i="6" s="1"/>
  <c r="V1085" i="6" s="1"/>
  <c r="V1086" i="6" s="1"/>
  <c r="V1087" i="6" s="1"/>
  <c r="V1088" i="6" s="1"/>
  <c r="V1089" i="6" s="1"/>
  <c r="V1090" i="6" s="1"/>
  <c r="V1091" i="6" s="1"/>
  <c r="V1092" i="6" s="1"/>
  <c r="V1093" i="6" s="1"/>
  <c r="V1094" i="6" s="1"/>
  <c r="V1095" i="6" s="1"/>
  <c r="V1096" i="6" s="1"/>
  <c r="V1097" i="6" s="1"/>
  <c r="V1098" i="6" s="1"/>
  <c r="V1099" i="6" s="1"/>
  <c r="V1100" i="6" s="1"/>
  <c r="V1101" i="6" s="1"/>
  <c r="V1102" i="6" s="1"/>
  <c r="V1103" i="6" s="1"/>
  <c r="V1104" i="6" s="1"/>
  <c r="V1105" i="6" s="1"/>
  <c r="V1106" i="6" s="1"/>
  <c r="V1107" i="6" s="1"/>
  <c r="V1108" i="6" s="1"/>
  <c r="V1109" i="6" s="1"/>
  <c r="V1110" i="6" s="1"/>
  <c r="V1111" i="6" s="1"/>
  <c r="V1112" i="6" s="1"/>
  <c r="V1113" i="6" s="1"/>
  <c r="V1114" i="6" s="1"/>
  <c r="V1115" i="6" s="1"/>
  <c r="V1116" i="6" s="1"/>
  <c r="V1117" i="6" s="1"/>
  <c r="V1118" i="6" s="1"/>
  <c r="V1119" i="6" s="1"/>
  <c r="V1120" i="6" s="1"/>
  <c r="V1121" i="6" s="1"/>
  <c r="V1122" i="6" s="1"/>
  <c r="V1123" i="6" s="1"/>
  <c r="V1124" i="6" s="1"/>
  <c r="V1125" i="6" s="1"/>
  <c r="V1126" i="6" s="1"/>
  <c r="V1127" i="6" s="1"/>
  <c r="V1128" i="6" s="1"/>
  <c r="V1129" i="6" s="1"/>
  <c r="V1130" i="6" s="1"/>
  <c r="V1131" i="6" s="1"/>
  <c r="V1132" i="6" s="1"/>
  <c r="V1133" i="6" s="1"/>
  <c r="V1134" i="6" s="1"/>
  <c r="V1135" i="6" s="1"/>
  <c r="V1136" i="6" s="1"/>
  <c r="V1137" i="6" s="1"/>
  <c r="V1138" i="6" s="1"/>
  <c r="V1139" i="6" s="1"/>
  <c r="V1140" i="6" s="1"/>
  <c r="V1141" i="6" s="1"/>
  <c r="V1142" i="6" s="1"/>
  <c r="V1143" i="6" s="1"/>
  <c r="V1144" i="6" s="1"/>
  <c r="V1145" i="6" s="1"/>
  <c r="V1146" i="6" s="1"/>
  <c r="V1147" i="6" s="1"/>
  <c r="V1148" i="6" s="1"/>
  <c r="V1149" i="6" s="1"/>
  <c r="V1150" i="6" s="1"/>
  <c r="V1151" i="6" s="1"/>
  <c r="V1152" i="6" s="1"/>
  <c r="V1153" i="6" s="1"/>
  <c r="V1154" i="6" s="1"/>
  <c r="V1155" i="6" s="1"/>
  <c r="V1156" i="6" s="1"/>
  <c r="V1157" i="6" s="1"/>
  <c r="V1158" i="6" s="1"/>
  <c r="V1159" i="6" s="1"/>
  <c r="V1160" i="6" s="1"/>
  <c r="V1161" i="6" s="1"/>
  <c r="V1162" i="6" s="1"/>
  <c r="V1163" i="6" s="1"/>
  <c r="V1164" i="6" s="1"/>
  <c r="V1165" i="6" s="1"/>
  <c r="V1166" i="6" s="1"/>
  <c r="V1167" i="6" s="1"/>
  <c r="V1168" i="6" s="1"/>
  <c r="V1169" i="6" s="1"/>
  <c r="V1170" i="6" s="1"/>
  <c r="V1171" i="6" s="1"/>
  <c r="V1172" i="6" s="1"/>
  <c r="V1173" i="6" s="1"/>
  <c r="V1174" i="6" s="1"/>
  <c r="V1175" i="6" s="1"/>
  <c r="V1176" i="6" s="1"/>
  <c r="V1177" i="6" s="1"/>
  <c r="V1178" i="6" s="1"/>
  <c r="V1179" i="6" s="1"/>
  <c r="V1180" i="6" s="1"/>
  <c r="V1181" i="6" s="1"/>
  <c r="V1182" i="6" s="1"/>
  <c r="V1183" i="6" s="1"/>
  <c r="V1184" i="6" s="1"/>
  <c r="V1185" i="6" s="1"/>
  <c r="V1186" i="6" s="1"/>
  <c r="V1187" i="6" s="1"/>
  <c r="V1188" i="6" s="1"/>
  <c r="V1189" i="6" s="1"/>
  <c r="V1190" i="6" s="1"/>
  <c r="V1191" i="6" s="1"/>
  <c r="V1192" i="6" s="1"/>
  <c r="V1193" i="6" s="1"/>
  <c r="V1194" i="6" s="1"/>
  <c r="V1195" i="6" s="1"/>
  <c r="V1196" i="6" s="1"/>
  <c r="V1197" i="6" s="1"/>
  <c r="V1198" i="6" s="1"/>
  <c r="V1199" i="6" s="1"/>
  <c r="V1200" i="6" s="1"/>
  <c r="V1201" i="6" s="1"/>
  <c r="V1202" i="6" s="1"/>
  <c r="V1203" i="6" s="1"/>
  <c r="V1204" i="6" s="1"/>
  <c r="V1205" i="6" s="1"/>
  <c r="V1206" i="6" s="1"/>
  <c r="V1207" i="6" s="1"/>
  <c r="V1208" i="6" s="1"/>
  <c r="V1209" i="6" s="1"/>
  <c r="V1210" i="6" s="1"/>
  <c r="V1211" i="6" s="1"/>
  <c r="V1212" i="6" s="1"/>
  <c r="V1213" i="6" s="1"/>
  <c r="V1214" i="6" s="1"/>
  <c r="V1215" i="6" s="1"/>
  <c r="V1216" i="6" s="1"/>
  <c r="V1217" i="6" s="1"/>
  <c r="V1218" i="6" s="1"/>
  <c r="V1219" i="6" s="1"/>
  <c r="V1220" i="6" s="1"/>
  <c r="V1221" i="6" s="1"/>
  <c r="V1222" i="6" s="1"/>
  <c r="V1223" i="6" s="1"/>
  <c r="V1224" i="6" s="1"/>
  <c r="V1225" i="6" s="1"/>
  <c r="V1226" i="6" s="1"/>
  <c r="V1227" i="6" s="1"/>
  <c r="V1228" i="6" s="1"/>
  <c r="V1229" i="6" s="1"/>
  <c r="V1230" i="6" s="1"/>
  <c r="V1231" i="6" s="1"/>
  <c r="V1232" i="6" s="1"/>
  <c r="V1233" i="6" s="1"/>
  <c r="V1234" i="6" s="1"/>
  <c r="V1235" i="6" s="1"/>
  <c r="V1236" i="6" s="1"/>
  <c r="V1237" i="6" s="1"/>
  <c r="V1238" i="6" s="1"/>
  <c r="V1239" i="6" s="1"/>
  <c r="V1240" i="6" s="1"/>
  <c r="V1241" i="6" s="1"/>
  <c r="V1242" i="6" s="1"/>
  <c r="V1243" i="6" s="1"/>
  <c r="V1244" i="6" s="1"/>
  <c r="V1245" i="6" s="1"/>
  <c r="V1246" i="6" s="1"/>
  <c r="V1247" i="6" s="1"/>
  <c r="V1248" i="6" s="1"/>
  <c r="V1249" i="6" s="1"/>
  <c r="V1250" i="6" s="1"/>
  <c r="V1251" i="6" s="1"/>
  <c r="V1252" i="6" s="1"/>
  <c r="V1253" i="6" s="1"/>
  <c r="V1254" i="6" s="1"/>
  <c r="V1255" i="6" s="1"/>
  <c r="V1256" i="6" s="1"/>
  <c r="V1257" i="6" s="1"/>
  <c r="V1258" i="6" s="1"/>
  <c r="V1259" i="6" s="1"/>
  <c r="V1260" i="6" s="1"/>
  <c r="V1261" i="6" s="1"/>
  <c r="V1262" i="6" s="1"/>
  <c r="V1263" i="6" s="1"/>
  <c r="V1264" i="6" s="1"/>
  <c r="V1265" i="6" s="1"/>
  <c r="V1266" i="6" s="1"/>
  <c r="V1267" i="6" s="1"/>
  <c r="V1268" i="6" s="1"/>
  <c r="V1269" i="6" s="1"/>
  <c r="V1270" i="6" s="1"/>
  <c r="V1271" i="6" s="1"/>
  <c r="V1272" i="6" s="1"/>
  <c r="V1273" i="6" s="1"/>
  <c r="V1274" i="6" s="1"/>
  <c r="V1275" i="6" s="1"/>
  <c r="V1276" i="6" s="1"/>
  <c r="V1277" i="6" s="1"/>
  <c r="V1278" i="6" s="1"/>
  <c r="V1279" i="6" s="1"/>
  <c r="V1280" i="6" s="1"/>
  <c r="V1281" i="6" s="1"/>
  <c r="V1282" i="6" s="1"/>
  <c r="V1283" i="6" s="1"/>
  <c r="V1284" i="6" s="1"/>
  <c r="V1285" i="6" s="1"/>
  <c r="V1286" i="6" s="1"/>
  <c r="V1287" i="6" s="1"/>
  <c r="V1288" i="6" s="1"/>
  <c r="V1289" i="6" s="1"/>
  <c r="V1290" i="6" s="1"/>
  <c r="V1291" i="6" s="1"/>
  <c r="V1292" i="6" s="1"/>
  <c r="V1293" i="6" s="1"/>
  <c r="V1294" i="6" s="1"/>
  <c r="V1295" i="6" s="1"/>
  <c r="V1296" i="6" s="1"/>
  <c r="V1297" i="6" s="1"/>
  <c r="V1298" i="6" s="1"/>
  <c r="V1299" i="6" s="1"/>
  <c r="V1300" i="6" s="1"/>
  <c r="V1301" i="6" s="1"/>
  <c r="V1302" i="6" s="1"/>
  <c r="V1303" i="6" s="1"/>
  <c r="V1304" i="6" s="1"/>
  <c r="V1305" i="6" s="1"/>
  <c r="V1306" i="6" s="1"/>
  <c r="V1307" i="6" s="1"/>
  <c r="V1308" i="6" s="1"/>
  <c r="V1309" i="6" s="1"/>
  <c r="V1310" i="6" s="1"/>
  <c r="V1311" i="6" s="1"/>
  <c r="V1312" i="6" s="1"/>
  <c r="V1313" i="6" s="1"/>
  <c r="V1314" i="6" s="1"/>
  <c r="V1315" i="6" s="1"/>
  <c r="V1316" i="6" s="1"/>
  <c r="V1317" i="6" s="1"/>
  <c r="V1318" i="6" s="1"/>
  <c r="V1319" i="6" s="1"/>
  <c r="V1320" i="6" s="1"/>
  <c r="V1321" i="6" s="1"/>
  <c r="V1322" i="6" s="1"/>
  <c r="V1323" i="6" s="1"/>
  <c r="V1324" i="6" s="1"/>
  <c r="V1325" i="6" s="1"/>
  <c r="V1326" i="6" s="1"/>
  <c r="V1327" i="6" s="1"/>
  <c r="V1328" i="6" s="1"/>
  <c r="V1329" i="6" s="1"/>
  <c r="V1330" i="6" s="1"/>
  <c r="V1331" i="6" s="1"/>
  <c r="V1332" i="6" s="1"/>
  <c r="V1333" i="6" s="1"/>
  <c r="V1334" i="6" s="1"/>
  <c r="V1335" i="6" s="1"/>
  <c r="V1336" i="6" s="1"/>
  <c r="V1337" i="6" s="1"/>
  <c r="V1338" i="6" s="1"/>
  <c r="V1339" i="6" s="1"/>
  <c r="V1340" i="6" s="1"/>
  <c r="V1341" i="6" s="1"/>
  <c r="V1342" i="6" s="1"/>
  <c r="V1343" i="6" s="1"/>
  <c r="V1344" i="6" s="1"/>
  <c r="V1345" i="6" s="1"/>
  <c r="V1346" i="6" s="1"/>
  <c r="V1347" i="6" s="1"/>
  <c r="V1348" i="6" s="1"/>
  <c r="V1349" i="6" s="1"/>
  <c r="V1350" i="6" s="1"/>
  <c r="V1351" i="6" s="1"/>
  <c r="V1352" i="6" s="1"/>
  <c r="V1353" i="6" s="1"/>
  <c r="V1354" i="6" s="1"/>
  <c r="V1355" i="6" s="1"/>
  <c r="V1356" i="6" s="1"/>
  <c r="V1357" i="6" s="1"/>
  <c r="V1358" i="6" s="1"/>
  <c r="V1359" i="6" s="1"/>
  <c r="V1360" i="6" s="1"/>
  <c r="V1361" i="6" s="1"/>
  <c r="V1362" i="6" s="1"/>
  <c r="V1363" i="6" s="1"/>
  <c r="V1364" i="6" s="1"/>
  <c r="V1365" i="6" s="1"/>
  <c r="V1366" i="6" s="1"/>
  <c r="V1367" i="6" s="1"/>
  <c r="V1368" i="6" s="1"/>
  <c r="V1369" i="6" s="1"/>
  <c r="V1370" i="6" s="1"/>
  <c r="V1371" i="6" s="1"/>
  <c r="V1372" i="6" s="1"/>
  <c r="V1373" i="6" s="1"/>
  <c r="V1374" i="6" s="1"/>
  <c r="V1375" i="6" s="1"/>
  <c r="V1376" i="6" s="1"/>
  <c r="V1377" i="6" s="1"/>
  <c r="V1378" i="6" s="1"/>
  <c r="V1379" i="6" s="1"/>
  <c r="V1380" i="6" s="1"/>
  <c r="V1381" i="6" s="1"/>
  <c r="V1382" i="6" s="1"/>
  <c r="V1383" i="6" s="1"/>
  <c r="V1384" i="6" s="1"/>
  <c r="V1385" i="6" s="1"/>
  <c r="V1386" i="6" s="1"/>
  <c r="V1387" i="6" s="1"/>
  <c r="V1388" i="6" s="1"/>
  <c r="V1389" i="6" s="1"/>
  <c r="V1390" i="6" s="1"/>
  <c r="V1391" i="6" s="1"/>
  <c r="V1392" i="6" s="1"/>
  <c r="V1393" i="6" s="1"/>
  <c r="V1394" i="6" s="1"/>
  <c r="V1395" i="6" s="1"/>
  <c r="V1396" i="6" s="1"/>
  <c r="V1397" i="6" s="1"/>
  <c r="V1398" i="6" s="1"/>
  <c r="V1399" i="6" s="1"/>
  <c r="V1400" i="6" s="1"/>
  <c r="V1401" i="6" s="1"/>
  <c r="V1402" i="6" s="1"/>
  <c r="V1403" i="6" s="1"/>
  <c r="V1404" i="6" s="1"/>
  <c r="V1405" i="6" s="1"/>
  <c r="V1406" i="6" s="1"/>
  <c r="V1407" i="6" s="1"/>
  <c r="V1408" i="6" s="1"/>
  <c r="K789" i="9"/>
  <c r="L443" i="9"/>
  <c r="L841" i="9"/>
  <c r="L110" i="9"/>
  <c r="K723" i="9"/>
  <c r="L560" i="9"/>
  <c r="L779" i="9"/>
  <c r="L829" i="9"/>
  <c r="K836" i="9"/>
  <c r="K131" i="9"/>
  <c r="C10" i="6"/>
  <c r="H10" i="6"/>
  <c r="I10" i="6"/>
  <c r="J10" i="6" s="1"/>
  <c r="K10" i="6" s="1"/>
  <c r="Y11" i="6"/>
  <c r="D10" i="6"/>
  <c r="B11" i="6"/>
  <c r="K16" i="9"/>
  <c r="K226" i="9"/>
  <c r="K68" i="9"/>
  <c r="L81" i="9"/>
  <c r="K566" i="9"/>
  <c r="K470" i="9"/>
  <c r="K792" i="9"/>
  <c r="K819" i="9"/>
  <c r="L786" i="9"/>
  <c r="K652" i="9"/>
  <c r="L343" i="9"/>
  <c r="K689" i="9"/>
  <c r="L43" i="9"/>
  <c r="L191" i="9"/>
  <c r="L450" i="9"/>
  <c r="K404" i="9"/>
  <c r="K440" i="9"/>
  <c r="K592" i="9"/>
  <c r="K623" i="9"/>
  <c r="K352" i="9"/>
  <c r="K685" i="9"/>
  <c r="U1409" i="6"/>
  <c r="T1409" i="6"/>
  <c r="A1410" i="6"/>
  <c r="K208" i="9"/>
  <c r="K563" i="9"/>
  <c r="K787" i="9"/>
  <c r="L715" i="9"/>
  <c r="L115" i="9"/>
  <c r="L633" i="9"/>
  <c r="L835" i="9"/>
  <c r="L461" i="9"/>
  <c r="L58" i="9"/>
  <c r="K209" i="9"/>
  <c r="L659" i="9"/>
  <c r="L650" i="9"/>
  <c r="L658" i="9"/>
  <c r="L88" i="9"/>
  <c r="L513" i="9"/>
  <c r="L95" i="9"/>
  <c r="K89" i="9"/>
  <c r="L561" i="9"/>
  <c r="L629" i="9"/>
  <c r="L739" i="9"/>
  <c r="L422" i="9"/>
  <c r="L183" i="9"/>
  <c r="L78" i="9"/>
  <c r="L431" i="9"/>
  <c r="K514" i="9"/>
  <c r="L839" i="9"/>
  <c r="L836" i="9"/>
  <c r="K816" i="9"/>
  <c r="L732" i="9"/>
  <c r="L857" i="9"/>
  <c r="L423" i="9"/>
  <c r="K718" i="9"/>
  <c r="L405" i="9"/>
  <c r="L454" i="9"/>
  <c r="L628" i="9"/>
  <c r="K500" i="9"/>
  <c r="K106" i="9"/>
  <c r="K646" i="9"/>
  <c r="K806" i="9"/>
  <c r="L289" i="9"/>
  <c r="L862" i="9"/>
  <c r="K864" i="9"/>
  <c r="K115" i="9"/>
  <c r="L324" i="9"/>
  <c r="K686" i="9"/>
  <c r="K331" i="9"/>
  <c r="K486" i="9"/>
  <c r="K507" i="9"/>
  <c r="K719" i="9"/>
  <c r="K50" i="9"/>
  <c r="K48" i="9"/>
  <c r="L820" i="9"/>
  <c r="K491" i="9"/>
  <c r="K578" i="9"/>
  <c r="L810" i="9"/>
  <c r="K390" i="9"/>
  <c r="K493" i="9"/>
  <c r="K65" i="9"/>
  <c r="K750" i="9"/>
  <c r="L549" i="9"/>
  <c r="K664" i="9"/>
  <c r="L305" i="9"/>
  <c r="K641" i="9"/>
  <c r="L523" i="9"/>
  <c r="K558" i="9"/>
  <c r="K489" i="9"/>
  <c r="L747" i="9"/>
  <c r="K859" i="9"/>
  <c r="K358" i="9"/>
  <c r="K25" i="9"/>
  <c r="K625" i="9"/>
  <c r="K335" i="9"/>
  <c r="K317" i="9"/>
  <c r="L417" i="9"/>
  <c r="L750" i="9"/>
  <c r="A868" i="9"/>
  <c r="L867" i="9"/>
  <c r="K867" i="9"/>
  <c r="K766" i="9"/>
  <c r="K197" i="9"/>
  <c r="K552" i="9"/>
  <c r="K694" i="9"/>
  <c r="K585" i="9"/>
  <c r="K198" i="9"/>
  <c r="L714" i="9"/>
  <c r="K773" i="9"/>
  <c r="T18" i="3"/>
  <c r="S21" i="1"/>
  <c r="S9" i="6"/>
  <c r="K799" i="9"/>
  <c r="L858" i="9"/>
  <c r="K369" i="9"/>
  <c r="K690" i="9"/>
  <c r="L511" i="9"/>
  <c r="L806" i="9"/>
  <c r="L780" i="9"/>
  <c r="L227" i="9"/>
  <c r="K79" i="9"/>
  <c r="K262" i="9"/>
  <c r="K291" i="9"/>
  <c r="K556" i="9"/>
  <c r="K330" i="9"/>
  <c r="K92" i="9"/>
  <c r="L547" i="9"/>
  <c r="L268" i="9"/>
  <c r="L307" i="9"/>
  <c r="L767" i="9"/>
  <c r="K477" i="9"/>
  <c r="L364" i="9"/>
  <c r="L429" i="9"/>
  <c r="K101" i="9"/>
  <c r="K613" i="9"/>
  <c r="K22" i="9"/>
  <c r="L669" i="9"/>
  <c r="K564" i="9"/>
  <c r="K638" i="9"/>
  <c r="L567" i="9"/>
  <c r="L165" i="9"/>
  <c r="K542" i="9"/>
  <c r="L109" i="9"/>
  <c r="K426" i="9"/>
  <c r="L64" i="9"/>
  <c r="L582" i="9"/>
  <c r="L321" i="9"/>
  <c r="L745" i="9"/>
  <c r="L329" i="9"/>
  <c r="K141" i="9"/>
  <c r="K431" i="9"/>
  <c r="L709" i="9"/>
  <c r="K52" i="9"/>
  <c r="L62" i="9"/>
  <c r="K294" i="9"/>
  <c r="L175" i="9"/>
  <c r="K146" i="9"/>
  <c r="K559" i="9"/>
  <c r="K314" i="9"/>
  <c r="K485" i="9"/>
  <c r="L653" i="9"/>
  <c r="L584" i="9"/>
  <c r="K308" i="9"/>
  <c r="L543" i="9"/>
  <c r="K602" i="9"/>
  <c r="K802" i="9"/>
  <c r="K251" i="9"/>
  <c r="K80" i="9"/>
  <c r="L852" i="9"/>
  <c r="L514" i="9"/>
  <c r="L473" i="9"/>
  <c r="L583" i="9"/>
  <c r="L229" i="9"/>
  <c r="K210" i="9"/>
  <c r="L368" i="9"/>
  <c r="K236" i="9"/>
  <c r="K120" i="9"/>
  <c r="K504" i="9"/>
  <c r="L415" i="9"/>
  <c r="K462" i="9"/>
  <c r="K123" i="9"/>
  <c r="K105" i="9"/>
  <c r="K554" i="9"/>
  <c r="K669" i="9"/>
  <c r="K842" i="9"/>
  <c r="L772" i="9"/>
  <c r="L400" i="9"/>
  <c r="L328" i="9"/>
  <c r="K575" i="9"/>
  <c r="L840" i="9"/>
  <c r="L469" i="9"/>
  <c r="L287" i="9"/>
  <c r="K324" i="9"/>
  <c r="L611" i="9"/>
  <c r="K858" i="9"/>
  <c r="L303" i="9"/>
  <c r="K13" i="9"/>
  <c r="K114" i="9"/>
  <c r="L818" i="9"/>
  <c r="K156" i="9"/>
  <c r="K192" i="9"/>
  <c r="K170" i="9"/>
  <c r="L507" i="9"/>
  <c r="L467" i="9"/>
  <c r="L495" i="9"/>
  <c r="K216" i="9"/>
  <c r="K510" i="9"/>
  <c r="K633" i="9"/>
  <c r="K777" i="9"/>
  <c r="L769" i="9"/>
  <c r="K346" i="9"/>
  <c r="L515" i="9"/>
  <c r="K257" i="9"/>
  <c r="L804" i="9"/>
  <c r="K605" i="9"/>
  <c r="L177" i="9"/>
  <c r="L234" i="9"/>
  <c r="L202" i="9"/>
  <c r="K277" i="9"/>
  <c r="K313" i="9"/>
  <c r="L742" i="9"/>
  <c r="K709" i="9"/>
  <c r="K227" i="9"/>
  <c r="K145" i="9"/>
  <c r="L384" i="9"/>
  <c r="L730" i="9"/>
  <c r="L28" i="9"/>
  <c r="L577" i="9"/>
  <c r="K246" i="9"/>
  <c r="L52" i="9"/>
  <c r="L831" i="9"/>
  <c r="L396" i="9"/>
  <c r="K771" i="9"/>
  <c r="L793" i="9"/>
  <c r="K94" i="9"/>
  <c r="K453" i="9"/>
  <c r="L500" i="9"/>
  <c r="K191" i="9"/>
  <c r="L348" i="9"/>
  <c r="L77" i="9"/>
  <c r="L397" i="9"/>
  <c r="K230" i="9"/>
  <c r="K821" i="9"/>
  <c r="L809" i="9"/>
  <c r="K776" i="9"/>
  <c r="K851" i="9"/>
  <c r="L683" i="9"/>
  <c r="K67" i="9"/>
  <c r="K588" i="9"/>
  <c r="L649" i="9"/>
  <c r="L267" i="9"/>
  <c r="L207" i="9"/>
  <c r="K676" i="9"/>
  <c r="K479" i="9"/>
  <c r="K11" i="9"/>
  <c r="L843" i="9"/>
  <c r="K512" i="9"/>
  <c r="L219" i="9"/>
  <c r="K53" i="9"/>
  <c r="L719" i="9"/>
  <c r="K179" i="9"/>
  <c r="L387" i="9"/>
  <c r="K338" i="9"/>
  <c r="K471" i="9"/>
  <c r="L708" i="9"/>
  <c r="K804" i="9"/>
  <c r="L336" i="9"/>
  <c r="K57" i="9"/>
  <c r="K17" i="9"/>
  <c r="L223" i="9"/>
  <c r="K164" i="9"/>
  <c r="L545" i="9"/>
  <c r="L278" i="9"/>
  <c r="K814" i="9"/>
  <c r="L774" i="9"/>
  <c r="L277" i="9"/>
  <c r="K223" i="9"/>
  <c r="K336" i="9"/>
  <c r="K655" i="9"/>
  <c r="L581" i="9"/>
  <c r="L208" i="9"/>
  <c r="K759" i="9"/>
  <c r="K375" i="9"/>
  <c r="L526" i="9"/>
  <c r="K348" i="9"/>
  <c r="K541" i="9"/>
  <c r="L112" i="9"/>
  <c r="L801" i="9"/>
  <c r="L30" i="9"/>
  <c r="K274" i="9"/>
  <c r="L601" i="9"/>
  <c r="K716" i="9"/>
  <c r="L741" i="9"/>
  <c r="L608" i="9"/>
  <c r="L798" i="9"/>
  <c r="L713" i="9"/>
  <c r="K166" i="9"/>
  <c r="L756" i="9"/>
  <c r="L706" i="9"/>
  <c r="K755" i="9"/>
  <c r="L777" i="9"/>
  <c r="L362" i="9"/>
  <c r="K59" i="9"/>
  <c r="L184" i="9"/>
  <c r="L243" i="9"/>
  <c r="L249" i="9"/>
  <c r="L189" i="9"/>
  <c r="K322" i="9"/>
  <c r="K264" i="9"/>
  <c r="K386" i="9"/>
  <c r="L655" i="9"/>
  <c r="L265" i="9"/>
  <c r="L464" i="9"/>
  <c r="L811" i="9"/>
  <c r="L262" i="9"/>
  <c r="K363" i="9"/>
  <c r="L294" i="9"/>
  <c r="L42" i="9"/>
  <c r="L49" i="9"/>
  <c r="L36" i="9"/>
  <c r="L851" i="9"/>
  <c r="L691" i="9"/>
  <c r="L351" i="9"/>
  <c r="K261" i="9"/>
  <c r="L645" i="9"/>
  <c r="L159" i="9"/>
  <c r="K721" i="9"/>
  <c r="L419" i="9"/>
  <c r="K472" i="9"/>
  <c r="K199" i="9"/>
  <c r="K55" i="9"/>
  <c r="K735" i="9"/>
  <c r="L291" i="9"/>
  <c r="L140" i="9"/>
  <c r="K407" i="9"/>
  <c r="L509" i="9"/>
  <c r="K178" i="9"/>
  <c r="K837" i="9"/>
  <c r="L435" i="9"/>
  <c r="K706" i="9"/>
  <c r="K572" i="9"/>
  <c r="L544" i="9"/>
  <c r="K497" i="9"/>
  <c r="K611" i="9"/>
  <c r="L100" i="9"/>
  <c r="L9" i="9"/>
  <c r="L602" i="9"/>
  <c r="L596" i="9"/>
  <c r="L264" i="9"/>
  <c r="L795" i="9"/>
  <c r="L196" i="9"/>
  <c r="K683" i="9"/>
  <c r="L319" i="9"/>
  <c r="L512" i="9"/>
  <c r="L98" i="9"/>
  <c r="K631" i="9"/>
  <c r="K468" i="9"/>
  <c r="L630" i="9"/>
  <c r="L532" i="9"/>
  <c r="L657" i="9"/>
  <c r="K174" i="9"/>
  <c r="L665" i="9"/>
  <c r="K333" i="9"/>
  <c r="K720" i="9"/>
  <c r="L506" i="9"/>
  <c r="K181" i="9"/>
  <c r="K675" i="9"/>
  <c r="K682" i="9"/>
  <c r="L373" i="9"/>
  <c r="K118" i="9"/>
  <c r="K740" i="9"/>
  <c r="L551" i="9"/>
  <c r="K140" i="9"/>
  <c r="K501" i="9"/>
  <c r="L751" i="9"/>
  <c r="K743" i="9"/>
  <c r="L585" i="9"/>
  <c r="L491" i="9"/>
  <c r="L105" i="9"/>
  <c r="L311" i="9"/>
  <c r="L141" i="9"/>
  <c r="K476" i="9"/>
  <c r="K295" i="9"/>
  <c r="K44" i="9"/>
  <c r="L437" i="9"/>
  <c r="K710" i="9"/>
  <c r="L293" i="9"/>
  <c r="K83" i="9"/>
  <c r="K193" i="9"/>
  <c r="L487" i="9"/>
  <c r="L382" i="9"/>
  <c r="K725" i="9"/>
  <c r="L678" i="9"/>
  <c r="K8" i="9"/>
  <c r="L614" i="9"/>
  <c r="K458" i="9"/>
  <c r="L204" i="9"/>
  <c r="L178" i="9"/>
  <c r="K569" i="9"/>
  <c r="K34" i="9"/>
  <c r="K354" i="9"/>
  <c r="L603" i="9"/>
  <c r="K186" i="9"/>
  <c r="K124" i="9"/>
  <c r="L366" i="9"/>
  <c r="K69" i="9"/>
  <c r="L627" i="9"/>
  <c r="L712" i="9"/>
  <c r="K196" i="9"/>
  <c r="L192" i="9"/>
  <c r="L413" i="9"/>
  <c r="K508" i="9"/>
  <c r="L393" i="9"/>
  <c r="L521" i="9"/>
  <c r="L458" i="9"/>
  <c r="K826" i="9"/>
  <c r="K445" i="9"/>
  <c r="K271" i="9"/>
  <c r="K618" i="9"/>
  <c r="L121" i="9"/>
  <c r="K379" i="9"/>
  <c r="L376" i="9"/>
  <c r="K437" i="9"/>
  <c r="L251" i="9"/>
  <c r="L23" i="9"/>
  <c r="L834" i="9"/>
  <c r="L432" i="9"/>
  <c r="K360" i="9"/>
  <c r="K482" i="9"/>
  <c r="L692" i="9"/>
  <c r="L410" i="9"/>
  <c r="K659" i="9"/>
  <c r="L69" i="9"/>
  <c r="L721" i="9"/>
  <c r="L87" i="9"/>
  <c r="K635" i="9"/>
  <c r="L618" i="9"/>
  <c r="K711" i="9"/>
  <c r="K422" i="9"/>
  <c r="K629" i="9"/>
  <c r="L441" i="9"/>
  <c r="L70" i="9"/>
  <c r="L738" i="9"/>
  <c r="K714" i="9"/>
  <c r="L388" i="9"/>
  <c r="L559" i="9"/>
  <c r="L497" i="9"/>
  <c r="K742" i="9"/>
  <c r="L253" i="9"/>
  <c r="L525" i="9"/>
  <c r="L272" i="9"/>
  <c r="L842" i="9"/>
  <c r="L805" i="9"/>
  <c r="L84" i="9"/>
  <c r="L211" i="9"/>
  <c r="L231" i="9"/>
  <c r="K419" i="9"/>
  <c r="L389" i="9"/>
  <c r="L257" i="9"/>
  <c r="K544" i="9"/>
  <c r="K155" i="9"/>
  <c r="L508" i="9"/>
  <c r="K784" i="9"/>
  <c r="L428" i="9"/>
  <c r="K513" i="9"/>
  <c r="L794" i="9"/>
  <c r="K97" i="9"/>
  <c r="L347" i="9"/>
  <c r="K285" i="9"/>
  <c r="K589" i="9"/>
  <c r="L447" i="9"/>
  <c r="K680" i="9"/>
  <c r="L823" i="9"/>
  <c r="L610" i="9"/>
  <c r="K794" i="9"/>
  <c r="K850" i="9"/>
  <c r="K201" i="9"/>
  <c r="L817" i="9"/>
  <c r="L374" i="9"/>
  <c r="L466" i="9"/>
  <c r="K424" i="9"/>
  <c r="L216" i="9"/>
  <c r="L53" i="9"/>
  <c r="K64" i="9"/>
  <c r="L99" i="9"/>
  <c r="L369" i="9"/>
  <c r="K607" i="9"/>
  <c r="L134" i="9"/>
  <c r="K184" i="9"/>
  <c r="L239" i="9"/>
  <c r="L425" i="9"/>
  <c r="K357" i="9"/>
  <c r="L764" i="9"/>
  <c r="L104" i="9"/>
  <c r="K817" i="9"/>
  <c r="K409" i="9"/>
  <c r="K31" i="9"/>
  <c r="L571" i="9"/>
  <c r="K621" i="9"/>
  <c r="K457" i="9"/>
  <c r="K168" i="9"/>
  <c r="L541" i="9"/>
  <c r="K483" i="9"/>
  <c r="K425" i="9"/>
  <c r="K651" i="9"/>
  <c r="K307" i="9"/>
  <c r="K444" i="9"/>
  <c r="K649" i="9"/>
  <c r="L391" i="9"/>
  <c r="K628" i="9"/>
  <c r="K46" i="9"/>
  <c r="K248" i="9"/>
  <c r="K312" i="9"/>
  <c r="L785" i="9"/>
  <c r="L412" i="9"/>
  <c r="L539" i="9"/>
  <c r="L79" i="9"/>
  <c r="L304" i="9"/>
  <c r="K812" i="9"/>
  <c r="K394" i="9"/>
  <c r="L152" i="9"/>
  <c r="L498" i="9"/>
  <c r="K654" i="9"/>
  <c r="L707" i="9"/>
  <c r="L604" i="9"/>
  <c r="L67" i="9"/>
  <c r="L594" i="9"/>
  <c r="L632" i="9"/>
  <c r="K734" i="9"/>
  <c r="K450" i="9"/>
  <c r="K684" i="9"/>
  <c r="K786" i="9"/>
  <c r="K487" i="9"/>
  <c r="L824" i="9"/>
  <c r="L480" i="9"/>
  <c r="K107" i="9"/>
  <c r="K23" i="9"/>
  <c r="L757" i="9"/>
  <c r="L86" i="9"/>
  <c r="L566" i="9"/>
  <c r="L349" i="9"/>
  <c r="K583" i="9"/>
  <c r="L593" i="9"/>
  <c r="L749" i="9"/>
  <c r="L564" i="9"/>
  <c r="K681" i="9"/>
  <c r="L598" i="9"/>
  <c r="L770" i="9"/>
  <c r="K597" i="9"/>
  <c r="K758" i="9"/>
  <c r="K214" i="9"/>
  <c r="K415" i="9"/>
  <c r="L114" i="9"/>
  <c r="K496" i="9"/>
  <c r="K323" i="9"/>
  <c r="L156" i="9"/>
  <c r="K460" i="9"/>
  <c r="L540" i="9"/>
  <c r="K61" i="9"/>
  <c r="L345" i="9"/>
  <c r="K810" i="9"/>
  <c r="L652" i="9"/>
  <c r="K172" i="9"/>
  <c r="L166" i="9"/>
  <c r="K204" i="9"/>
  <c r="K843" i="9"/>
  <c r="K142" i="9"/>
  <c r="L682" i="9"/>
  <c r="L676" i="9"/>
  <c r="L433" i="9"/>
  <c r="K505" i="9"/>
  <c r="L45" i="9"/>
  <c r="L668" i="9"/>
  <c r="K265" i="9"/>
  <c r="L414" i="9"/>
  <c r="K200" i="9"/>
  <c r="K571" i="9"/>
  <c r="L808" i="9"/>
  <c r="L670" i="9"/>
  <c r="L170" i="9"/>
  <c r="K480" i="9"/>
  <c r="K339" i="9"/>
  <c r="K648" i="9"/>
  <c r="K515" i="9"/>
  <c r="L444" i="9"/>
  <c r="K774" i="9"/>
  <c r="K37" i="9"/>
  <c r="L167" i="9"/>
  <c r="K152" i="9"/>
  <c r="L56" i="9"/>
  <c r="L607" i="9"/>
  <c r="L737" i="9"/>
  <c r="K745" i="9"/>
  <c r="L455" i="9"/>
  <c r="L248" i="9"/>
  <c r="K362" i="9"/>
  <c r="K840" i="9"/>
  <c r="K713" i="9"/>
  <c r="L320" i="9"/>
  <c r="K219" i="9"/>
  <c r="K809" i="9"/>
  <c r="K687" i="9"/>
  <c r="L259" i="9"/>
  <c r="K696" i="9"/>
  <c r="K252" i="9"/>
  <c r="L490" i="9"/>
  <c r="K640" i="9"/>
  <c r="L260" i="9"/>
  <c r="L187" i="9"/>
  <c r="K464" i="9"/>
  <c r="L459" i="9"/>
  <c r="K143" i="9"/>
  <c r="K254" i="9"/>
  <c r="L642" i="9"/>
  <c r="K329" i="9"/>
  <c r="K838" i="9"/>
  <c r="K269" i="9"/>
  <c r="K852" i="9"/>
  <c r="K401" i="9"/>
  <c r="K567" i="9"/>
  <c r="L758" i="9"/>
  <c r="L483" i="9"/>
  <c r="K557" i="9"/>
  <c r="K798" i="9"/>
  <c r="K351" i="9"/>
  <c r="L802" i="9"/>
  <c r="L445" i="9"/>
  <c r="K388" i="9"/>
  <c r="K498" i="9"/>
  <c r="L439" i="9"/>
  <c r="K228" i="9"/>
  <c r="K474" i="9"/>
  <c r="L502" i="9"/>
  <c r="L8" i="9"/>
  <c r="L773" i="9"/>
  <c r="L586" i="9"/>
  <c r="K830" i="9"/>
  <c r="K321" i="9"/>
  <c r="L760" i="9"/>
  <c r="L825" i="9"/>
  <c r="L155" i="9"/>
  <c r="K581" i="9"/>
  <c r="L783" i="9"/>
  <c r="L616" i="9"/>
  <c r="L193" i="9"/>
  <c r="K536" i="9"/>
  <c r="L217" i="9"/>
  <c r="K327" i="9"/>
  <c r="L326" i="9"/>
  <c r="K653" i="9"/>
  <c r="K400" i="9"/>
  <c r="L107" i="9"/>
  <c r="L727" i="9"/>
  <c r="L453" i="9"/>
  <c r="L550" i="9"/>
  <c r="K242" i="9"/>
  <c r="K729" i="9"/>
  <c r="L232" i="9"/>
  <c r="K412" i="9"/>
  <c r="L271" i="9"/>
  <c r="L695" i="9"/>
  <c r="L482" i="9"/>
  <c r="K116" i="9"/>
  <c r="K20" i="9"/>
  <c r="L244" i="9"/>
  <c r="K134" i="9"/>
  <c r="L48" i="9"/>
  <c r="K389" i="9"/>
  <c r="K679" i="9"/>
  <c r="L679" i="9"/>
  <c r="L233" i="9"/>
  <c r="K738" i="9"/>
  <c r="L778" i="9"/>
  <c r="L97" i="9"/>
  <c r="K724" i="9"/>
  <c r="L484" i="9"/>
  <c r="L161" i="9"/>
  <c r="L80" i="9"/>
  <c r="L125" i="9"/>
  <c r="L446" i="9"/>
  <c r="K494" i="9"/>
  <c r="K30" i="9"/>
  <c r="L111" i="9"/>
  <c r="K160" i="9"/>
  <c r="L853" i="9"/>
  <c r="K803" i="9"/>
  <c r="L154" i="9"/>
  <c r="K779" i="9"/>
  <c r="K24" i="9"/>
  <c r="K371" i="9"/>
  <c r="L457" i="9"/>
  <c r="L488" i="9"/>
  <c r="K831" i="9"/>
  <c r="K387" i="9"/>
  <c r="L240" i="9"/>
  <c r="L171" i="9"/>
  <c r="L693" i="9"/>
  <c r="L331" i="9"/>
  <c r="K298" i="9"/>
  <c r="L241" i="9"/>
  <c r="L661" i="9"/>
  <c r="L146" i="9"/>
  <c r="K478" i="9"/>
  <c r="L671" i="9"/>
  <c r="L470" i="9"/>
  <c r="K857" i="9"/>
  <c r="K616" i="9"/>
  <c r="K769" i="9"/>
  <c r="L654" i="9"/>
  <c r="L38" i="9"/>
  <c r="K258" i="9"/>
  <c r="L356" i="9"/>
  <c r="K98" i="9"/>
  <c r="K751" i="9"/>
  <c r="K150" i="9"/>
  <c r="K586" i="9"/>
  <c r="L180" i="9"/>
  <c r="L768" i="9"/>
  <c r="K87" i="9"/>
  <c r="K701" i="9"/>
  <c r="K72" i="9"/>
  <c r="K550" i="9"/>
  <c r="K797" i="9"/>
  <c r="K665" i="9"/>
  <c r="L718" i="9"/>
  <c r="L609" i="9"/>
  <c r="L273" i="9"/>
  <c r="L816" i="9"/>
  <c r="K823" i="9"/>
  <c r="K259" i="9"/>
  <c r="K619" i="9"/>
  <c r="L528" i="9"/>
  <c r="L615" i="9"/>
  <c r="L496" i="9"/>
  <c r="L342" i="9"/>
  <c r="K455" i="9"/>
  <c r="K760" i="9"/>
  <c r="L24" i="9"/>
  <c r="L463" i="9"/>
  <c r="L116" i="9"/>
  <c r="K19" i="9"/>
  <c r="L761" i="9"/>
  <c r="K435" i="9"/>
  <c r="L309" i="9"/>
  <c r="K614" i="9"/>
  <c r="L370" i="9"/>
  <c r="L740" i="9"/>
  <c r="L379" i="9"/>
  <c r="L76" i="9"/>
  <c r="L421" i="9"/>
  <c r="L360" i="9"/>
  <c r="K452" i="9"/>
  <c r="L592" i="9"/>
  <c r="K622" i="9"/>
  <c r="L589" i="9"/>
  <c r="K832" i="9"/>
  <c r="K292" i="9"/>
  <c r="L325" i="9"/>
  <c r="K374" i="9"/>
  <c r="K414" i="9"/>
  <c r="K822" i="9"/>
  <c r="L160" i="9"/>
  <c r="L94" i="9"/>
  <c r="L569" i="9"/>
  <c r="K395" i="9"/>
  <c r="K805" i="9"/>
  <c r="K609" i="9"/>
  <c r="L266" i="9"/>
  <c r="L73" i="9"/>
  <c r="L133" i="9"/>
  <c r="L832" i="9"/>
  <c r="K368" i="9"/>
  <c r="L338" i="9"/>
  <c r="K815" i="9"/>
  <c r="K601" i="9"/>
  <c r="K561" i="9"/>
  <c r="K863" i="9"/>
  <c r="K71" i="9"/>
  <c r="L702" i="9"/>
  <c r="K645" i="9"/>
  <c r="L643" i="9"/>
  <c r="K433" i="9"/>
  <c r="K138" i="9"/>
  <c r="L574" i="9"/>
  <c r="L672" i="9"/>
  <c r="L648" i="9"/>
  <c r="K159" i="9"/>
  <c r="L85" i="9"/>
  <c r="L538" i="9"/>
  <c r="K66" i="9"/>
  <c r="L34" i="9"/>
  <c r="L12" i="9"/>
  <c r="L75" i="9"/>
  <c r="K382" i="9"/>
  <c r="K820" i="9"/>
  <c r="L372" i="9"/>
  <c r="K43" i="9"/>
  <c r="L225" i="9"/>
  <c r="L90" i="9"/>
  <c r="K237" i="9"/>
  <c r="L812" i="9"/>
  <c r="K332" i="9"/>
  <c r="K672" i="9"/>
  <c r="L306" i="9"/>
  <c r="K688" i="9"/>
  <c r="L531" i="9"/>
  <c r="L20" i="9"/>
  <c r="K439" i="9"/>
  <c r="K296" i="9"/>
  <c r="K165" i="9"/>
  <c r="K548" i="9"/>
  <c r="K380" i="9"/>
  <c r="L588" i="9"/>
  <c r="L395" i="9"/>
  <c r="K604" i="9"/>
  <c r="K511" i="9"/>
  <c r="L687" i="9"/>
  <c r="K752" i="9"/>
  <c r="K268" i="9"/>
  <c r="K137" i="9"/>
  <c r="K218" i="9"/>
  <c r="K45" i="9"/>
  <c r="L274" i="9"/>
  <c r="K281" i="9"/>
  <c r="L337" i="9"/>
  <c r="K662" i="9"/>
  <c r="L855" i="9"/>
  <c r="L317" i="9"/>
  <c r="K673" i="9"/>
  <c r="L493" i="9"/>
  <c r="K344" i="9"/>
  <c r="K10" i="9"/>
  <c r="K757" i="9"/>
  <c r="L440" i="9"/>
  <c r="K717" i="9"/>
  <c r="L472" i="9"/>
  <c r="K417" i="9"/>
  <c r="K475" i="9"/>
  <c r="L673" i="9"/>
  <c r="L580" i="9"/>
  <c r="L666" i="9"/>
  <c r="K96" i="9"/>
  <c r="L662" i="9"/>
  <c r="L680" i="9"/>
  <c r="L850" i="9"/>
  <c r="K289" i="9"/>
  <c r="K778" i="9"/>
  <c r="L420" i="9"/>
  <c r="L465" i="9"/>
  <c r="L565" i="9"/>
  <c r="L631" i="9"/>
  <c r="K121" i="9"/>
  <c r="K540" i="9"/>
  <c r="L281" i="9"/>
  <c r="L380" i="9"/>
  <c r="K111" i="9"/>
  <c r="L775" i="9"/>
  <c r="K469" i="9"/>
  <c r="L392" i="9"/>
  <c r="K334" i="9"/>
  <c r="L103" i="9"/>
  <c r="K772" i="9"/>
  <c r="L235" i="9"/>
  <c r="K793" i="9"/>
  <c r="L537" i="9"/>
  <c r="L681" i="9"/>
  <c r="K584" i="9"/>
  <c r="K768" i="9"/>
  <c r="K169" i="9"/>
  <c r="K636" i="9"/>
  <c r="K290" i="9"/>
  <c r="L47" i="9"/>
  <c r="L300" i="9"/>
  <c r="K700" i="9"/>
  <c r="L620" i="9"/>
  <c r="L158" i="9"/>
  <c r="K518" i="9"/>
  <c r="L327" i="9"/>
  <c r="K703" i="9"/>
  <c r="K355" i="9"/>
  <c r="L448" i="9"/>
  <c r="L617" i="9"/>
  <c r="K568" i="9"/>
  <c r="K229" i="9"/>
  <c r="L619" i="9"/>
  <c r="L358" i="9"/>
  <c r="L169" i="9"/>
  <c r="L333" i="9"/>
  <c r="K283" i="9"/>
  <c r="L310" i="9"/>
  <c r="L330" i="9"/>
  <c r="L623" i="9"/>
  <c r="K402" i="9"/>
  <c r="K175" i="9"/>
  <c r="L350" i="9"/>
  <c r="K856" i="9"/>
  <c r="K736" i="9"/>
  <c r="L124" i="9"/>
  <c r="K503" i="9"/>
  <c r="K18" i="9"/>
  <c r="K279" i="9"/>
  <c r="K316" i="9"/>
  <c r="K761" i="9"/>
  <c r="K770" i="9"/>
  <c r="K231" i="9"/>
  <c r="K795" i="9"/>
  <c r="K624" i="9"/>
  <c r="K543" i="9"/>
  <c r="K273" i="9"/>
  <c r="L401" i="9"/>
  <c r="K436" i="9"/>
  <c r="L32" i="9"/>
  <c r="L143" i="9"/>
  <c r="L597" i="9"/>
  <c r="L371" i="9"/>
  <c r="K570" i="9"/>
  <c r="L726" i="9"/>
  <c r="K775" i="9"/>
  <c r="K461" i="9"/>
  <c r="L705" i="9"/>
  <c r="L129" i="9"/>
  <c r="L276" i="9"/>
  <c r="L164" i="9"/>
  <c r="L27" i="9"/>
  <c r="L572" i="9"/>
  <c r="K91" i="9"/>
  <c r="K582" i="9"/>
  <c r="K828" i="9"/>
  <c r="K800" i="9"/>
  <c r="L301" i="9"/>
  <c r="L40" i="9"/>
  <c r="L21" i="9"/>
  <c r="L462" i="9"/>
  <c r="L22" i="9"/>
  <c r="L639" i="9"/>
  <c r="K272" i="9"/>
  <c r="K75" i="9"/>
  <c r="K359" i="9"/>
  <c r="L17" i="9"/>
  <c r="K153" i="9"/>
  <c r="K365" i="9"/>
  <c r="L135" i="9"/>
  <c r="K730" i="9"/>
  <c r="K841" i="9"/>
  <c r="L186" i="9"/>
  <c r="K532" i="9"/>
  <c r="L640" i="9"/>
  <c r="K727" i="9"/>
  <c r="L635" i="9"/>
  <c r="L13" i="9"/>
  <c r="L25" i="9"/>
  <c r="K58" i="9"/>
  <c r="L684" i="9"/>
  <c r="L127" i="9"/>
  <c r="K741" i="9"/>
  <c r="L383" i="9"/>
  <c r="L96" i="9"/>
  <c r="L847" i="9"/>
  <c r="K539" i="9"/>
  <c r="K692" i="9"/>
  <c r="L296" i="9"/>
  <c r="L644" i="9"/>
  <c r="K456" i="9"/>
  <c r="K533" i="9"/>
  <c r="K657" i="9"/>
  <c r="L130" i="9"/>
  <c r="K241" i="9"/>
  <c r="L587" i="9"/>
  <c r="K32" i="9"/>
  <c r="K56" i="9"/>
  <c r="L748" i="9"/>
  <c r="L856" i="9"/>
  <c r="L261" i="9"/>
  <c r="K113" i="9"/>
  <c r="L859" i="9"/>
  <c r="K835" i="9"/>
  <c r="L270" i="9"/>
  <c r="K364" i="9"/>
  <c r="K195" i="9"/>
  <c r="L108" i="9"/>
  <c r="L11" i="9"/>
  <c r="L153" i="9"/>
  <c r="L578" i="9"/>
  <c r="L18" i="9"/>
  <c r="K74" i="9"/>
  <c r="K530" i="9"/>
  <c r="K846" i="9"/>
  <c r="K594" i="9"/>
  <c r="K245" i="9"/>
  <c r="K746" i="9"/>
  <c r="K663" i="9"/>
  <c r="L256" i="9"/>
  <c r="K26" i="9"/>
  <c r="K695" i="9"/>
  <c r="K128" i="9"/>
  <c r="L563" i="9"/>
  <c r="L322" i="9"/>
  <c r="K502" i="9"/>
  <c r="L622" i="9"/>
  <c r="L284" i="9"/>
  <c r="K660" i="9"/>
  <c r="L504" i="9"/>
  <c r="K434" i="9"/>
  <c r="K691" i="9"/>
  <c r="L214" i="9"/>
  <c r="L68" i="9"/>
  <c r="K499" i="9"/>
  <c r="K343" i="9"/>
  <c r="L230" i="9"/>
  <c r="K860" i="9"/>
  <c r="K704" i="9"/>
  <c r="L61" i="9"/>
  <c r="K538" i="9"/>
  <c r="L548" i="9"/>
  <c r="L546" i="9"/>
  <c r="K606" i="9"/>
  <c r="L313" i="9"/>
  <c r="K176" i="9"/>
  <c r="K448" i="9"/>
  <c r="K528" i="9"/>
  <c r="K157" i="9"/>
  <c r="K833" i="9"/>
  <c r="K781" i="9"/>
  <c r="K560" i="9"/>
  <c r="K249" i="9"/>
  <c r="L641" i="9"/>
  <c r="K674" i="9"/>
  <c r="L352" i="9"/>
  <c r="K590" i="9"/>
  <c r="L402" i="9"/>
  <c r="L558" i="9"/>
  <c r="L733" i="9"/>
  <c r="K275" i="9"/>
  <c r="K112" i="9"/>
  <c r="L263" i="9"/>
  <c r="L752" i="9"/>
  <c r="K76" i="9"/>
  <c r="L600" i="9"/>
  <c r="K642" i="9"/>
  <c r="K286" i="9"/>
  <c r="L188" i="9"/>
  <c r="K405" i="9"/>
  <c r="L524" i="9"/>
  <c r="L10" i="9"/>
  <c r="L799" i="9"/>
  <c r="L236" i="9"/>
  <c r="L226" i="9"/>
  <c r="L519" i="9"/>
  <c r="L282" i="9"/>
  <c r="K267" i="9"/>
  <c r="L605" i="9"/>
  <c r="L357" i="9"/>
  <c r="K278" i="9"/>
  <c r="K47" i="9"/>
  <c r="L91" i="9"/>
  <c r="K737" i="9"/>
  <c r="L220" i="9"/>
  <c r="K88" i="9"/>
  <c r="K127" i="9"/>
  <c r="L344" i="9"/>
  <c r="L690" i="9"/>
  <c r="L46" i="9"/>
  <c r="K593" i="9"/>
  <c r="K243" i="9"/>
  <c r="K288" i="9"/>
  <c r="K783" i="9"/>
  <c r="L822" i="9"/>
  <c r="K634" i="9"/>
  <c r="K144" i="9"/>
  <c r="K449" i="9"/>
  <c r="B8" i="9"/>
  <c r="L203" i="9"/>
  <c r="L246" i="9"/>
  <c r="L176" i="9"/>
  <c r="L254" i="9"/>
  <c r="K337" i="9"/>
  <c r="K247" i="9"/>
  <c r="K423" i="9"/>
  <c r="K677" i="9"/>
  <c r="L552" i="9"/>
  <c r="K119" i="9"/>
  <c r="K77" i="9"/>
  <c r="K643" i="9"/>
  <c r="L782" i="9"/>
  <c r="K765" i="9"/>
  <c r="K347" i="9"/>
  <c r="K666" i="9"/>
  <c r="K617" i="9"/>
  <c r="L686" i="9"/>
  <c r="K595" i="9"/>
  <c r="K698" i="9"/>
  <c r="K391" i="9"/>
  <c r="L667" i="9"/>
  <c r="L481" i="9"/>
  <c r="L252" i="9"/>
  <c r="L845" i="9"/>
  <c r="L411" i="9"/>
  <c r="L286" i="9"/>
  <c r="L354" i="9"/>
  <c r="L409" i="9"/>
  <c r="K39" i="9"/>
  <c r="K506" i="9"/>
  <c r="L436" i="9"/>
  <c r="L468" i="9"/>
  <c r="K221" i="9"/>
  <c r="K282" i="9"/>
  <c r="L332" i="9"/>
  <c r="L386" i="9"/>
  <c r="L503" i="9"/>
  <c r="K801" i="9"/>
  <c r="L624" i="9"/>
  <c r="K862" i="9"/>
  <c r="L698" i="9"/>
  <c r="K650" i="9"/>
  <c r="L57" i="9"/>
  <c r="L31" i="9"/>
  <c r="L723" i="9"/>
  <c r="L82" i="9"/>
  <c r="L201" i="9"/>
  <c r="K233" i="9"/>
  <c r="L63" i="9"/>
  <c r="L54" i="9"/>
  <c r="L663" i="9"/>
  <c r="L438" i="9"/>
  <c r="L724" i="9"/>
  <c r="K122" i="9"/>
  <c r="K808" i="9"/>
  <c r="L299" i="9"/>
  <c r="K516" i="9"/>
  <c r="L613" i="9"/>
  <c r="L803" i="9"/>
  <c r="L762" i="9"/>
  <c r="K748" i="9"/>
  <c r="K829" i="9"/>
  <c r="K767" i="9"/>
  <c r="K722" i="9"/>
  <c r="K807" i="9"/>
  <c r="L173" i="9"/>
  <c r="L250" i="9"/>
  <c r="K383" i="9"/>
  <c r="L474" i="9"/>
  <c r="K443" i="9"/>
  <c r="K212" i="9"/>
  <c r="L685" i="9"/>
  <c r="K580" i="9"/>
  <c r="L144" i="9"/>
  <c r="K693" i="9"/>
  <c r="K54" i="9"/>
  <c r="K749" i="9"/>
  <c r="K413" i="9"/>
  <c r="L137" i="9"/>
  <c r="K35" i="9"/>
  <c r="K60" i="9"/>
  <c r="K442" i="9"/>
  <c r="K670" i="9"/>
  <c r="L72" i="9"/>
  <c r="K62" i="9"/>
  <c r="K70" i="9"/>
  <c r="L224" i="9"/>
  <c r="L846" i="9"/>
  <c r="K328" i="9"/>
  <c r="L860" i="9"/>
  <c r="L190" i="9"/>
  <c r="L781" i="9"/>
  <c r="K162" i="9"/>
  <c r="L377" i="9"/>
  <c r="K190" i="9"/>
  <c r="K189" i="9"/>
  <c r="K854" i="9"/>
  <c r="L182" i="9"/>
  <c r="K270" i="9"/>
  <c r="L113" i="9"/>
  <c r="K206" i="9"/>
  <c r="L179" i="9"/>
  <c r="L675" i="9"/>
  <c r="K764" i="9"/>
  <c r="K620" i="9"/>
  <c r="L827" i="9"/>
  <c r="L339" i="9"/>
  <c r="K668" i="9"/>
  <c r="K188" i="9"/>
  <c r="L728" i="9"/>
  <c r="K818" i="9"/>
  <c r="L205" i="9"/>
  <c r="L361" i="9"/>
  <c r="L149" i="9"/>
  <c r="K305" i="9"/>
  <c r="L290" i="9"/>
  <c r="K133" i="9"/>
  <c r="L279" i="9"/>
  <c r="K712" i="9"/>
  <c r="K403" i="9"/>
  <c r="L771" i="9"/>
  <c r="K612" i="9"/>
  <c r="K398" i="9"/>
  <c r="K366" i="9"/>
  <c r="L37" i="9"/>
  <c r="L518" i="9"/>
  <c r="K213" i="9"/>
  <c r="K27" i="9"/>
  <c r="L89" i="9"/>
  <c r="L122" i="9"/>
  <c r="K148" i="9"/>
  <c r="L288" i="9"/>
  <c r="K697" i="9"/>
  <c r="L599" i="9"/>
  <c r="L247" i="9"/>
  <c r="K85" i="9"/>
  <c r="L404" i="9"/>
  <c r="L790" i="9"/>
  <c r="L606" i="9"/>
  <c r="K473" i="9"/>
  <c r="K753" i="9"/>
  <c r="K547" i="9"/>
  <c r="L92" i="9"/>
  <c r="K509" i="9"/>
  <c r="L378" i="9"/>
  <c r="K418" i="9"/>
  <c r="L185" i="9"/>
  <c r="K416" i="9"/>
  <c r="L199" i="9"/>
  <c r="K791" i="9"/>
  <c r="K865" i="9"/>
  <c r="L711" i="9"/>
  <c r="K446" i="9"/>
  <c r="K125" i="9"/>
  <c r="K108" i="9"/>
  <c r="K90" i="9"/>
  <c r="K596" i="9"/>
  <c r="L456" i="9"/>
  <c r="L142" i="9"/>
  <c r="L298" i="9"/>
  <c r="L735" i="9"/>
  <c r="K495" i="9"/>
  <c r="K367" i="9"/>
  <c r="K739" i="9"/>
  <c r="K702" i="9"/>
  <c r="L837" i="9"/>
  <c r="K173" i="9"/>
  <c r="L520" i="9"/>
  <c r="K207" i="9"/>
  <c r="K463" i="9"/>
  <c r="L765" i="9"/>
  <c r="K715" i="9"/>
  <c r="K276" i="9"/>
  <c r="L245" i="9"/>
  <c r="K678" i="9"/>
  <c r="L533" i="9"/>
  <c r="L163" i="9"/>
  <c r="K86" i="9"/>
  <c r="L66" i="9"/>
  <c r="L696" i="9"/>
  <c r="K100" i="9"/>
  <c r="L44" i="9"/>
  <c r="L151" i="9"/>
  <c r="K451" i="9"/>
  <c r="L570" i="9"/>
  <c r="L55" i="9"/>
  <c r="L699" i="9"/>
  <c r="L434" i="9"/>
  <c r="L553" i="9"/>
  <c r="L131" i="9"/>
  <c r="L697" i="9"/>
  <c r="K549" i="9"/>
  <c r="L819" i="9"/>
  <c r="K671" i="9"/>
  <c r="L716" i="9"/>
  <c r="L536" i="9"/>
  <c r="L522" i="9"/>
  <c r="L295" i="9"/>
  <c r="K551" i="9"/>
  <c r="K194" i="9"/>
  <c r="L451" i="9"/>
  <c r="K356" i="9"/>
  <c r="L562" i="9"/>
  <c r="K78" i="9"/>
  <c r="K535" i="9"/>
  <c r="K411" i="9"/>
  <c r="L416" i="9"/>
  <c r="L701" i="9"/>
  <c r="L168" i="9"/>
  <c r="K38" i="9"/>
  <c r="K202" i="9"/>
  <c r="L651" i="9"/>
  <c r="K139" i="9"/>
  <c r="L106" i="9"/>
  <c r="L218" i="9"/>
  <c r="L132" i="9"/>
  <c r="K102" i="9"/>
  <c r="K21" i="9"/>
  <c r="L128" i="9"/>
  <c r="L626" i="9"/>
  <c r="L406" i="9"/>
  <c r="L139" i="9"/>
  <c r="L499" i="9"/>
  <c r="L123" i="9"/>
  <c r="K630" i="9"/>
  <c r="K81" i="9"/>
  <c r="L355" i="9"/>
  <c r="K847" i="9"/>
  <c r="K428" i="9"/>
  <c r="K239" i="9"/>
  <c r="K406" i="9"/>
  <c r="K256" i="9"/>
  <c r="K240" i="9"/>
  <c r="K523" i="9"/>
  <c r="L791" i="9"/>
  <c r="K238" i="9"/>
  <c r="L568" i="9"/>
  <c r="K280" i="9"/>
  <c r="L861" i="9"/>
  <c r="L621" i="9"/>
  <c r="K441" i="9"/>
  <c r="L119" i="9"/>
  <c r="K260" i="9"/>
  <c r="L848" i="9"/>
  <c r="K381" i="9"/>
  <c r="K656" i="9"/>
  <c r="K844" i="9"/>
  <c r="K372" i="9"/>
  <c r="L33" i="9"/>
  <c r="K733" i="9"/>
  <c r="L557" i="9"/>
  <c r="K484" i="9"/>
  <c r="K353" i="9"/>
  <c r="L50" i="9"/>
  <c r="K320" i="9"/>
  <c r="K163" i="9"/>
  <c r="L195" i="9"/>
  <c r="L316" i="9"/>
  <c r="K373" i="9"/>
  <c r="L501" i="9"/>
  <c r="L363" i="9"/>
  <c r="K466" i="9"/>
  <c r="K225" i="9"/>
  <c r="L677" i="9"/>
  <c r="L302" i="9"/>
  <c r="L477" i="9"/>
  <c r="K132" i="9"/>
  <c r="K302" i="9"/>
  <c r="K232" i="9"/>
  <c r="L494" i="9"/>
  <c r="K41" i="9"/>
  <c r="L776" i="9"/>
  <c r="K300" i="9"/>
  <c r="K524" i="9"/>
  <c r="L527" i="9"/>
  <c r="L647" i="9"/>
  <c r="K438" i="9"/>
  <c r="L475" i="9"/>
  <c r="K349" i="9"/>
  <c r="L418" i="9"/>
  <c r="L736" i="9"/>
  <c r="L353" i="9"/>
  <c r="K29" i="9"/>
  <c r="L863" i="9"/>
  <c r="L517" i="9"/>
  <c r="K732" i="9"/>
  <c r="L591" i="9"/>
  <c r="K587" i="9"/>
  <c r="K545" i="9"/>
  <c r="K117" i="9"/>
  <c r="K40" i="9"/>
  <c r="K84" i="9"/>
  <c r="L255" i="9"/>
  <c r="K167" i="9"/>
  <c r="K763" i="9"/>
  <c r="K849" i="9"/>
  <c r="L341" i="9"/>
  <c r="K103" i="9"/>
  <c r="K421" i="9"/>
  <c r="L213" i="9"/>
  <c r="L118" i="9"/>
  <c r="L399" i="9"/>
  <c r="K109" i="9"/>
  <c r="K315" i="9"/>
  <c r="L510" i="9"/>
  <c r="K303" i="9"/>
  <c r="L172" i="9"/>
  <c r="K848" i="9"/>
  <c r="L340" i="9"/>
  <c r="K377" i="9"/>
  <c r="L535" i="9"/>
  <c r="L102" i="9"/>
  <c r="K310" i="9"/>
  <c r="L426" i="9"/>
  <c r="L595" i="9"/>
  <c r="K726" i="9"/>
  <c r="K9" i="9"/>
  <c r="L210" i="9"/>
  <c r="L26" i="9"/>
  <c r="L674" i="9"/>
  <c r="L136" i="9"/>
  <c r="K340" i="9"/>
  <c r="K361" i="9"/>
  <c r="L51" i="9"/>
  <c r="K33" i="9"/>
  <c r="K135" i="9"/>
  <c r="L476" i="9"/>
  <c r="K158" i="9"/>
  <c r="L688" i="9"/>
  <c r="K410" i="9"/>
  <c r="K73" i="9"/>
  <c r="K790" i="9"/>
  <c r="L430" i="9"/>
  <c r="K707" i="9"/>
  <c r="L314" i="9"/>
  <c r="K521" i="9"/>
  <c r="L197" i="9"/>
  <c r="K244" i="9"/>
  <c r="L784" i="9"/>
  <c r="K171" i="9"/>
  <c r="K319" i="9"/>
  <c r="K785" i="9"/>
  <c r="L828" i="9"/>
  <c r="L844" i="9"/>
  <c r="K341" i="9"/>
  <c r="L442" i="9"/>
  <c r="L346" i="9"/>
  <c r="K782" i="9"/>
  <c r="K522" i="9"/>
  <c r="K432" i="9"/>
  <c r="L759" i="9"/>
  <c r="L807" i="9"/>
  <c r="L222" i="9"/>
  <c r="K728" i="9"/>
  <c r="L215" i="9"/>
  <c r="L492" i="9"/>
  <c r="K42" i="9"/>
  <c r="K574" i="9"/>
  <c r="K99" i="9"/>
  <c r="K325" i="9"/>
  <c r="K149" i="9"/>
  <c r="L318" i="9"/>
  <c r="K626" i="9"/>
  <c r="K667" i="9"/>
  <c r="L534" i="9"/>
  <c r="L579" i="9"/>
  <c r="L575" i="9"/>
  <c r="K342" i="9"/>
  <c r="K825" i="9"/>
  <c r="K378" i="9"/>
  <c r="L424" i="9"/>
  <c r="K129" i="9"/>
  <c r="K306" i="9"/>
  <c r="L556" i="9"/>
  <c r="L590" i="9"/>
  <c r="L460" i="9"/>
  <c r="K318" i="9"/>
  <c r="L505" i="9"/>
  <c r="K12" i="9"/>
  <c r="L485" i="9"/>
  <c r="L212" i="9"/>
  <c r="K126" i="9"/>
  <c r="L292" i="9"/>
  <c r="K454" i="9"/>
  <c r="L638" i="9"/>
  <c r="K661" i="9"/>
  <c r="L529" i="9"/>
  <c r="K861" i="9"/>
  <c r="K447" i="9"/>
  <c r="L637" i="9"/>
  <c r="L720" i="9"/>
  <c r="L833" i="9"/>
  <c r="L19" i="9"/>
  <c r="K385" i="9"/>
  <c r="L854" i="9"/>
  <c r="L206" i="9"/>
  <c r="K284" i="9"/>
  <c r="L814" i="9"/>
  <c r="L636" i="9"/>
  <c r="L555" i="9"/>
  <c r="L74" i="9"/>
  <c r="K603" i="9"/>
  <c r="K392" i="9"/>
  <c r="K534" i="9"/>
  <c r="L238" i="9"/>
  <c r="K427" i="9"/>
  <c r="K839" i="9"/>
  <c r="K408" i="9"/>
  <c r="K420" i="9"/>
  <c r="L744" i="9"/>
  <c r="L486" i="9"/>
  <c r="K130" i="9"/>
  <c r="K754" i="9"/>
  <c r="K255" i="9"/>
  <c r="L29" i="9"/>
  <c r="L41" i="9"/>
  <c r="K488" i="9"/>
  <c r="K147" i="9"/>
  <c r="L743" i="9"/>
  <c r="L830" i="9"/>
  <c r="K705" i="9"/>
  <c r="K293" i="9"/>
  <c r="K519" i="9"/>
  <c r="L813" i="9"/>
  <c r="K553" i="9"/>
  <c r="K577" i="9"/>
  <c r="K853" i="9"/>
  <c r="L625" i="9"/>
  <c r="L576" i="9"/>
  <c r="K205" i="9"/>
  <c r="L258" i="9"/>
  <c r="K615" i="9"/>
  <c r="K526" i="9"/>
  <c r="K93" i="9"/>
  <c r="L228" i="9"/>
  <c r="L689" i="9"/>
  <c r="K827" i="9"/>
  <c r="L308" i="9"/>
  <c r="K161" i="9"/>
  <c r="L427" i="9"/>
  <c r="K855" i="9"/>
  <c r="L755" i="9"/>
  <c r="L479" i="9"/>
  <c r="L280" i="9"/>
  <c r="L838" i="9"/>
  <c r="L14" i="9"/>
  <c r="L359" i="9"/>
  <c r="K627" i="9"/>
  <c r="L365" i="9"/>
  <c r="K222" i="9"/>
  <c r="K699" i="9"/>
  <c r="K639" i="9"/>
  <c r="L71" i="9"/>
  <c r="K397" i="9"/>
  <c r="K824" i="9"/>
  <c r="L452" i="9"/>
  <c r="K579" i="9"/>
  <c r="L849" i="9"/>
  <c r="L315" i="9"/>
  <c r="L323" i="9"/>
  <c r="K531" i="9"/>
  <c r="K429" i="9"/>
  <c r="K762" i="9"/>
  <c r="K182" i="9"/>
  <c r="K136" i="9"/>
  <c r="K430" i="9"/>
  <c r="L120" i="9"/>
  <c r="L59" i="9"/>
  <c r="K263" i="9"/>
  <c r="L573" i="9"/>
  <c r="L385" i="9"/>
  <c r="L660" i="9"/>
  <c r="K215" i="9"/>
  <c r="K529" i="9"/>
  <c r="L530" i="9"/>
  <c r="K393" i="9"/>
  <c r="K14" i="9"/>
  <c r="K756" i="9"/>
  <c r="L722" i="9"/>
  <c r="L335" i="9"/>
  <c r="K235" i="9"/>
  <c r="K266" i="9"/>
  <c r="L39" i="9"/>
  <c r="K490" i="9"/>
  <c r="L101" i="9"/>
  <c r="L787" i="9"/>
  <c r="L734" i="9"/>
  <c r="K370" i="9"/>
  <c r="L703" i="9"/>
  <c r="K813" i="9"/>
  <c r="L150" i="9"/>
  <c r="K250" i="9"/>
  <c r="K180" i="9"/>
  <c r="L297" i="9"/>
  <c r="K573" i="9"/>
  <c r="L746" i="9"/>
  <c r="K537" i="9"/>
  <c r="K234" i="9"/>
  <c r="L694" i="9"/>
  <c r="L83" i="9"/>
  <c r="K151" i="9"/>
  <c r="L275" i="9"/>
  <c r="K610" i="9"/>
  <c r="K287" i="9"/>
  <c r="L312" i="9"/>
  <c r="L162" i="9"/>
  <c r="L381" i="9"/>
  <c r="L138" i="9"/>
  <c r="K350" i="9"/>
  <c r="K744" i="9"/>
  <c r="K95" i="9"/>
  <c r="L766" i="9"/>
  <c r="K28" i="9"/>
  <c r="L792" i="9"/>
  <c r="L283" i="9"/>
  <c r="L285" i="9"/>
  <c r="L181" i="9"/>
  <c r="K309" i="9"/>
  <c r="L729" i="9"/>
  <c r="K520" i="9"/>
  <c r="K187" i="9"/>
  <c r="K527" i="9"/>
  <c r="K599" i="9"/>
  <c r="K780" i="9"/>
  <c r="L646" i="9"/>
  <c r="L700" i="9"/>
  <c r="K562" i="9"/>
  <c r="K15" i="9"/>
  <c r="L542" i="9"/>
  <c r="K396" i="9"/>
  <c r="K203" i="9"/>
  <c r="L147" i="9"/>
  <c r="K459" i="9"/>
  <c r="L800" i="9"/>
  <c r="L821" i="9"/>
  <c r="L200" i="9"/>
  <c r="L656" i="9"/>
  <c r="L148" i="9"/>
  <c r="L449" i="9"/>
  <c r="K591" i="9"/>
  <c r="L242" i="9"/>
  <c r="K49" i="9"/>
  <c r="K492" i="9"/>
  <c r="K647" i="9"/>
  <c r="K644" i="9"/>
  <c r="K811" i="9"/>
  <c r="L471" i="9"/>
  <c r="K731" i="9"/>
  <c r="L157" i="9"/>
  <c r="L408" i="9"/>
  <c r="L407" i="9"/>
  <c r="K63" i="9"/>
  <c r="L403" i="9"/>
  <c r="L826" i="9"/>
  <c r="K299" i="9"/>
  <c r="K301" i="9"/>
  <c r="L237" i="9"/>
  <c r="K399" i="9"/>
  <c r="AP16" i="3" l="1"/>
  <c r="H139" i="3"/>
  <c r="B1" i="2" s="1"/>
  <c r="AA17" i="3"/>
  <c r="Z17" i="3" s="1"/>
  <c r="AW16" i="3"/>
  <c r="AQ17" i="3"/>
  <c r="AV17" i="3"/>
  <c r="AF20" i="19"/>
  <c r="AH20" i="19"/>
  <c r="AK20" i="19" s="1"/>
  <c r="AI20" i="19"/>
  <c r="AE20" i="19"/>
  <c r="AB21" i="19"/>
  <c r="AI21" i="3"/>
  <c r="K63" i="2"/>
  <c r="S17" i="3"/>
  <c r="R20" i="1"/>
  <c r="T20" i="1"/>
  <c r="Z19" i="1"/>
  <c r="AB19" i="1"/>
  <c r="U17" i="3"/>
  <c r="AF22" i="1"/>
  <c r="AG21" i="1"/>
  <c r="AA19" i="1"/>
  <c r="U20" i="1"/>
  <c r="AC19" i="1"/>
  <c r="V17" i="3"/>
  <c r="V1409" i="6"/>
  <c r="L10" i="6"/>
  <c r="P10" i="6" s="1"/>
  <c r="B12" i="6"/>
  <c r="Y12" i="6"/>
  <c r="D11" i="6"/>
  <c r="I11" i="6"/>
  <c r="J11" i="6" s="1"/>
  <c r="K11" i="6" s="1"/>
  <c r="H11" i="6"/>
  <c r="C11" i="6"/>
  <c r="A869" i="9"/>
  <c r="K868" i="9"/>
  <c r="L868" i="9"/>
  <c r="U1410" i="6"/>
  <c r="T1410" i="6"/>
  <c r="A1411" i="6"/>
  <c r="X9" i="6"/>
  <c r="S10" i="6"/>
  <c r="B9" i="9"/>
  <c r="E8" i="9"/>
  <c r="B4" i="9"/>
  <c r="F8" i="9"/>
  <c r="C8" i="9"/>
  <c r="D8" i="9"/>
  <c r="S22" i="1"/>
  <c r="T19" i="3"/>
  <c r="AP17" i="3" l="1"/>
  <c r="AW17" i="3"/>
  <c r="AA18" i="3"/>
  <c r="Z18" i="3" s="1"/>
  <c r="AQ18" i="3"/>
  <c r="AV18" i="3"/>
  <c r="AI21" i="19"/>
  <c r="AE21" i="19"/>
  <c r="AF21" i="19"/>
  <c r="AH21" i="19"/>
  <c r="AK21" i="19" s="1"/>
  <c r="AB22" i="19"/>
  <c r="AI22" i="3"/>
  <c r="K64" i="2"/>
  <c r="T21" i="1"/>
  <c r="AB20" i="1"/>
  <c r="Z20" i="1"/>
  <c r="U18" i="3"/>
  <c r="S18" i="3"/>
  <c r="R21" i="1"/>
  <c r="AF23" i="1"/>
  <c r="AG22" i="1"/>
  <c r="V18" i="3"/>
  <c r="U21" i="1"/>
  <c r="AA20" i="1"/>
  <c r="AC20" i="1"/>
  <c r="L11" i="6"/>
  <c r="D12" i="6"/>
  <c r="I12" i="6"/>
  <c r="J12" i="6" s="1"/>
  <c r="K12" i="6" s="1"/>
  <c r="C12" i="6"/>
  <c r="Y13" i="6"/>
  <c r="B13" i="6"/>
  <c r="H12" i="6"/>
  <c r="V1410" i="6"/>
  <c r="T1411" i="6"/>
  <c r="A1412" i="6"/>
  <c r="U1411" i="6"/>
  <c r="F9" i="9"/>
  <c r="B10" i="9"/>
  <c r="C9" i="9"/>
  <c r="E9" i="9"/>
  <c r="D9" i="9"/>
  <c r="X10" i="6"/>
  <c r="S11" i="6"/>
  <c r="S23" i="1"/>
  <c r="T20" i="3"/>
  <c r="A870" i="9"/>
  <c r="K869" i="9"/>
  <c r="L869" i="9"/>
  <c r="AP18" i="3" l="1"/>
  <c r="AW18" i="3"/>
  <c r="AQ19" i="3"/>
  <c r="AV19" i="3"/>
  <c r="AA19" i="3"/>
  <c r="Z19" i="3" s="1"/>
  <c r="AI22" i="19"/>
  <c r="AH22" i="19"/>
  <c r="AK22" i="19" s="1"/>
  <c r="AF22" i="19"/>
  <c r="AE22" i="19"/>
  <c r="AB23" i="19"/>
  <c r="AI23" i="3"/>
  <c r="K65" i="2"/>
  <c r="R22" i="1"/>
  <c r="S19" i="3"/>
  <c r="AB21" i="1"/>
  <c r="U19" i="3"/>
  <c r="Z21" i="1"/>
  <c r="T22" i="1"/>
  <c r="AF24" i="1"/>
  <c r="AG23" i="1"/>
  <c r="L12" i="6"/>
  <c r="P12" i="6" s="1"/>
  <c r="AA21" i="1"/>
  <c r="AC21" i="1"/>
  <c r="U22" i="1"/>
  <c r="V19" i="3"/>
  <c r="P11" i="6"/>
  <c r="Y14" i="6"/>
  <c r="I13" i="6"/>
  <c r="J13" i="6" s="1"/>
  <c r="K13" i="6" s="1"/>
  <c r="H13" i="6"/>
  <c r="B14" i="6"/>
  <c r="C13" i="6"/>
  <c r="D13" i="6"/>
  <c r="V1411" i="6"/>
  <c r="T21" i="3"/>
  <c r="S24" i="1"/>
  <c r="X11" i="6"/>
  <c r="S12" i="6"/>
  <c r="A871" i="9"/>
  <c r="K870" i="9"/>
  <c r="L870" i="9"/>
  <c r="A1413" i="6"/>
  <c r="T1412" i="6"/>
  <c r="U1412" i="6"/>
  <c r="E10" i="9"/>
  <c r="C10" i="9"/>
  <c r="B11" i="9"/>
  <c r="D10" i="9"/>
  <c r="F10" i="9"/>
  <c r="AP19" i="3" l="1"/>
  <c r="AA20" i="3"/>
  <c r="Z20" i="3" s="1"/>
  <c r="AW19" i="3"/>
  <c r="AQ20" i="3"/>
  <c r="AV20" i="3"/>
  <c r="AF23" i="19"/>
  <c r="AI23" i="19"/>
  <c r="AE23" i="19"/>
  <c r="AH23" i="19"/>
  <c r="AK23" i="19" s="1"/>
  <c r="AB24" i="19"/>
  <c r="AI24" i="3"/>
  <c r="K66" i="2"/>
  <c r="Z22" i="1"/>
  <c r="U20" i="3"/>
  <c r="AB22" i="1"/>
  <c r="T23" i="1"/>
  <c r="R23" i="1"/>
  <c r="S20" i="3"/>
  <c r="AF25" i="1"/>
  <c r="AG24" i="1"/>
  <c r="L13" i="6"/>
  <c r="P13" i="6" s="1"/>
  <c r="AC22" i="1"/>
  <c r="AA22" i="1"/>
  <c r="U23" i="1"/>
  <c r="V20" i="3"/>
  <c r="D14" i="6"/>
  <c r="C14" i="6"/>
  <c r="Y15" i="6"/>
  <c r="I14" i="6"/>
  <c r="J14" i="6" s="1"/>
  <c r="K14" i="6" s="1"/>
  <c r="H14" i="6"/>
  <c r="B15" i="6"/>
  <c r="V1412" i="6"/>
  <c r="A872" i="9"/>
  <c r="L871" i="9"/>
  <c r="K871" i="9"/>
  <c r="A1414" i="6"/>
  <c r="T1413" i="6"/>
  <c r="U1413" i="6"/>
  <c r="X12" i="6"/>
  <c r="S13" i="6"/>
  <c r="S25" i="1"/>
  <c r="T22" i="3"/>
  <c r="B12" i="9"/>
  <c r="E11" i="9"/>
  <c r="D11" i="9"/>
  <c r="C11" i="9"/>
  <c r="F11" i="9"/>
  <c r="AP20" i="3" l="1"/>
  <c r="AW20" i="3"/>
  <c r="AA21" i="3"/>
  <c r="Z21" i="3" s="1"/>
  <c r="AQ21" i="3"/>
  <c r="AV21" i="3"/>
  <c r="AF24" i="19"/>
  <c r="AH24" i="19"/>
  <c r="AK24" i="19" s="1"/>
  <c r="AI24" i="19"/>
  <c r="AE24" i="19"/>
  <c r="AB25" i="19"/>
  <c r="AI25" i="3"/>
  <c r="K67" i="2"/>
  <c r="L14" i="6"/>
  <c r="P14" i="6" s="1"/>
  <c r="R24" i="1"/>
  <c r="S21" i="3"/>
  <c r="Z23" i="1"/>
  <c r="AB23" i="1"/>
  <c r="T24" i="1"/>
  <c r="U21" i="3"/>
  <c r="AF26" i="1"/>
  <c r="AG25" i="1"/>
  <c r="V21" i="3"/>
  <c r="AA23" i="1"/>
  <c r="AC23" i="1"/>
  <c r="U24" i="1"/>
  <c r="C15" i="6"/>
  <c r="Y16" i="6"/>
  <c r="B16" i="6"/>
  <c r="H15" i="6"/>
  <c r="I15" i="6"/>
  <c r="J15" i="6" s="1"/>
  <c r="K15" i="6" s="1"/>
  <c r="D15" i="6"/>
  <c r="V1413" i="6"/>
  <c r="D12" i="9"/>
  <c r="B13" i="9"/>
  <c r="E12" i="9"/>
  <c r="C12" i="9"/>
  <c r="F12" i="9"/>
  <c r="A873" i="9"/>
  <c r="K872" i="9"/>
  <c r="L872" i="9"/>
  <c r="S26" i="1"/>
  <c r="T23" i="3"/>
  <c r="X13" i="6"/>
  <c r="S14" i="6"/>
  <c r="A1415" i="6"/>
  <c r="T1414" i="6"/>
  <c r="U1414" i="6"/>
  <c r="AP21" i="3" l="1"/>
  <c r="AW21" i="3"/>
  <c r="AA22" i="3"/>
  <c r="Z22" i="3" s="1"/>
  <c r="AQ22" i="3"/>
  <c r="AV22" i="3"/>
  <c r="AE25" i="19"/>
  <c r="AH25" i="19"/>
  <c r="AK25" i="19" s="1"/>
  <c r="AI25" i="19"/>
  <c r="AF25" i="19"/>
  <c r="AB26" i="19"/>
  <c r="AI26" i="3"/>
  <c r="K68" i="2"/>
  <c r="U22" i="3"/>
  <c r="T25" i="1"/>
  <c r="Z24" i="1"/>
  <c r="AB24" i="1"/>
  <c r="S22" i="3"/>
  <c r="R25" i="1"/>
  <c r="AF27" i="1"/>
  <c r="AG26" i="1"/>
  <c r="V22" i="3"/>
  <c r="AA24" i="1"/>
  <c r="AC24" i="1"/>
  <c r="U25" i="1"/>
  <c r="L15" i="6"/>
  <c r="P15" i="6" s="1"/>
  <c r="Y17" i="6"/>
  <c r="H16" i="6"/>
  <c r="C16" i="6"/>
  <c r="D16" i="6"/>
  <c r="I16" i="6"/>
  <c r="J16" i="6" s="1"/>
  <c r="K16" i="6" s="1"/>
  <c r="B17" i="6"/>
  <c r="V1414" i="6"/>
  <c r="A874" i="9"/>
  <c r="K873" i="9"/>
  <c r="L873" i="9"/>
  <c r="X14" i="6"/>
  <c r="S15" i="6"/>
  <c r="S27" i="1"/>
  <c r="T24" i="3"/>
  <c r="F13" i="9"/>
  <c r="D13" i="9"/>
  <c r="E13" i="9"/>
  <c r="C13" i="9"/>
  <c r="B14" i="9"/>
  <c r="T1415" i="6"/>
  <c r="U1415" i="6"/>
  <c r="A1416" i="6"/>
  <c r="AP22" i="3" l="1"/>
  <c r="AW22" i="3"/>
  <c r="AQ23" i="3"/>
  <c r="AV23" i="3"/>
  <c r="AA23" i="3"/>
  <c r="Z23" i="3" s="1"/>
  <c r="AE26" i="19"/>
  <c r="AH26" i="19"/>
  <c r="AK26" i="19" s="1"/>
  <c r="AF26" i="19"/>
  <c r="AI26" i="19"/>
  <c r="AB27" i="19"/>
  <c r="AI27" i="3"/>
  <c r="S23" i="3"/>
  <c r="R26" i="1"/>
  <c r="Z25" i="1"/>
  <c r="AB25" i="1"/>
  <c r="T26" i="1"/>
  <c r="U23" i="3"/>
  <c r="AF28" i="1"/>
  <c r="AG27" i="1"/>
  <c r="AC25" i="1"/>
  <c r="AA25" i="1"/>
  <c r="V23" i="3"/>
  <c r="U26" i="1"/>
  <c r="L16" i="6"/>
  <c r="P16" i="6" s="1"/>
  <c r="B18" i="6"/>
  <c r="H17" i="6"/>
  <c r="C17" i="6"/>
  <c r="I17" i="6"/>
  <c r="J17" i="6" s="1"/>
  <c r="K17" i="6" s="1"/>
  <c r="D17" i="6"/>
  <c r="Y18" i="6"/>
  <c r="V1415" i="6"/>
  <c r="T25" i="3"/>
  <c r="S28" i="1"/>
  <c r="F14" i="9"/>
  <c r="E14" i="9"/>
  <c r="B15" i="9"/>
  <c r="D14" i="9"/>
  <c r="C14" i="9"/>
  <c r="X15" i="6"/>
  <c r="S16" i="6"/>
  <c r="A1417" i="6"/>
  <c r="T1416" i="6"/>
  <c r="U1416" i="6"/>
  <c r="A875" i="9"/>
  <c r="K874" i="9"/>
  <c r="L874" i="9"/>
  <c r="AW23" i="3" l="1"/>
  <c r="AP23" i="3"/>
  <c r="AA24" i="3"/>
  <c r="Z24" i="3" s="1"/>
  <c r="AQ24" i="3"/>
  <c r="AV24" i="3"/>
  <c r="AF27" i="19"/>
  <c r="AE27" i="19"/>
  <c r="AH27" i="19"/>
  <c r="AK27" i="19" s="1"/>
  <c r="AI27" i="19"/>
  <c r="AB28" i="19"/>
  <c r="AI28" i="3"/>
  <c r="AB26" i="1"/>
  <c r="T27" i="1"/>
  <c r="Z26" i="1"/>
  <c r="U24" i="3"/>
  <c r="S24" i="3"/>
  <c r="R27" i="1"/>
  <c r="AF29" i="1"/>
  <c r="AG28" i="1"/>
  <c r="V24" i="3"/>
  <c r="AA26" i="1"/>
  <c r="U27" i="1"/>
  <c r="AC26" i="1"/>
  <c r="L17" i="6"/>
  <c r="P17" i="6" s="1"/>
  <c r="I18" i="6"/>
  <c r="J18" i="6" s="1"/>
  <c r="K18" i="6" s="1"/>
  <c r="Y19" i="6"/>
  <c r="B19" i="6"/>
  <c r="D18" i="6"/>
  <c r="C18" i="6"/>
  <c r="H18" i="6"/>
  <c r="V1416" i="6"/>
  <c r="X16" i="6"/>
  <c r="S17" i="6"/>
  <c r="D15" i="9"/>
  <c r="C15" i="9"/>
  <c r="F15" i="9"/>
  <c r="B16" i="9"/>
  <c r="E15" i="9"/>
  <c r="A876" i="9"/>
  <c r="K875" i="9"/>
  <c r="L875" i="9"/>
  <c r="S29" i="1"/>
  <c r="T26" i="3"/>
  <c r="U1417" i="6"/>
  <c r="T1417" i="6"/>
  <c r="A1418" i="6"/>
  <c r="AP24" i="3" l="1"/>
  <c r="AW24" i="3"/>
  <c r="AQ25" i="3"/>
  <c r="AV25" i="3"/>
  <c r="AA25" i="3"/>
  <c r="Z25" i="3" s="1"/>
  <c r="AF28" i="19"/>
  <c r="AI28" i="19"/>
  <c r="AH28" i="19"/>
  <c r="AK28" i="19" s="1"/>
  <c r="AE28" i="19"/>
  <c r="AB29" i="19"/>
  <c r="AI29" i="3"/>
  <c r="S25" i="3"/>
  <c r="R28" i="1"/>
  <c r="U25" i="3"/>
  <c r="Z27" i="1"/>
  <c r="T28" i="1"/>
  <c r="AB27" i="1"/>
  <c r="AF30" i="1"/>
  <c r="AG29" i="1"/>
  <c r="L18" i="6"/>
  <c r="P18" i="6" s="1"/>
  <c r="AC27" i="1"/>
  <c r="AA27" i="1"/>
  <c r="V25" i="3"/>
  <c r="U28" i="1"/>
  <c r="B20" i="6"/>
  <c r="D19" i="6"/>
  <c r="H19" i="6"/>
  <c r="C19" i="6"/>
  <c r="I19" i="6"/>
  <c r="J19" i="6" s="1"/>
  <c r="K19" i="6" s="1"/>
  <c r="Y20" i="6"/>
  <c r="V1417" i="6"/>
  <c r="D16" i="9"/>
  <c r="F16" i="9"/>
  <c r="C16" i="9"/>
  <c r="E16" i="9"/>
  <c r="B17" i="9"/>
  <c r="A877" i="9"/>
  <c r="L876" i="9"/>
  <c r="K876" i="9"/>
  <c r="U1418" i="6"/>
  <c r="A1419" i="6"/>
  <c r="T1418" i="6"/>
  <c r="X17" i="6"/>
  <c r="S18" i="6"/>
  <c r="T27" i="3"/>
  <c r="S30" i="1"/>
  <c r="AA26" i="3" l="1"/>
  <c r="Z26" i="3" s="1"/>
  <c r="AW25" i="3"/>
  <c r="AP25" i="3"/>
  <c r="AQ26" i="3"/>
  <c r="AV26" i="3"/>
  <c r="AH29" i="19"/>
  <c r="AK29" i="19" s="1"/>
  <c r="AE29" i="19"/>
  <c r="AI29" i="19"/>
  <c r="AF29" i="19"/>
  <c r="AB30" i="19"/>
  <c r="AI30" i="3"/>
  <c r="U26" i="3"/>
  <c r="AB28" i="1"/>
  <c r="T29" i="1"/>
  <c r="Z28" i="1"/>
  <c r="R29" i="1"/>
  <c r="S26" i="3"/>
  <c r="AF31" i="1"/>
  <c r="AG30" i="1"/>
  <c r="V26" i="3"/>
  <c r="U29" i="1"/>
  <c r="AA28" i="1"/>
  <c r="AC28" i="1"/>
  <c r="L19" i="6"/>
  <c r="P19" i="6" s="1"/>
  <c r="B21" i="6"/>
  <c r="C20" i="6"/>
  <c r="Y21" i="6"/>
  <c r="D20" i="6"/>
  <c r="H20" i="6"/>
  <c r="I20" i="6"/>
  <c r="J20" i="6" s="1"/>
  <c r="K20" i="6" s="1"/>
  <c r="V1418" i="6"/>
  <c r="A878" i="9"/>
  <c r="K877" i="9"/>
  <c r="L877" i="9"/>
  <c r="E17" i="9"/>
  <c r="B18" i="9"/>
  <c r="D17" i="9"/>
  <c r="C17" i="9"/>
  <c r="F17" i="9"/>
  <c r="T28" i="3"/>
  <c r="S31" i="1"/>
  <c r="X18" i="6"/>
  <c r="S19" i="6"/>
  <c r="A1420" i="6"/>
  <c r="U1419" i="6"/>
  <c r="T1419" i="6"/>
  <c r="AW26" i="3" l="1"/>
  <c r="AP26" i="3"/>
  <c r="AQ27" i="3"/>
  <c r="AV27" i="3"/>
  <c r="AA27" i="3"/>
  <c r="Z27" i="3" s="1"/>
  <c r="AE30" i="19"/>
  <c r="AF30" i="19"/>
  <c r="AI30" i="19"/>
  <c r="AH30" i="19"/>
  <c r="AK30" i="19" s="1"/>
  <c r="AB31" i="19"/>
  <c r="AI31" i="3"/>
  <c r="S27" i="3"/>
  <c r="R30" i="1"/>
  <c r="T30" i="1"/>
  <c r="Z29" i="1"/>
  <c r="AB29" i="1"/>
  <c r="U27" i="3"/>
  <c r="AF32" i="1"/>
  <c r="AG31" i="1"/>
  <c r="U30" i="1"/>
  <c r="AA29" i="1"/>
  <c r="V27" i="3"/>
  <c r="AC29" i="1"/>
  <c r="L20" i="6"/>
  <c r="P20" i="6" s="1"/>
  <c r="C21" i="6"/>
  <c r="B22" i="6"/>
  <c r="H21" i="6"/>
  <c r="Y22" i="6"/>
  <c r="D21" i="6"/>
  <c r="I21" i="6"/>
  <c r="J21" i="6" s="1"/>
  <c r="K21" i="6" s="1"/>
  <c r="V1419" i="6"/>
  <c r="F18" i="9"/>
  <c r="D18" i="9"/>
  <c r="C18" i="9"/>
  <c r="B19" i="9"/>
  <c r="E18" i="9"/>
  <c r="X19" i="6"/>
  <c r="S20" i="6"/>
  <c r="A879" i="9"/>
  <c r="L878" i="9"/>
  <c r="K878" i="9"/>
  <c r="U1420" i="6"/>
  <c r="A1421" i="6"/>
  <c r="T1420" i="6"/>
  <c r="T29" i="3"/>
  <c r="S32" i="1"/>
  <c r="AW27" i="3" l="1"/>
  <c r="AP27" i="3"/>
  <c r="AA28" i="3"/>
  <c r="Z28" i="3" s="1"/>
  <c r="AQ28" i="3"/>
  <c r="AV28" i="3"/>
  <c r="AE31" i="19"/>
  <c r="AI31" i="19"/>
  <c r="AH31" i="19"/>
  <c r="AK31" i="19" s="1"/>
  <c r="AF31" i="19"/>
  <c r="AB32" i="19"/>
  <c r="AI32" i="3"/>
  <c r="I18" i="9"/>
  <c r="T31" i="1"/>
  <c r="Z30" i="1"/>
  <c r="U28" i="3"/>
  <c r="AB30" i="1"/>
  <c r="S28" i="3"/>
  <c r="R31" i="1"/>
  <c r="AF33" i="1"/>
  <c r="AG32" i="1"/>
  <c r="V28" i="3"/>
  <c r="AA30" i="1"/>
  <c r="U31" i="1"/>
  <c r="AC30" i="1"/>
  <c r="L21" i="6"/>
  <c r="P21" i="6" s="1"/>
  <c r="B23" i="6"/>
  <c r="Y23" i="6"/>
  <c r="D22" i="6"/>
  <c r="I22" i="6"/>
  <c r="J22" i="6" s="1"/>
  <c r="K22" i="6" s="1"/>
  <c r="C22" i="6"/>
  <c r="H22" i="6"/>
  <c r="V1420" i="6"/>
  <c r="S33" i="1"/>
  <c r="T30" i="3"/>
  <c r="T1421" i="6"/>
  <c r="U1421" i="6"/>
  <c r="A1422" i="6"/>
  <c r="X20" i="6"/>
  <c r="S21" i="6"/>
  <c r="F19" i="9"/>
  <c r="D19" i="9"/>
  <c r="C19" i="9"/>
  <c r="B20" i="9"/>
  <c r="E19" i="9"/>
  <c r="A880" i="9"/>
  <c r="L879" i="9"/>
  <c r="K879" i="9"/>
  <c r="AW28" i="3" l="1"/>
  <c r="AP28" i="3"/>
  <c r="AQ29" i="3"/>
  <c r="AV29" i="3"/>
  <c r="AA29" i="3"/>
  <c r="Z29" i="3" s="1"/>
  <c r="AF32" i="19"/>
  <c r="AI32" i="19"/>
  <c r="AH32" i="19"/>
  <c r="AK32" i="19" s="1"/>
  <c r="AE32" i="19"/>
  <c r="AB33" i="19"/>
  <c r="AI33" i="3"/>
  <c r="R32" i="1"/>
  <c r="S29" i="3"/>
  <c r="Z31" i="1"/>
  <c r="T32" i="1"/>
  <c r="U29" i="3"/>
  <c r="AB31" i="1"/>
  <c r="AF34" i="1"/>
  <c r="AG33" i="1"/>
  <c r="I19" i="9"/>
  <c r="P19" i="9" s="1"/>
  <c r="AA31" i="1"/>
  <c r="V29" i="3"/>
  <c r="AC31" i="1"/>
  <c r="U32" i="1"/>
  <c r="L22" i="6"/>
  <c r="P22" i="6" s="1"/>
  <c r="B24" i="6"/>
  <c r="Y24" i="6"/>
  <c r="D23" i="6"/>
  <c r="I23" i="6"/>
  <c r="J23" i="6" s="1"/>
  <c r="K23" i="6" s="1"/>
  <c r="H23" i="6"/>
  <c r="C23" i="6"/>
  <c r="V1421" i="6"/>
  <c r="T31" i="3"/>
  <c r="S34" i="1"/>
  <c r="C20" i="9"/>
  <c r="E20" i="9"/>
  <c r="B21" i="9"/>
  <c r="D20" i="9"/>
  <c r="F20" i="9"/>
  <c r="A881" i="9"/>
  <c r="L880" i="9"/>
  <c r="K880" i="9"/>
  <c r="X21" i="6"/>
  <c r="S22" i="6"/>
  <c r="A1423" i="6"/>
  <c r="T1422" i="6"/>
  <c r="U1422" i="6"/>
  <c r="AW29" i="3" l="1"/>
  <c r="AP29" i="3"/>
  <c r="AA30" i="3"/>
  <c r="Z30" i="3" s="1"/>
  <c r="AQ30" i="3"/>
  <c r="AV30" i="3"/>
  <c r="AE33" i="19"/>
  <c r="AI33" i="19"/>
  <c r="AF33" i="19"/>
  <c r="AH33" i="19"/>
  <c r="AK33" i="19" s="1"/>
  <c r="AB34" i="19"/>
  <c r="AI34" i="3"/>
  <c r="I20" i="9"/>
  <c r="P20" i="9" s="1"/>
  <c r="Z32" i="1"/>
  <c r="AB32" i="1"/>
  <c r="U30" i="3"/>
  <c r="T33" i="1"/>
  <c r="R33" i="1"/>
  <c r="S30" i="3"/>
  <c r="AF35" i="1"/>
  <c r="AG34" i="1"/>
  <c r="AC32" i="1"/>
  <c r="V30" i="3"/>
  <c r="AA32" i="1"/>
  <c r="U33" i="1"/>
  <c r="L23" i="6"/>
  <c r="P23" i="6" s="1"/>
  <c r="I24" i="6"/>
  <c r="J24" i="6" s="1"/>
  <c r="K24" i="6" s="1"/>
  <c r="B25" i="6"/>
  <c r="Y25" i="6"/>
  <c r="D24" i="6"/>
  <c r="C24" i="6"/>
  <c r="H24" i="6"/>
  <c r="V1422" i="6"/>
  <c r="A882" i="9"/>
  <c r="L881" i="9"/>
  <c r="K881" i="9"/>
  <c r="U1423" i="6"/>
  <c r="A1424" i="6"/>
  <c r="T1423" i="6"/>
  <c r="X22" i="6"/>
  <c r="S23" i="6"/>
  <c r="T32" i="3"/>
  <c r="S35" i="1"/>
  <c r="F21" i="9"/>
  <c r="E21" i="9"/>
  <c r="D21" i="9"/>
  <c r="C21" i="9"/>
  <c r="B22" i="9"/>
  <c r="AW30" i="3" l="1"/>
  <c r="AP30" i="3"/>
  <c r="AA31" i="3"/>
  <c r="Z31" i="3" s="1"/>
  <c r="AQ31" i="3"/>
  <c r="AV31" i="3"/>
  <c r="AH34" i="19"/>
  <c r="AK34" i="19" s="1"/>
  <c r="AE34" i="19"/>
  <c r="AI34" i="19"/>
  <c r="AF34" i="19"/>
  <c r="AB35" i="19"/>
  <c r="AI35" i="3"/>
  <c r="R34" i="1"/>
  <c r="S31" i="3"/>
  <c r="T34" i="1"/>
  <c r="AB33" i="1"/>
  <c r="Z33" i="1"/>
  <c r="U31" i="3"/>
  <c r="AF36" i="1"/>
  <c r="AG35" i="1"/>
  <c r="I21" i="9"/>
  <c r="P21" i="9" s="1"/>
  <c r="V31" i="3"/>
  <c r="AC33" i="1"/>
  <c r="AA33" i="1"/>
  <c r="U34" i="1"/>
  <c r="L24" i="6"/>
  <c r="P24" i="6" s="1"/>
  <c r="B26" i="6"/>
  <c r="I25" i="6"/>
  <c r="J25" i="6" s="1"/>
  <c r="K25" i="6" s="1"/>
  <c r="D25" i="6"/>
  <c r="C25" i="6"/>
  <c r="H25" i="6"/>
  <c r="Y26" i="6"/>
  <c r="V1423" i="6"/>
  <c r="B23" i="9"/>
  <c r="E22" i="9"/>
  <c r="C22" i="9"/>
  <c r="D22" i="9"/>
  <c r="F22" i="9"/>
  <c r="T1424" i="6"/>
  <c r="U1424" i="6"/>
  <c r="A1425" i="6"/>
  <c r="T33" i="3"/>
  <c r="S36" i="1"/>
  <c r="A883" i="9"/>
  <c r="K882" i="9"/>
  <c r="L882" i="9"/>
  <c r="X23" i="6"/>
  <c r="S24" i="6"/>
  <c r="AW31" i="3" l="1"/>
  <c r="AA32" i="3"/>
  <c r="Z32" i="3" s="1"/>
  <c r="AQ32" i="3"/>
  <c r="AV32" i="3"/>
  <c r="AI35" i="19"/>
  <c r="AF35" i="19"/>
  <c r="AE35" i="19"/>
  <c r="AH35" i="19"/>
  <c r="AK35" i="19" s="1"/>
  <c r="AB36" i="19"/>
  <c r="AI36" i="3"/>
  <c r="AB34" i="1"/>
  <c r="Z34" i="1"/>
  <c r="T35" i="1"/>
  <c r="U32" i="3"/>
  <c r="S32" i="3"/>
  <c r="R35" i="1"/>
  <c r="AF37" i="1"/>
  <c r="AG36" i="1"/>
  <c r="I22" i="9"/>
  <c r="P22" i="9" s="1"/>
  <c r="L25" i="6"/>
  <c r="P25" i="6" s="1"/>
  <c r="AA34" i="1"/>
  <c r="U35" i="1"/>
  <c r="AC34" i="1"/>
  <c r="V32" i="3"/>
  <c r="D26" i="6"/>
  <c r="Y27" i="6"/>
  <c r="C26" i="6"/>
  <c r="B27" i="6"/>
  <c r="H26" i="6"/>
  <c r="I26" i="6"/>
  <c r="J26" i="6" s="1"/>
  <c r="K26" i="6" s="1"/>
  <c r="V1424" i="6"/>
  <c r="U1425" i="6"/>
  <c r="A1426" i="6"/>
  <c r="T1425" i="6"/>
  <c r="X24" i="6"/>
  <c r="S25" i="6"/>
  <c r="T34" i="3"/>
  <c r="S37" i="1"/>
  <c r="D23" i="9"/>
  <c r="B24" i="9"/>
  <c r="F23" i="9"/>
  <c r="C23" i="9"/>
  <c r="E23" i="9"/>
  <c r="A884" i="9"/>
  <c r="K883" i="9"/>
  <c r="L883" i="9"/>
  <c r="AQ33" i="3" l="1"/>
  <c r="AV33" i="3"/>
  <c r="AW32" i="3"/>
  <c r="AA33" i="3"/>
  <c r="Z33" i="3" s="1"/>
  <c r="AF36" i="19"/>
  <c r="AH36" i="19"/>
  <c r="AK36" i="19" s="1"/>
  <c r="AI36" i="19"/>
  <c r="AE36" i="19"/>
  <c r="AB37" i="19"/>
  <c r="AI37" i="3"/>
  <c r="Z35" i="1"/>
  <c r="T36" i="1"/>
  <c r="AB35" i="1"/>
  <c r="U33" i="3"/>
  <c r="R36" i="1"/>
  <c r="S33" i="3"/>
  <c r="I23" i="9"/>
  <c r="P23" i="9" s="1"/>
  <c r="AF38" i="1"/>
  <c r="AG37" i="1"/>
  <c r="AA35" i="1"/>
  <c r="V33" i="3"/>
  <c r="AC35" i="1"/>
  <c r="U36" i="1"/>
  <c r="L26" i="6"/>
  <c r="Y28" i="6"/>
  <c r="C27" i="6"/>
  <c r="B28" i="6"/>
  <c r="I27" i="6"/>
  <c r="J27" i="6" s="1"/>
  <c r="K27" i="6" s="1"/>
  <c r="H27" i="6"/>
  <c r="D27" i="6"/>
  <c r="V1425" i="6"/>
  <c r="F24" i="9"/>
  <c r="D24" i="9"/>
  <c r="B25" i="9"/>
  <c r="E24" i="9"/>
  <c r="I24" i="9"/>
  <c r="C24" i="9"/>
  <c r="A1427" i="6"/>
  <c r="T1426" i="6"/>
  <c r="U1426" i="6"/>
  <c r="T35" i="3"/>
  <c r="S38" i="1"/>
  <c r="A885" i="9"/>
  <c r="L884" i="9"/>
  <c r="K884" i="9"/>
  <c r="X25" i="6"/>
  <c r="S26" i="6"/>
  <c r="AW33" i="3" l="1"/>
  <c r="AQ34" i="3"/>
  <c r="AV34" i="3"/>
  <c r="AA34" i="3"/>
  <c r="Z34" i="3" s="1"/>
  <c r="AF37" i="19"/>
  <c r="AH37" i="19"/>
  <c r="AK37" i="19" s="1"/>
  <c r="AE37" i="19"/>
  <c r="AI37" i="19"/>
  <c r="AB38" i="19"/>
  <c r="AI38" i="3"/>
  <c r="S34" i="3"/>
  <c r="R37" i="1"/>
  <c r="T37" i="1"/>
  <c r="U34" i="3"/>
  <c r="AB36" i="1"/>
  <c r="Z36" i="1"/>
  <c r="AF39" i="1"/>
  <c r="AG38" i="1"/>
  <c r="L27" i="6"/>
  <c r="P27" i="6" s="1"/>
  <c r="AA36" i="1"/>
  <c r="U37" i="1"/>
  <c r="AC36" i="1"/>
  <c r="V34" i="3"/>
  <c r="P26" i="6"/>
  <c r="I28" i="6"/>
  <c r="J28" i="6" s="1"/>
  <c r="K28" i="6" s="1"/>
  <c r="D28" i="6"/>
  <c r="H28" i="6"/>
  <c r="C28" i="6"/>
  <c r="Y29" i="6"/>
  <c r="B29" i="6"/>
  <c r="V1426" i="6"/>
  <c r="A886" i="9"/>
  <c r="L885" i="9"/>
  <c r="K885" i="9"/>
  <c r="A1428" i="6"/>
  <c r="U1427" i="6"/>
  <c r="T1427" i="6"/>
  <c r="X26" i="6"/>
  <c r="S27" i="6"/>
  <c r="T36" i="3"/>
  <c r="S39" i="1"/>
  <c r="F25" i="9"/>
  <c r="I25" i="9"/>
  <c r="P25" i="9" s="1"/>
  <c r="B26" i="9"/>
  <c r="C25" i="9"/>
  <c r="D25" i="9"/>
  <c r="E25" i="9"/>
  <c r="P24" i="9"/>
  <c r="AW34" i="3" l="1"/>
  <c r="AA35" i="3"/>
  <c r="Z35" i="3" s="1"/>
  <c r="AQ35" i="3"/>
  <c r="AV35" i="3"/>
  <c r="AE38" i="19"/>
  <c r="AH38" i="19"/>
  <c r="AK38" i="19" s="1"/>
  <c r="AI38" i="19"/>
  <c r="AF38" i="19"/>
  <c r="AB39" i="19"/>
  <c r="AI39" i="3"/>
  <c r="T38" i="1"/>
  <c r="U35" i="3"/>
  <c r="Z37" i="1"/>
  <c r="AB37" i="1"/>
  <c r="S35" i="3"/>
  <c r="R38" i="1"/>
  <c r="AF40" i="1"/>
  <c r="AG39" i="1"/>
  <c r="L28" i="6"/>
  <c r="P28" i="6" s="1"/>
  <c r="AC37" i="1"/>
  <c r="AA37" i="1"/>
  <c r="V35" i="3"/>
  <c r="U38" i="1"/>
  <c r="Y30" i="6"/>
  <c r="C29" i="6"/>
  <c r="H29" i="6"/>
  <c r="I29" i="6"/>
  <c r="J29" i="6" s="1"/>
  <c r="K29" i="6" s="1"/>
  <c r="D29" i="6"/>
  <c r="B30" i="6"/>
  <c r="V1427" i="6"/>
  <c r="X27" i="6"/>
  <c r="S28" i="6"/>
  <c r="D26" i="9"/>
  <c r="B27" i="9"/>
  <c r="E26" i="9"/>
  <c r="C26" i="9"/>
  <c r="F26" i="9"/>
  <c r="I26" i="9"/>
  <c r="P26" i="9" s="1"/>
  <c r="A887" i="9"/>
  <c r="K886" i="9"/>
  <c r="L886" i="9"/>
  <c r="T37" i="3"/>
  <c r="S40" i="1"/>
  <c r="A1429" i="6"/>
  <c r="U1428" i="6"/>
  <c r="T1428" i="6"/>
  <c r="AW35" i="3" l="1"/>
  <c r="AA36" i="3"/>
  <c r="Z36" i="3" s="1"/>
  <c r="AQ36" i="3"/>
  <c r="AV36" i="3"/>
  <c r="AE39" i="19"/>
  <c r="AH39" i="19"/>
  <c r="AK39" i="19" s="1"/>
  <c r="AF39" i="19"/>
  <c r="AI39" i="19"/>
  <c r="AB40" i="19"/>
  <c r="AI40" i="3"/>
  <c r="R39" i="1"/>
  <c r="S36" i="3"/>
  <c r="Z38" i="1"/>
  <c r="U36" i="3"/>
  <c r="AB38" i="1"/>
  <c r="T39" i="1"/>
  <c r="AF41" i="1"/>
  <c r="AG40" i="1"/>
  <c r="L29" i="6"/>
  <c r="P29" i="6" s="1"/>
  <c r="AC38" i="1"/>
  <c r="V36" i="3"/>
  <c r="AA38" i="1"/>
  <c r="U39" i="1"/>
  <c r="Y31" i="6"/>
  <c r="H30" i="6"/>
  <c r="C30" i="6"/>
  <c r="B31" i="6"/>
  <c r="D30" i="6"/>
  <c r="I30" i="6"/>
  <c r="J30" i="6" s="1"/>
  <c r="K30" i="6" s="1"/>
  <c r="V1428" i="6"/>
  <c r="I27" i="9"/>
  <c r="B28" i="9"/>
  <c r="F27" i="9"/>
  <c r="E27" i="9"/>
  <c r="C27" i="9"/>
  <c r="D27" i="9"/>
  <c r="U1429" i="6"/>
  <c r="A1430" i="6"/>
  <c r="T1429" i="6"/>
  <c r="X28" i="6"/>
  <c r="S29" i="6"/>
  <c r="A888" i="9"/>
  <c r="K887" i="9"/>
  <c r="L887" i="9"/>
  <c r="T38" i="3"/>
  <c r="S41" i="1"/>
  <c r="AW36" i="3" l="1"/>
  <c r="AA37" i="3"/>
  <c r="Z37" i="3" s="1"/>
  <c r="AQ37" i="3"/>
  <c r="AV37" i="3"/>
  <c r="AI40" i="19"/>
  <c r="AH40" i="19"/>
  <c r="AK40" i="19" s="1"/>
  <c r="AF40" i="19"/>
  <c r="AE40" i="19"/>
  <c r="AB41" i="19"/>
  <c r="AI41" i="3"/>
  <c r="Z39" i="1"/>
  <c r="T40" i="1"/>
  <c r="U37" i="3"/>
  <c r="AB39" i="1"/>
  <c r="S37" i="3"/>
  <c r="R40" i="1"/>
  <c r="AF42" i="1"/>
  <c r="AG41" i="1"/>
  <c r="L30" i="6"/>
  <c r="P30" i="6" s="1"/>
  <c r="AC39" i="1"/>
  <c r="AA39" i="1"/>
  <c r="U40" i="1"/>
  <c r="V37" i="3"/>
  <c r="I31" i="6"/>
  <c r="J31" i="6" s="1"/>
  <c r="K31" i="6" s="1"/>
  <c r="C31" i="6"/>
  <c r="D31" i="6"/>
  <c r="H31" i="6"/>
  <c r="B32" i="6"/>
  <c r="Y32" i="6"/>
  <c r="V1429" i="6"/>
  <c r="B29" i="9"/>
  <c r="I28" i="9"/>
  <c r="F28" i="9"/>
  <c r="C28" i="9"/>
  <c r="D28" i="9"/>
  <c r="E28" i="9"/>
  <c r="A889" i="9"/>
  <c r="L888" i="9"/>
  <c r="K888" i="9"/>
  <c r="X29" i="6"/>
  <c r="S30" i="6"/>
  <c r="T1430" i="6"/>
  <c r="A1431" i="6"/>
  <c r="U1430" i="6"/>
  <c r="P27" i="9"/>
  <c r="T39" i="3"/>
  <c r="S42" i="1"/>
  <c r="AW37" i="3" l="1"/>
  <c r="AA38" i="3"/>
  <c r="Z38" i="3" s="1"/>
  <c r="AQ38" i="3"/>
  <c r="AV38" i="3"/>
  <c r="AE41" i="19"/>
  <c r="AH41" i="19"/>
  <c r="AK41" i="19" s="1"/>
  <c r="AI41" i="19"/>
  <c r="AF41" i="19"/>
  <c r="AB42" i="19"/>
  <c r="AI42" i="3"/>
  <c r="S38" i="3"/>
  <c r="R41" i="1"/>
  <c r="T41" i="1"/>
  <c r="AB40" i="1"/>
  <c r="Z40" i="1"/>
  <c r="U38" i="3"/>
  <c r="AF43" i="1"/>
  <c r="AG42" i="1"/>
  <c r="L31" i="6"/>
  <c r="P31" i="6" s="1"/>
  <c r="AC40" i="1"/>
  <c r="U41" i="1"/>
  <c r="V38" i="3"/>
  <c r="AA40" i="1"/>
  <c r="Y33" i="6"/>
  <c r="D32" i="6"/>
  <c r="I32" i="6"/>
  <c r="J32" i="6" s="1"/>
  <c r="K32" i="6" s="1"/>
  <c r="B33" i="6"/>
  <c r="H32" i="6"/>
  <c r="C32" i="6"/>
  <c r="V1430" i="6"/>
  <c r="A1432" i="6"/>
  <c r="U1431" i="6"/>
  <c r="T1431" i="6"/>
  <c r="A890" i="9"/>
  <c r="K889" i="9"/>
  <c r="L889" i="9"/>
  <c r="X30" i="6"/>
  <c r="S31" i="6"/>
  <c r="I29" i="9"/>
  <c r="P29" i="9" s="1"/>
  <c r="C29" i="9"/>
  <c r="E29" i="9"/>
  <c r="B30" i="9"/>
  <c r="D29" i="9"/>
  <c r="F29" i="9"/>
  <c r="P28" i="9"/>
  <c r="S43" i="1"/>
  <c r="T40" i="3"/>
  <c r="AW38" i="3" l="1"/>
  <c r="AA39" i="3"/>
  <c r="Z39" i="3" s="1"/>
  <c r="AQ39" i="3"/>
  <c r="AV39" i="3"/>
  <c r="AE42" i="19"/>
  <c r="AH42" i="19"/>
  <c r="AK42" i="19" s="1"/>
  <c r="AF42" i="19"/>
  <c r="AI42" i="19"/>
  <c r="AB43" i="19"/>
  <c r="AI43" i="3"/>
  <c r="AB41" i="1"/>
  <c r="Z41" i="1"/>
  <c r="U39" i="3"/>
  <c r="T42" i="1"/>
  <c r="S39" i="3"/>
  <c r="R42" i="1"/>
  <c r="AF44" i="1"/>
  <c r="AG43" i="1"/>
  <c r="L32" i="6"/>
  <c r="V39" i="3"/>
  <c r="AA41" i="1"/>
  <c r="AC41" i="1"/>
  <c r="U42" i="1"/>
  <c r="C33" i="6"/>
  <c r="I33" i="6"/>
  <c r="J33" i="6" s="1"/>
  <c r="K33" i="6" s="1"/>
  <c r="B34" i="6"/>
  <c r="Y34" i="6"/>
  <c r="D33" i="6"/>
  <c r="H33" i="6"/>
  <c r="V1431" i="6"/>
  <c r="T1432" i="6"/>
  <c r="A1433" i="6"/>
  <c r="U1432" i="6"/>
  <c r="A891" i="9"/>
  <c r="K890" i="9"/>
  <c r="L890" i="9"/>
  <c r="T41" i="3"/>
  <c r="S44" i="1"/>
  <c r="F30" i="9"/>
  <c r="C30" i="9"/>
  <c r="E30" i="9"/>
  <c r="I30" i="9"/>
  <c r="P30" i="9" s="1"/>
  <c r="B31" i="9"/>
  <c r="D30" i="9"/>
  <c r="X31" i="6"/>
  <c r="S32" i="6"/>
  <c r="AW39" i="3" l="1"/>
  <c r="AA40" i="3"/>
  <c r="Z40" i="3" s="1"/>
  <c r="AQ40" i="3"/>
  <c r="AV40" i="3"/>
  <c r="AE43" i="19"/>
  <c r="AI43" i="19"/>
  <c r="AH43" i="19"/>
  <c r="AK43" i="19" s="1"/>
  <c r="AF43" i="19"/>
  <c r="AB44" i="19"/>
  <c r="AI44" i="3"/>
  <c r="R43" i="1"/>
  <c r="S40" i="3"/>
  <c r="Z42" i="1"/>
  <c r="T43" i="1"/>
  <c r="AB42" i="1"/>
  <c r="U40" i="3"/>
  <c r="AF45" i="1"/>
  <c r="AG44" i="1"/>
  <c r="L33" i="6"/>
  <c r="P33" i="6" s="1"/>
  <c r="P32" i="6"/>
  <c r="V40" i="3"/>
  <c r="AC42" i="1"/>
  <c r="U43" i="1"/>
  <c r="AA42" i="1"/>
  <c r="C34" i="6"/>
  <c r="D34" i="6"/>
  <c r="I34" i="6"/>
  <c r="J34" i="6" s="1"/>
  <c r="K34" i="6" s="1"/>
  <c r="Y35" i="6"/>
  <c r="B35" i="6"/>
  <c r="H34" i="6"/>
  <c r="V1432" i="6"/>
  <c r="X32" i="6"/>
  <c r="S33" i="6"/>
  <c r="T1433" i="6"/>
  <c r="U1433" i="6"/>
  <c r="A1434" i="6"/>
  <c r="S45" i="1"/>
  <c r="T42" i="3"/>
  <c r="B32" i="9"/>
  <c r="I31" i="9"/>
  <c r="P31" i="9" s="1"/>
  <c r="C31" i="9"/>
  <c r="D31" i="9"/>
  <c r="F31" i="9"/>
  <c r="E31" i="9"/>
  <c r="A892" i="9"/>
  <c r="K891" i="9"/>
  <c r="L891" i="9"/>
  <c r="AW40" i="3" l="1"/>
  <c r="AA41" i="3"/>
  <c r="Z41" i="3" s="1"/>
  <c r="AV41" i="3"/>
  <c r="AQ41" i="3"/>
  <c r="AH44" i="19"/>
  <c r="AK44" i="19" s="1"/>
  <c r="AF44" i="19"/>
  <c r="AI44" i="19"/>
  <c r="AE44" i="19"/>
  <c r="AB45" i="19"/>
  <c r="AI45" i="3"/>
  <c r="U41" i="3"/>
  <c r="Z43" i="1"/>
  <c r="T44" i="1"/>
  <c r="AB43" i="1"/>
  <c r="R44" i="1"/>
  <c r="S41" i="3"/>
  <c r="AF46" i="1"/>
  <c r="AG45" i="1"/>
  <c r="L34" i="6"/>
  <c r="P34" i="6" s="1"/>
  <c r="V41" i="3"/>
  <c r="AC43" i="1"/>
  <c r="U44" i="1"/>
  <c r="AA43" i="1"/>
  <c r="Y36" i="6"/>
  <c r="B36" i="6"/>
  <c r="H35" i="6"/>
  <c r="I35" i="6"/>
  <c r="J35" i="6" s="1"/>
  <c r="K35" i="6" s="1"/>
  <c r="C35" i="6"/>
  <c r="D35" i="6"/>
  <c r="V1433" i="6"/>
  <c r="A1435" i="6"/>
  <c r="T1434" i="6"/>
  <c r="U1434" i="6"/>
  <c r="B33" i="9"/>
  <c r="E32" i="9"/>
  <c r="F32" i="9"/>
  <c r="D32" i="9"/>
  <c r="C32" i="9"/>
  <c r="I32" i="9"/>
  <c r="S46" i="1"/>
  <c r="T43" i="3"/>
  <c r="X33" i="6"/>
  <c r="S34" i="6"/>
  <c r="A893" i="9"/>
  <c r="L892" i="9"/>
  <c r="K892" i="9"/>
  <c r="AW41" i="3" l="1"/>
  <c r="AQ42" i="3"/>
  <c r="AV42" i="3"/>
  <c r="AA42" i="3"/>
  <c r="Z42" i="3" s="1"/>
  <c r="AI45" i="19"/>
  <c r="AF45" i="19"/>
  <c r="AH45" i="19"/>
  <c r="AK45" i="19" s="1"/>
  <c r="AE45" i="19"/>
  <c r="AB46" i="19"/>
  <c r="AI46" i="3"/>
  <c r="S42" i="3"/>
  <c r="R45" i="1"/>
  <c r="AB44" i="1"/>
  <c r="T45" i="1"/>
  <c r="U42" i="3"/>
  <c r="Z44" i="1"/>
  <c r="AF47" i="1"/>
  <c r="AG46" i="1"/>
  <c r="L35" i="6"/>
  <c r="P35" i="6" s="1"/>
  <c r="U45" i="1"/>
  <c r="AC44" i="1"/>
  <c r="V42" i="3"/>
  <c r="AA44" i="1"/>
  <c r="C36" i="6"/>
  <c r="B37" i="6"/>
  <c r="Y37" i="6"/>
  <c r="D36" i="6"/>
  <c r="H36" i="6"/>
  <c r="I36" i="6"/>
  <c r="J36" i="6" s="1"/>
  <c r="K36" i="6" s="1"/>
  <c r="V1434" i="6"/>
  <c r="A894" i="9"/>
  <c r="L893" i="9"/>
  <c r="K893" i="9"/>
  <c r="S47" i="1"/>
  <c r="T44" i="3"/>
  <c r="X34" i="6"/>
  <c r="S35" i="6"/>
  <c r="I33" i="9"/>
  <c r="P33" i="9" s="1"/>
  <c r="B34" i="9"/>
  <c r="D33" i="9"/>
  <c r="F33" i="9"/>
  <c r="E33" i="9"/>
  <c r="C33" i="9"/>
  <c r="P32" i="9"/>
  <c r="U1435" i="6"/>
  <c r="T1435" i="6"/>
  <c r="A1436" i="6"/>
  <c r="AW42" i="3" l="1"/>
  <c r="AQ43" i="3"/>
  <c r="AV43" i="3"/>
  <c r="AA43" i="3"/>
  <c r="Z43" i="3" s="1"/>
  <c r="AI46" i="19"/>
  <c r="AH46" i="19"/>
  <c r="AK46" i="19" s="1"/>
  <c r="AE46" i="19"/>
  <c r="AF46" i="19"/>
  <c r="AB47" i="19"/>
  <c r="AI47" i="3"/>
  <c r="Z45" i="1"/>
  <c r="AB45" i="1"/>
  <c r="T46" i="1"/>
  <c r="U43" i="3"/>
  <c r="R46" i="1"/>
  <c r="S43" i="3"/>
  <c r="AF48" i="1"/>
  <c r="AG47" i="1"/>
  <c r="L36" i="6"/>
  <c r="P36" i="6" s="1"/>
  <c r="AC45" i="1"/>
  <c r="U46" i="1"/>
  <c r="AA45" i="1"/>
  <c r="V43" i="3"/>
  <c r="I37" i="6"/>
  <c r="J37" i="6" s="1"/>
  <c r="K37" i="6" s="1"/>
  <c r="H37" i="6"/>
  <c r="C37" i="6"/>
  <c r="D37" i="6"/>
  <c r="B38" i="6"/>
  <c r="Y38" i="6"/>
  <c r="V1435" i="6"/>
  <c r="X35" i="6"/>
  <c r="S36" i="6"/>
  <c r="T45" i="3"/>
  <c r="S48" i="1"/>
  <c r="C34" i="9"/>
  <c r="B35" i="9"/>
  <c r="E34" i="9"/>
  <c r="D34" i="9"/>
  <c r="F34" i="9"/>
  <c r="I34" i="9"/>
  <c r="P34" i="9" s="1"/>
  <c r="A895" i="9"/>
  <c r="L894" i="9"/>
  <c r="K894" i="9"/>
  <c r="A1437" i="6"/>
  <c r="T1436" i="6"/>
  <c r="U1436" i="6"/>
  <c r="AW43" i="3" l="1"/>
  <c r="AQ44" i="3"/>
  <c r="AV44" i="3"/>
  <c r="AA44" i="3"/>
  <c r="Z44" i="3" s="1"/>
  <c r="AH47" i="19"/>
  <c r="AK47" i="19" s="1"/>
  <c r="AF47" i="19"/>
  <c r="AE47" i="19"/>
  <c r="AI47" i="19"/>
  <c r="AB48" i="19"/>
  <c r="AI48" i="3"/>
  <c r="S44" i="3"/>
  <c r="R47" i="1"/>
  <c r="Z46" i="1"/>
  <c r="T47" i="1"/>
  <c r="AB46" i="1"/>
  <c r="U44" i="3"/>
  <c r="AF49" i="1"/>
  <c r="AG48" i="1"/>
  <c r="L37" i="6"/>
  <c r="P37" i="6" s="1"/>
  <c r="AC46" i="1"/>
  <c r="U47" i="1"/>
  <c r="AA46" i="1"/>
  <c r="V44" i="3"/>
  <c r="D38" i="6"/>
  <c r="I38" i="6"/>
  <c r="J38" i="6" s="1"/>
  <c r="K38" i="6" s="1"/>
  <c r="Y39" i="6"/>
  <c r="B39" i="6"/>
  <c r="C38" i="6"/>
  <c r="H38" i="6"/>
  <c r="V1436" i="6"/>
  <c r="B36" i="9"/>
  <c r="E35" i="9"/>
  <c r="D35" i="9"/>
  <c r="F35" i="9"/>
  <c r="C35" i="9"/>
  <c r="I35" i="9"/>
  <c r="A1438" i="6"/>
  <c r="T1437" i="6"/>
  <c r="U1437" i="6"/>
  <c r="S49" i="1"/>
  <c r="T46" i="3"/>
  <c r="A896" i="9"/>
  <c r="L895" i="9"/>
  <c r="K895" i="9"/>
  <c r="X36" i="6"/>
  <c r="S37" i="6"/>
  <c r="AW44" i="3" l="1"/>
  <c r="AA45" i="3"/>
  <c r="Z45" i="3" s="1"/>
  <c r="AQ45" i="3"/>
  <c r="AV45" i="3"/>
  <c r="AF48" i="19"/>
  <c r="AE48" i="19"/>
  <c r="AH48" i="19"/>
  <c r="AK48" i="19" s="1"/>
  <c r="AI48" i="19"/>
  <c r="AB49" i="19"/>
  <c r="AI49" i="3"/>
  <c r="AB47" i="1"/>
  <c r="Z47" i="1"/>
  <c r="T48" i="1"/>
  <c r="U45" i="3"/>
  <c r="R48" i="1"/>
  <c r="S45" i="3"/>
  <c r="AF50" i="1"/>
  <c r="AG49" i="1"/>
  <c r="L38" i="6"/>
  <c r="P38" i="6" s="1"/>
  <c r="AA47" i="1"/>
  <c r="V45" i="3"/>
  <c r="AC47" i="1"/>
  <c r="U48" i="1"/>
  <c r="I39" i="6"/>
  <c r="J39" i="6" s="1"/>
  <c r="K39" i="6" s="1"/>
  <c r="B40" i="6"/>
  <c r="C39" i="6"/>
  <c r="H39" i="6"/>
  <c r="D39" i="6"/>
  <c r="Y40" i="6"/>
  <c r="V1437" i="6"/>
  <c r="A1439" i="6"/>
  <c r="T1438" i="6"/>
  <c r="U1438" i="6"/>
  <c r="F36" i="9"/>
  <c r="I36" i="9"/>
  <c r="E36" i="9"/>
  <c r="B37" i="9"/>
  <c r="D36" i="9"/>
  <c r="C36" i="9"/>
  <c r="A897" i="9"/>
  <c r="K896" i="9"/>
  <c r="L896" i="9"/>
  <c r="T47" i="3"/>
  <c r="S50" i="1"/>
  <c r="P35" i="9"/>
  <c r="X37" i="6"/>
  <c r="S38" i="6"/>
  <c r="AW45" i="3" l="1"/>
  <c r="AQ46" i="3"/>
  <c r="AV46" i="3"/>
  <c r="AA46" i="3"/>
  <c r="Z46" i="3" s="1"/>
  <c r="AH49" i="19"/>
  <c r="AK49" i="19" s="1"/>
  <c r="AE49" i="19"/>
  <c r="AI49" i="19"/>
  <c r="AF49" i="19"/>
  <c r="AB50" i="19"/>
  <c r="AI50" i="3"/>
  <c r="S46" i="3"/>
  <c r="R49" i="1"/>
  <c r="Z48" i="1"/>
  <c r="U46" i="3"/>
  <c r="T49" i="1"/>
  <c r="AB48" i="1"/>
  <c r="AF51" i="1"/>
  <c r="AG50" i="1"/>
  <c r="L39" i="6"/>
  <c r="P39" i="6" s="1"/>
  <c r="AC48" i="1"/>
  <c r="U49" i="1"/>
  <c r="AA48" i="1"/>
  <c r="V46" i="3"/>
  <c r="D40" i="6"/>
  <c r="C40" i="6"/>
  <c r="Y41" i="6"/>
  <c r="B41" i="6"/>
  <c r="I40" i="6"/>
  <c r="J40" i="6" s="1"/>
  <c r="K40" i="6" s="1"/>
  <c r="H40" i="6"/>
  <c r="V1438" i="6"/>
  <c r="C37" i="9"/>
  <c r="D37" i="9"/>
  <c r="E37" i="9"/>
  <c r="F37" i="9"/>
  <c r="I37" i="9"/>
  <c r="P37" i="9" s="1"/>
  <c r="B38" i="9"/>
  <c r="P36" i="9"/>
  <c r="X38" i="6"/>
  <c r="S39" i="6"/>
  <c r="A898" i="9"/>
  <c r="K897" i="9"/>
  <c r="L897" i="9"/>
  <c r="T1439" i="6"/>
  <c r="A1440" i="6"/>
  <c r="U1439" i="6"/>
  <c r="S51" i="1"/>
  <c r="T48" i="3"/>
  <c r="AW46" i="3" l="1"/>
  <c r="AA47" i="3"/>
  <c r="Z47" i="3" s="1"/>
  <c r="AQ47" i="3"/>
  <c r="AV47" i="3"/>
  <c r="AH50" i="19"/>
  <c r="AK50" i="19" s="1"/>
  <c r="AI50" i="19"/>
  <c r="AF50" i="19"/>
  <c r="AE50" i="19"/>
  <c r="AB51" i="19"/>
  <c r="AI51" i="3"/>
  <c r="T50" i="1"/>
  <c r="U47" i="3"/>
  <c r="Z49" i="1"/>
  <c r="AB49" i="1"/>
  <c r="S47" i="3"/>
  <c r="R50" i="1"/>
  <c r="AF52" i="1"/>
  <c r="AF53" i="1" s="1"/>
  <c r="AG51" i="1"/>
  <c r="L40" i="6"/>
  <c r="P40" i="6" s="1"/>
  <c r="AC49" i="1"/>
  <c r="AA49" i="1"/>
  <c r="V47" i="3"/>
  <c r="U50" i="1"/>
  <c r="I41" i="6"/>
  <c r="J41" i="6" s="1"/>
  <c r="K41" i="6" s="1"/>
  <c r="Y42" i="6"/>
  <c r="D41" i="6"/>
  <c r="H41" i="6"/>
  <c r="B42" i="6"/>
  <c r="C41" i="6"/>
  <c r="V1439" i="6"/>
  <c r="A899" i="9"/>
  <c r="K898" i="9"/>
  <c r="L898" i="9"/>
  <c r="X39" i="6"/>
  <c r="S40" i="6"/>
  <c r="T49" i="3"/>
  <c r="S52" i="1"/>
  <c r="E38" i="9"/>
  <c r="I38" i="9"/>
  <c r="P38" i="9" s="1"/>
  <c r="D38" i="9"/>
  <c r="C38" i="9"/>
  <c r="F38" i="9"/>
  <c r="B39" i="9"/>
  <c r="U1440" i="6"/>
  <c r="T1440" i="6"/>
  <c r="A1441" i="6"/>
  <c r="AW47" i="3" l="1"/>
  <c r="AQ48" i="3"/>
  <c r="AV48" i="3"/>
  <c r="AA48" i="3"/>
  <c r="Z48" i="3" s="1"/>
  <c r="AE51" i="19"/>
  <c r="AF51" i="19"/>
  <c r="AH51" i="19"/>
  <c r="AK51" i="19" s="1"/>
  <c r="AI51" i="19"/>
  <c r="AB52" i="19"/>
  <c r="AI52" i="3"/>
  <c r="S48" i="3"/>
  <c r="R51" i="1"/>
  <c r="Z50" i="1"/>
  <c r="T51" i="1"/>
  <c r="U48" i="3"/>
  <c r="AB50" i="1"/>
  <c r="AG52" i="1"/>
  <c r="L41" i="6"/>
  <c r="P41" i="6" s="1"/>
  <c r="AC50" i="1"/>
  <c r="AA50" i="1"/>
  <c r="V48" i="3"/>
  <c r="U51" i="1"/>
  <c r="H42" i="6"/>
  <c r="C42" i="6"/>
  <c r="I42" i="6"/>
  <c r="J42" i="6" s="1"/>
  <c r="K42" i="6" s="1"/>
  <c r="B43" i="6"/>
  <c r="D42" i="6"/>
  <c r="Y43" i="6"/>
  <c r="V1440" i="6"/>
  <c r="X40" i="6"/>
  <c r="S41" i="6"/>
  <c r="C39" i="9"/>
  <c r="I39" i="9"/>
  <c r="E39" i="9"/>
  <c r="B40" i="9"/>
  <c r="F39" i="9"/>
  <c r="D39" i="9"/>
  <c r="T50" i="3"/>
  <c r="S53" i="1"/>
  <c r="U1441" i="6"/>
  <c r="T1441" i="6"/>
  <c r="A1442" i="6"/>
  <c r="A900" i="9"/>
  <c r="L899" i="9"/>
  <c r="K899" i="9"/>
  <c r="AW48" i="3" l="1"/>
  <c r="AQ49" i="3"/>
  <c r="AV49" i="3"/>
  <c r="AA49" i="3"/>
  <c r="Z49" i="3" s="1"/>
  <c r="AI52" i="19"/>
  <c r="AE52" i="19"/>
  <c r="AH52" i="19"/>
  <c r="AK52" i="19" s="1"/>
  <c r="AF52" i="19"/>
  <c r="AB53" i="19"/>
  <c r="AI53" i="3"/>
  <c r="U49" i="3"/>
  <c r="AB51" i="1"/>
  <c r="Z51" i="1"/>
  <c r="T52" i="1"/>
  <c r="S49" i="3"/>
  <c r="R52" i="1"/>
  <c r="AF54" i="1"/>
  <c r="AI55" i="1" s="1"/>
  <c r="AG53" i="1"/>
  <c r="L42" i="6"/>
  <c r="P42" i="6" s="1"/>
  <c r="V49" i="3"/>
  <c r="AC51" i="1"/>
  <c r="AA51" i="1"/>
  <c r="U52" i="1"/>
  <c r="C43" i="6"/>
  <c r="H43" i="6"/>
  <c r="B44" i="6"/>
  <c r="Y44" i="6"/>
  <c r="D43" i="6"/>
  <c r="I43" i="6"/>
  <c r="J43" i="6" s="1"/>
  <c r="K43" i="6" s="1"/>
  <c r="V1441" i="6"/>
  <c r="X41" i="6"/>
  <c r="S42" i="6"/>
  <c r="A1443" i="6"/>
  <c r="T1442" i="6"/>
  <c r="U1442" i="6"/>
  <c r="C40" i="9"/>
  <c r="I40" i="9"/>
  <c r="P40" i="9" s="1"/>
  <c r="E40" i="9"/>
  <c r="B41" i="9"/>
  <c r="D40" i="9"/>
  <c r="F40" i="9"/>
  <c r="T51" i="3"/>
  <c r="S54" i="1"/>
  <c r="A901" i="9"/>
  <c r="K900" i="9"/>
  <c r="L900" i="9"/>
  <c r="P39" i="9"/>
  <c r="AW49" i="3" l="1"/>
  <c r="AQ50" i="3"/>
  <c r="AV50" i="3"/>
  <c r="AA50" i="3"/>
  <c r="Z50" i="3" s="1"/>
  <c r="AH53" i="19"/>
  <c r="AK53" i="19" s="1"/>
  <c r="AF53" i="19"/>
  <c r="AI53" i="19"/>
  <c r="AE53" i="19"/>
  <c r="AB54" i="19"/>
  <c r="AI54" i="3"/>
  <c r="Z52" i="1"/>
  <c r="AB52" i="1"/>
  <c r="U50" i="3"/>
  <c r="T53" i="1"/>
  <c r="S50" i="3"/>
  <c r="R53" i="1"/>
  <c r="AF55" i="1"/>
  <c r="AI56" i="1" s="1"/>
  <c r="AG54" i="1"/>
  <c r="L43" i="6"/>
  <c r="P43" i="6" s="1"/>
  <c r="AC52" i="1"/>
  <c r="U53" i="1"/>
  <c r="AA52" i="1"/>
  <c r="V50" i="3"/>
  <c r="H44" i="6"/>
  <c r="I44" i="6"/>
  <c r="J44" i="6" s="1"/>
  <c r="K44" i="6" s="1"/>
  <c r="Y45" i="6"/>
  <c r="B45" i="6"/>
  <c r="D44" i="6"/>
  <c r="C44" i="6"/>
  <c r="V1442" i="6"/>
  <c r="S55" i="1"/>
  <c r="T52" i="3"/>
  <c r="A902" i="9"/>
  <c r="L901" i="9"/>
  <c r="K901" i="9"/>
  <c r="A1444" i="6"/>
  <c r="U1443" i="6"/>
  <c r="T1443" i="6"/>
  <c r="E41" i="9"/>
  <c r="B2" i="9"/>
  <c r="D41" i="9"/>
  <c r="F41" i="9"/>
  <c r="C41" i="9"/>
  <c r="B42" i="9"/>
  <c r="I41" i="9"/>
  <c r="X42" i="6"/>
  <c r="S43" i="6"/>
  <c r="AW50" i="3" l="1"/>
  <c r="AQ51" i="3"/>
  <c r="AV51" i="3"/>
  <c r="AA51" i="3"/>
  <c r="Z51" i="3" s="1"/>
  <c r="AH54" i="19"/>
  <c r="AK54" i="19" s="1"/>
  <c r="AE54" i="19"/>
  <c r="AI54" i="19"/>
  <c r="AF54" i="19"/>
  <c r="AB55" i="19"/>
  <c r="AI55" i="3"/>
  <c r="S51" i="3"/>
  <c r="R54" i="1"/>
  <c r="Z53" i="1"/>
  <c r="AB53" i="1"/>
  <c r="U51" i="3"/>
  <c r="T54" i="1"/>
  <c r="AF56" i="1"/>
  <c r="AI57" i="1" s="1"/>
  <c r="AG55" i="1"/>
  <c r="L44" i="6"/>
  <c r="P44" i="6" s="1"/>
  <c r="U54" i="1"/>
  <c r="AC53" i="1"/>
  <c r="AA53" i="1"/>
  <c r="V51" i="3"/>
  <c r="C45" i="6"/>
  <c r="D45" i="6"/>
  <c r="B46" i="6"/>
  <c r="H45" i="6"/>
  <c r="I45" i="6"/>
  <c r="J45" i="6" s="1"/>
  <c r="K45" i="6" s="1"/>
  <c r="Y46" i="6"/>
  <c r="V1443" i="6"/>
  <c r="A1445" i="6"/>
  <c r="T1444" i="6"/>
  <c r="U1444" i="6"/>
  <c r="E42" i="9"/>
  <c r="D42" i="9"/>
  <c r="F42" i="9"/>
  <c r="C42" i="9"/>
  <c r="I42" i="9"/>
  <c r="B43" i="9"/>
  <c r="A903" i="9"/>
  <c r="K902" i="9"/>
  <c r="L902" i="9"/>
  <c r="S56" i="1"/>
  <c r="T53" i="3"/>
  <c r="X43" i="6"/>
  <c r="S44" i="6"/>
  <c r="P41" i="9"/>
  <c r="AW51" i="3" l="1"/>
  <c r="AA52" i="3"/>
  <c r="Z52" i="3" s="1"/>
  <c r="AQ52" i="3"/>
  <c r="AV52" i="3"/>
  <c r="AF55" i="19"/>
  <c r="AI55" i="19"/>
  <c r="AE55" i="19"/>
  <c r="AH55" i="19"/>
  <c r="AK55" i="19" s="1"/>
  <c r="AB56" i="19"/>
  <c r="AI56" i="3"/>
  <c r="T55" i="1"/>
  <c r="U52" i="3"/>
  <c r="AB54" i="1"/>
  <c r="Z54" i="1"/>
  <c r="S52" i="3"/>
  <c r="R55" i="1"/>
  <c r="AF57" i="1"/>
  <c r="AI58" i="1" s="1"/>
  <c r="AG56" i="1"/>
  <c r="L45" i="6"/>
  <c r="P45" i="6" s="1"/>
  <c r="U55" i="1"/>
  <c r="AA54" i="1"/>
  <c r="V52" i="3"/>
  <c r="AC54" i="1"/>
  <c r="C46" i="6"/>
  <c r="B47" i="6"/>
  <c r="I46" i="6"/>
  <c r="J46" i="6" s="1"/>
  <c r="K46" i="6" s="1"/>
  <c r="H46" i="6"/>
  <c r="D46" i="6"/>
  <c r="Y47" i="6"/>
  <c r="V1444" i="6"/>
  <c r="X44" i="6"/>
  <c r="S45" i="6"/>
  <c r="S57" i="1"/>
  <c r="T54" i="3"/>
  <c r="A904" i="9"/>
  <c r="L903" i="9"/>
  <c r="K903" i="9"/>
  <c r="A1446" i="6"/>
  <c r="U1445" i="6"/>
  <c r="T1445" i="6"/>
  <c r="P42" i="9"/>
  <c r="I43" i="9"/>
  <c r="P43" i="9" s="1"/>
  <c r="D43" i="9"/>
  <c r="C43" i="9"/>
  <c r="E43" i="9"/>
  <c r="F43" i="9"/>
  <c r="B44" i="9"/>
  <c r="AW52" i="3" l="1"/>
  <c r="AA53" i="3"/>
  <c r="Z53" i="3" s="1"/>
  <c r="AQ53" i="3"/>
  <c r="AV53" i="3"/>
  <c r="AH56" i="19"/>
  <c r="AK56" i="19" s="1"/>
  <c r="AE56" i="19"/>
  <c r="AI56" i="19"/>
  <c r="AF56" i="19"/>
  <c r="AB57" i="19"/>
  <c r="AI57" i="3"/>
  <c r="R56" i="1"/>
  <c r="S53" i="3"/>
  <c r="T56" i="1"/>
  <c r="U53" i="3"/>
  <c r="AB55" i="1"/>
  <c r="Z55" i="1"/>
  <c r="AF58" i="1"/>
  <c r="AI59" i="1" s="1"/>
  <c r="AG57" i="1"/>
  <c r="L46" i="6"/>
  <c r="P46" i="6" s="1"/>
  <c r="U56" i="1"/>
  <c r="AC55" i="1"/>
  <c r="AA55" i="1"/>
  <c r="V53" i="3"/>
  <c r="Y48" i="6"/>
  <c r="I47" i="6"/>
  <c r="J47" i="6" s="1"/>
  <c r="K47" i="6" s="1"/>
  <c r="D47" i="6"/>
  <c r="C47" i="6"/>
  <c r="B48" i="6"/>
  <c r="H47" i="6"/>
  <c r="V1445" i="6"/>
  <c r="A905" i="9"/>
  <c r="K904" i="9"/>
  <c r="L904" i="9"/>
  <c r="U1446" i="6"/>
  <c r="T1446" i="6"/>
  <c r="A1447" i="6"/>
  <c r="S58" i="1"/>
  <c r="T55" i="3"/>
  <c r="X45" i="6"/>
  <c r="S46" i="6"/>
  <c r="C44" i="9"/>
  <c r="B45" i="9"/>
  <c r="I44" i="9"/>
  <c r="D44" i="9"/>
  <c r="F44" i="9"/>
  <c r="E44" i="9"/>
  <c r="AW53" i="3" l="1"/>
  <c r="AA54" i="3"/>
  <c r="Z54" i="3" s="1"/>
  <c r="AQ54" i="3"/>
  <c r="AV54" i="3"/>
  <c r="AI57" i="19"/>
  <c r="AF57" i="19"/>
  <c r="AE57" i="19"/>
  <c r="AH57" i="19"/>
  <c r="AK57" i="19" s="1"/>
  <c r="AB58" i="19"/>
  <c r="AI58" i="3"/>
  <c r="Z56" i="1"/>
  <c r="U54" i="3"/>
  <c r="T57" i="1"/>
  <c r="AB56" i="1"/>
  <c r="S54" i="3"/>
  <c r="R57" i="1"/>
  <c r="AF59" i="1"/>
  <c r="AI60" i="1" s="1"/>
  <c r="AG58" i="1"/>
  <c r="L47" i="6"/>
  <c r="P47" i="6" s="1"/>
  <c r="V54" i="3"/>
  <c r="AA56" i="1"/>
  <c r="AC56" i="1"/>
  <c r="U57" i="1"/>
  <c r="H48" i="6"/>
  <c r="D48" i="6"/>
  <c r="C48" i="6"/>
  <c r="Y49" i="6"/>
  <c r="B49" i="6"/>
  <c r="I48" i="6"/>
  <c r="J48" i="6" s="1"/>
  <c r="K48" i="6" s="1"/>
  <c r="V1446" i="6"/>
  <c r="S59" i="1"/>
  <c r="T56" i="3"/>
  <c r="A906" i="9"/>
  <c r="K905" i="9"/>
  <c r="L905" i="9"/>
  <c r="C45" i="9"/>
  <c r="E45" i="9"/>
  <c r="B46" i="9"/>
  <c r="I45" i="9"/>
  <c r="P45" i="9" s="1"/>
  <c r="D45" i="9"/>
  <c r="F45" i="9"/>
  <c r="T1447" i="6"/>
  <c r="A1448" i="6"/>
  <c r="U1447" i="6"/>
  <c r="X46" i="6"/>
  <c r="S47" i="6"/>
  <c r="P44" i="9"/>
  <c r="AW54" i="3" l="1"/>
  <c r="AA55" i="3"/>
  <c r="Z55" i="3" s="1"/>
  <c r="AQ55" i="3"/>
  <c r="AV55" i="3"/>
  <c r="AH58" i="19"/>
  <c r="AK58" i="19" s="1"/>
  <c r="AI58" i="19"/>
  <c r="AF58" i="19"/>
  <c r="AE58" i="19"/>
  <c r="AB59" i="19"/>
  <c r="AI59" i="3"/>
  <c r="L48" i="6"/>
  <c r="P48" i="6" s="1"/>
  <c r="R58" i="1"/>
  <c r="S55" i="3"/>
  <c r="AB57" i="1"/>
  <c r="U55" i="3"/>
  <c r="Z57" i="1"/>
  <c r="T58" i="1"/>
  <c r="AF60" i="1"/>
  <c r="AI61" i="1" s="1"/>
  <c r="AG59" i="1"/>
  <c r="V55" i="3"/>
  <c r="U58" i="1"/>
  <c r="AA57" i="1"/>
  <c r="AC57" i="1"/>
  <c r="B50" i="6"/>
  <c r="D49" i="6"/>
  <c r="H49" i="6"/>
  <c r="C49" i="6"/>
  <c r="I49" i="6"/>
  <c r="J49" i="6" s="1"/>
  <c r="K49" i="6" s="1"/>
  <c r="Y50" i="6"/>
  <c r="V1447" i="6"/>
  <c r="X47" i="6"/>
  <c r="S48" i="6"/>
  <c r="A907" i="9"/>
  <c r="L906" i="9"/>
  <c r="K906" i="9"/>
  <c r="T57" i="3"/>
  <c r="S60" i="1"/>
  <c r="A1449" i="6"/>
  <c r="T1448" i="6"/>
  <c r="U1448" i="6"/>
  <c r="B47" i="9"/>
  <c r="C46" i="9"/>
  <c r="D46" i="9"/>
  <c r="E46" i="9"/>
  <c r="I46" i="9"/>
  <c r="P46" i="9" s="1"/>
  <c r="F46" i="9"/>
  <c r="AW55" i="3" l="1"/>
  <c r="AA56" i="3"/>
  <c r="Z56" i="3" s="1"/>
  <c r="AQ56" i="3"/>
  <c r="AV56" i="3"/>
  <c r="AF59" i="19"/>
  <c r="AH59" i="19"/>
  <c r="AK59" i="19" s="1"/>
  <c r="AE59" i="19"/>
  <c r="AI59" i="19"/>
  <c r="AB60" i="19"/>
  <c r="AI60" i="3"/>
  <c r="U56" i="3"/>
  <c r="AB58" i="1"/>
  <c r="T59" i="1"/>
  <c r="Z58" i="1"/>
  <c r="S56" i="3"/>
  <c r="R59" i="1"/>
  <c r="AF61" i="1"/>
  <c r="AI62" i="1" s="1"/>
  <c r="AG60" i="1"/>
  <c r="L49" i="6"/>
  <c r="P49" i="6" s="1"/>
  <c r="V56" i="3"/>
  <c r="U59" i="1"/>
  <c r="AA58" i="1"/>
  <c r="AC58" i="1"/>
  <c r="D50" i="6"/>
  <c r="I50" i="6"/>
  <c r="J50" i="6" s="1"/>
  <c r="K50" i="6" s="1"/>
  <c r="B51" i="6"/>
  <c r="C50" i="6"/>
  <c r="H50" i="6"/>
  <c r="Y51" i="6"/>
  <c r="V1448" i="6"/>
  <c r="B48" i="9"/>
  <c r="D47" i="9"/>
  <c r="I47" i="9"/>
  <c r="E47" i="9"/>
  <c r="F47" i="9"/>
  <c r="C47" i="9"/>
  <c r="S61" i="1"/>
  <c r="T58" i="3"/>
  <c r="A1450" i="6"/>
  <c r="T1449" i="6"/>
  <c r="U1449" i="6"/>
  <c r="A908" i="9"/>
  <c r="L907" i="9"/>
  <c r="K907" i="9"/>
  <c r="X48" i="6"/>
  <c r="S49" i="6"/>
  <c r="AW56" i="3" l="1"/>
  <c r="AA57" i="3"/>
  <c r="Z57" i="3" s="1"/>
  <c r="AQ57" i="3"/>
  <c r="AV57" i="3"/>
  <c r="AF60" i="19"/>
  <c r="AH60" i="19"/>
  <c r="AK60" i="19" s="1"/>
  <c r="AI60" i="19"/>
  <c r="AE60" i="19"/>
  <c r="AB61" i="19"/>
  <c r="AI61" i="3"/>
  <c r="R60" i="1"/>
  <c r="S57" i="3"/>
  <c r="Z59" i="1"/>
  <c r="T60" i="1"/>
  <c r="AB59" i="1"/>
  <c r="U57" i="3"/>
  <c r="AF62" i="1"/>
  <c r="AI63" i="1" s="1"/>
  <c r="AG61" i="1"/>
  <c r="L50" i="6"/>
  <c r="P50" i="6" s="1"/>
  <c r="AA59" i="1"/>
  <c r="U60" i="1"/>
  <c r="AC59" i="1"/>
  <c r="V57" i="3"/>
  <c r="D51" i="6"/>
  <c r="Y52" i="6"/>
  <c r="I51" i="6"/>
  <c r="J51" i="6" s="1"/>
  <c r="K51" i="6" s="1"/>
  <c r="B52" i="6"/>
  <c r="C51" i="6"/>
  <c r="H51" i="6"/>
  <c r="V1449" i="6"/>
  <c r="T59" i="3"/>
  <c r="S62" i="1"/>
  <c r="T1450" i="6"/>
  <c r="U1450" i="6"/>
  <c r="A1451" i="6"/>
  <c r="E48" i="9"/>
  <c r="D48" i="9"/>
  <c r="I48" i="9"/>
  <c r="B49" i="9"/>
  <c r="C48" i="9"/>
  <c r="F48" i="9"/>
  <c r="X49" i="6"/>
  <c r="S50" i="6"/>
  <c r="A909" i="9"/>
  <c r="K908" i="9"/>
  <c r="L908" i="9"/>
  <c r="P47" i="9"/>
  <c r="AW57" i="3" l="1"/>
  <c r="AA58" i="3"/>
  <c r="Z58" i="3" s="1"/>
  <c r="AQ58" i="3"/>
  <c r="AV58" i="3"/>
  <c r="AW58" i="3" s="1"/>
  <c r="AF61" i="19"/>
  <c r="AE61" i="19"/>
  <c r="AH61" i="19"/>
  <c r="AK61" i="19" s="1"/>
  <c r="AI61" i="19"/>
  <c r="AB62" i="19"/>
  <c r="AI62" i="3"/>
  <c r="AB60" i="1"/>
  <c r="U58" i="3"/>
  <c r="T61" i="1"/>
  <c r="Z60" i="1"/>
  <c r="L51" i="6"/>
  <c r="P51" i="6" s="1"/>
  <c r="R61" i="1"/>
  <c r="S58" i="3"/>
  <c r="AF63" i="1"/>
  <c r="AI64" i="1" s="1"/>
  <c r="AG62" i="1"/>
  <c r="V58" i="3"/>
  <c r="AC60" i="1"/>
  <c r="AA60" i="1"/>
  <c r="U61" i="1"/>
  <c r="D52" i="6"/>
  <c r="B53" i="6"/>
  <c r="Y53" i="6"/>
  <c r="C52" i="6"/>
  <c r="I52" i="6"/>
  <c r="J52" i="6" s="1"/>
  <c r="K52" i="6" s="1"/>
  <c r="H52" i="6"/>
  <c r="V1450" i="6"/>
  <c r="X50" i="6"/>
  <c r="S51" i="6"/>
  <c r="A910" i="9"/>
  <c r="L909" i="9"/>
  <c r="K909" i="9"/>
  <c r="U1451" i="6"/>
  <c r="A1452" i="6"/>
  <c r="T1451" i="6"/>
  <c r="B50" i="9"/>
  <c r="D49" i="9"/>
  <c r="C49" i="9"/>
  <c r="F49" i="9"/>
  <c r="I49" i="9"/>
  <c r="P49" i="9" s="1"/>
  <c r="E49" i="9"/>
  <c r="P48" i="9"/>
  <c r="S63" i="1"/>
  <c r="T60" i="3"/>
  <c r="AA59" i="3" l="1"/>
  <c r="Z59" i="3" s="1"/>
  <c r="AQ59" i="3"/>
  <c r="AV59" i="3"/>
  <c r="AE62" i="19"/>
  <c r="AH62" i="19"/>
  <c r="AK62" i="19" s="1"/>
  <c r="AI62" i="19"/>
  <c r="AF62" i="19"/>
  <c r="AB63" i="19"/>
  <c r="AI63" i="3"/>
  <c r="R62" i="1"/>
  <c r="S59" i="3"/>
  <c r="U59" i="3"/>
  <c r="AB61" i="1"/>
  <c r="T62" i="1"/>
  <c r="Z61" i="1"/>
  <c r="AF64" i="1"/>
  <c r="AI65" i="1" s="1"/>
  <c r="AG63" i="1"/>
  <c r="L52" i="6"/>
  <c r="P52" i="6" s="1"/>
  <c r="V59" i="3"/>
  <c r="AA61" i="1"/>
  <c r="U62" i="1"/>
  <c r="AC61" i="1"/>
  <c r="Y54" i="6"/>
  <c r="H53" i="6"/>
  <c r="D53" i="6"/>
  <c r="I53" i="6"/>
  <c r="J53" i="6" s="1"/>
  <c r="K53" i="6" s="1"/>
  <c r="C53" i="6"/>
  <c r="B54" i="6"/>
  <c r="V1451" i="6"/>
  <c r="T1452" i="6"/>
  <c r="U1452" i="6"/>
  <c r="A1453" i="6"/>
  <c r="A911" i="9"/>
  <c r="L910" i="9"/>
  <c r="K910" i="9"/>
  <c r="S64" i="1"/>
  <c r="T61" i="3"/>
  <c r="X51" i="6"/>
  <c r="S52" i="6"/>
  <c r="B51" i="9"/>
  <c r="I50" i="9"/>
  <c r="C50" i="9"/>
  <c r="E50" i="9"/>
  <c r="F50" i="9"/>
  <c r="D50" i="9"/>
  <c r="AW59" i="3" l="1"/>
  <c r="AQ60" i="3"/>
  <c r="AV60" i="3"/>
  <c r="AA60" i="3"/>
  <c r="Z60" i="3" s="1"/>
  <c r="AF63" i="19"/>
  <c r="AE63" i="19"/>
  <c r="AI63" i="19"/>
  <c r="AH63" i="19"/>
  <c r="AK63" i="19" s="1"/>
  <c r="AB64" i="19"/>
  <c r="AI64" i="3"/>
  <c r="T63" i="1"/>
  <c r="Z62" i="1"/>
  <c r="AB62" i="1"/>
  <c r="U60" i="3"/>
  <c r="R63" i="1"/>
  <c r="S60" i="3"/>
  <c r="AF65" i="1"/>
  <c r="AI66" i="1" s="1"/>
  <c r="AG64" i="1"/>
  <c r="L53" i="6"/>
  <c r="P53" i="6" s="1"/>
  <c r="AA62" i="1"/>
  <c r="AC62" i="1"/>
  <c r="V60" i="3"/>
  <c r="U63" i="1"/>
  <c r="Y55" i="6"/>
  <c r="D54" i="6"/>
  <c r="C54" i="6"/>
  <c r="H54" i="6"/>
  <c r="B55" i="6"/>
  <c r="I54" i="6"/>
  <c r="J54" i="6" s="1"/>
  <c r="K54" i="6" s="1"/>
  <c r="V1452" i="6"/>
  <c r="X52" i="6"/>
  <c r="S53" i="6"/>
  <c r="T62" i="3"/>
  <c r="S65" i="1"/>
  <c r="A1454" i="6"/>
  <c r="U1453" i="6"/>
  <c r="T1453" i="6"/>
  <c r="A912" i="9"/>
  <c r="K911" i="9"/>
  <c r="L911" i="9"/>
  <c r="E51" i="9"/>
  <c r="B52" i="9"/>
  <c r="I51" i="9"/>
  <c r="F51" i="9"/>
  <c r="D51" i="9"/>
  <c r="C51" i="9"/>
  <c r="P50" i="9"/>
  <c r="AW60" i="3" l="1"/>
  <c r="AA61" i="3"/>
  <c r="Z61" i="3" s="1"/>
  <c r="AQ61" i="3"/>
  <c r="AV61" i="3"/>
  <c r="AW61" i="3" s="1"/>
  <c r="AI64" i="19"/>
  <c r="AF64" i="19"/>
  <c r="AE64" i="19"/>
  <c r="AH64" i="19"/>
  <c r="AK64" i="19" s="1"/>
  <c r="AB65" i="19"/>
  <c r="AI65" i="3"/>
  <c r="R64" i="1"/>
  <c r="S61" i="3"/>
  <c r="L54" i="6"/>
  <c r="P54" i="6" s="1"/>
  <c r="T64" i="1"/>
  <c r="Z63" i="1"/>
  <c r="AB63" i="1"/>
  <c r="U61" i="3"/>
  <c r="AF66" i="1"/>
  <c r="AI67" i="1" s="1"/>
  <c r="AG65" i="1"/>
  <c r="V61" i="3"/>
  <c r="U64" i="1"/>
  <c r="AC63" i="1"/>
  <c r="AA63" i="1"/>
  <c r="D55" i="6"/>
  <c r="L55" i="6"/>
  <c r="Y56" i="6"/>
  <c r="C55" i="6"/>
  <c r="H55" i="6"/>
  <c r="I55" i="6"/>
  <c r="J55" i="6" s="1"/>
  <c r="K55" i="6" s="1"/>
  <c r="B56" i="6"/>
  <c r="V1453" i="6"/>
  <c r="I52" i="9"/>
  <c r="P52" i="9" s="1"/>
  <c r="C52" i="9"/>
  <c r="F52" i="9"/>
  <c r="B53" i="9"/>
  <c r="D52" i="9"/>
  <c r="E52" i="9"/>
  <c r="U1454" i="6"/>
  <c r="T1454" i="6"/>
  <c r="A1455" i="6"/>
  <c r="S66" i="1"/>
  <c r="T63" i="3"/>
  <c r="X53" i="6"/>
  <c r="S54" i="6"/>
  <c r="A913" i="9"/>
  <c r="K912" i="9"/>
  <c r="L912" i="9"/>
  <c r="P51" i="9"/>
  <c r="AQ62" i="3" l="1"/>
  <c r="AV62" i="3"/>
  <c r="AA62" i="3"/>
  <c r="Z62" i="3" s="1"/>
  <c r="AI65" i="19"/>
  <c r="AH65" i="19"/>
  <c r="AK65" i="19" s="1"/>
  <c r="AE65" i="19"/>
  <c r="AF65" i="19"/>
  <c r="AB66" i="19"/>
  <c r="AI66" i="3"/>
  <c r="P55" i="6"/>
  <c r="U62" i="3"/>
  <c r="T65" i="1"/>
  <c r="Z64" i="1"/>
  <c r="AB64" i="1"/>
  <c r="S62" i="3"/>
  <c r="R65" i="1"/>
  <c r="AF67" i="1"/>
  <c r="AG66" i="1"/>
  <c r="V62" i="3"/>
  <c r="U65" i="1"/>
  <c r="AA64" i="1"/>
  <c r="AC64" i="1"/>
  <c r="H56" i="6"/>
  <c r="Y57" i="6"/>
  <c r="I56" i="6"/>
  <c r="J56" i="6" s="1"/>
  <c r="K56" i="6" s="1"/>
  <c r="L56" i="6"/>
  <c r="P56" i="6" s="1"/>
  <c r="C56" i="6"/>
  <c r="B57" i="6"/>
  <c r="D56" i="6"/>
  <c r="V1454" i="6"/>
  <c r="A1456" i="6"/>
  <c r="U1455" i="6"/>
  <c r="T1455" i="6"/>
  <c r="S67" i="1"/>
  <c r="T64" i="3"/>
  <c r="B54" i="9"/>
  <c r="D53" i="9"/>
  <c r="C53" i="9"/>
  <c r="F53" i="9"/>
  <c r="I53" i="9"/>
  <c r="E53" i="9"/>
  <c r="A914" i="9"/>
  <c r="L913" i="9"/>
  <c r="K913" i="9"/>
  <c r="X54" i="6"/>
  <c r="S55" i="6"/>
  <c r="AI68" i="1" l="1"/>
  <c r="AW62" i="3"/>
  <c r="AA63" i="3"/>
  <c r="Z63" i="3" s="1"/>
  <c r="AQ63" i="3"/>
  <c r="AV63" i="3"/>
  <c r="AE66" i="19"/>
  <c r="AI66" i="19"/>
  <c r="AF66" i="19"/>
  <c r="AH66" i="19"/>
  <c r="AK66" i="19" s="1"/>
  <c r="AB67" i="19"/>
  <c r="AI67" i="3"/>
  <c r="S63" i="3"/>
  <c r="R66" i="1"/>
  <c r="U63" i="3"/>
  <c r="T66" i="1"/>
  <c r="AB65" i="1"/>
  <c r="Z65" i="1"/>
  <c r="AF68" i="1"/>
  <c r="AG67" i="1"/>
  <c r="V63" i="3"/>
  <c r="AA65" i="1"/>
  <c r="AC65" i="1"/>
  <c r="U66" i="1"/>
  <c r="L57" i="6"/>
  <c r="I57" i="6"/>
  <c r="J57" i="6" s="1"/>
  <c r="K57" i="6" s="1"/>
  <c r="B58" i="6"/>
  <c r="H57" i="6"/>
  <c r="C57" i="6"/>
  <c r="D57" i="6"/>
  <c r="Y58" i="6"/>
  <c r="V1455" i="6"/>
  <c r="A915" i="9"/>
  <c r="L914" i="9"/>
  <c r="K914" i="9"/>
  <c r="X55" i="6"/>
  <c r="S56" i="6"/>
  <c r="A1457" i="6"/>
  <c r="U1456" i="6"/>
  <c r="T1456" i="6"/>
  <c r="S68" i="1"/>
  <c r="T65" i="3"/>
  <c r="P53" i="9"/>
  <c r="C54" i="9"/>
  <c r="D54" i="9"/>
  <c r="E54" i="9"/>
  <c r="B55" i="9"/>
  <c r="I54" i="9"/>
  <c r="F54" i="9"/>
  <c r="AI69" i="1" l="1"/>
  <c r="AW63" i="3"/>
  <c r="AA64" i="3"/>
  <c r="Z64" i="3" s="1"/>
  <c r="AQ64" i="3"/>
  <c r="AV64" i="3"/>
  <c r="AE67" i="19"/>
  <c r="AI67" i="19"/>
  <c r="AF67" i="19"/>
  <c r="AH67" i="19"/>
  <c r="AK67" i="19" s="1"/>
  <c r="AB68" i="19"/>
  <c r="AI68" i="3"/>
  <c r="U64" i="3"/>
  <c r="Z66" i="1"/>
  <c r="T67" i="1"/>
  <c r="AB66" i="1"/>
  <c r="R67" i="1"/>
  <c r="S64" i="3"/>
  <c r="AF69" i="1"/>
  <c r="AI70" i="1" s="1"/>
  <c r="AG68" i="1"/>
  <c r="U67" i="1"/>
  <c r="V64" i="3"/>
  <c r="AC66" i="1"/>
  <c r="AA66" i="1"/>
  <c r="I58" i="6"/>
  <c r="J58" i="6" s="1"/>
  <c r="K58" i="6" s="1"/>
  <c r="Y59" i="6"/>
  <c r="B59" i="6"/>
  <c r="L58" i="6"/>
  <c r="P58" i="6" s="1"/>
  <c r="C58" i="6"/>
  <c r="D58" i="6"/>
  <c r="H58" i="6"/>
  <c r="P57" i="6"/>
  <c r="V1456" i="6"/>
  <c r="X56" i="6"/>
  <c r="S57" i="6"/>
  <c r="T1457" i="6"/>
  <c r="U1457" i="6"/>
  <c r="A1458" i="6"/>
  <c r="C55" i="9"/>
  <c r="E55" i="9"/>
  <c r="I55" i="9"/>
  <c r="D55" i="9"/>
  <c r="B56" i="9"/>
  <c r="F55" i="9"/>
  <c r="T66" i="3"/>
  <c r="S69" i="1"/>
  <c r="P54" i="9"/>
  <c r="A916" i="9"/>
  <c r="K915" i="9"/>
  <c r="L915" i="9"/>
  <c r="AW64" i="3" l="1"/>
  <c r="AA65" i="3"/>
  <c r="Z65" i="3" s="1"/>
  <c r="AQ65" i="3"/>
  <c r="AV65" i="3"/>
  <c r="AI68" i="19"/>
  <c r="AH68" i="19"/>
  <c r="AK68" i="19" s="1"/>
  <c r="AE68" i="19"/>
  <c r="AF68" i="19"/>
  <c r="AB69" i="19"/>
  <c r="AI69" i="3"/>
  <c r="S65" i="3"/>
  <c r="R68" i="1"/>
  <c r="AB67" i="1"/>
  <c r="U65" i="3"/>
  <c r="T68" i="1"/>
  <c r="Z67" i="1"/>
  <c r="AF70" i="1"/>
  <c r="AI71" i="1" s="1"/>
  <c r="AG69" i="1"/>
  <c r="U68" i="1"/>
  <c r="V65" i="3"/>
  <c r="AA67" i="1"/>
  <c r="AC67" i="1"/>
  <c r="C59" i="6"/>
  <c r="B60" i="6"/>
  <c r="I59" i="6"/>
  <c r="J59" i="6" s="1"/>
  <c r="K59" i="6" s="1"/>
  <c r="D59" i="6"/>
  <c r="L59" i="6"/>
  <c r="Y60" i="6"/>
  <c r="H59" i="6"/>
  <c r="V1457" i="6"/>
  <c r="S70" i="1"/>
  <c r="T67" i="3"/>
  <c r="F56" i="9"/>
  <c r="C56" i="9"/>
  <c r="B57" i="9"/>
  <c r="I56" i="9"/>
  <c r="P56" i="9" s="1"/>
  <c r="E56" i="9"/>
  <c r="D56" i="9"/>
  <c r="T1458" i="6"/>
  <c r="U1458" i="6"/>
  <c r="A1459" i="6"/>
  <c r="A917" i="9"/>
  <c r="K916" i="9"/>
  <c r="L916" i="9"/>
  <c r="X57" i="6"/>
  <c r="S58" i="6"/>
  <c r="P55" i="9"/>
  <c r="AW65" i="3" l="1"/>
  <c r="AQ66" i="3"/>
  <c r="AV66" i="3"/>
  <c r="AA66" i="3"/>
  <c r="Z66" i="3" s="1"/>
  <c r="AH69" i="19"/>
  <c r="AK69" i="19" s="1"/>
  <c r="AI69" i="19"/>
  <c r="AE69" i="19"/>
  <c r="AF69" i="19"/>
  <c r="AB70" i="19"/>
  <c r="AI70" i="3"/>
  <c r="U66" i="3"/>
  <c r="T69" i="1"/>
  <c r="Z68" i="1"/>
  <c r="AB68" i="1"/>
  <c r="R69" i="1"/>
  <c r="S66" i="3"/>
  <c r="AF71" i="1"/>
  <c r="AI72" i="1" s="1"/>
  <c r="AG70" i="1"/>
  <c r="AA68" i="1"/>
  <c r="V66" i="3"/>
  <c r="U69" i="1"/>
  <c r="AC68" i="1"/>
  <c r="B61" i="6"/>
  <c r="Y61" i="6"/>
  <c r="D60" i="6"/>
  <c r="C60" i="6"/>
  <c r="L60" i="6"/>
  <c r="P60" i="6" s="1"/>
  <c r="I60" i="6"/>
  <c r="J60" i="6" s="1"/>
  <c r="K60" i="6" s="1"/>
  <c r="H60" i="6"/>
  <c r="P59" i="6"/>
  <c r="V1458" i="6"/>
  <c r="A1460" i="6"/>
  <c r="U1459" i="6"/>
  <c r="T1459" i="6"/>
  <c r="T68" i="3"/>
  <c r="S71" i="1"/>
  <c r="X58" i="6"/>
  <c r="S59" i="6"/>
  <c r="A918" i="9"/>
  <c r="K917" i="9"/>
  <c r="L917" i="9"/>
  <c r="F57" i="9"/>
  <c r="C57" i="9"/>
  <c r="D57" i="9"/>
  <c r="E57" i="9"/>
  <c r="B58" i="9"/>
  <c r="I57" i="9"/>
  <c r="P57" i="9" s="1"/>
  <c r="AW66" i="3" l="1"/>
  <c r="AQ67" i="3"/>
  <c r="AV67" i="3"/>
  <c r="AA67" i="3"/>
  <c r="Z67" i="3" s="1"/>
  <c r="AH70" i="19"/>
  <c r="AK70" i="19" s="1"/>
  <c r="AE70" i="19"/>
  <c r="AF70" i="19"/>
  <c r="AI70" i="19"/>
  <c r="AB71" i="19"/>
  <c r="AI71" i="3"/>
  <c r="R70" i="1"/>
  <c r="S67" i="3"/>
  <c r="Z69" i="1"/>
  <c r="T70" i="1"/>
  <c r="U67" i="3"/>
  <c r="AB69" i="1"/>
  <c r="AF72" i="1"/>
  <c r="AI73" i="1" s="1"/>
  <c r="AG71" i="1"/>
  <c r="U70" i="1"/>
  <c r="AC69" i="1"/>
  <c r="V67" i="3"/>
  <c r="AA69" i="1"/>
  <c r="H61" i="6"/>
  <c r="Y62" i="6"/>
  <c r="I61" i="6"/>
  <c r="J61" i="6" s="1"/>
  <c r="K61" i="6" s="1"/>
  <c r="L61" i="6"/>
  <c r="C61" i="6"/>
  <c r="D61" i="6"/>
  <c r="B62" i="6"/>
  <c r="V1459" i="6"/>
  <c r="X59" i="6"/>
  <c r="S60" i="6"/>
  <c r="F58" i="9"/>
  <c r="B59" i="9"/>
  <c r="C58" i="9"/>
  <c r="D58" i="9"/>
  <c r="E58" i="9"/>
  <c r="I58" i="9"/>
  <c r="P58" i="9" s="1"/>
  <c r="A919" i="9"/>
  <c r="L918" i="9"/>
  <c r="K918" i="9"/>
  <c r="T1460" i="6"/>
  <c r="U1460" i="6"/>
  <c r="A1461" i="6"/>
  <c r="T69" i="3"/>
  <c r="S72" i="1"/>
  <c r="AW67" i="3" l="1"/>
  <c r="AQ68" i="3"/>
  <c r="AV68" i="3"/>
  <c r="AA68" i="3"/>
  <c r="Z68" i="3" s="1"/>
  <c r="AI71" i="19"/>
  <c r="AH71" i="19"/>
  <c r="AK71" i="19" s="1"/>
  <c r="AF71" i="19"/>
  <c r="AE71" i="19"/>
  <c r="AB72" i="19"/>
  <c r="AI72" i="3"/>
  <c r="T71" i="1"/>
  <c r="Z70" i="1"/>
  <c r="U68" i="3"/>
  <c r="AB70" i="1"/>
  <c r="S68" i="3"/>
  <c r="R71" i="1"/>
  <c r="AF73" i="1"/>
  <c r="AI74" i="1" s="1"/>
  <c r="AG72" i="1"/>
  <c r="V68" i="3"/>
  <c r="AC70" i="1"/>
  <c r="AA70" i="1"/>
  <c r="U71" i="1"/>
  <c r="Y63" i="6"/>
  <c r="L62" i="6"/>
  <c r="P62" i="6" s="1"/>
  <c r="C62" i="6"/>
  <c r="B63" i="6"/>
  <c r="H62" i="6"/>
  <c r="D62" i="6"/>
  <c r="I62" i="6"/>
  <c r="J62" i="6" s="1"/>
  <c r="K62" i="6" s="1"/>
  <c r="P61" i="6"/>
  <c r="V1460" i="6"/>
  <c r="D59" i="9"/>
  <c r="F59" i="9"/>
  <c r="B60" i="9"/>
  <c r="I59" i="9"/>
  <c r="E59" i="9"/>
  <c r="C59" i="9"/>
  <c r="T1461" i="6"/>
  <c r="U1461" i="6"/>
  <c r="A1462" i="6"/>
  <c r="A920" i="9"/>
  <c r="K919" i="9"/>
  <c r="L919" i="9"/>
  <c r="X60" i="6"/>
  <c r="S61" i="6"/>
  <c r="S73" i="1"/>
  <c r="T70" i="3"/>
  <c r="AW68" i="3" l="1"/>
  <c r="AA69" i="3"/>
  <c r="Z69" i="3" s="1"/>
  <c r="AQ69" i="3"/>
  <c r="AV69" i="3"/>
  <c r="AE72" i="19"/>
  <c r="AI72" i="19"/>
  <c r="AF72" i="19"/>
  <c r="AH72" i="19"/>
  <c r="AK72" i="19" s="1"/>
  <c r="AB73" i="19"/>
  <c r="AI73" i="3"/>
  <c r="S69" i="3"/>
  <c r="R72" i="1"/>
  <c r="AB71" i="1"/>
  <c r="Z71" i="1"/>
  <c r="T72" i="1"/>
  <c r="U69" i="3"/>
  <c r="AF74" i="1"/>
  <c r="AI75" i="1" s="1"/>
  <c r="AG73" i="1"/>
  <c r="V69" i="3"/>
  <c r="AC71" i="1"/>
  <c r="U72" i="1"/>
  <c r="AA71" i="1"/>
  <c r="B64" i="6"/>
  <c r="C63" i="6"/>
  <c r="L63" i="6"/>
  <c r="P63" i="6" s="1"/>
  <c r="D63" i="6"/>
  <c r="H63" i="6"/>
  <c r="I63" i="6"/>
  <c r="J63" i="6" s="1"/>
  <c r="K63" i="6" s="1"/>
  <c r="Y64" i="6"/>
  <c r="V1461" i="6"/>
  <c r="T71" i="3"/>
  <c r="S74" i="1"/>
  <c r="I60" i="9"/>
  <c r="F60" i="9"/>
  <c r="D60" i="9"/>
  <c r="B61" i="9"/>
  <c r="E60" i="9"/>
  <c r="C60" i="9"/>
  <c r="A921" i="9"/>
  <c r="K920" i="9"/>
  <c r="L920" i="9"/>
  <c r="X61" i="6"/>
  <c r="S62" i="6"/>
  <c r="A1463" i="6"/>
  <c r="U1462" i="6"/>
  <c r="T1462" i="6"/>
  <c r="P59" i="9"/>
  <c r="AW69" i="3" l="1"/>
  <c r="AQ70" i="3"/>
  <c r="AV70" i="3"/>
  <c r="AA70" i="3"/>
  <c r="Z70" i="3" s="1"/>
  <c r="AF73" i="19"/>
  <c r="AH73" i="19"/>
  <c r="AK73" i="19" s="1"/>
  <c r="AE73" i="19"/>
  <c r="AI73" i="19"/>
  <c r="AB74" i="19"/>
  <c r="AI74" i="3"/>
  <c r="AB72" i="1"/>
  <c r="T73" i="1"/>
  <c r="U70" i="3"/>
  <c r="Z72" i="1"/>
  <c r="R73" i="1"/>
  <c r="S70" i="3"/>
  <c r="AF75" i="1"/>
  <c r="AI76" i="1" s="1"/>
  <c r="AG74" i="1"/>
  <c r="V70" i="3"/>
  <c r="U73" i="1"/>
  <c r="AC72" i="1"/>
  <c r="AA72" i="1"/>
  <c r="C64" i="6"/>
  <c r="D64" i="6"/>
  <c r="I64" i="6"/>
  <c r="J64" i="6" s="1"/>
  <c r="K64" i="6" s="1"/>
  <c r="Y65" i="6"/>
  <c r="B65" i="6"/>
  <c r="L64" i="6"/>
  <c r="P64" i="6" s="1"/>
  <c r="H64" i="6"/>
  <c r="V1462" i="6"/>
  <c r="F61" i="9"/>
  <c r="I61" i="9"/>
  <c r="P61" i="9" s="1"/>
  <c r="B62" i="9"/>
  <c r="C61" i="9"/>
  <c r="E61" i="9"/>
  <c r="D61" i="9"/>
  <c r="P60" i="9"/>
  <c r="X62" i="6"/>
  <c r="S63" i="6"/>
  <c r="S75" i="1"/>
  <c r="T72" i="3"/>
  <c r="A922" i="9"/>
  <c r="K921" i="9"/>
  <c r="L921" i="9"/>
  <c r="A1464" i="6"/>
  <c r="U1463" i="6"/>
  <c r="T1463" i="6"/>
  <c r="AW70" i="3" l="1"/>
  <c r="AA71" i="3"/>
  <c r="Z71" i="3" s="1"/>
  <c r="AQ71" i="3"/>
  <c r="AV71" i="3"/>
  <c r="AE74" i="19"/>
  <c r="AH74" i="19"/>
  <c r="AK74" i="19" s="1"/>
  <c r="AF74" i="19"/>
  <c r="AI74" i="19"/>
  <c r="AB75" i="19"/>
  <c r="AI75" i="3"/>
  <c r="S71" i="3"/>
  <c r="R74" i="1"/>
  <c r="T74" i="1"/>
  <c r="AB73" i="1"/>
  <c r="U71" i="3"/>
  <c r="Z73" i="1"/>
  <c r="AF76" i="1"/>
  <c r="AI77" i="1" s="1"/>
  <c r="AG75" i="1"/>
  <c r="V71" i="3"/>
  <c r="AC73" i="1"/>
  <c r="AA73" i="1"/>
  <c r="U74" i="1"/>
  <c r="B66" i="6"/>
  <c r="L65" i="6"/>
  <c r="P65" i="6" s="1"/>
  <c r="D65" i="6"/>
  <c r="C65" i="6"/>
  <c r="H65" i="6"/>
  <c r="I65" i="6"/>
  <c r="J65" i="6" s="1"/>
  <c r="K65" i="6" s="1"/>
  <c r="Y66" i="6"/>
  <c r="V1463" i="6"/>
  <c r="A923" i="9"/>
  <c r="L922" i="9"/>
  <c r="K922" i="9"/>
  <c r="D62" i="9"/>
  <c r="E62" i="9"/>
  <c r="C62" i="9"/>
  <c r="I62" i="9"/>
  <c r="B63" i="9"/>
  <c r="F62" i="9"/>
  <c r="X63" i="6"/>
  <c r="S64" i="6"/>
  <c r="S76" i="1"/>
  <c r="T73" i="3"/>
  <c r="T1464" i="6"/>
  <c r="U1464" i="6"/>
  <c r="A1465" i="6"/>
  <c r="AW71" i="3" l="1"/>
  <c r="AA72" i="3"/>
  <c r="Z72" i="3" s="1"/>
  <c r="AQ72" i="3"/>
  <c r="AV72" i="3"/>
  <c r="AI75" i="19"/>
  <c r="AE75" i="19"/>
  <c r="AF75" i="19"/>
  <c r="AH75" i="19"/>
  <c r="AK75" i="19" s="1"/>
  <c r="AB76" i="19"/>
  <c r="AI76" i="3"/>
  <c r="Z74" i="1"/>
  <c r="U72" i="3"/>
  <c r="T75" i="1"/>
  <c r="AB74" i="1"/>
  <c r="R75" i="1"/>
  <c r="S72" i="3"/>
  <c r="AF77" i="1"/>
  <c r="AI78" i="1" s="1"/>
  <c r="AG76" i="1"/>
  <c r="AA74" i="1"/>
  <c r="AC74" i="1"/>
  <c r="U75" i="1"/>
  <c r="V72" i="3"/>
  <c r="H66" i="6"/>
  <c r="I66" i="6"/>
  <c r="J66" i="6" s="1"/>
  <c r="K66" i="6" s="1"/>
  <c r="C66" i="6"/>
  <c r="B67" i="6"/>
  <c r="D66" i="6"/>
  <c r="L66" i="6"/>
  <c r="Y67" i="6"/>
  <c r="V1464" i="6"/>
  <c r="B64" i="9"/>
  <c r="F63" i="9"/>
  <c r="E63" i="9"/>
  <c r="I63" i="9"/>
  <c r="C63" i="9"/>
  <c r="D63" i="9"/>
  <c r="A1466" i="6"/>
  <c r="U1465" i="6"/>
  <c r="T1465" i="6"/>
  <c r="T74" i="3"/>
  <c r="S77" i="1"/>
  <c r="X64" i="6"/>
  <c r="S65" i="6"/>
  <c r="A924" i="9"/>
  <c r="K923" i="9"/>
  <c r="L923" i="9"/>
  <c r="P62" i="9"/>
  <c r="AW72" i="3" l="1"/>
  <c r="AA73" i="3"/>
  <c r="Z73" i="3" s="1"/>
  <c r="AQ73" i="3"/>
  <c r="AV73" i="3"/>
  <c r="AE76" i="19"/>
  <c r="AI76" i="19"/>
  <c r="AH76" i="19"/>
  <c r="AK76" i="19" s="1"/>
  <c r="AF76" i="19"/>
  <c r="AB77" i="19"/>
  <c r="AI77" i="3"/>
  <c r="R76" i="1"/>
  <c r="S73" i="3"/>
  <c r="T76" i="1"/>
  <c r="U73" i="3"/>
  <c r="AB75" i="1"/>
  <c r="Z75" i="1"/>
  <c r="AF78" i="1"/>
  <c r="AI79" i="1" s="1"/>
  <c r="AG77" i="1"/>
  <c r="V73" i="3"/>
  <c r="AC75" i="1"/>
  <c r="U76" i="1"/>
  <c r="AA75" i="1"/>
  <c r="P66" i="6"/>
  <c r="C67" i="6"/>
  <c r="D67" i="6"/>
  <c r="B68" i="6"/>
  <c r="I67" i="6"/>
  <c r="J67" i="6" s="1"/>
  <c r="K67" i="6" s="1"/>
  <c r="Y68" i="6"/>
  <c r="L67" i="6"/>
  <c r="H67" i="6"/>
  <c r="V1465" i="6"/>
  <c r="T1466" i="6"/>
  <c r="U1466" i="6"/>
  <c r="A1467" i="6"/>
  <c r="X65" i="6"/>
  <c r="S66" i="6"/>
  <c r="A925" i="9"/>
  <c r="K924" i="9"/>
  <c r="L924" i="9"/>
  <c r="P63" i="9"/>
  <c r="C64" i="9"/>
  <c r="I64" i="9"/>
  <c r="P64" i="9" s="1"/>
  <c r="D64" i="9"/>
  <c r="F64" i="9"/>
  <c r="B65" i="9"/>
  <c r="E64" i="9"/>
  <c r="T75" i="3"/>
  <c r="S78" i="1"/>
  <c r="AW73" i="3" l="1"/>
  <c r="AA74" i="3"/>
  <c r="Z74" i="3" s="1"/>
  <c r="AQ74" i="3"/>
  <c r="AV74" i="3"/>
  <c r="AH77" i="19"/>
  <c r="AK77" i="19" s="1"/>
  <c r="AI77" i="19"/>
  <c r="AE77" i="19"/>
  <c r="AF77" i="19"/>
  <c r="AB78" i="19"/>
  <c r="AI78" i="3"/>
  <c r="AB76" i="1"/>
  <c r="T77" i="1"/>
  <c r="Z76" i="1"/>
  <c r="U74" i="3"/>
  <c r="R77" i="1"/>
  <c r="S74" i="3"/>
  <c r="AF79" i="1"/>
  <c r="AI80" i="1" s="1"/>
  <c r="AG78" i="1"/>
  <c r="AC76" i="1"/>
  <c r="AA76" i="1"/>
  <c r="V74" i="3"/>
  <c r="U77" i="1"/>
  <c r="B69" i="6"/>
  <c r="C68" i="6"/>
  <c r="L68" i="6"/>
  <c r="P68" i="6" s="1"/>
  <c r="I68" i="6"/>
  <c r="J68" i="6" s="1"/>
  <c r="K68" i="6" s="1"/>
  <c r="Y69" i="6"/>
  <c r="H68" i="6"/>
  <c r="D68" i="6"/>
  <c r="P67" i="6"/>
  <c r="V1466" i="6"/>
  <c r="A926" i="9"/>
  <c r="K925" i="9"/>
  <c r="L925" i="9"/>
  <c r="X66" i="6"/>
  <c r="S67" i="6"/>
  <c r="E65" i="9"/>
  <c r="I65" i="9"/>
  <c r="P65" i="9" s="1"/>
  <c r="D65" i="9"/>
  <c r="F65" i="9"/>
  <c r="B66" i="9"/>
  <c r="C65" i="9"/>
  <c r="A1468" i="6"/>
  <c r="U1467" i="6"/>
  <c r="T1467" i="6"/>
  <c r="T76" i="3"/>
  <c r="S79" i="1"/>
  <c r="AW74" i="3" l="1"/>
  <c r="AA75" i="3"/>
  <c r="Z75" i="3" s="1"/>
  <c r="AQ75" i="3"/>
  <c r="AV75" i="3"/>
  <c r="AE78" i="19"/>
  <c r="AH78" i="19"/>
  <c r="AK78" i="19" s="1"/>
  <c r="AF78" i="19"/>
  <c r="AI78" i="19"/>
  <c r="AB79" i="19"/>
  <c r="AI79" i="3"/>
  <c r="S75" i="3"/>
  <c r="R78" i="1"/>
  <c r="AB77" i="1"/>
  <c r="Z77" i="1"/>
  <c r="U75" i="3"/>
  <c r="T78" i="1"/>
  <c r="AF80" i="1"/>
  <c r="AI81" i="1" s="1"/>
  <c r="AG79" i="1"/>
  <c r="AC77" i="1"/>
  <c r="U78" i="1"/>
  <c r="AA77" i="1"/>
  <c r="V75" i="3"/>
  <c r="Y70" i="6"/>
  <c r="I69" i="6"/>
  <c r="J69" i="6" s="1"/>
  <c r="K69" i="6" s="1"/>
  <c r="L69" i="6"/>
  <c r="P69" i="6" s="1"/>
  <c r="C69" i="6"/>
  <c r="H69" i="6"/>
  <c r="B70" i="6"/>
  <c r="D69" i="6"/>
  <c r="V1467" i="6"/>
  <c r="S80" i="1"/>
  <c r="T77" i="3"/>
  <c r="X67" i="6"/>
  <c r="S68" i="6"/>
  <c r="U1468" i="6"/>
  <c r="T1468" i="6"/>
  <c r="A1469" i="6"/>
  <c r="A927" i="9"/>
  <c r="K926" i="9"/>
  <c r="L926" i="9"/>
  <c r="C66" i="9"/>
  <c r="I66" i="9"/>
  <c r="F66" i="9"/>
  <c r="D66" i="9"/>
  <c r="E66" i="9"/>
  <c r="B67" i="9"/>
  <c r="AW75" i="3" l="1"/>
  <c r="AA76" i="3"/>
  <c r="Z76" i="3" s="1"/>
  <c r="AQ76" i="3"/>
  <c r="AV76" i="3"/>
  <c r="AE79" i="19"/>
  <c r="AF79" i="19"/>
  <c r="AI79" i="19"/>
  <c r="AH79" i="19"/>
  <c r="AK79" i="19" s="1"/>
  <c r="AB80" i="19"/>
  <c r="AI80" i="3"/>
  <c r="U76" i="3"/>
  <c r="Z78" i="1"/>
  <c r="AB78" i="1"/>
  <c r="T79" i="1"/>
  <c r="S76" i="3"/>
  <c r="R79" i="1"/>
  <c r="AF81" i="1"/>
  <c r="AI82" i="1" s="1"/>
  <c r="AG80" i="1"/>
  <c r="AA78" i="1"/>
  <c r="U79" i="1"/>
  <c r="AC78" i="1"/>
  <c r="V76" i="3"/>
  <c r="I70" i="6"/>
  <c r="J70" i="6" s="1"/>
  <c r="K70" i="6" s="1"/>
  <c r="L70" i="6"/>
  <c r="P70" i="6" s="1"/>
  <c r="Y71" i="6"/>
  <c r="C70" i="6"/>
  <c r="B71" i="6"/>
  <c r="D70" i="6"/>
  <c r="H70" i="6"/>
  <c r="V1468" i="6"/>
  <c r="B68" i="9"/>
  <c r="I67" i="9"/>
  <c r="P67" i="9" s="1"/>
  <c r="C67" i="9"/>
  <c r="F67" i="9"/>
  <c r="D67" i="9"/>
  <c r="E67" i="9"/>
  <c r="A928" i="9"/>
  <c r="K927" i="9"/>
  <c r="L927" i="9"/>
  <c r="X68" i="6"/>
  <c r="S69" i="6"/>
  <c r="T78" i="3"/>
  <c r="S81" i="1"/>
  <c r="P66" i="9"/>
  <c r="U1469" i="6"/>
  <c r="A1470" i="6"/>
  <c r="T1469" i="6"/>
  <c r="AW76" i="3" l="1"/>
  <c r="AA77" i="3"/>
  <c r="Z77" i="3" s="1"/>
  <c r="AQ77" i="3"/>
  <c r="AV77" i="3"/>
  <c r="AF80" i="19"/>
  <c r="AH80" i="19"/>
  <c r="AK80" i="19" s="1"/>
  <c r="AI80" i="19"/>
  <c r="AE80" i="19"/>
  <c r="AB81" i="19"/>
  <c r="AI81" i="3"/>
  <c r="S77" i="3"/>
  <c r="R80" i="1"/>
  <c r="Z79" i="1"/>
  <c r="U77" i="3"/>
  <c r="T80" i="1"/>
  <c r="AB79" i="1"/>
  <c r="AF82" i="1"/>
  <c r="AI83" i="1" s="1"/>
  <c r="AG81" i="1"/>
  <c r="AC79" i="1"/>
  <c r="V77" i="3"/>
  <c r="U80" i="1"/>
  <c r="AA79" i="1"/>
  <c r="H71" i="6"/>
  <c r="B72" i="6"/>
  <c r="Y72" i="6"/>
  <c r="D71" i="6"/>
  <c r="I71" i="6"/>
  <c r="J71" i="6" s="1"/>
  <c r="K71" i="6" s="1"/>
  <c r="L71" i="6"/>
  <c r="P71" i="6" s="1"/>
  <c r="C71" i="6"/>
  <c r="V1469" i="6"/>
  <c r="U1470" i="6"/>
  <c r="T1470" i="6"/>
  <c r="A1471" i="6"/>
  <c r="S82" i="1"/>
  <c r="T79" i="3"/>
  <c r="F68" i="9"/>
  <c r="E68" i="9"/>
  <c r="I68" i="9"/>
  <c r="B69" i="9"/>
  <c r="C68" i="9"/>
  <c r="D68" i="9"/>
  <c r="A929" i="9"/>
  <c r="L928" i="9"/>
  <c r="K928" i="9"/>
  <c r="X69" i="6"/>
  <c r="S70" i="6"/>
  <c r="AW77" i="3" l="1"/>
  <c r="AA78" i="3"/>
  <c r="Z78" i="3" s="1"/>
  <c r="AQ78" i="3"/>
  <c r="AV78" i="3"/>
  <c r="AH81" i="19"/>
  <c r="AK81" i="19" s="1"/>
  <c r="AI81" i="19"/>
  <c r="AF81" i="19"/>
  <c r="AE81" i="19"/>
  <c r="AB82" i="19"/>
  <c r="AI82" i="3"/>
  <c r="Z80" i="1"/>
  <c r="AB80" i="1"/>
  <c r="U78" i="3"/>
  <c r="T81" i="1"/>
  <c r="S78" i="3"/>
  <c r="R81" i="1"/>
  <c r="AF83" i="1"/>
  <c r="AI84" i="1" s="1"/>
  <c r="AG82" i="1"/>
  <c r="U81" i="1"/>
  <c r="AA80" i="1"/>
  <c r="AC80" i="1"/>
  <c r="V78" i="3"/>
  <c r="Y73" i="6"/>
  <c r="C72" i="6"/>
  <c r="I72" i="6"/>
  <c r="J72" i="6" s="1"/>
  <c r="K72" i="6" s="1"/>
  <c r="H72" i="6"/>
  <c r="B73" i="6"/>
  <c r="L72" i="6"/>
  <c r="P72" i="6" s="1"/>
  <c r="D72" i="6"/>
  <c r="V1470" i="6"/>
  <c r="A1472" i="6"/>
  <c r="T1471" i="6"/>
  <c r="U1471" i="6"/>
  <c r="P68" i="9"/>
  <c r="A930" i="9"/>
  <c r="L929" i="9"/>
  <c r="K929" i="9"/>
  <c r="X70" i="6"/>
  <c r="S71" i="6"/>
  <c r="I69" i="9"/>
  <c r="B70" i="9"/>
  <c r="C69" i="9"/>
  <c r="D69" i="9"/>
  <c r="F69" i="9"/>
  <c r="E69" i="9"/>
  <c r="S83" i="1"/>
  <c r="T80" i="3"/>
  <c r="AW78" i="3" l="1"/>
  <c r="AA79" i="3"/>
  <c r="Z79" i="3" s="1"/>
  <c r="AQ79" i="3"/>
  <c r="AV79" i="3"/>
  <c r="AF82" i="19"/>
  <c r="AE82" i="19"/>
  <c r="AH82" i="19"/>
  <c r="AK82" i="19" s="1"/>
  <c r="AI82" i="19"/>
  <c r="AB83" i="19"/>
  <c r="AI83" i="3"/>
  <c r="R82" i="1"/>
  <c r="S79" i="3"/>
  <c r="U79" i="3"/>
  <c r="AB81" i="1"/>
  <c r="T82" i="1"/>
  <c r="Z81" i="1"/>
  <c r="AF84" i="1"/>
  <c r="AI85" i="1" s="1"/>
  <c r="AG83" i="1"/>
  <c r="U82" i="1"/>
  <c r="AA81" i="1"/>
  <c r="AC81" i="1"/>
  <c r="V79" i="3"/>
  <c r="C73" i="6"/>
  <c r="D73" i="6"/>
  <c r="H73" i="6"/>
  <c r="I73" i="6"/>
  <c r="J73" i="6" s="1"/>
  <c r="K73" i="6" s="1"/>
  <c r="B74" i="6"/>
  <c r="Y74" i="6"/>
  <c r="L73" i="6"/>
  <c r="P73" i="6" s="1"/>
  <c r="V1471" i="6"/>
  <c r="B71" i="9"/>
  <c r="C70" i="9"/>
  <c r="F70" i="9"/>
  <c r="E70" i="9"/>
  <c r="I70" i="9"/>
  <c r="P70" i="9" s="1"/>
  <c r="D70" i="9"/>
  <c r="T1472" i="6"/>
  <c r="A1473" i="6"/>
  <c r="U1472" i="6"/>
  <c r="A931" i="9"/>
  <c r="K930" i="9"/>
  <c r="L930" i="9"/>
  <c r="X71" i="6"/>
  <c r="S72" i="6"/>
  <c r="P69" i="9"/>
  <c r="T81" i="3"/>
  <c r="S84" i="1"/>
  <c r="AW79" i="3" l="1"/>
  <c r="AA80" i="3"/>
  <c r="Z80" i="3" s="1"/>
  <c r="AQ80" i="3"/>
  <c r="AV80" i="3"/>
  <c r="AE83" i="19"/>
  <c r="AF83" i="19"/>
  <c r="AH83" i="19"/>
  <c r="AK83" i="19" s="1"/>
  <c r="AI83" i="19"/>
  <c r="AB84" i="19"/>
  <c r="AI84" i="3"/>
  <c r="T83" i="1"/>
  <c r="U80" i="3"/>
  <c r="AB82" i="1"/>
  <c r="Z82" i="1"/>
  <c r="S80" i="3"/>
  <c r="R83" i="1"/>
  <c r="AF85" i="1"/>
  <c r="AI86" i="1" s="1"/>
  <c r="AG84" i="1"/>
  <c r="AC82" i="1"/>
  <c r="AA82" i="1"/>
  <c r="V80" i="3"/>
  <c r="U83" i="1"/>
  <c r="L74" i="6"/>
  <c r="P74" i="6" s="1"/>
  <c r="I74" i="6"/>
  <c r="J74" i="6" s="1"/>
  <c r="K74" i="6" s="1"/>
  <c r="Y75" i="6"/>
  <c r="B75" i="6"/>
  <c r="H74" i="6"/>
  <c r="D74" i="6"/>
  <c r="C74" i="6"/>
  <c r="V1472" i="6"/>
  <c r="A932" i="9"/>
  <c r="L931" i="9"/>
  <c r="K931" i="9"/>
  <c r="B72" i="9"/>
  <c r="F71" i="9"/>
  <c r="C71" i="9"/>
  <c r="D71" i="9"/>
  <c r="E71" i="9"/>
  <c r="I71" i="9"/>
  <c r="P71" i="9" s="1"/>
  <c r="S85" i="1"/>
  <c r="T82" i="3"/>
  <c r="X72" i="6"/>
  <c r="S73" i="6"/>
  <c r="A1474" i="6"/>
  <c r="T1473" i="6"/>
  <c r="U1473" i="6"/>
  <c r="AW80" i="3" l="1"/>
  <c r="AA81" i="3"/>
  <c r="Z81" i="3" s="1"/>
  <c r="AQ81" i="3"/>
  <c r="AV81" i="3"/>
  <c r="AE84" i="19"/>
  <c r="AH84" i="19"/>
  <c r="AK84" i="19" s="1"/>
  <c r="AF84" i="19"/>
  <c r="AI84" i="19"/>
  <c r="AB85" i="19"/>
  <c r="AI85" i="3"/>
  <c r="S81" i="3"/>
  <c r="R84" i="1"/>
  <c r="AB83" i="1"/>
  <c r="Z83" i="1"/>
  <c r="T84" i="1"/>
  <c r="U81" i="3"/>
  <c r="AF86" i="1"/>
  <c r="AI87" i="1" s="1"/>
  <c r="AG85" i="1"/>
  <c r="U84" i="1"/>
  <c r="V81" i="3"/>
  <c r="AA83" i="1"/>
  <c r="AC83" i="1"/>
  <c r="B76" i="6"/>
  <c r="I75" i="6"/>
  <c r="J75" i="6" s="1"/>
  <c r="K75" i="6" s="1"/>
  <c r="D75" i="6"/>
  <c r="L75" i="6"/>
  <c r="Y76" i="6"/>
  <c r="C75" i="6"/>
  <c r="H75" i="6"/>
  <c r="V1473" i="6"/>
  <c r="A933" i="9"/>
  <c r="L932" i="9"/>
  <c r="K932" i="9"/>
  <c r="A1475" i="6"/>
  <c r="U1474" i="6"/>
  <c r="T1474" i="6"/>
  <c r="D72" i="9"/>
  <c r="C72" i="9"/>
  <c r="B73" i="9"/>
  <c r="E72" i="9"/>
  <c r="I72" i="9"/>
  <c r="P72" i="9" s="1"/>
  <c r="F72" i="9"/>
  <c r="S86" i="1"/>
  <c r="T83" i="3"/>
  <c r="X73" i="6"/>
  <c r="S74" i="6"/>
  <c r="AW81" i="3" l="1"/>
  <c r="AA82" i="3"/>
  <c r="Z82" i="3" s="1"/>
  <c r="AQ82" i="3"/>
  <c r="AV82" i="3"/>
  <c r="AF85" i="19"/>
  <c r="AH85" i="19"/>
  <c r="AK85" i="19" s="1"/>
  <c r="AI85" i="19"/>
  <c r="AE85" i="19"/>
  <c r="AB86" i="19"/>
  <c r="AI86" i="3"/>
  <c r="R85" i="1"/>
  <c r="S82" i="3"/>
  <c r="AB84" i="1"/>
  <c r="U82" i="3"/>
  <c r="T85" i="1"/>
  <c r="Z84" i="1"/>
  <c r="AF87" i="1"/>
  <c r="AI88" i="1" s="1"/>
  <c r="AG86" i="1"/>
  <c r="AC84" i="1"/>
  <c r="V82" i="3"/>
  <c r="U85" i="1"/>
  <c r="AA84" i="1"/>
  <c r="P75" i="6"/>
  <c r="I76" i="6"/>
  <c r="J76" i="6" s="1"/>
  <c r="K76" i="6" s="1"/>
  <c r="B77" i="6"/>
  <c r="H76" i="6"/>
  <c r="D76" i="6"/>
  <c r="Y77" i="6"/>
  <c r="L76" i="6"/>
  <c r="C76" i="6"/>
  <c r="V1474" i="6"/>
  <c r="A934" i="9"/>
  <c r="L933" i="9"/>
  <c r="K933" i="9"/>
  <c r="T84" i="3"/>
  <c r="S87" i="1"/>
  <c r="A1476" i="6"/>
  <c r="U1475" i="6"/>
  <c r="T1475" i="6"/>
  <c r="D73" i="9"/>
  <c r="F73" i="9"/>
  <c r="I73" i="9"/>
  <c r="P73" i="9" s="1"/>
  <c r="E73" i="9"/>
  <c r="C73" i="9"/>
  <c r="B74" i="9"/>
  <c r="X74" i="6"/>
  <c r="S75" i="6"/>
  <c r="AW82" i="3" l="1"/>
  <c r="AA83" i="3"/>
  <c r="Z83" i="3" s="1"/>
  <c r="AQ83" i="3"/>
  <c r="AV83" i="3"/>
  <c r="AH86" i="19"/>
  <c r="AK86" i="19" s="1"/>
  <c r="AI86" i="19"/>
  <c r="AE86" i="19"/>
  <c r="AF86" i="19"/>
  <c r="AB87" i="19"/>
  <c r="AI87" i="3"/>
  <c r="T86" i="1"/>
  <c r="U83" i="3"/>
  <c r="AB85" i="1"/>
  <c r="Z85" i="1"/>
  <c r="S83" i="3"/>
  <c r="R86" i="1"/>
  <c r="AF88" i="1"/>
  <c r="AI89" i="1" s="1"/>
  <c r="AG87" i="1"/>
  <c r="U86" i="1"/>
  <c r="AA85" i="1"/>
  <c r="V83" i="3"/>
  <c r="AC85" i="1"/>
  <c r="H77" i="6"/>
  <c r="L77" i="6"/>
  <c r="Y78" i="6"/>
  <c r="B78" i="6"/>
  <c r="C77" i="6"/>
  <c r="I77" i="6"/>
  <c r="J77" i="6" s="1"/>
  <c r="K77" i="6" s="1"/>
  <c r="D77" i="6"/>
  <c r="P76" i="6"/>
  <c r="V1475" i="6"/>
  <c r="A1477" i="6"/>
  <c r="U1476" i="6"/>
  <c r="T1476" i="6"/>
  <c r="X75" i="6"/>
  <c r="S76" i="6"/>
  <c r="T85" i="3"/>
  <c r="S88" i="1"/>
  <c r="E74" i="9"/>
  <c r="D74" i="9"/>
  <c r="F74" i="9"/>
  <c r="B75" i="9"/>
  <c r="C74" i="9"/>
  <c r="I74" i="9"/>
  <c r="A935" i="9"/>
  <c r="K934" i="9"/>
  <c r="L934" i="9"/>
  <c r="AW83" i="3" l="1"/>
  <c r="AA84" i="3"/>
  <c r="Z84" i="3" s="1"/>
  <c r="AQ84" i="3"/>
  <c r="AV84" i="3"/>
  <c r="AE87" i="19"/>
  <c r="AH87" i="19"/>
  <c r="AK87" i="19" s="1"/>
  <c r="AI87" i="19"/>
  <c r="AF87" i="19"/>
  <c r="AB88" i="19"/>
  <c r="AI88" i="3"/>
  <c r="S84" i="3"/>
  <c r="R87" i="1"/>
  <c r="Z86" i="1"/>
  <c r="T87" i="1"/>
  <c r="U84" i="3"/>
  <c r="AB86" i="1"/>
  <c r="AF89" i="1"/>
  <c r="AI90" i="1" s="1"/>
  <c r="AG88" i="1"/>
  <c r="U87" i="1"/>
  <c r="V84" i="3"/>
  <c r="AA86" i="1"/>
  <c r="AC86" i="1"/>
  <c r="B79" i="6"/>
  <c r="L78" i="6"/>
  <c r="P78" i="6" s="1"/>
  <c r="I78" i="6"/>
  <c r="J78" i="6" s="1"/>
  <c r="K78" i="6" s="1"/>
  <c r="D78" i="6"/>
  <c r="Y79" i="6"/>
  <c r="H78" i="6"/>
  <c r="C78" i="6"/>
  <c r="P77" i="6"/>
  <c r="V1476" i="6"/>
  <c r="A936" i="9"/>
  <c r="K935" i="9"/>
  <c r="L935" i="9"/>
  <c r="T86" i="3"/>
  <c r="S89" i="1"/>
  <c r="X76" i="6"/>
  <c r="S77" i="6"/>
  <c r="C75" i="9"/>
  <c r="D75" i="9"/>
  <c r="E75" i="9"/>
  <c r="B76" i="9"/>
  <c r="F75" i="9"/>
  <c r="I75" i="9"/>
  <c r="P74" i="9"/>
  <c r="A1478" i="6"/>
  <c r="U1477" i="6"/>
  <c r="T1477" i="6"/>
  <c r="AW84" i="3" l="1"/>
  <c r="AA85" i="3"/>
  <c r="Z85" i="3" s="1"/>
  <c r="AQ85" i="3"/>
  <c r="AV85" i="3"/>
  <c r="AI88" i="19"/>
  <c r="AE88" i="19"/>
  <c r="AF88" i="19"/>
  <c r="AH88" i="19"/>
  <c r="AK88" i="19" s="1"/>
  <c r="AB89" i="19"/>
  <c r="AI89" i="3"/>
  <c r="U85" i="3"/>
  <c r="Z87" i="1"/>
  <c r="AB87" i="1"/>
  <c r="T88" i="1"/>
  <c r="R88" i="1"/>
  <c r="S85" i="3"/>
  <c r="AF90" i="1"/>
  <c r="AI91" i="1" s="1"/>
  <c r="AG89" i="1"/>
  <c r="U88" i="1"/>
  <c r="AA87" i="1"/>
  <c r="V85" i="3"/>
  <c r="AC87" i="1"/>
  <c r="L79" i="6"/>
  <c r="I79" i="6"/>
  <c r="J79" i="6" s="1"/>
  <c r="K79" i="6" s="1"/>
  <c r="C79" i="6"/>
  <c r="H79" i="6"/>
  <c r="Y80" i="6"/>
  <c r="B80" i="6"/>
  <c r="D79" i="6"/>
  <c r="V1477" i="6"/>
  <c r="A937" i="9"/>
  <c r="K936" i="9"/>
  <c r="L936" i="9"/>
  <c r="E76" i="9"/>
  <c r="D76" i="9"/>
  <c r="B77" i="9"/>
  <c r="F76" i="9"/>
  <c r="I76" i="9"/>
  <c r="P76" i="9" s="1"/>
  <c r="C76" i="9"/>
  <c r="A1479" i="6"/>
  <c r="U1478" i="6"/>
  <c r="T1478" i="6"/>
  <c r="X77" i="6"/>
  <c r="S78" i="6"/>
  <c r="S90" i="1"/>
  <c r="T87" i="3"/>
  <c r="P75" i="9"/>
  <c r="AW85" i="3" l="1"/>
  <c r="AA86" i="3"/>
  <c r="Z86" i="3" s="1"/>
  <c r="AQ86" i="3"/>
  <c r="AV86" i="3"/>
  <c r="AH89" i="19"/>
  <c r="AK89" i="19" s="1"/>
  <c r="AI89" i="19"/>
  <c r="AF89" i="19"/>
  <c r="AE89" i="19"/>
  <c r="AB90" i="19"/>
  <c r="AI90" i="3"/>
  <c r="S86" i="3"/>
  <c r="R89" i="1"/>
  <c r="AB88" i="1"/>
  <c r="T89" i="1"/>
  <c r="Z88" i="1"/>
  <c r="U86" i="3"/>
  <c r="AF91" i="1"/>
  <c r="AI92" i="1" s="1"/>
  <c r="AG90" i="1"/>
  <c r="V86" i="3"/>
  <c r="AA88" i="1"/>
  <c r="AC88" i="1"/>
  <c r="U89" i="1"/>
  <c r="D80" i="6"/>
  <c r="H80" i="6"/>
  <c r="C80" i="6"/>
  <c r="B81" i="6"/>
  <c r="I80" i="6"/>
  <c r="J80" i="6" s="1"/>
  <c r="K80" i="6" s="1"/>
  <c r="Y81" i="6"/>
  <c r="L80" i="6"/>
  <c r="P80" i="6" s="1"/>
  <c r="P79" i="6"/>
  <c r="V1478" i="6"/>
  <c r="S91" i="1"/>
  <c r="T88" i="3"/>
  <c r="X78" i="6"/>
  <c r="S79" i="6"/>
  <c r="I77" i="9"/>
  <c r="C77" i="9"/>
  <c r="F77" i="9"/>
  <c r="B78" i="9"/>
  <c r="D77" i="9"/>
  <c r="E77" i="9"/>
  <c r="A1480" i="6"/>
  <c r="U1479" i="6"/>
  <c r="T1479" i="6"/>
  <c r="A938" i="9"/>
  <c r="L937" i="9"/>
  <c r="K937" i="9"/>
  <c r="AW86" i="3" l="1"/>
  <c r="AA87" i="3"/>
  <c r="Z87" i="3" s="1"/>
  <c r="AQ87" i="3"/>
  <c r="AV87" i="3"/>
  <c r="AF90" i="19"/>
  <c r="AH90" i="19"/>
  <c r="AK90" i="19" s="1"/>
  <c r="AE90" i="19"/>
  <c r="AI90" i="19"/>
  <c r="AB91" i="19"/>
  <c r="AI91" i="3"/>
  <c r="Z89" i="1"/>
  <c r="AB89" i="1"/>
  <c r="T90" i="1"/>
  <c r="U87" i="3"/>
  <c r="S87" i="3"/>
  <c r="R90" i="1"/>
  <c r="AF92" i="1"/>
  <c r="AI93" i="1" s="1"/>
  <c r="AG91" i="1"/>
  <c r="V87" i="3"/>
  <c r="U90" i="1"/>
  <c r="AC89" i="1"/>
  <c r="AA89" i="1"/>
  <c r="H81" i="6"/>
  <c r="L81" i="6"/>
  <c r="D81" i="6"/>
  <c r="C81" i="6"/>
  <c r="I81" i="6"/>
  <c r="J81" i="6" s="1"/>
  <c r="K81" i="6" s="1"/>
  <c r="Y82" i="6"/>
  <c r="B82" i="6"/>
  <c r="V1479" i="6"/>
  <c r="A939" i="9"/>
  <c r="L938" i="9"/>
  <c r="K938" i="9"/>
  <c r="E78" i="9"/>
  <c r="C78" i="9"/>
  <c r="F78" i="9"/>
  <c r="I78" i="9"/>
  <c r="P78" i="9" s="1"/>
  <c r="B79" i="9"/>
  <c r="D78" i="9"/>
  <c r="U1480" i="6"/>
  <c r="A1481" i="6"/>
  <c r="T1480" i="6"/>
  <c r="X79" i="6"/>
  <c r="S80" i="6"/>
  <c r="P77" i="9"/>
  <c r="T89" i="3"/>
  <c r="S92" i="1"/>
  <c r="AA88" i="3" l="1"/>
  <c r="Z88" i="3" s="1"/>
  <c r="AQ88" i="3"/>
  <c r="AV88" i="3"/>
  <c r="AH91" i="19"/>
  <c r="AK91" i="19" s="1"/>
  <c r="AF91" i="19"/>
  <c r="AI91" i="19"/>
  <c r="AE91" i="19"/>
  <c r="AB92" i="19"/>
  <c r="S88" i="3"/>
  <c r="R91" i="1"/>
  <c r="Z90" i="1"/>
  <c r="AB90" i="1"/>
  <c r="U88" i="3"/>
  <c r="T91" i="1"/>
  <c r="AF93" i="1"/>
  <c r="AI94" i="1" s="1"/>
  <c r="AG92" i="1"/>
  <c r="AC90" i="1"/>
  <c r="U91" i="1"/>
  <c r="AA90" i="1"/>
  <c r="V88" i="3"/>
  <c r="H82" i="6"/>
  <c r="I82" i="6"/>
  <c r="J82" i="6" s="1"/>
  <c r="K82" i="6" s="1"/>
  <c r="Y83" i="6"/>
  <c r="B83" i="6"/>
  <c r="L82" i="6"/>
  <c r="P82" i="6" s="1"/>
  <c r="C82" i="6"/>
  <c r="D82" i="6"/>
  <c r="P81" i="6"/>
  <c r="V1480" i="6"/>
  <c r="S93" i="1"/>
  <c r="T90" i="3"/>
  <c r="C79" i="9"/>
  <c r="F79" i="9"/>
  <c r="I79" i="9"/>
  <c r="P79" i="9" s="1"/>
  <c r="B80" i="9"/>
  <c r="E79" i="9"/>
  <c r="D79" i="9"/>
  <c r="X80" i="6"/>
  <c r="S81" i="6"/>
  <c r="A940" i="9"/>
  <c r="L939" i="9"/>
  <c r="K939" i="9"/>
  <c r="A1482" i="6"/>
  <c r="T1481" i="6"/>
  <c r="U1481" i="6"/>
  <c r="AW88" i="3" l="1"/>
  <c r="AA89" i="3"/>
  <c r="Z89" i="3" s="1"/>
  <c r="AQ89" i="3"/>
  <c r="AV89" i="3"/>
  <c r="AF92" i="19"/>
  <c r="AH92" i="19"/>
  <c r="AK92" i="19" s="1"/>
  <c r="AE92" i="19"/>
  <c r="AI92" i="19"/>
  <c r="AB93" i="19"/>
  <c r="U89" i="3"/>
  <c r="T92" i="1"/>
  <c r="Z91" i="1"/>
  <c r="AB91" i="1"/>
  <c r="S89" i="3"/>
  <c r="R92" i="1"/>
  <c r="AF94" i="1"/>
  <c r="AI95" i="1" s="1"/>
  <c r="AG93" i="1"/>
  <c r="AC91" i="1"/>
  <c r="U92" i="1"/>
  <c r="AA91" i="1"/>
  <c r="V89" i="3"/>
  <c r="H83" i="6"/>
  <c r="L83" i="6"/>
  <c r="B84" i="6"/>
  <c r="I83" i="6"/>
  <c r="J83" i="6" s="1"/>
  <c r="K83" i="6" s="1"/>
  <c r="C83" i="6"/>
  <c r="D83" i="6"/>
  <c r="Y84" i="6"/>
  <c r="V1481" i="6"/>
  <c r="C80" i="9"/>
  <c r="E80" i="9"/>
  <c r="F80" i="9"/>
  <c r="B81" i="9"/>
  <c r="I80" i="9"/>
  <c r="P80" i="9" s="1"/>
  <c r="D80" i="9"/>
  <c r="A941" i="9"/>
  <c r="K940" i="9"/>
  <c r="L940" i="9"/>
  <c r="U1482" i="6"/>
  <c r="A1483" i="6"/>
  <c r="T1482" i="6"/>
  <c r="X81" i="6"/>
  <c r="S82" i="6"/>
  <c r="S94" i="1"/>
  <c r="T92" i="3" s="1"/>
  <c r="T91" i="3"/>
  <c r="AW89" i="3" l="1"/>
  <c r="AA90" i="3"/>
  <c r="Z90" i="3" s="1"/>
  <c r="AQ90" i="3"/>
  <c r="AV90" i="3"/>
  <c r="AH93" i="19"/>
  <c r="AK93" i="19" s="1"/>
  <c r="AF93" i="19"/>
  <c r="AI93" i="19"/>
  <c r="AE93" i="19"/>
  <c r="AB94" i="19"/>
  <c r="S90" i="3"/>
  <c r="R93" i="1"/>
  <c r="AB92" i="1"/>
  <c r="Z92" i="1"/>
  <c r="U90" i="3"/>
  <c r="T93" i="1"/>
  <c r="AF95" i="1"/>
  <c r="AI96" i="1" s="1"/>
  <c r="AG94" i="1"/>
  <c r="V90" i="3"/>
  <c r="AA92" i="1"/>
  <c r="U93" i="1"/>
  <c r="AC92" i="1"/>
  <c r="H84" i="6"/>
  <c r="I84" i="6"/>
  <c r="J84" i="6" s="1"/>
  <c r="K84" i="6" s="1"/>
  <c r="D84" i="6"/>
  <c r="L84" i="6"/>
  <c r="P84" i="6" s="1"/>
  <c r="B85" i="6"/>
  <c r="C84" i="6"/>
  <c r="Y85" i="6"/>
  <c r="P83" i="6"/>
  <c r="V1482" i="6"/>
  <c r="A942" i="9"/>
  <c r="K941" i="9"/>
  <c r="L941" i="9"/>
  <c r="B82" i="9"/>
  <c r="I81" i="9"/>
  <c r="P81" i="9" s="1"/>
  <c r="F81" i="9"/>
  <c r="D81" i="9"/>
  <c r="C81" i="9"/>
  <c r="E81" i="9"/>
  <c r="S95" i="1"/>
  <c r="T93" i="3" s="1"/>
  <c r="U1483" i="6"/>
  <c r="A1484" i="6"/>
  <c r="T1483" i="6"/>
  <c r="X82" i="6"/>
  <c r="S83" i="6"/>
  <c r="AQ91" i="3" l="1"/>
  <c r="AV91" i="3"/>
  <c r="AW91" i="3" s="1"/>
  <c r="AA91" i="3"/>
  <c r="Z91" i="3" s="1"/>
  <c r="AI94" i="19"/>
  <c r="AH94" i="19"/>
  <c r="AK94" i="19" s="1"/>
  <c r="AE94" i="19"/>
  <c r="AF94" i="19"/>
  <c r="AB95" i="19"/>
  <c r="AB93" i="1"/>
  <c r="Z93" i="1"/>
  <c r="T94" i="1"/>
  <c r="U91" i="3"/>
  <c r="S91" i="3"/>
  <c r="R94" i="1"/>
  <c r="AF96" i="1"/>
  <c r="AI97" i="1" s="1"/>
  <c r="AG95" i="1"/>
  <c r="AC93" i="1"/>
  <c r="V91" i="3"/>
  <c r="U94" i="1"/>
  <c r="V92" i="3" s="1"/>
  <c r="AA93" i="1"/>
  <c r="L85" i="6"/>
  <c r="P85" i="6" s="1"/>
  <c r="H85" i="6"/>
  <c r="I85" i="6"/>
  <c r="J85" i="6" s="1"/>
  <c r="K85" i="6" s="1"/>
  <c r="B86" i="6"/>
  <c r="Y86" i="6"/>
  <c r="C85" i="6"/>
  <c r="D85" i="6"/>
  <c r="V1483" i="6"/>
  <c r="X83" i="6"/>
  <c r="S84" i="6"/>
  <c r="E82" i="9"/>
  <c r="F82" i="9"/>
  <c r="C82" i="9"/>
  <c r="B83" i="9"/>
  <c r="I82" i="9"/>
  <c r="P82" i="9" s="1"/>
  <c r="D82" i="9"/>
  <c r="S96" i="1"/>
  <c r="T94" i="3" s="1"/>
  <c r="A1485" i="6"/>
  <c r="T1484" i="6"/>
  <c r="U1484" i="6"/>
  <c r="A943" i="9"/>
  <c r="K942" i="9"/>
  <c r="L942" i="9"/>
  <c r="U92" i="3" l="1"/>
  <c r="AA92" i="3"/>
  <c r="S92" i="3"/>
  <c r="AQ92" i="3"/>
  <c r="AV92" i="3"/>
  <c r="Z92" i="3"/>
  <c r="AI95" i="19"/>
  <c r="AF95" i="19"/>
  <c r="AE95" i="19"/>
  <c r="AH95" i="19"/>
  <c r="AK95" i="19" s="1"/>
  <c r="AB96" i="19"/>
  <c r="R95" i="1"/>
  <c r="Z94" i="1"/>
  <c r="AB94" i="1"/>
  <c r="T95" i="1"/>
  <c r="AF97" i="1"/>
  <c r="AI98" i="1" s="1"/>
  <c r="AG96" i="1"/>
  <c r="AA94" i="1"/>
  <c r="U95" i="1"/>
  <c r="V93" i="3" s="1"/>
  <c r="AC94" i="1"/>
  <c r="B87" i="6"/>
  <c r="D86" i="6"/>
  <c r="C86" i="6"/>
  <c r="L86" i="6"/>
  <c r="P86" i="6" s="1"/>
  <c r="H86" i="6"/>
  <c r="I86" i="6"/>
  <c r="J86" i="6" s="1"/>
  <c r="K86" i="6" s="1"/>
  <c r="Y87" i="6"/>
  <c r="V1484" i="6"/>
  <c r="X84" i="6"/>
  <c r="S85" i="6"/>
  <c r="S97" i="1"/>
  <c r="T95" i="3" s="1"/>
  <c r="A944" i="9"/>
  <c r="L943" i="9"/>
  <c r="K943" i="9"/>
  <c r="E83" i="9"/>
  <c r="I83" i="9"/>
  <c r="C83" i="9"/>
  <c r="F83" i="9"/>
  <c r="D83" i="9"/>
  <c r="B84" i="9"/>
  <c r="U1485" i="6"/>
  <c r="T1485" i="6"/>
  <c r="A1486" i="6"/>
  <c r="Z93" i="3" l="1"/>
  <c r="Z94" i="3" s="1"/>
  <c r="Z95" i="3" s="1"/>
  <c r="Z96" i="3" s="1"/>
  <c r="Z97" i="3" s="1"/>
  <c r="Z98" i="3" s="1"/>
  <c r="Z99" i="3" s="1"/>
  <c r="Z100" i="3" s="1"/>
  <c r="Z101" i="3" s="1"/>
  <c r="Z102" i="3" s="1"/>
  <c r="Z103" i="3" s="1"/>
  <c r="Z104" i="3" s="1"/>
  <c r="Z105" i="3" s="1"/>
  <c r="Z106" i="3" s="1"/>
  <c r="AV93" i="3"/>
  <c r="S93" i="3"/>
  <c r="AQ93" i="3"/>
  <c r="AA93" i="3"/>
  <c r="U93" i="3"/>
  <c r="AF96" i="19"/>
  <c r="AH96" i="19"/>
  <c r="AK96" i="19" s="1"/>
  <c r="AI96" i="19"/>
  <c r="AE96" i="19"/>
  <c r="AB97" i="19"/>
  <c r="Z95" i="1"/>
  <c r="AB95" i="1"/>
  <c r="T96" i="1"/>
  <c r="R96" i="1"/>
  <c r="AF98" i="1"/>
  <c r="AG97" i="1"/>
  <c r="AC95" i="1"/>
  <c r="U96" i="1"/>
  <c r="V94" i="3" s="1"/>
  <c r="AA95" i="1"/>
  <c r="D87" i="6"/>
  <c r="H87" i="6"/>
  <c r="L87" i="6"/>
  <c r="I87" i="6"/>
  <c r="J87" i="6" s="1"/>
  <c r="K87" i="6" s="1"/>
  <c r="Y88" i="6"/>
  <c r="C87" i="6"/>
  <c r="B88" i="6"/>
  <c r="V1485" i="6"/>
  <c r="A945" i="9"/>
  <c r="K944" i="9"/>
  <c r="L944" i="9"/>
  <c r="S98" i="1"/>
  <c r="X85" i="6"/>
  <c r="S86" i="6"/>
  <c r="T1486" i="6"/>
  <c r="A1487" i="6"/>
  <c r="U1486" i="6"/>
  <c r="C84" i="9"/>
  <c r="F84" i="9"/>
  <c r="I84" i="9"/>
  <c r="P84" i="9" s="1"/>
  <c r="D84" i="9"/>
  <c r="E84" i="9"/>
  <c r="B85" i="9"/>
  <c r="P83" i="9"/>
  <c r="Z107" i="3" l="1"/>
  <c r="Z108" i="3" s="1"/>
  <c r="Z109" i="3" s="1"/>
  <c r="Z110" i="3" s="1"/>
  <c r="Z111" i="3" s="1"/>
  <c r="Z112" i="3" s="1"/>
  <c r="Z113" i="3" s="1"/>
  <c r="Z114" i="3" s="1"/>
  <c r="Z115" i="3" s="1"/>
  <c r="Z116" i="3"/>
  <c r="Z117" i="3" s="1"/>
  <c r="AF99" i="1"/>
  <c r="AI100" i="1" s="1"/>
  <c r="AI99" i="1"/>
  <c r="AQ94" i="3"/>
  <c r="S94" i="3"/>
  <c r="AV94" i="3"/>
  <c r="AA94" i="3"/>
  <c r="U94" i="3"/>
  <c r="S99" i="1"/>
  <c r="T96" i="3"/>
  <c r="AF97" i="19"/>
  <c r="AE97" i="19"/>
  <c r="AI97" i="19"/>
  <c r="AH97" i="19"/>
  <c r="AK97" i="19" s="1"/>
  <c r="AB98" i="19"/>
  <c r="R97" i="1"/>
  <c r="T97" i="1"/>
  <c r="Z96" i="1"/>
  <c r="AB96" i="1"/>
  <c r="AG98" i="1"/>
  <c r="AC96" i="1"/>
  <c r="U97" i="1"/>
  <c r="V95" i="3" s="1"/>
  <c r="AA96" i="1"/>
  <c r="P87" i="6"/>
  <c r="L88" i="6"/>
  <c r="P88" i="6" s="1"/>
  <c r="I88" i="6"/>
  <c r="J88" i="6" s="1"/>
  <c r="K88" i="6" s="1"/>
  <c r="Y89" i="6"/>
  <c r="C88" i="6"/>
  <c r="B89" i="6"/>
  <c r="D88" i="6"/>
  <c r="H88" i="6"/>
  <c r="V1486" i="6"/>
  <c r="U1487" i="6"/>
  <c r="T1487" i="6"/>
  <c r="A1488" i="6"/>
  <c r="I85" i="9"/>
  <c r="B86" i="9"/>
  <c r="D85" i="9"/>
  <c r="C85" i="9"/>
  <c r="F85" i="9"/>
  <c r="E85" i="9"/>
  <c r="A946" i="9"/>
  <c r="K945" i="9"/>
  <c r="L945" i="9"/>
  <c r="X86" i="6"/>
  <c r="S87" i="6"/>
  <c r="AG99" i="1" l="1"/>
  <c r="AF100" i="1"/>
  <c r="AI101" i="1" s="1"/>
  <c r="S100" i="1"/>
  <c r="T97" i="3"/>
  <c r="AA95" i="3"/>
  <c r="U95" i="3"/>
  <c r="S95" i="3"/>
  <c r="AV95" i="3"/>
  <c r="AQ95" i="3"/>
  <c r="AF101" i="1"/>
  <c r="AI102" i="1" s="1"/>
  <c r="AF98" i="19"/>
  <c r="AH98" i="19"/>
  <c r="AK98" i="19" s="1"/>
  <c r="AE98" i="19"/>
  <c r="AI98" i="19"/>
  <c r="AB99" i="19"/>
  <c r="Z97" i="1"/>
  <c r="T98" i="1"/>
  <c r="AB97" i="1"/>
  <c r="R98" i="1"/>
  <c r="AC97" i="1"/>
  <c r="U98" i="1"/>
  <c r="AA97" i="1"/>
  <c r="I89" i="6"/>
  <c r="J89" i="6" s="1"/>
  <c r="K89" i="6" s="1"/>
  <c r="D89" i="6"/>
  <c r="H89" i="6"/>
  <c r="L89" i="6"/>
  <c r="C89" i="6"/>
  <c r="B90" i="6"/>
  <c r="Y90" i="6"/>
  <c r="V1487" i="6"/>
  <c r="B87" i="9"/>
  <c r="C86" i="9"/>
  <c r="F86" i="9"/>
  <c r="D86" i="9"/>
  <c r="I86" i="9"/>
  <c r="P86" i="9" s="1"/>
  <c r="E86" i="9"/>
  <c r="P85" i="9"/>
  <c r="A1489" i="6"/>
  <c r="T1488" i="6"/>
  <c r="U1488" i="6"/>
  <c r="X87" i="6"/>
  <c r="S88" i="6"/>
  <c r="A947" i="9"/>
  <c r="L946" i="9"/>
  <c r="K946" i="9"/>
  <c r="AG100" i="1" l="1"/>
  <c r="U99" i="1"/>
  <c r="V97" i="3" s="1"/>
  <c r="V96" i="3"/>
  <c r="R99" i="1"/>
  <c r="S96" i="3"/>
  <c r="AQ96" i="3"/>
  <c r="AV96" i="3"/>
  <c r="AG101" i="1"/>
  <c r="AF102" i="1"/>
  <c r="AI103" i="1" s="1"/>
  <c r="T99" i="1"/>
  <c r="U96" i="3"/>
  <c r="AA96" i="3"/>
  <c r="S101" i="1"/>
  <c r="T98" i="3"/>
  <c r="AC99" i="1"/>
  <c r="AF99" i="19"/>
  <c r="AH99" i="19"/>
  <c r="AK99" i="19" s="1"/>
  <c r="AI99" i="19"/>
  <c r="AE99" i="19"/>
  <c r="AB100" i="19"/>
  <c r="AB98" i="1"/>
  <c r="Z98" i="1"/>
  <c r="AC98" i="1"/>
  <c r="AA98" i="1"/>
  <c r="AA99" i="1" s="1"/>
  <c r="B91" i="6"/>
  <c r="H90" i="6"/>
  <c r="D90" i="6"/>
  <c r="I90" i="6"/>
  <c r="J90" i="6" s="1"/>
  <c r="K90" i="6" s="1"/>
  <c r="Y91" i="6"/>
  <c r="C90" i="6"/>
  <c r="L90" i="6"/>
  <c r="P90" i="6" s="1"/>
  <c r="P89" i="6"/>
  <c r="V1488" i="6"/>
  <c r="A948" i="9"/>
  <c r="K947" i="9"/>
  <c r="L947" i="9"/>
  <c r="X88" i="6"/>
  <c r="S89" i="6"/>
  <c r="U1489" i="6"/>
  <c r="A1490" i="6"/>
  <c r="T1489" i="6"/>
  <c r="B88" i="9"/>
  <c r="I87" i="9"/>
  <c r="P87" i="9" s="1"/>
  <c r="F87" i="9"/>
  <c r="D87" i="9"/>
  <c r="C87" i="9"/>
  <c r="E87" i="9"/>
  <c r="AA97" i="3" l="1"/>
  <c r="U97" i="3"/>
  <c r="S102" i="1"/>
  <c r="S103" i="1" s="1"/>
  <c r="S104" i="1" s="1"/>
  <c r="S105" i="1" s="1"/>
  <c r="S106" i="1" s="1"/>
  <c r="S107" i="1" s="1"/>
  <c r="S108" i="1" s="1"/>
  <c r="T99" i="3"/>
  <c r="U100" i="1"/>
  <c r="V98" i="3" s="1"/>
  <c r="T100" i="1"/>
  <c r="AB100" i="1" s="1"/>
  <c r="R100" i="1"/>
  <c r="S97" i="3"/>
  <c r="AV97" i="3"/>
  <c r="AQ97" i="3"/>
  <c r="AF103" i="1"/>
  <c r="AI104" i="1" s="1"/>
  <c r="AG102" i="1"/>
  <c r="AB99" i="1"/>
  <c r="Z99" i="1"/>
  <c r="AF100" i="19"/>
  <c r="AI100" i="19"/>
  <c r="AE100" i="19"/>
  <c r="AH100" i="19"/>
  <c r="AK100" i="19" s="1"/>
  <c r="AB101" i="19"/>
  <c r="Y92" i="6"/>
  <c r="L91" i="6"/>
  <c r="P91" i="6" s="1"/>
  <c r="B92" i="6"/>
  <c r="D91" i="6"/>
  <c r="C91" i="6"/>
  <c r="I91" i="6"/>
  <c r="J91" i="6" s="1"/>
  <c r="K91" i="6" s="1"/>
  <c r="H91" i="6"/>
  <c r="V1489" i="6"/>
  <c r="X89" i="6"/>
  <c r="S90" i="6"/>
  <c r="C88" i="9"/>
  <c r="E88" i="9"/>
  <c r="B89" i="9"/>
  <c r="F88" i="9"/>
  <c r="D88" i="9"/>
  <c r="I88" i="9"/>
  <c r="P88" i="9" s="1"/>
  <c r="A949" i="9"/>
  <c r="K948" i="9"/>
  <c r="L948" i="9"/>
  <c r="A1491" i="6"/>
  <c r="U1490" i="6"/>
  <c r="T1490" i="6"/>
  <c r="T101" i="1" l="1"/>
  <c r="U101" i="1"/>
  <c r="V99" i="3" s="1"/>
  <c r="AC100" i="1"/>
  <c r="Z100" i="1"/>
  <c r="Z101" i="1" s="1"/>
  <c r="AA100" i="1"/>
  <c r="AF104" i="1"/>
  <c r="AI105" i="1" s="1"/>
  <c r="AG103" i="1"/>
  <c r="R101" i="1"/>
  <c r="AQ98" i="3"/>
  <c r="S98" i="3"/>
  <c r="AV98" i="3"/>
  <c r="AA99" i="3"/>
  <c r="U99" i="3"/>
  <c r="AA98" i="3"/>
  <c r="U98" i="3"/>
  <c r="AB101" i="1"/>
  <c r="T102" i="1"/>
  <c r="AC101" i="1"/>
  <c r="U102" i="1"/>
  <c r="AA101" i="1"/>
  <c r="AE101" i="19"/>
  <c r="AI101" i="19"/>
  <c r="AH101" i="19"/>
  <c r="AK101" i="19" s="1"/>
  <c r="AF101" i="19"/>
  <c r="L92" i="6"/>
  <c r="I92" i="6"/>
  <c r="J92" i="6" s="1"/>
  <c r="K92" i="6" s="1"/>
  <c r="B93" i="6"/>
  <c r="H92" i="6"/>
  <c r="D92" i="6"/>
  <c r="Y93" i="6"/>
  <c r="C92" i="6"/>
  <c r="V1490" i="6"/>
  <c r="A1492" i="6"/>
  <c r="U1491" i="6"/>
  <c r="T1491" i="6"/>
  <c r="A950" i="9"/>
  <c r="K949" i="9"/>
  <c r="L949" i="9"/>
  <c r="X90" i="6"/>
  <c r="S91" i="6"/>
  <c r="F89" i="9"/>
  <c r="C89" i="9"/>
  <c r="I89" i="9"/>
  <c r="P89" i="9" s="1"/>
  <c r="B90" i="9"/>
  <c r="D89" i="9"/>
  <c r="E89" i="9"/>
  <c r="R102" i="1" l="1"/>
  <c r="R103" i="1" s="1"/>
  <c r="R104" i="1" s="1"/>
  <c r="R105" i="1" s="1"/>
  <c r="R106" i="1" s="1"/>
  <c r="R107" i="1" s="1"/>
  <c r="R108" i="1" s="1"/>
  <c r="AQ99" i="3"/>
  <c r="S99" i="3"/>
  <c r="AV99" i="3"/>
  <c r="AF105" i="1"/>
  <c r="AI106" i="1" s="1"/>
  <c r="AG104" i="1"/>
  <c r="AC102" i="1"/>
  <c r="U103" i="1"/>
  <c r="AA102" i="1"/>
  <c r="AB102" i="1"/>
  <c r="Z102" i="1"/>
  <c r="T103" i="1"/>
  <c r="B94" i="6"/>
  <c r="I93" i="6"/>
  <c r="J93" i="6" s="1"/>
  <c r="K93" i="6" s="1"/>
  <c r="D93" i="6"/>
  <c r="H93" i="6"/>
  <c r="Y94" i="6"/>
  <c r="L93" i="6"/>
  <c r="P93" i="6" s="1"/>
  <c r="C93" i="6"/>
  <c r="P92" i="6"/>
  <c r="V1491" i="6"/>
  <c r="C90" i="9"/>
  <c r="B91" i="9"/>
  <c r="E90" i="9"/>
  <c r="I90" i="9"/>
  <c r="P90" i="9" s="1"/>
  <c r="F90" i="9"/>
  <c r="D90" i="9"/>
  <c r="A951" i="9"/>
  <c r="L950" i="9"/>
  <c r="K950" i="9"/>
  <c r="X91" i="6"/>
  <c r="S92" i="6"/>
  <c r="A1493" i="6"/>
  <c r="U1492" i="6"/>
  <c r="T1492" i="6"/>
  <c r="AG105" i="1" l="1"/>
  <c r="AF106" i="1"/>
  <c r="AI107" i="1" s="1"/>
  <c r="AB103" i="1"/>
  <c r="T104" i="1"/>
  <c r="Z103" i="1"/>
  <c r="AC103" i="1"/>
  <c r="U104" i="1"/>
  <c r="AA103" i="1"/>
  <c r="C94" i="6"/>
  <c r="L94" i="6"/>
  <c r="B95" i="6"/>
  <c r="H94" i="6"/>
  <c r="D94" i="6"/>
  <c r="I94" i="6"/>
  <c r="J94" i="6" s="1"/>
  <c r="K94" i="6" s="1"/>
  <c r="Y95" i="6"/>
  <c r="V1492" i="6"/>
  <c r="D91" i="9"/>
  <c r="B92" i="9"/>
  <c r="E91" i="9"/>
  <c r="I91" i="9"/>
  <c r="C91" i="9"/>
  <c r="F91" i="9"/>
  <c r="U1493" i="6"/>
  <c r="A1494" i="6"/>
  <c r="T1493" i="6"/>
  <c r="X92" i="6"/>
  <c r="S93" i="6"/>
  <c r="A952" i="9"/>
  <c r="L951" i="9"/>
  <c r="K951" i="9"/>
  <c r="AF107" i="1" l="1"/>
  <c r="AI108" i="1" s="1"/>
  <c r="AG106" i="1"/>
  <c r="AA104" i="1"/>
  <c r="AC104" i="1"/>
  <c r="U105" i="1"/>
  <c r="T105" i="1"/>
  <c r="Z104" i="1"/>
  <c r="AB104" i="1"/>
  <c r="L95" i="6"/>
  <c r="P95" i="6" s="1"/>
  <c r="I95" i="6"/>
  <c r="J95" i="6" s="1"/>
  <c r="K95" i="6" s="1"/>
  <c r="B96" i="6"/>
  <c r="D95" i="6"/>
  <c r="H95" i="6"/>
  <c r="C95" i="6"/>
  <c r="Y96" i="6"/>
  <c r="P94" i="6"/>
  <c r="V1493" i="6"/>
  <c r="A953" i="9"/>
  <c r="L952" i="9"/>
  <c r="K952" i="9"/>
  <c r="B93" i="9"/>
  <c r="D92" i="9"/>
  <c r="F92" i="9"/>
  <c r="C92" i="9"/>
  <c r="E92" i="9"/>
  <c r="I92" i="9"/>
  <c r="U1494" i="6"/>
  <c r="A1495" i="6"/>
  <c r="T1494" i="6"/>
  <c r="X93" i="6"/>
  <c r="S94" i="6"/>
  <c r="P91" i="9"/>
  <c r="AF108" i="1" l="1"/>
  <c r="AG107" i="1"/>
  <c r="AB105" i="1"/>
  <c r="T106" i="1"/>
  <c r="Z105" i="1"/>
  <c r="AC105" i="1"/>
  <c r="U106" i="1"/>
  <c r="AA105" i="1"/>
  <c r="L96" i="6"/>
  <c r="P96" i="6" s="1"/>
  <c r="B97" i="6"/>
  <c r="I96" i="6"/>
  <c r="J96" i="6" s="1"/>
  <c r="K96" i="6" s="1"/>
  <c r="Y97" i="6"/>
  <c r="D96" i="6"/>
  <c r="C96" i="6"/>
  <c r="H96" i="6"/>
  <c r="V1494" i="6"/>
  <c r="A954" i="9"/>
  <c r="L953" i="9"/>
  <c r="K953" i="9"/>
  <c r="X94" i="6"/>
  <c r="S95" i="6"/>
  <c r="B94" i="9"/>
  <c r="D93" i="9"/>
  <c r="C93" i="9"/>
  <c r="I93" i="9"/>
  <c r="P93" i="9" s="1"/>
  <c r="E93" i="9"/>
  <c r="F93" i="9"/>
  <c r="P92" i="9"/>
  <c r="T1495" i="6"/>
  <c r="U1495" i="6"/>
  <c r="A1496" i="6"/>
  <c r="AG108" i="1" l="1"/>
  <c r="AI109" i="1"/>
  <c r="AC106" i="1"/>
  <c r="U107" i="1"/>
  <c r="AA106" i="1"/>
  <c r="AB106" i="1"/>
  <c r="T107" i="1"/>
  <c r="Z106" i="1"/>
  <c r="B98" i="6"/>
  <c r="Y98" i="6"/>
  <c r="D97" i="6"/>
  <c r="C97" i="6"/>
  <c r="I97" i="6"/>
  <c r="J97" i="6" s="1"/>
  <c r="K97" i="6" s="1"/>
  <c r="H97" i="6"/>
  <c r="L97" i="6"/>
  <c r="P97" i="6" s="1"/>
  <c r="V1495" i="6"/>
  <c r="X95" i="6"/>
  <c r="S96" i="6"/>
  <c r="T1496" i="6"/>
  <c r="A1497" i="6"/>
  <c r="U1496" i="6"/>
  <c r="A955" i="9"/>
  <c r="K954" i="9"/>
  <c r="L954" i="9"/>
  <c r="B95" i="9"/>
  <c r="D94" i="9"/>
  <c r="F94" i="9"/>
  <c r="C94" i="9"/>
  <c r="I94" i="9"/>
  <c r="E94" i="9"/>
  <c r="AB107" i="1" l="1"/>
  <c r="T108" i="1"/>
  <c r="Z107" i="1"/>
  <c r="AC107" i="1"/>
  <c r="U108" i="1"/>
  <c r="AA107" i="1"/>
  <c r="H98" i="6"/>
  <c r="L98" i="6"/>
  <c r="B99" i="6"/>
  <c r="C98" i="6"/>
  <c r="Y99" i="6"/>
  <c r="D98" i="6"/>
  <c r="I98" i="6"/>
  <c r="J98" i="6" s="1"/>
  <c r="K98" i="6" s="1"/>
  <c r="V1496" i="6"/>
  <c r="A956" i="9"/>
  <c r="L955" i="9"/>
  <c r="K955" i="9"/>
  <c r="E95" i="9"/>
  <c r="F95" i="9"/>
  <c r="B96" i="9"/>
  <c r="I95" i="9"/>
  <c r="P95" i="9" s="1"/>
  <c r="D95" i="9"/>
  <c r="C95" i="9"/>
  <c r="A1498" i="6"/>
  <c r="T1497" i="6"/>
  <c r="U1497" i="6"/>
  <c r="X96" i="6"/>
  <c r="S97" i="6"/>
  <c r="P94" i="9"/>
  <c r="AC108" i="1" l="1"/>
  <c r="AA108" i="1"/>
  <c r="AB108" i="1"/>
  <c r="Z108" i="1"/>
  <c r="H99" i="6"/>
  <c r="B100" i="6"/>
  <c r="D99" i="6"/>
  <c r="I99" i="6"/>
  <c r="J99" i="6" s="1"/>
  <c r="K99" i="6" s="1"/>
  <c r="L99" i="6"/>
  <c r="P99" i="6" s="1"/>
  <c r="C99" i="6"/>
  <c r="Y100" i="6"/>
  <c r="P98" i="6"/>
  <c r="V1497" i="6"/>
  <c r="X97" i="6"/>
  <c r="S98" i="6"/>
  <c r="A957" i="9"/>
  <c r="K956" i="9"/>
  <c r="L956" i="9"/>
  <c r="U1498" i="6"/>
  <c r="A1499" i="6"/>
  <c r="T1498" i="6"/>
  <c r="C96" i="9"/>
  <c r="F96" i="9"/>
  <c r="E96" i="9"/>
  <c r="D96" i="9"/>
  <c r="B97" i="9"/>
  <c r="I96" i="9"/>
  <c r="D100" i="6" l="1"/>
  <c r="L100" i="6"/>
  <c r="I100" i="6"/>
  <c r="J100" i="6" s="1"/>
  <c r="K100" i="6" s="1"/>
  <c r="B101" i="6"/>
  <c r="H100" i="6"/>
  <c r="C100" i="6"/>
  <c r="Y101" i="6"/>
  <c r="V1498" i="6"/>
  <c r="P96" i="9"/>
  <c r="E97" i="9"/>
  <c r="B98" i="9"/>
  <c r="F97" i="9"/>
  <c r="D97" i="9"/>
  <c r="I97" i="9"/>
  <c r="C97" i="9"/>
  <c r="A958" i="9"/>
  <c r="L957" i="9"/>
  <c r="K957" i="9"/>
  <c r="A1500" i="6"/>
  <c r="T1499" i="6"/>
  <c r="U1499" i="6"/>
  <c r="X98" i="6"/>
  <c r="S99" i="6"/>
  <c r="Y102" i="6" l="1"/>
  <c r="B102" i="6"/>
  <c r="D101" i="6"/>
  <c r="L101" i="6"/>
  <c r="P101" i="6" s="1"/>
  <c r="C101" i="6"/>
  <c r="H101" i="6"/>
  <c r="I101" i="6"/>
  <c r="J101" i="6" s="1"/>
  <c r="K101" i="6" s="1"/>
  <c r="P100" i="6"/>
  <c r="V1499" i="6"/>
  <c r="B99" i="9"/>
  <c r="F98" i="9"/>
  <c r="I98" i="9"/>
  <c r="P98" i="9" s="1"/>
  <c r="D98" i="9"/>
  <c r="E98" i="9"/>
  <c r="C98" i="9"/>
  <c r="X99" i="6"/>
  <c r="S100" i="6"/>
  <c r="P97" i="9"/>
  <c r="A1501" i="6"/>
  <c r="U1500" i="6"/>
  <c r="T1500" i="6"/>
  <c r="A959" i="9"/>
  <c r="K958" i="9"/>
  <c r="L958" i="9"/>
  <c r="H102" i="6" l="1"/>
  <c r="I102" i="6"/>
  <c r="J102" i="6" s="1"/>
  <c r="K102" i="6" s="1"/>
  <c r="L102" i="6"/>
  <c r="P102" i="6" s="1"/>
  <c r="C102" i="6"/>
  <c r="D102" i="6"/>
  <c r="B103" i="6"/>
  <c r="Y103" i="6"/>
  <c r="V1500" i="6"/>
  <c r="A960" i="9"/>
  <c r="K959" i="9"/>
  <c r="L959" i="9"/>
  <c r="A1502" i="6"/>
  <c r="T1501" i="6"/>
  <c r="U1501" i="6"/>
  <c r="X100" i="6"/>
  <c r="S101" i="6"/>
  <c r="I99" i="9"/>
  <c r="F99" i="9"/>
  <c r="E99" i="9"/>
  <c r="C99" i="9"/>
  <c r="B100" i="9"/>
  <c r="D99" i="9"/>
  <c r="I103" i="6" l="1"/>
  <c r="J103" i="6" s="1"/>
  <c r="K103" i="6" s="1"/>
  <c r="L103" i="6"/>
  <c r="Y104" i="6"/>
  <c r="B104" i="6"/>
  <c r="D103" i="6"/>
  <c r="H103" i="6"/>
  <c r="C103" i="6"/>
  <c r="V1501" i="6"/>
  <c r="A1503" i="6"/>
  <c r="U1502" i="6"/>
  <c r="T1502" i="6"/>
  <c r="A961" i="9"/>
  <c r="K960" i="9"/>
  <c r="L960" i="9"/>
  <c r="P99" i="9"/>
  <c r="D100" i="9"/>
  <c r="F100" i="9"/>
  <c r="I100" i="9"/>
  <c r="E100" i="9"/>
  <c r="C100" i="9"/>
  <c r="B101" i="9"/>
  <c r="X101" i="6"/>
  <c r="S102" i="6"/>
  <c r="L104" i="6" l="1"/>
  <c r="P104" i="6" s="1"/>
  <c r="H104" i="6"/>
  <c r="D104" i="6"/>
  <c r="Y105" i="6"/>
  <c r="B105" i="6"/>
  <c r="C104" i="6"/>
  <c r="I104" i="6"/>
  <c r="J104" i="6" s="1"/>
  <c r="K104" i="6" s="1"/>
  <c r="P103" i="6"/>
  <c r="V1502" i="6"/>
  <c r="F101" i="9"/>
  <c r="E101" i="9"/>
  <c r="B102" i="9"/>
  <c r="I101" i="9"/>
  <c r="P101" i="9" s="1"/>
  <c r="D101" i="9"/>
  <c r="C101" i="9"/>
  <c r="A962" i="9"/>
  <c r="L961" i="9"/>
  <c r="K961" i="9"/>
  <c r="X102" i="6"/>
  <c r="S103" i="6"/>
  <c r="A1504" i="6"/>
  <c r="U1503" i="6"/>
  <c r="T1503" i="6"/>
  <c r="P100" i="9"/>
  <c r="C105" i="6" l="1"/>
  <c r="L105" i="6"/>
  <c r="I105" i="6"/>
  <c r="J105" i="6" s="1"/>
  <c r="K105" i="6" s="1"/>
  <c r="B106" i="6"/>
  <c r="Y106" i="6"/>
  <c r="H105" i="6"/>
  <c r="D105" i="6"/>
  <c r="V1503" i="6"/>
  <c r="A963" i="9"/>
  <c r="K962" i="9"/>
  <c r="L962" i="9"/>
  <c r="A1505" i="6"/>
  <c r="U1504" i="6"/>
  <c r="T1504" i="6"/>
  <c r="C102" i="9"/>
  <c r="D102" i="9"/>
  <c r="I102" i="9"/>
  <c r="P102" i="9" s="1"/>
  <c r="F102" i="9"/>
  <c r="E102" i="9"/>
  <c r="B103" i="9"/>
  <c r="X103" i="6"/>
  <c r="S104" i="6"/>
  <c r="L106" i="6" l="1"/>
  <c r="P106" i="6" s="1"/>
  <c r="Y107" i="6"/>
  <c r="H106" i="6"/>
  <c r="D106" i="6"/>
  <c r="I106" i="6"/>
  <c r="J106" i="6" s="1"/>
  <c r="K106" i="6" s="1"/>
  <c r="B107" i="6"/>
  <c r="C106" i="6"/>
  <c r="P105" i="6"/>
  <c r="V1504" i="6"/>
  <c r="X104" i="6"/>
  <c r="S105" i="6"/>
  <c r="A1506" i="6"/>
  <c r="T1505" i="6"/>
  <c r="U1505" i="6"/>
  <c r="B104" i="9"/>
  <c r="F103" i="9"/>
  <c r="D103" i="9"/>
  <c r="E103" i="9"/>
  <c r="C103" i="9"/>
  <c r="I103" i="9"/>
  <c r="P103" i="9" s="1"/>
  <c r="A964" i="9"/>
  <c r="L963" i="9"/>
  <c r="K963" i="9"/>
  <c r="I107" i="6" l="1"/>
  <c r="J107" i="6" s="1"/>
  <c r="K107" i="6" s="1"/>
  <c r="L107" i="6"/>
  <c r="Y108" i="6"/>
  <c r="H107" i="6"/>
  <c r="B108" i="6"/>
  <c r="C107" i="6"/>
  <c r="D107" i="6"/>
  <c r="V1505" i="6"/>
  <c r="I104" i="9"/>
  <c r="F104" i="9"/>
  <c r="D104" i="9"/>
  <c r="B105" i="9"/>
  <c r="C104" i="9"/>
  <c r="E104" i="9"/>
  <c r="U1506" i="6"/>
  <c r="T1506" i="6"/>
  <c r="A1507" i="6"/>
  <c r="X105" i="6"/>
  <c r="S106" i="6"/>
  <c r="A965" i="9"/>
  <c r="L964" i="9"/>
  <c r="K964" i="9"/>
  <c r="H108" i="6" l="1"/>
  <c r="B109" i="6"/>
  <c r="D108" i="6"/>
  <c r="L108" i="6"/>
  <c r="P108" i="6" s="1"/>
  <c r="Y109" i="6"/>
  <c r="I108" i="6"/>
  <c r="J108" i="6" s="1"/>
  <c r="K108" i="6" s="1"/>
  <c r="C108" i="6"/>
  <c r="P107" i="6"/>
  <c r="V1506" i="6"/>
  <c r="D105" i="9"/>
  <c r="B106" i="9"/>
  <c r="C105" i="9"/>
  <c r="F105" i="9"/>
  <c r="E105" i="9"/>
  <c r="I105" i="9"/>
  <c r="X106" i="6"/>
  <c r="S107" i="6"/>
  <c r="A1508" i="6"/>
  <c r="T1507" i="6"/>
  <c r="U1507" i="6"/>
  <c r="P104" i="9"/>
  <c r="A966" i="9"/>
  <c r="L965" i="9"/>
  <c r="K965" i="9"/>
  <c r="H109" i="6" l="1"/>
  <c r="Y110" i="6"/>
  <c r="D109" i="6"/>
  <c r="I109" i="6"/>
  <c r="J109" i="6" s="1"/>
  <c r="K109" i="6" s="1"/>
  <c r="B110" i="6"/>
  <c r="L109" i="6"/>
  <c r="P109" i="6" s="1"/>
  <c r="C109" i="6"/>
  <c r="V1507" i="6"/>
  <c r="P105" i="9"/>
  <c r="A967" i="9"/>
  <c r="K966" i="9"/>
  <c r="L966" i="9"/>
  <c r="B107" i="9"/>
  <c r="F106" i="9"/>
  <c r="C106" i="9"/>
  <c r="D106" i="9"/>
  <c r="I106" i="9"/>
  <c r="P106" i="9" s="1"/>
  <c r="E106" i="9"/>
  <c r="U1508" i="6"/>
  <c r="A1509" i="6"/>
  <c r="T1508" i="6"/>
  <c r="X107" i="6"/>
  <c r="S108" i="6"/>
  <c r="C110" i="6" l="1"/>
  <c r="Y111" i="6"/>
  <c r="I110" i="6"/>
  <c r="J110" i="6" s="1"/>
  <c r="K110" i="6" s="1"/>
  <c r="H110" i="6"/>
  <c r="D110" i="6"/>
  <c r="B111" i="6"/>
  <c r="L110" i="6"/>
  <c r="P110" i="6" s="1"/>
  <c r="V1508" i="6"/>
  <c r="C107" i="9"/>
  <c r="F107" i="9"/>
  <c r="E107" i="9"/>
  <c r="D107" i="9"/>
  <c r="I107" i="9"/>
  <c r="P107" i="9" s="1"/>
  <c r="B108" i="9"/>
  <c r="A968" i="9"/>
  <c r="L967" i="9"/>
  <c r="K967" i="9"/>
  <c r="A1510" i="6"/>
  <c r="T1509" i="6"/>
  <c r="U1509" i="6"/>
  <c r="X108" i="6"/>
  <c r="S109" i="6"/>
  <c r="H111" i="6" l="1"/>
  <c r="D111" i="6"/>
  <c r="B112" i="6"/>
  <c r="C111" i="6"/>
  <c r="I111" i="6"/>
  <c r="J111" i="6" s="1"/>
  <c r="K111" i="6" s="1"/>
  <c r="L111" i="6"/>
  <c r="Y112" i="6"/>
  <c r="V1509" i="6"/>
  <c r="A969" i="9"/>
  <c r="L968" i="9"/>
  <c r="K968" i="9"/>
  <c r="E108" i="9"/>
  <c r="B109" i="9"/>
  <c r="C108" i="9"/>
  <c r="F108" i="9"/>
  <c r="I108" i="9"/>
  <c r="D108" i="9"/>
  <c r="X109" i="6"/>
  <c r="S110" i="6"/>
  <c r="A1511" i="6"/>
  <c r="U1510" i="6"/>
  <c r="T1510" i="6"/>
  <c r="P111" i="6" l="1"/>
  <c r="B113" i="6"/>
  <c r="D112" i="6"/>
  <c r="I112" i="6"/>
  <c r="J112" i="6" s="1"/>
  <c r="K112" i="6" s="1"/>
  <c r="C112" i="6"/>
  <c r="L112" i="6"/>
  <c r="H112" i="6"/>
  <c r="Y113" i="6"/>
  <c r="V1510" i="6"/>
  <c r="F109" i="9"/>
  <c r="C109" i="9"/>
  <c r="E109" i="9"/>
  <c r="I109" i="9"/>
  <c r="B110" i="9"/>
  <c r="D109" i="9"/>
  <c r="P108" i="9"/>
  <c r="X110" i="6"/>
  <c r="S111" i="6"/>
  <c r="A1512" i="6"/>
  <c r="T1511" i="6"/>
  <c r="U1511" i="6"/>
  <c r="A970" i="9"/>
  <c r="L969" i="9"/>
  <c r="K969" i="9"/>
  <c r="P112" i="6" l="1"/>
  <c r="H113" i="6"/>
  <c r="B114" i="6"/>
  <c r="C113" i="6"/>
  <c r="I113" i="6"/>
  <c r="J113" i="6" s="1"/>
  <c r="K113" i="6" s="1"/>
  <c r="D113" i="6"/>
  <c r="L113" i="6"/>
  <c r="P113" i="6" s="1"/>
  <c r="Y114" i="6"/>
  <c r="V1511" i="6"/>
  <c r="B111" i="9"/>
  <c r="F110" i="9"/>
  <c r="D110" i="9"/>
  <c r="E110" i="9"/>
  <c r="C110" i="9"/>
  <c r="I110" i="9"/>
  <c r="A971" i="9"/>
  <c r="K970" i="9"/>
  <c r="L970" i="9"/>
  <c r="A1513" i="6"/>
  <c r="T1512" i="6"/>
  <c r="U1512" i="6"/>
  <c r="P109" i="9"/>
  <c r="X111" i="6"/>
  <c r="S112" i="6"/>
  <c r="I114" i="6" l="1"/>
  <c r="J114" i="6" s="1"/>
  <c r="K114" i="6" s="1"/>
  <c r="L114" i="6"/>
  <c r="P114" i="6" s="1"/>
  <c r="C114" i="6"/>
  <c r="B115" i="6"/>
  <c r="Y115" i="6"/>
  <c r="D114" i="6"/>
  <c r="H114" i="6"/>
  <c r="V1512" i="6"/>
  <c r="U1513" i="6"/>
  <c r="A1514" i="6"/>
  <c r="T1513" i="6"/>
  <c r="A972" i="9"/>
  <c r="K971" i="9"/>
  <c r="L971" i="9"/>
  <c r="X112" i="6"/>
  <c r="S113" i="6"/>
  <c r="C111" i="9"/>
  <c r="E111" i="9"/>
  <c r="I111" i="9"/>
  <c r="P111" i="9" s="1"/>
  <c r="B112" i="9"/>
  <c r="F111" i="9"/>
  <c r="D111" i="9"/>
  <c r="P110" i="9"/>
  <c r="L115" i="6" l="1"/>
  <c r="D115" i="6"/>
  <c r="H115" i="6"/>
  <c r="C115" i="6"/>
  <c r="I115" i="6"/>
  <c r="J115" i="6" s="1"/>
  <c r="K115" i="6" s="1"/>
  <c r="B116" i="6"/>
  <c r="Y116" i="6"/>
  <c r="V1513" i="6"/>
  <c r="D112" i="9"/>
  <c r="I112" i="9"/>
  <c r="P112" i="9" s="1"/>
  <c r="C112" i="9"/>
  <c r="F112" i="9"/>
  <c r="E112" i="9"/>
  <c r="B113" i="9"/>
  <c r="A973" i="9"/>
  <c r="L972" i="9"/>
  <c r="K972" i="9"/>
  <c r="X113" i="6"/>
  <c r="S114" i="6"/>
  <c r="A1515" i="6"/>
  <c r="T1514" i="6"/>
  <c r="U1514" i="6"/>
  <c r="Y117" i="6" l="1"/>
  <c r="L116" i="6"/>
  <c r="P116" i="6" s="1"/>
  <c r="I116" i="6"/>
  <c r="J116" i="6" s="1"/>
  <c r="K116" i="6" s="1"/>
  <c r="B117" i="6"/>
  <c r="H116" i="6"/>
  <c r="C116" i="6"/>
  <c r="D116" i="6"/>
  <c r="P115" i="6"/>
  <c r="V1514" i="6"/>
  <c r="A1516" i="6"/>
  <c r="U1515" i="6"/>
  <c r="T1515" i="6"/>
  <c r="I113" i="9"/>
  <c r="P113" i="9" s="1"/>
  <c r="B114" i="9"/>
  <c r="C113" i="9"/>
  <c r="E113" i="9"/>
  <c r="D113" i="9"/>
  <c r="F113" i="9"/>
  <c r="X114" i="6"/>
  <c r="S115" i="6"/>
  <c r="A974" i="9"/>
  <c r="K973" i="9"/>
  <c r="L973" i="9"/>
  <c r="C117" i="6" l="1"/>
  <c r="Y118" i="6"/>
  <c r="L117" i="6"/>
  <c r="P117" i="6" s="1"/>
  <c r="I117" i="6"/>
  <c r="J117" i="6" s="1"/>
  <c r="K117" i="6" s="1"/>
  <c r="H117" i="6"/>
  <c r="B118" i="6"/>
  <c r="D117" i="6"/>
  <c r="V1515" i="6"/>
  <c r="A975" i="9"/>
  <c r="K974" i="9"/>
  <c r="L974" i="9"/>
  <c r="C114" i="9"/>
  <c r="E114" i="9"/>
  <c r="F114" i="9"/>
  <c r="D114" i="9"/>
  <c r="B115" i="9"/>
  <c r="I114" i="9"/>
  <c r="P114" i="9" s="1"/>
  <c r="A1517" i="6"/>
  <c r="T1516" i="6"/>
  <c r="U1516" i="6"/>
  <c r="X115" i="6"/>
  <c r="S116" i="6"/>
  <c r="I118" i="6" l="1"/>
  <c r="J118" i="6" s="1"/>
  <c r="K118" i="6" s="1"/>
  <c r="D118" i="6"/>
  <c r="C118" i="6"/>
  <c r="Y119" i="6"/>
  <c r="B119" i="6"/>
  <c r="L118" i="6"/>
  <c r="H118" i="6"/>
  <c r="V1516" i="6"/>
  <c r="A976" i="9"/>
  <c r="L975" i="9"/>
  <c r="K975" i="9"/>
  <c r="X116" i="6"/>
  <c r="S117" i="6"/>
  <c r="A1518" i="6"/>
  <c r="U1517" i="6"/>
  <c r="T1517" i="6"/>
  <c r="F115" i="9"/>
  <c r="D115" i="9"/>
  <c r="C115" i="9"/>
  <c r="B116" i="9"/>
  <c r="E115" i="9"/>
  <c r="I115" i="9"/>
  <c r="P115" i="9" s="1"/>
  <c r="P118" i="6" l="1"/>
  <c r="L119" i="6"/>
  <c r="B120" i="6"/>
  <c r="I119" i="6"/>
  <c r="J119" i="6" s="1"/>
  <c r="K119" i="6" s="1"/>
  <c r="H119" i="6"/>
  <c r="D119" i="6"/>
  <c r="Y120" i="6"/>
  <c r="C119" i="6"/>
  <c r="V1517" i="6"/>
  <c r="X117" i="6"/>
  <c r="S118" i="6"/>
  <c r="T1518" i="6"/>
  <c r="U1518" i="6"/>
  <c r="A1519" i="6"/>
  <c r="A977" i="9"/>
  <c r="L976" i="9"/>
  <c r="K976" i="9"/>
  <c r="E116" i="9"/>
  <c r="D116" i="9"/>
  <c r="F116" i="9"/>
  <c r="B117" i="9"/>
  <c r="I116" i="9"/>
  <c r="P116" i="9" s="1"/>
  <c r="C116" i="9"/>
  <c r="Y121" i="6" l="1"/>
  <c r="B121" i="6"/>
  <c r="L120" i="6"/>
  <c r="P120" i="6" s="1"/>
  <c r="D120" i="6"/>
  <c r="C120" i="6"/>
  <c r="I120" i="6"/>
  <c r="J120" i="6" s="1"/>
  <c r="K120" i="6" s="1"/>
  <c r="H120" i="6"/>
  <c r="P119" i="6"/>
  <c r="V1518" i="6"/>
  <c r="A978" i="9"/>
  <c r="K977" i="9"/>
  <c r="L977" i="9"/>
  <c r="U1519" i="6"/>
  <c r="A1520" i="6"/>
  <c r="T1519" i="6"/>
  <c r="D117" i="9"/>
  <c r="F117" i="9"/>
  <c r="C117" i="9"/>
  <c r="E117" i="9"/>
  <c r="I117" i="9"/>
  <c r="P117" i="9" s="1"/>
  <c r="B118" i="9"/>
  <c r="X118" i="6"/>
  <c r="S119" i="6"/>
  <c r="Y122" i="6" l="1"/>
  <c r="L121" i="6"/>
  <c r="B122" i="6"/>
  <c r="H121" i="6"/>
  <c r="C121" i="6"/>
  <c r="I121" i="6"/>
  <c r="J121" i="6" s="1"/>
  <c r="K121" i="6" s="1"/>
  <c r="D121" i="6"/>
  <c r="V1519" i="6"/>
  <c r="A1521" i="6"/>
  <c r="U1520" i="6"/>
  <c r="T1520" i="6"/>
  <c r="A979" i="9"/>
  <c r="L978" i="9"/>
  <c r="K978" i="9"/>
  <c r="F118" i="9"/>
  <c r="C118" i="9"/>
  <c r="D118" i="9"/>
  <c r="E118" i="9"/>
  <c r="I118" i="9"/>
  <c r="P118" i="9" s="1"/>
  <c r="B119" i="9"/>
  <c r="X119" i="6"/>
  <c r="S120" i="6"/>
  <c r="B123" i="6" l="1"/>
  <c r="Y123" i="6"/>
  <c r="H122" i="6"/>
  <c r="D122" i="6"/>
  <c r="I122" i="6"/>
  <c r="J122" i="6" s="1"/>
  <c r="K122" i="6" s="1"/>
  <c r="C122" i="6"/>
  <c r="L122" i="6"/>
  <c r="P122" i="6" s="1"/>
  <c r="P121" i="6"/>
  <c r="V1520" i="6"/>
  <c r="F119" i="9"/>
  <c r="D119" i="9"/>
  <c r="C119" i="9"/>
  <c r="B120" i="9"/>
  <c r="E119" i="9"/>
  <c r="I119" i="9"/>
  <c r="A1522" i="6"/>
  <c r="U1521" i="6"/>
  <c r="T1521" i="6"/>
  <c r="X120" i="6"/>
  <c r="S121" i="6"/>
  <c r="A980" i="9"/>
  <c r="L979" i="9"/>
  <c r="K979" i="9"/>
  <c r="H123" i="6" l="1"/>
  <c r="Y124" i="6"/>
  <c r="I123" i="6"/>
  <c r="J123" i="6" s="1"/>
  <c r="K123" i="6" s="1"/>
  <c r="B124" i="6"/>
  <c r="C123" i="6"/>
  <c r="L123" i="6"/>
  <c r="P123" i="6" s="1"/>
  <c r="D123" i="6"/>
  <c r="V1521" i="6"/>
  <c r="A1523" i="6"/>
  <c r="U1522" i="6"/>
  <c r="T1522" i="6"/>
  <c r="I120" i="9"/>
  <c r="D120" i="9"/>
  <c r="C120" i="9"/>
  <c r="F120" i="9"/>
  <c r="E120" i="9"/>
  <c r="B121" i="9"/>
  <c r="P119" i="9"/>
  <c r="A981" i="9"/>
  <c r="L980" i="9"/>
  <c r="K980" i="9"/>
  <c r="X121" i="6"/>
  <c r="S122" i="6"/>
  <c r="B125" i="6" l="1"/>
  <c r="Y125" i="6"/>
  <c r="I124" i="6"/>
  <c r="J124" i="6" s="1"/>
  <c r="K124" i="6" s="1"/>
  <c r="C124" i="6"/>
  <c r="L124" i="6"/>
  <c r="P124" i="6" s="1"/>
  <c r="D124" i="6"/>
  <c r="H124" i="6"/>
  <c r="V1522" i="6"/>
  <c r="F121" i="9"/>
  <c r="E121" i="9"/>
  <c r="I121" i="9"/>
  <c r="P121" i="9" s="1"/>
  <c r="D121" i="9"/>
  <c r="B122" i="9"/>
  <c r="C121" i="9"/>
  <c r="A982" i="9"/>
  <c r="L981" i="9"/>
  <c r="K981" i="9"/>
  <c r="A1524" i="6"/>
  <c r="U1523" i="6"/>
  <c r="T1523" i="6"/>
  <c r="X122" i="6"/>
  <c r="S123" i="6"/>
  <c r="P120" i="9"/>
  <c r="Y126" i="6" l="1"/>
  <c r="B126" i="6"/>
  <c r="D125" i="6"/>
  <c r="I125" i="6"/>
  <c r="J125" i="6" s="1"/>
  <c r="K125" i="6" s="1"/>
  <c r="L125" i="6"/>
  <c r="P125" i="6" s="1"/>
  <c r="C125" i="6"/>
  <c r="H125" i="6"/>
  <c r="V1523" i="6"/>
  <c r="X123" i="6"/>
  <c r="S124" i="6"/>
  <c r="A983" i="9"/>
  <c r="K982" i="9"/>
  <c r="L982" i="9"/>
  <c r="A1525" i="6"/>
  <c r="U1524" i="6"/>
  <c r="T1524" i="6"/>
  <c r="D122" i="9"/>
  <c r="E122" i="9"/>
  <c r="I122" i="9"/>
  <c r="F122" i="9"/>
  <c r="B123" i="9"/>
  <c r="C122" i="9"/>
  <c r="I126" i="6" l="1"/>
  <c r="J126" i="6" s="1"/>
  <c r="K126" i="6" s="1"/>
  <c r="H126" i="6"/>
  <c r="Y127" i="6"/>
  <c r="D126" i="6"/>
  <c r="B127" i="6"/>
  <c r="C126" i="6"/>
  <c r="L126" i="6"/>
  <c r="P126" i="6" s="1"/>
  <c r="V1524" i="6"/>
  <c r="U1525" i="6"/>
  <c r="A1526" i="6"/>
  <c r="T1525" i="6"/>
  <c r="X124" i="6"/>
  <c r="S125" i="6"/>
  <c r="A984" i="9"/>
  <c r="L983" i="9"/>
  <c r="K983" i="9"/>
  <c r="P122" i="9"/>
  <c r="E123" i="9"/>
  <c r="D123" i="9"/>
  <c r="B124" i="9"/>
  <c r="I123" i="9"/>
  <c r="P123" i="9" s="1"/>
  <c r="F123" i="9"/>
  <c r="C123" i="9"/>
  <c r="B128" i="6" l="1"/>
  <c r="Y128" i="6"/>
  <c r="I127" i="6"/>
  <c r="J127" i="6" s="1"/>
  <c r="K127" i="6" s="1"/>
  <c r="C127" i="6"/>
  <c r="L127" i="6"/>
  <c r="P127" i="6" s="1"/>
  <c r="H127" i="6"/>
  <c r="D127" i="6"/>
  <c r="V1525" i="6"/>
  <c r="A985" i="9"/>
  <c r="L984" i="9"/>
  <c r="K984" i="9"/>
  <c r="X125" i="6"/>
  <c r="S126" i="6"/>
  <c r="A1527" i="6"/>
  <c r="U1526" i="6"/>
  <c r="T1526" i="6"/>
  <c r="F124" i="9"/>
  <c r="D124" i="9"/>
  <c r="C124" i="9"/>
  <c r="I124" i="9"/>
  <c r="E124" i="9"/>
  <c r="B125" i="9"/>
  <c r="B129" i="6" l="1"/>
  <c r="L128" i="6"/>
  <c r="H128" i="6"/>
  <c r="I128" i="6"/>
  <c r="J128" i="6" s="1"/>
  <c r="K128" i="6" s="1"/>
  <c r="C128" i="6"/>
  <c r="Y129" i="6"/>
  <c r="D128" i="6"/>
  <c r="V1526" i="6"/>
  <c r="X126" i="6"/>
  <c r="S127" i="6"/>
  <c r="P124" i="9"/>
  <c r="A986" i="9"/>
  <c r="K985" i="9"/>
  <c r="L985" i="9"/>
  <c r="D125" i="9"/>
  <c r="F125" i="9"/>
  <c r="I125" i="9"/>
  <c r="P125" i="9" s="1"/>
  <c r="C125" i="9"/>
  <c r="B126" i="9"/>
  <c r="E125" i="9"/>
  <c r="A1528" i="6"/>
  <c r="T1527" i="6"/>
  <c r="U1527" i="6"/>
  <c r="P128" i="6" l="1"/>
  <c r="I129" i="6"/>
  <c r="J129" i="6" s="1"/>
  <c r="K129" i="6" s="1"/>
  <c r="B130" i="6"/>
  <c r="H129" i="6"/>
  <c r="L129" i="6"/>
  <c r="P129" i="6" s="1"/>
  <c r="D129" i="6"/>
  <c r="C129" i="6"/>
  <c r="Y130" i="6"/>
  <c r="V1527" i="6"/>
  <c r="A987" i="9"/>
  <c r="K986" i="9"/>
  <c r="L986" i="9"/>
  <c r="C126" i="9"/>
  <c r="F126" i="9"/>
  <c r="I126" i="9"/>
  <c r="P126" i="9" s="1"/>
  <c r="D126" i="9"/>
  <c r="E126" i="9"/>
  <c r="B127" i="9"/>
  <c r="X127" i="6"/>
  <c r="S128" i="6"/>
  <c r="A1529" i="6"/>
  <c r="T1528" i="6"/>
  <c r="U1528" i="6"/>
  <c r="I130" i="6" l="1"/>
  <c r="J130" i="6" s="1"/>
  <c r="K130" i="6" s="1"/>
  <c r="L130" i="6"/>
  <c r="C130" i="6"/>
  <c r="D130" i="6"/>
  <c r="H130" i="6"/>
  <c r="B131" i="6"/>
  <c r="Y131" i="6"/>
  <c r="V1528" i="6"/>
  <c r="A1530" i="6"/>
  <c r="U1529" i="6"/>
  <c r="T1529" i="6"/>
  <c r="X128" i="6"/>
  <c r="S129" i="6"/>
  <c r="D127" i="9"/>
  <c r="I127" i="9"/>
  <c r="P127" i="9" s="1"/>
  <c r="B128" i="9"/>
  <c r="E127" i="9"/>
  <c r="C127" i="9"/>
  <c r="F127" i="9"/>
  <c r="A988" i="9"/>
  <c r="K987" i="9"/>
  <c r="L987" i="9"/>
  <c r="I131" i="6" l="1"/>
  <c r="J131" i="6" s="1"/>
  <c r="K131" i="6" s="1"/>
  <c r="B132" i="6"/>
  <c r="L131" i="6"/>
  <c r="P131" i="6" s="1"/>
  <c r="C131" i="6"/>
  <c r="Y132" i="6"/>
  <c r="D131" i="6"/>
  <c r="H131" i="6"/>
  <c r="P130" i="6"/>
  <c r="V1529" i="6"/>
  <c r="X129" i="6"/>
  <c r="S130" i="6"/>
  <c r="A989" i="9"/>
  <c r="L988" i="9"/>
  <c r="K988" i="9"/>
  <c r="A1531" i="6"/>
  <c r="U1530" i="6"/>
  <c r="T1530" i="6"/>
  <c r="C128" i="9"/>
  <c r="F128" i="9"/>
  <c r="D128" i="9"/>
  <c r="I128" i="9"/>
  <c r="P128" i="9" s="1"/>
  <c r="B129" i="9"/>
  <c r="E128" i="9"/>
  <c r="B133" i="6" l="1"/>
  <c r="C132" i="6"/>
  <c r="L132" i="6"/>
  <c r="P132" i="6" s="1"/>
  <c r="Y133" i="6"/>
  <c r="H132" i="6"/>
  <c r="D132" i="6"/>
  <c r="I132" i="6"/>
  <c r="J132" i="6" s="1"/>
  <c r="K132" i="6" s="1"/>
  <c r="V1530" i="6"/>
  <c r="A1532" i="6"/>
  <c r="T1531" i="6"/>
  <c r="U1531" i="6"/>
  <c r="C129" i="9"/>
  <c r="E129" i="9"/>
  <c r="D129" i="9"/>
  <c r="F129" i="9"/>
  <c r="B130" i="9"/>
  <c r="I129" i="9"/>
  <c r="A990" i="9"/>
  <c r="K989" i="9"/>
  <c r="L989" i="9"/>
  <c r="X130" i="6"/>
  <c r="S131" i="6"/>
  <c r="B134" i="6" l="1"/>
  <c r="H133" i="6"/>
  <c r="L133" i="6"/>
  <c r="Y134" i="6"/>
  <c r="D133" i="6"/>
  <c r="C133" i="6"/>
  <c r="I133" i="6"/>
  <c r="J133" i="6" s="1"/>
  <c r="K133" i="6" s="1"/>
  <c r="V1531" i="6"/>
  <c r="A991" i="9"/>
  <c r="K990" i="9"/>
  <c r="L990" i="9"/>
  <c r="A1533" i="6"/>
  <c r="T1532" i="6"/>
  <c r="U1532" i="6"/>
  <c r="I130" i="9"/>
  <c r="P130" i="9" s="1"/>
  <c r="C130" i="9"/>
  <c r="F130" i="9"/>
  <c r="D130" i="9"/>
  <c r="E130" i="9"/>
  <c r="B131" i="9"/>
  <c r="P129" i="9"/>
  <c r="X131" i="6"/>
  <c r="S132" i="6"/>
  <c r="Y135" i="6" l="1"/>
  <c r="I134" i="6"/>
  <c r="J134" i="6" s="1"/>
  <c r="K134" i="6" s="1"/>
  <c r="D134" i="6"/>
  <c r="C134" i="6"/>
  <c r="H134" i="6"/>
  <c r="L134" i="6"/>
  <c r="P134" i="6" s="1"/>
  <c r="B135" i="6"/>
  <c r="P133" i="6"/>
  <c r="V1532" i="6"/>
  <c r="X132" i="6"/>
  <c r="S133" i="6"/>
  <c r="A992" i="9"/>
  <c r="L991" i="9"/>
  <c r="K991" i="9"/>
  <c r="C131" i="9"/>
  <c r="E131" i="9"/>
  <c r="I131" i="9"/>
  <c r="P131" i="9" s="1"/>
  <c r="F131" i="9"/>
  <c r="D131" i="9"/>
  <c r="B132" i="9"/>
  <c r="A1534" i="6"/>
  <c r="U1533" i="6"/>
  <c r="T1533" i="6"/>
  <c r="C135" i="6" l="1"/>
  <c r="L135" i="6"/>
  <c r="Y136" i="6"/>
  <c r="I135" i="6"/>
  <c r="J135" i="6" s="1"/>
  <c r="K135" i="6" s="1"/>
  <c r="B136" i="6"/>
  <c r="H135" i="6"/>
  <c r="D135" i="6"/>
  <c r="V1533" i="6"/>
  <c r="A993" i="9"/>
  <c r="L992" i="9"/>
  <c r="K992" i="9"/>
  <c r="E132" i="9"/>
  <c r="F132" i="9"/>
  <c r="C132" i="9"/>
  <c r="I132" i="9"/>
  <c r="P132" i="9" s="1"/>
  <c r="D132" i="9"/>
  <c r="B133" i="9"/>
  <c r="X133" i="6"/>
  <c r="S134" i="6"/>
  <c r="A1535" i="6"/>
  <c r="T1534" i="6"/>
  <c r="U1534" i="6"/>
  <c r="P135" i="6" l="1"/>
  <c r="I136" i="6"/>
  <c r="J136" i="6" s="1"/>
  <c r="K136" i="6" s="1"/>
  <c r="B137" i="6"/>
  <c r="Y137" i="6"/>
  <c r="C136" i="6"/>
  <c r="D136" i="6"/>
  <c r="H136" i="6"/>
  <c r="L136" i="6"/>
  <c r="V1534" i="6"/>
  <c r="A994" i="9"/>
  <c r="L993" i="9"/>
  <c r="K993" i="9"/>
  <c r="X134" i="6"/>
  <c r="S135" i="6"/>
  <c r="B134" i="9"/>
  <c r="F133" i="9"/>
  <c r="C133" i="9"/>
  <c r="E133" i="9"/>
  <c r="D133" i="9"/>
  <c r="I133" i="9"/>
  <c r="P133" i="9" s="1"/>
  <c r="A1536" i="6"/>
  <c r="T1535" i="6"/>
  <c r="U1535" i="6"/>
  <c r="H137" i="6" l="1"/>
  <c r="D137" i="6"/>
  <c r="L137" i="6"/>
  <c r="Y138" i="6"/>
  <c r="I137" i="6"/>
  <c r="J137" i="6" s="1"/>
  <c r="K137" i="6" s="1"/>
  <c r="B138" i="6"/>
  <c r="C137" i="6"/>
  <c r="P136" i="6"/>
  <c r="V1535" i="6"/>
  <c r="D134" i="9"/>
  <c r="E134" i="9"/>
  <c r="C134" i="9"/>
  <c r="I134" i="9"/>
  <c r="P134" i="9" s="1"/>
  <c r="F134" i="9"/>
  <c r="B135" i="9"/>
  <c r="X135" i="6"/>
  <c r="S136" i="6"/>
  <c r="A1537" i="6"/>
  <c r="U1536" i="6"/>
  <c r="T1536" i="6"/>
  <c r="A995" i="9"/>
  <c r="K994" i="9"/>
  <c r="L994" i="9"/>
  <c r="H138" i="6" l="1"/>
  <c r="D138" i="6"/>
  <c r="C138" i="6"/>
  <c r="Y139" i="6"/>
  <c r="B139" i="6"/>
  <c r="L138" i="6"/>
  <c r="P138" i="6" s="1"/>
  <c r="I138" i="6"/>
  <c r="J138" i="6" s="1"/>
  <c r="K138" i="6" s="1"/>
  <c r="P137" i="6"/>
  <c r="V1536" i="6"/>
  <c r="T1537" i="6"/>
  <c r="A1538" i="6"/>
  <c r="U1537" i="6"/>
  <c r="X136" i="6"/>
  <c r="S137" i="6"/>
  <c r="A996" i="9"/>
  <c r="K995" i="9"/>
  <c r="L995" i="9"/>
  <c r="I135" i="9"/>
  <c r="P135" i="9" s="1"/>
  <c r="E135" i="9"/>
  <c r="C135" i="9"/>
  <c r="D135" i="9"/>
  <c r="F135" i="9"/>
  <c r="B136" i="9"/>
  <c r="B140" i="6" l="1"/>
  <c r="I139" i="6"/>
  <c r="J139" i="6" s="1"/>
  <c r="K139" i="6" s="1"/>
  <c r="H139" i="6"/>
  <c r="D139" i="6"/>
  <c r="C139" i="6"/>
  <c r="Y140" i="6"/>
  <c r="L139" i="6"/>
  <c r="V1537" i="6"/>
  <c r="X137" i="6"/>
  <c r="S138" i="6"/>
  <c r="A997" i="9"/>
  <c r="L996" i="9"/>
  <c r="K996" i="9"/>
  <c r="B137" i="9"/>
  <c r="I136" i="9"/>
  <c r="C136" i="9"/>
  <c r="E136" i="9"/>
  <c r="F136" i="9"/>
  <c r="D136" i="9"/>
  <c r="T1538" i="6"/>
  <c r="A1539" i="6"/>
  <c r="U1538" i="6"/>
  <c r="P139" i="6" l="1"/>
  <c r="Y141" i="6"/>
  <c r="C140" i="6"/>
  <c r="H140" i="6"/>
  <c r="I140" i="6"/>
  <c r="J140" i="6" s="1"/>
  <c r="K140" i="6" s="1"/>
  <c r="L140" i="6"/>
  <c r="B141" i="6"/>
  <c r="D140" i="6"/>
  <c r="V1538" i="6"/>
  <c r="A998" i="9"/>
  <c r="L997" i="9"/>
  <c r="K997" i="9"/>
  <c r="D137" i="9"/>
  <c r="C137" i="9"/>
  <c r="E137" i="9"/>
  <c r="B138" i="9"/>
  <c r="I137" i="9"/>
  <c r="P137" i="9" s="1"/>
  <c r="F137" i="9"/>
  <c r="P136" i="9"/>
  <c r="A1540" i="6"/>
  <c r="U1539" i="6"/>
  <c r="T1539" i="6"/>
  <c r="X138" i="6"/>
  <c r="S139" i="6"/>
  <c r="D141" i="6" l="1"/>
  <c r="L141" i="6"/>
  <c r="P141" i="6" s="1"/>
  <c r="C141" i="6"/>
  <c r="Y142" i="6"/>
  <c r="B142" i="6"/>
  <c r="I141" i="6"/>
  <c r="J141" i="6" s="1"/>
  <c r="K141" i="6" s="1"/>
  <c r="H141" i="6"/>
  <c r="P140" i="6"/>
  <c r="V1539" i="6"/>
  <c r="X139" i="6"/>
  <c r="S140" i="6"/>
  <c r="E138" i="9"/>
  <c r="C138" i="9"/>
  <c r="B139" i="9"/>
  <c r="I138" i="9"/>
  <c r="P138" i="9" s="1"/>
  <c r="F138" i="9"/>
  <c r="D138" i="9"/>
  <c r="A1541" i="6"/>
  <c r="U1540" i="6"/>
  <c r="T1540" i="6"/>
  <c r="A999" i="9"/>
  <c r="K998" i="9"/>
  <c r="L998" i="9"/>
  <c r="L142" i="6" l="1"/>
  <c r="Y143" i="6"/>
  <c r="B143" i="6"/>
  <c r="I142" i="6"/>
  <c r="J142" i="6" s="1"/>
  <c r="K142" i="6" s="1"/>
  <c r="C142" i="6"/>
  <c r="H142" i="6"/>
  <c r="D142" i="6"/>
  <c r="V1540" i="6"/>
  <c r="I139" i="9"/>
  <c r="P139" i="9" s="1"/>
  <c r="E139" i="9"/>
  <c r="D139" i="9"/>
  <c r="B140" i="9"/>
  <c r="F139" i="9"/>
  <c r="C139" i="9"/>
  <c r="A1542" i="6"/>
  <c r="T1541" i="6"/>
  <c r="U1541" i="6"/>
  <c r="X140" i="6"/>
  <c r="S141" i="6"/>
  <c r="A1000" i="9"/>
  <c r="L999" i="9"/>
  <c r="K999" i="9"/>
  <c r="C143" i="6" l="1"/>
  <c r="D143" i="6"/>
  <c r="H143" i="6"/>
  <c r="B144" i="6"/>
  <c r="Y144" i="6"/>
  <c r="L143" i="6"/>
  <c r="P143" i="6" s="1"/>
  <c r="I143" i="6"/>
  <c r="J143" i="6" s="1"/>
  <c r="K143" i="6" s="1"/>
  <c r="P142" i="6"/>
  <c r="V1541" i="6"/>
  <c r="A1543" i="6"/>
  <c r="T1542" i="6"/>
  <c r="U1542" i="6"/>
  <c r="E140" i="9"/>
  <c r="D140" i="9"/>
  <c r="C140" i="9"/>
  <c r="B141" i="9"/>
  <c r="I140" i="9"/>
  <c r="P140" i="9" s="1"/>
  <c r="F140" i="9"/>
  <c r="X141" i="6"/>
  <c r="S142" i="6"/>
  <c r="A1001" i="9"/>
  <c r="K1000" i="9"/>
  <c r="L1000" i="9"/>
  <c r="D144" i="6" l="1"/>
  <c r="Y145" i="6"/>
  <c r="B145" i="6"/>
  <c r="L144" i="6"/>
  <c r="P144" i="6" s="1"/>
  <c r="I144" i="6"/>
  <c r="J144" i="6" s="1"/>
  <c r="K144" i="6" s="1"/>
  <c r="C144" i="6"/>
  <c r="H144" i="6"/>
  <c r="V1542" i="6"/>
  <c r="T1543" i="6"/>
  <c r="U1543" i="6"/>
  <c r="A1544" i="6"/>
  <c r="X142" i="6"/>
  <c r="S143" i="6"/>
  <c r="A1002" i="9"/>
  <c r="K1001" i="9"/>
  <c r="L1001" i="9"/>
  <c r="I141" i="9"/>
  <c r="F141" i="9"/>
  <c r="D141" i="9"/>
  <c r="C141" i="9"/>
  <c r="E141" i="9"/>
  <c r="B142" i="9"/>
  <c r="L145" i="6" l="1"/>
  <c r="P145" i="6" s="1"/>
  <c r="B146" i="6"/>
  <c r="C145" i="6"/>
  <c r="H145" i="6"/>
  <c r="Y146" i="6"/>
  <c r="I145" i="6"/>
  <c r="J145" i="6" s="1"/>
  <c r="K145" i="6" s="1"/>
  <c r="D145" i="6"/>
  <c r="V1543" i="6"/>
  <c r="A1545" i="6"/>
  <c r="T1544" i="6"/>
  <c r="U1544" i="6"/>
  <c r="A1003" i="9"/>
  <c r="K1002" i="9"/>
  <c r="L1002" i="9"/>
  <c r="P141" i="9"/>
  <c r="X143" i="6"/>
  <c r="S144" i="6"/>
  <c r="C142" i="9"/>
  <c r="B143" i="9"/>
  <c r="E142" i="9"/>
  <c r="F142" i="9"/>
  <c r="D142" i="9"/>
  <c r="I142" i="9"/>
  <c r="P142" i="9" s="1"/>
  <c r="I146" i="6" l="1"/>
  <c r="J146" i="6" s="1"/>
  <c r="K146" i="6" s="1"/>
  <c r="H146" i="6"/>
  <c r="C146" i="6"/>
  <c r="B147" i="6"/>
  <c r="Y147" i="6"/>
  <c r="L146" i="6"/>
  <c r="P146" i="6" s="1"/>
  <c r="D146" i="6"/>
  <c r="V1544" i="6"/>
  <c r="X144" i="6"/>
  <c r="S145" i="6"/>
  <c r="F143" i="9"/>
  <c r="I143" i="9"/>
  <c r="P143" i="9" s="1"/>
  <c r="D143" i="9"/>
  <c r="E143" i="9"/>
  <c r="C143" i="9"/>
  <c r="B144" i="9"/>
  <c r="A1004" i="9"/>
  <c r="K1003" i="9"/>
  <c r="L1003" i="9"/>
  <c r="U1545" i="6"/>
  <c r="A1546" i="6"/>
  <c r="T1545" i="6"/>
  <c r="Y148" i="6" l="1"/>
  <c r="L147" i="6"/>
  <c r="P147" i="6" s="1"/>
  <c r="H147" i="6"/>
  <c r="I147" i="6"/>
  <c r="J147" i="6" s="1"/>
  <c r="K147" i="6" s="1"/>
  <c r="D147" i="6"/>
  <c r="C147" i="6"/>
  <c r="B148" i="6"/>
  <c r="V1545" i="6"/>
  <c r="U1546" i="6"/>
  <c r="A1547" i="6"/>
  <c r="T1546" i="6"/>
  <c r="F144" i="9"/>
  <c r="E144" i="9"/>
  <c r="I144" i="9"/>
  <c r="D144" i="9"/>
  <c r="C144" i="9"/>
  <c r="B145" i="9"/>
  <c r="X145" i="6"/>
  <c r="S146" i="6"/>
  <c r="A1005" i="9"/>
  <c r="K1004" i="9"/>
  <c r="L1004" i="9"/>
  <c r="H148" i="6" l="1"/>
  <c r="L148" i="6"/>
  <c r="P148" i="6" s="1"/>
  <c r="I148" i="6"/>
  <c r="J148" i="6" s="1"/>
  <c r="K148" i="6" s="1"/>
  <c r="C148" i="6"/>
  <c r="B149" i="6"/>
  <c r="Y149" i="6"/>
  <c r="D148" i="6"/>
  <c r="V1546" i="6"/>
  <c r="B146" i="9"/>
  <c r="F145" i="9"/>
  <c r="I145" i="9"/>
  <c r="P145" i="9" s="1"/>
  <c r="D145" i="9"/>
  <c r="E145" i="9"/>
  <c r="C145" i="9"/>
  <c r="X146" i="6"/>
  <c r="S147" i="6"/>
  <c r="A1548" i="6"/>
  <c r="U1547" i="6"/>
  <c r="T1547" i="6"/>
  <c r="A1006" i="9"/>
  <c r="K1005" i="9"/>
  <c r="L1005" i="9"/>
  <c r="P144" i="9"/>
  <c r="Y150" i="6" l="1"/>
  <c r="D149" i="6"/>
  <c r="H149" i="6"/>
  <c r="C149" i="6"/>
  <c r="I149" i="6"/>
  <c r="J149" i="6" s="1"/>
  <c r="K149" i="6" s="1"/>
  <c r="B150" i="6"/>
  <c r="L149" i="6"/>
  <c r="V1547" i="6"/>
  <c r="X147" i="6"/>
  <c r="S148" i="6"/>
  <c r="A1549" i="6"/>
  <c r="U1548" i="6"/>
  <c r="T1548" i="6"/>
  <c r="A1007" i="9"/>
  <c r="L1006" i="9"/>
  <c r="K1006" i="9"/>
  <c r="D146" i="9"/>
  <c r="F146" i="9"/>
  <c r="E146" i="9"/>
  <c r="B147" i="9"/>
  <c r="C146" i="9"/>
  <c r="I146" i="9"/>
  <c r="P149" i="6" l="1"/>
  <c r="Y151" i="6"/>
  <c r="C150" i="6"/>
  <c r="L150" i="6"/>
  <c r="D150" i="6"/>
  <c r="B151" i="6"/>
  <c r="H150" i="6"/>
  <c r="I150" i="6"/>
  <c r="J150" i="6" s="1"/>
  <c r="K150" i="6" s="1"/>
  <c r="V1548" i="6"/>
  <c r="A1008" i="9"/>
  <c r="K1007" i="9"/>
  <c r="L1007" i="9"/>
  <c r="P146" i="9"/>
  <c r="X148" i="6"/>
  <c r="S149" i="6"/>
  <c r="I147" i="9"/>
  <c r="E147" i="9"/>
  <c r="F147" i="9"/>
  <c r="D147" i="9"/>
  <c r="C147" i="9"/>
  <c r="B148" i="9"/>
  <c r="A1550" i="6"/>
  <c r="U1549" i="6"/>
  <c r="T1549" i="6"/>
  <c r="I151" i="6" l="1"/>
  <c r="J151" i="6" s="1"/>
  <c r="K151" i="6" s="1"/>
  <c r="D151" i="6"/>
  <c r="Y152" i="6"/>
  <c r="L151" i="6"/>
  <c r="P151" i="6" s="1"/>
  <c r="C151" i="6"/>
  <c r="H151" i="6"/>
  <c r="B152" i="6"/>
  <c r="P150" i="6"/>
  <c r="V1549" i="6"/>
  <c r="P147" i="9"/>
  <c r="A1009" i="9"/>
  <c r="K1008" i="9"/>
  <c r="L1008" i="9"/>
  <c r="A1551" i="6"/>
  <c r="T1550" i="6"/>
  <c r="U1550" i="6"/>
  <c r="F148" i="9"/>
  <c r="E148" i="9"/>
  <c r="C148" i="9"/>
  <c r="I148" i="9"/>
  <c r="B149" i="9"/>
  <c r="D148" i="9"/>
  <c r="X149" i="6"/>
  <c r="S150" i="6"/>
  <c r="V1550" i="6" l="1"/>
  <c r="C152" i="6"/>
  <c r="B153" i="6"/>
  <c r="I152" i="6"/>
  <c r="J152" i="6" s="1"/>
  <c r="K152" i="6" s="1"/>
  <c r="H152" i="6"/>
  <c r="Y153" i="6"/>
  <c r="L152" i="6"/>
  <c r="D152" i="6"/>
  <c r="D149" i="9"/>
  <c r="E149" i="9"/>
  <c r="F149" i="9"/>
  <c r="I149" i="9"/>
  <c r="P149" i="9" s="1"/>
  <c r="B150" i="9"/>
  <c r="C149" i="9"/>
  <c r="A1552" i="6"/>
  <c r="U1551" i="6"/>
  <c r="T1551" i="6"/>
  <c r="A1010" i="9"/>
  <c r="K1009" i="9"/>
  <c r="L1009" i="9"/>
  <c r="P148" i="9"/>
  <c r="X150" i="6"/>
  <c r="S151" i="6"/>
  <c r="P152" i="6" l="1"/>
  <c r="H153" i="6"/>
  <c r="D153" i="6"/>
  <c r="I153" i="6"/>
  <c r="J153" i="6" s="1"/>
  <c r="K153" i="6" s="1"/>
  <c r="C153" i="6"/>
  <c r="B154" i="6"/>
  <c r="L153" i="6"/>
  <c r="Y154" i="6"/>
  <c r="V1551" i="6"/>
  <c r="A1553" i="6"/>
  <c r="T1552" i="6"/>
  <c r="U1552" i="6"/>
  <c r="X151" i="6"/>
  <c r="S152" i="6"/>
  <c r="E150" i="9"/>
  <c r="I150" i="9"/>
  <c r="P150" i="9" s="1"/>
  <c r="D150" i="9"/>
  <c r="B151" i="9"/>
  <c r="F150" i="9"/>
  <c r="C150" i="9"/>
  <c r="A1011" i="9"/>
  <c r="L1010" i="9"/>
  <c r="K1010" i="9"/>
  <c r="L154" i="6" l="1"/>
  <c r="C154" i="6"/>
  <c r="B155" i="6"/>
  <c r="H154" i="6"/>
  <c r="I154" i="6"/>
  <c r="J154" i="6" s="1"/>
  <c r="K154" i="6" s="1"/>
  <c r="Y155" i="6"/>
  <c r="D154" i="6"/>
  <c r="P153" i="6"/>
  <c r="V1552" i="6"/>
  <c r="F151" i="9"/>
  <c r="I151" i="9"/>
  <c r="D151" i="9"/>
  <c r="E151" i="9"/>
  <c r="B152" i="9"/>
  <c r="C151" i="9"/>
  <c r="X152" i="6"/>
  <c r="S153" i="6"/>
  <c r="A1012" i="9"/>
  <c r="L1011" i="9"/>
  <c r="K1011" i="9"/>
  <c r="U1553" i="6"/>
  <c r="T1553" i="6"/>
  <c r="A1554" i="6"/>
  <c r="Y156" i="6" l="1"/>
  <c r="L155" i="6"/>
  <c r="P155" i="6" s="1"/>
  <c r="H155" i="6"/>
  <c r="B156" i="6"/>
  <c r="D155" i="6"/>
  <c r="C155" i="6"/>
  <c r="I155" i="6"/>
  <c r="J155" i="6" s="1"/>
  <c r="K155" i="6" s="1"/>
  <c r="P154" i="6"/>
  <c r="V1553" i="6"/>
  <c r="D152" i="9"/>
  <c r="B153" i="9"/>
  <c r="F152" i="9"/>
  <c r="E152" i="9"/>
  <c r="I152" i="9"/>
  <c r="P152" i="9" s="1"/>
  <c r="C152" i="9"/>
  <c r="A1013" i="9"/>
  <c r="K1012" i="9"/>
  <c r="L1012" i="9"/>
  <c r="T1554" i="6"/>
  <c r="A1555" i="6"/>
  <c r="U1554" i="6"/>
  <c r="X153" i="6"/>
  <c r="S154" i="6"/>
  <c r="P151" i="9"/>
  <c r="Y157" i="6" l="1"/>
  <c r="I156" i="6"/>
  <c r="J156" i="6" s="1"/>
  <c r="K156" i="6" s="1"/>
  <c r="D156" i="6"/>
  <c r="H156" i="6"/>
  <c r="C156" i="6"/>
  <c r="B157" i="6"/>
  <c r="L156" i="6"/>
  <c r="V1554" i="6"/>
  <c r="C153" i="9"/>
  <c r="B154" i="9"/>
  <c r="I153" i="9"/>
  <c r="P153" i="9" s="1"/>
  <c r="E153" i="9"/>
  <c r="D153" i="9"/>
  <c r="F153" i="9"/>
  <c r="A1556" i="6"/>
  <c r="T1555" i="6"/>
  <c r="U1555" i="6"/>
  <c r="A1014" i="9"/>
  <c r="L1013" i="9"/>
  <c r="K1013" i="9"/>
  <c r="X154" i="6"/>
  <c r="S155" i="6"/>
  <c r="P156" i="6" l="1"/>
  <c r="C157" i="6"/>
  <c r="Y158" i="6"/>
  <c r="I157" i="6"/>
  <c r="J157" i="6" s="1"/>
  <c r="K157" i="6" s="1"/>
  <c r="D157" i="6"/>
  <c r="B158" i="6"/>
  <c r="H157" i="6"/>
  <c r="L157" i="6"/>
  <c r="P157" i="6" s="1"/>
  <c r="V1555" i="6"/>
  <c r="A1015" i="9"/>
  <c r="K1014" i="9"/>
  <c r="L1014" i="9"/>
  <c r="A1557" i="6"/>
  <c r="T1556" i="6"/>
  <c r="U1556" i="6"/>
  <c r="F154" i="9"/>
  <c r="E154" i="9"/>
  <c r="D154" i="9"/>
  <c r="I154" i="9"/>
  <c r="P154" i="9" s="1"/>
  <c r="B155" i="9"/>
  <c r="C154" i="9"/>
  <c r="X155" i="6"/>
  <c r="S156" i="6"/>
  <c r="D158" i="6" l="1"/>
  <c r="I158" i="6"/>
  <c r="J158" i="6" s="1"/>
  <c r="K158" i="6" s="1"/>
  <c r="B159" i="6"/>
  <c r="H158" i="6"/>
  <c r="C158" i="6"/>
  <c r="Y159" i="6"/>
  <c r="L158" i="6"/>
  <c r="V1556" i="6"/>
  <c r="T1557" i="6"/>
  <c r="A1558" i="6"/>
  <c r="U1557" i="6"/>
  <c r="I155" i="9"/>
  <c r="P155" i="9" s="1"/>
  <c r="D155" i="9"/>
  <c r="C155" i="9"/>
  <c r="E155" i="9"/>
  <c r="B156" i="9"/>
  <c r="F155" i="9"/>
  <c r="A1016" i="9"/>
  <c r="L1015" i="9"/>
  <c r="K1015" i="9"/>
  <c r="X156" i="6"/>
  <c r="S157" i="6"/>
  <c r="P158" i="6" l="1"/>
  <c r="Y160" i="6"/>
  <c r="L159" i="6"/>
  <c r="P159" i="6" s="1"/>
  <c r="H159" i="6"/>
  <c r="B160" i="6"/>
  <c r="D159" i="6"/>
  <c r="I159" i="6"/>
  <c r="J159" i="6" s="1"/>
  <c r="K159" i="6" s="1"/>
  <c r="C159" i="6"/>
  <c r="V1557" i="6"/>
  <c r="B157" i="9"/>
  <c r="E156" i="9"/>
  <c r="F156" i="9"/>
  <c r="D156" i="9"/>
  <c r="C156" i="9"/>
  <c r="I156" i="9"/>
  <c r="A1559" i="6"/>
  <c r="T1558" i="6"/>
  <c r="U1558" i="6"/>
  <c r="X157" i="6"/>
  <c r="S158" i="6"/>
  <c r="A1017" i="9"/>
  <c r="L1016" i="9"/>
  <c r="K1016" i="9"/>
  <c r="I160" i="6" l="1"/>
  <c r="J160" i="6" s="1"/>
  <c r="K160" i="6" s="1"/>
  <c r="L160" i="6"/>
  <c r="P160" i="6" s="1"/>
  <c r="Y161" i="6"/>
  <c r="D160" i="6"/>
  <c r="B161" i="6"/>
  <c r="H160" i="6"/>
  <c r="C160" i="6"/>
  <c r="V1558" i="6"/>
  <c r="X158" i="6"/>
  <c r="S159" i="6"/>
  <c r="T1559" i="6"/>
  <c r="A1560" i="6"/>
  <c r="U1559" i="6"/>
  <c r="P156" i="9"/>
  <c r="E157" i="9"/>
  <c r="F157" i="9"/>
  <c r="C157" i="9"/>
  <c r="B158" i="9"/>
  <c r="D157" i="9"/>
  <c r="I157" i="9"/>
  <c r="P157" i="9" s="1"/>
  <c r="A1018" i="9"/>
  <c r="L1017" i="9"/>
  <c r="K1017" i="9"/>
  <c r="D161" i="6" l="1"/>
  <c r="B162" i="6"/>
  <c r="H161" i="6"/>
  <c r="Y162" i="6"/>
  <c r="C161" i="6"/>
  <c r="L161" i="6"/>
  <c r="P161" i="6" s="1"/>
  <c r="I161" i="6"/>
  <c r="J161" i="6" s="1"/>
  <c r="K161" i="6" s="1"/>
  <c r="V1559" i="6"/>
  <c r="K1018" i="9"/>
  <c r="L1018" i="9"/>
  <c r="A1561" i="6"/>
  <c r="U1560" i="6"/>
  <c r="T1560" i="6"/>
  <c r="E158" i="9"/>
  <c r="F158" i="9"/>
  <c r="C158" i="9"/>
  <c r="D158" i="9"/>
  <c r="B159" i="9"/>
  <c r="I158" i="9"/>
  <c r="X159" i="6"/>
  <c r="S160" i="6"/>
  <c r="Y163" i="6" l="1"/>
  <c r="B163" i="6"/>
  <c r="D162" i="6"/>
  <c r="L162" i="6"/>
  <c r="P162" i="6" s="1"/>
  <c r="H162" i="6"/>
  <c r="I162" i="6"/>
  <c r="J162" i="6" s="1"/>
  <c r="K162" i="6" s="1"/>
  <c r="C162" i="6"/>
  <c r="V1560" i="6"/>
  <c r="X160" i="6"/>
  <c r="S161" i="6"/>
  <c r="T1561" i="6"/>
  <c r="A1562" i="6"/>
  <c r="U1561" i="6"/>
  <c r="P158" i="9"/>
  <c r="B160" i="9"/>
  <c r="I159" i="9"/>
  <c r="C159" i="9"/>
  <c r="F159" i="9"/>
  <c r="D159" i="9"/>
  <c r="E159" i="9"/>
  <c r="H163" i="6" l="1"/>
  <c r="Y164" i="6"/>
  <c r="I163" i="6"/>
  <c r="J163" i="6" s="1"/>
  <c r="K163" i="6" s="1"/>
  <c r="B164" i="6"/>
  <c r="L163" i="6"/>
  <c r="C163" i="6"/>
  <c r="D163" i="6"/>
  <c r="V1561" i="6"/>
  <c r="T1562" i="6"/>
  <c r="A1563" i="6"/>
  <c r="U1562" i="6"/>
  <c r="F160" i="9"/>
  <c r="E160" i="9"/>
  <c r="I160" i="9"/>
  <c r="P160" i="9" s="1"/>
  <c r="C160" i="9"/>
  <c r="D160" i="9"/>
  <c r="B161" i="9"/>
  <c r="P159" i="9"/>
  <c r="X161" i="6"/>
  <c r="S162" i="6"/>
  <c r="C164" i="6" l="1"/>
  <c r="D164" i="6"/>
  <c r="Y165" i="6"/>
  <c r="L164" i="6"/>
  <c r="P164" i="6" s="1"/>
  <c r="I164" i="6"/>
  <c r="J164" i="6" s="1"/>
  <c r="K164" i="6" s="1"/>
  <c r="B165" i="6"/>
  <c r="H164" i="6"/>
  <c r="P163" i="6"/>
  <c r="V1562" i="6"/>
  <c r="E161" i="9"/>
  <c r="F161" i="9"/>
  <c r="I161" i="9"/>
  <c r="P161" i="9" s="1"/>
  <c r="D161" i="9"/>
  <c r="B162" i="9"/>
  <c r="C161" i="9"/>
  <c r="A1564" i="6"/>
  <c r="U1563" i="6"/>
  <c r="T1563" i="6"/>
  <c r="X162" i="6"/>
  <c r="S163" i="6"/>
  <c r="D165" i="6" l="1"/>
  <c r="Y166" i="6"/>
  <c r="I165" i="6"/>
  <c r="J165" i="6" s="1"/>
  <c r="K165" i="6" s="1"/>
  <c r="H165" i="6"/>
  <c r="C165" i="6"/>
  <c r="L165" i="6"/>
  <c r="P165" i="6" s="1"/>
  <c r="B166" i="6"/>
  <c r="V1563" i="6"/>
  <c r="B163" i="9"/>
  <c r="E162" i="9"/>
  <c r="F162" i="9"/>
  <c r="D162" i="9"/>
  <c r="C162" i="9"/>
  <c r="I162" i="9"/>
  <c r="P162" i="9" s="1"/>
  <c r="X163" i="6"/>
  <c r="S164" i="6"/>
  <c r="A1565" i="6"/>
  <c r="U1564" i="6"/>
  <c r="T1564" i="6"/>
  <c r="I166" i="6" l="1"/>
  <c r="J166" i="6" s="1"/>
  <c r="K166" i="6" s="1"/>
  <c r="D166" i="6"/>
  <c r="H166" i="6"/>
  <c r="L166" i="6"/>
  <c r="P166" i="6" s="1"/>
  <c r="B167" i="6"/>
  <c r="C166" i="6"/>
  <c r="Y167" i="6"/>
  <c r="V1564" i="6"/>
  <c r="X164" i="6"/>
  <c r="S165" i="6"/>
  <c r="A1566" i="6"/>
  <c r="T1565" i="6"/>
  <c r="U1565" i="6"/>
  <c r="D163" i="9"/>
  <c r="I163" i="9"/>
  <c r="B164" i="9"/>
  <c r="F163" i="9"/>
  <c r="E163" i="9"/>
  <c r="C163" i="9"/>
  <c r="L167" i="6" l="1"/>
  <c r="P167" i="6" s="1"/>
  <c r="C167" i="6"/>
  <c r="Y168" i="6"/>
  <c r="I167" i="6"/>
  <c r="J167" i="6" s="1"/>
  <c r="K167" i="6" s="1"/>
  <c r="H167" i="6"/>
  <c r="D167" i="6"/>
  <c r="B168" i="6"/>
  <c r="V1565" i="6"/>
  <c r="P163" i="9"/>
  <c r="U1566" i="6"/>
  <c r="A1567" i="6"/>
  <c r="T1566" i="6"/>
  <c r="X165" i="6"/>
  <c r="S166" i="6"/>
  <c r="F164" i="9"/>
  <c r="B165" i="9"/>
  <c r="C164" i="9"/>
  <c r="I164" i="9"/>
  <c r="E164" i="9"/>
  <c r="D164" i="9"/>
  <c r="L168" i="6" l="1"/>
  <c r="P168" i="6" s="1"/>
  <c r="B169" i="6"/>
  <c r="C168" i="6"/>
  <c r="H168" i="6"/>
  <c r="Y169" i="6"/>
  <c r="I168" i="6"/>
  <c r="J168" i="6" s="1"/>
  <c r="K168" i="6" s="1"/>
  <c r="D168" i="6"/>
  <c r="V1566" i="6"/>
  <c r="T1567" i="6"/>
  <c r="A1568" i="6"/>
  <c r="U1567" i="6"/>
  <c r="X166" i="6"/>
  <c r="S167" i="6"/>
  <c r="E165" i="9"/>
  <c r="B166" i="9"/>
  <c r="F165" i="9"/>
  <c r="I165" i="9"/>
  <c r="P165" i="9" s="1"/>
  <c r="D165" i="9"/>
  <c r="C165" i="9"/>
  <c r="P164" i="9"/>
  <c r="C169" i="6" l="1"/>
  <c r="I169" i="6"/>
  <c r="J169" i="6" s="1"/>
  <c r="K169" i="6" s="1"/>
  <c r="B170" i="6"/>
  <c r="H169" i="6"/>
  <c r="L169" i="6"/>
  <c r="P169" i="6" s="1"/>
  <c r="Y170" i="6"/>
  <c r="D169" i="6"/>
  <c r="V1567" i="6"/>
  <c r="X167" i="6"/>
  <c r="S168" i="6"/>
  <c r="U1568" i="6"/>
  <c r="A1569" i="6"/>
  <c r="T1568" i="6"/>
  <c r="D166" i="9"/>
  <c r="C166" i="9"/>
  <c r="I166" i="9"/>
  <c r="P166" i="9" s="1"/>
  <c r="B167" i="9"/>
  <c r="E166" i="9"/>
  <c r="F166" i="9"/>
  <c r="H170" i="6" l="1"/>
  <c r="B171" i="6"/>
  <c r="D170" i="6"/>
  <c r="I170" i="6"/>
  <c r="J170" i="6" s="1"/>
  <c r="K170" i="6" s="1"/>
  <c r="Y171" i="6"/>
  <c r="C170" i="6"/>
  <c r="L170" i="6"/>
  <c r="P170" i="6" s="1"/>
  <c r="V1568" i="6"/>
  <c r="U1569" i="6"/>
  <c r="A1570" i="6"/>
  <c r="T1569" i="6"/>
  <c r="E167" i="9"/>
  <c r="D167" i="9"/>
  <c r="B168" i="9"/>
  <c r="F167" i="9"/>
  <c r="I167" i="9"/>
  <c r="P167" i="9" s="1"/>
  <c r="C167" i="9"/>
  <c r="X168" i="6"/>
  <c r="S169" i="6"/>
  <c r="H171" i="6" l="1"/>
  <c r="B172" i="6"/>
  <c r="L171" i="6"/>
  <c r="Y172" i="6"/>
  <c r="D171" i="6"/>
  <c r="C171" i="6"/>
  <c r="I171" i="6"/>
  <c r="J171" i="6" s="1"/>
  <c r="K171" i="6" s="1"/>
  <c r="V1569" i="6"/>
  <c r="X169" i="6"/>
  <c r="S170" i="6"/>
  <c r="I168" i="9"/>
  <c r="E168" i="9"/>
  <c r="D168" i="9"/>
  <c r="B169" i="9"/>
  <c r="C168" i="9"/>
  <c r="F168" i="9"/>
  <c r="A1571" i="6"/>
  <c r="U1570" i="6"/>
  <c r="T1570" i="6"/>
  <c r="P171" i="6" l="1"/>
  <c r="H172" i="6"/>
  <c r="I172" i="6"/>
  <c r="J172" i="6" s="1"/>
  <c r="K172" i="6" s="1"/>
  <c r="L172" i="6"/>
  <c r="P172" i="6" s="1"/>
  <c r="B173" i="6"/>
  <c r="D172" i="6"/>
  <c r="Y173" i="6"/>
  <c r="C172" i="6"/>
  <c r="V1570" i="6"/>
  <c r="X170" i="6"/>
  <c r="S171" i="6"/>
  <c r="P168" i="9"/>
  <c r="A1572" i="6"/>
  <c r="T1571" i="6"/>
  <c r="U1571" i="6"/>
  <c r="F169" i="9"/>
  <c r="I169" i="9"/>
  <c r="P169" i="9" s="1"/>
  <c r="B170" i="9"/>
  <c r="C169" i="9"/>
  <c r="E169" i="9"/>
  <c r="D169" i="9"/>
  <c r="Y174" i="6" l="1"/>
  <c r="L173" i="6"/>
  <c r="I173" i="6"/>
  <c r="J173" i="6" s="1"/>
  <c r="K173" i="6" s="1"/>
  <c r="H173" i="6"/>
  <c r="D173" i="6"/>
  <c r="B174" i="6"/>
  <c r="C173" i="6"/>
  <c r="V1571" i="6"/>
  <c r="E170" i="9"/>
  <c r="B171" i="9"/>
  <c r="D170" i="9"/>
  <c r="I170" i="9"/>
  <c r="F170" i="9"/>
  <c r="C170" i="9"/>
  <c r="X171" i="6"/>
  <c r="S172" i="6"/>
  <c r="A1573" i="6"/>
  <c r="U1572" i="6"/>
  <c r="T1572" i="6"/>
  <c r="C174" i="6" l="1"/>
  <c r="Y175" i="6"/>
  <c r="H174" i="6"/>
  <c r="B175" i="6"/>
  <c r="L174" i="6"/>
  <c r="P174" i="6" s="1"/>
  <c r="I174" i="6"/>
  <c r="J174" i="6" s="1"/>
  <c r="K174" i="6" s="1"/>
  <c r="D174" i="6"/>
  <c r="P173" i="6"/>
  <c r="V1572" i="6"/>
  <c r="A1574" i="6"/>
  <c r="U1573" i="6"/>
  <c r="T1573" i="6"/>
  <c r="E171" i="9"/>
  <c r="C171" i="9"/>
  <c r="B172" i="9"/>
  <c r="I171" i="9"/>
  <c r="P171" i="9" s="1"/>
  <c r="D171" i="9"/>
  <c r="F171" i="9"/>
  <c r="X172" i="6"/>
  <c r="S173" i="6"/>
  <c r="P170" i="9"/>
  <c r="I175" i="6" l="1"/>
  <c r="J175" i="6" s="1"/>
  <c r="K175" i="6" s="1"/>
  <c r="Y176" i="6"/>
  <c r="L175" i="6"/>
  <c r="P175" i="6" s="1"/>
  <c r="C175" i="6"/>
  <c r="H175" i="6"/>
  <c r="D175" i="6"/>
  <c r="B176" i="6"/>
  <c r="V1573" i="6"/>
  <c r="A1575" i="6"/>
  <c r="U1574" i="6"/>
  <c r="T1574" i="6"/>
  <c r="D172" i="9"/>
  <c r="I172" i="9"/>
  <c r="P172" i="9" s="1"/>
  <c r="E172" i="9"/>
  <c r="B173" i="9"/>
  <c r="C172" i="9"/>
  <c r="F172" i="9"/>
  <c r="X173" i="6"/>
  <c r="S174" i="6"/>
  <c r="Y177" i="6" l="1"/>
  <c r="L176" i="6"/>
  <c r="P176" i="6" s="1"/>
  <c r="B177" i="6"/>
  <c r="I176" i="6"/>
  <c r="J176" i="6" s="1"/>
  <c r="K176" i="6" s="1"/>
  <c r="H176" i="6"/>
  <c r="C176" i="6"/>
  <c r="D176" i="6"/>
  <c r="V1574" i="6"/>
  <c r="D173" i="9"/>
  <c r="B174" i="9"/>
  <c r="E173" i="9"/>
  <c r="C173" i="9"/>
  <c r="F173" i="9"/>
  <c r="I173" i="9"/>
  <c r="P173" i="9" s="1"/>
  <c r="T1575" i="6"/>
  <c r="A1576" i="6"/>
  <c r="U1575" i="6"/>
  <c r="X174" i="6"/>
  <c r="S175" i="6"/>
  <c r="H177" i="6" l="1"/>
  <c r="Y178" i="6"/>
  <c r="C177" i="6"/>
  <c r="B178" i="6"/>
  <c r="L177" i="6"/>
  <c r="D177" i="6"/>
  <c r="I177" i="6"/>
  <c r="J177" i="6" s="1"/>
  <c r="K177" i="6" s="1"/>
  <c r="V1575" i="6"/>
  <c r="D174" i="9"/>
  <c r="C174" i="9"/>
  <c r="F174" i="9"/>
  <c r="I174" i="9"/>
  <c r="P174" i="9" s="1"/>
  <c r="B175" i="9"/>
  <c r="E174" i="9"/>
  <c r="A1577" i="6"/>
  <c r="U1576" i="6"/>
  <c r="T1576" i="6"/>
  <c r="X175" i="6"/>
  <c r="S176" i="6"/>
  <c r="P177" i="6" l="1"/>
  <c r="D178" i="6"/>
  <c r="I178" i="6"/>
  <c r="J178" i="6" s="1"/>
  <c r="K178" i="6" s="1"/>
  <c r="Y179" i="6"/>
  <c r="B179" i="6"/>
  <c r="H178" i="6"/>
  <c r="L178" i="6"/>
  <c r="P178" i="6" s="1"/>
  <c r="C178" i="6"/>
  <c r="V1576" i="6"/>
  <c r="U1577" i="6"/>
  <c r="T1577" i="6"/>
  <c r="A1578" i="6"/>
  <c r="E175" i="9"/>
  <c r="B176" i="9"/>
  <c r="D175" i="9"/>
  <c r="F175" i="9"/>
  <c r="C175" i="9"/>
  <c r="I175" i="9"/>
  <c r="X176" i="6"/>
  <c r="S177" i="6"/>
  <c r="Y180" i="6" l="1"/>
  <c r="B180" i="6"/>
  <c r="C179" i="6"/>
  <c r="H179" i="6"/>
  <c r="I179" i="6"/>
  <c r="J179" i="6" s="1"/>
  <c r="K179" i="6" s="1"/>
  <c r="D179" i="6"/>
  <c r="L179" i="6"/>
  <c r="V1577" i="6"/>
  <c r="A1579" i="6"/>
  <c r="U1578" i="6"/>
  <c r="T1578" i="6"/>
  <c r="C176" i="9"/>
  <c r="F176" i="9"/>
  <c r="I176" i="9"/>
  <c r="P176" i="9" s="1"/>
  <c r="E176" i="9"/>
  <c r="D176" i="9"/>
  <c r="B177" i="9"/>
  <c r="P175" i="9"/>
  <c r="X177" i="6"/>
  <c r="S178" i="6"/>
  <c r="P179" i="6" l="1"/>
  <c r="D180" i="6"/>
  <c r="H180" i="6"/>
  <c r="Y181" i="6"/>
  <c r="B181" i="6"/>
  <c r="I180" i="6"/>
  <c r="J180" i="6" s="1"/>
  <c r="K180" i="6" s="1"/>
  <c r="L180" i="6"/>
  <c r="P180" i="6" s="1"/>
  <c r="C180" i="6"/>
  <c r="V1578" i="6"/>
  <c r="A1580" i="6"/>
  <c r="T1579" i="6"/>
  <c r="U1579" i="6"/>
  <c r="X178" i="6"/>
  <c r="S179" i="6"/>
  <c r="B178" i="9"/>
  <c r="F177" i="9"/>
  <c r="I177" i="9"/>
  <c r="C177" i="9"/>
  <c r="E177" i="9"/>
  <c r="D177" i="9"/>
  <c r="D181" i="6" l="1"/>
  <c r="I181" i="6"/>
  <c r="J181" i="6" s="1"/>
  <c r="K181" i="6" s="1"/>
  <c r="C181" i="6"/>
  <c r="H181" i="6"/>
  <c r="L181" i="6"/>
  <c r="P181" i="6" s="1"/>
  <c r="B182" i="6"/>
  <c r="Y182" i="6"/>
  <c r="V1579" i="6"/>
  <c r="I178" i="9"/>
  <c r="F178" i="9"/>
  <c r="D178" i="9"/>
  <c r="C178" i="9"/>
  <c r="E178" i="9"/>
  <c r="B179" i="9"/>
  <c r="A1581" i="6"/>
  <c r="U1580" i="6"/>
  <c r="T1580" i="6"/>
  <c r="X179" i="6"/>
  <c r="S180" i="6"/>
  <c r="P177" i="9"/>
  <c r="I182" i="6" l="1"/>
  <c r="J182" i="6" s="1"/>
  <c r="K182" i="6" s="1"/>
  <c r="C182" i="6"/>
  <c r="Y183" i="6"/>
  <c r="H182" i="6"/>
  <c r="D182" i="6"/>
  <c r="B183" i="6"/>
  <c r="L182" i="6"/>
  <c r="V1580" i="6"/>
  <c r="X180" i="6"/>
  <c r="S181" i="6"/>
  <c r="A1582" i="6"/>
  <c r="U1581" i="6"/>
  <c r="T1581" i="6"/>
  <c r="I179" i="9"/>
  <c r="P179" i="9" s="1"/>
  <c r="B180" i="9"/>
  <c r="C179" i="9"/>
  <c r="F179" i="9"/>
  <c r="D179" i="9"/>
  <c r="E179" i="9"/>
  <c r="P178" i="9"/>
  <c r="P182" i="6" l="1"/>
  <c r="H183" i="6"/>
  <c r="B184" i="6"/>
  <c r="L183" i="6"/>
  <c r="C183" i="6"/>
  <c r="D183" i="6"/>
  <c r="I183" i="6"/>
  <c r="J183" i="6" s="1"/>
  <c r="K183" i="6" s="1"/>
  <c r="Y184" i="6"/>
  <c r="V1581" i="6"/>
  <c r="A1583" i="6"/>
  <c r="T1582" i="6"/>
  <c r="U1582" i="6"/>
  <c r="X181" i="6"/>
  <c r="S182" i="6"/>
  <c r="E180" i="9"/>
  <c r="B181" i="9"/>
  <c r="C180" i="9"/>
  <c r="F180" i="9"/>
  <c r="I180" i="9"/>
  <c r="P180" i="9" s="1"/>
  <c r="D180" i="9"/>
  <c r="C184" i="6" l="1"/>
  <c r="Y185" i="6"/>
  <c r="B185" i="6"/>
  <c r="L184" i="6"/>
  <c r="P184" i="6" s="1"/>
  <c r="D184" i="6"/>
  <c r="H184" i="6"/>
  <c r="I184" i="6"/>
  <c r="J184" i="6" s="1"/>
  <c r="K184" i="6" s="1"/>
  <c r="P183" i="6"/>
  <c r="V1582" i="6"/>
  <c r="X182" i="6"/>
  <c r="S183" i="6"/>
  <c r="A1584" i="6"/>
  <c r="T1583" i="6"/>
  <c r="U1583" i="6"/>
  <c r="I181" i="9"/>
  <c r="P181" i="9" s="1"/>
  <c r="B182" i="9"/>
  <c r="D181" i="9"/>
  <c r="C181" i="9"/>
  <c r="E181" i="9"/>
  <c r="F181" i="9"/>
  <c r="B186" i="6" l="1"/>
  <c r="H185" i="6"/>
  <c r="Y186" i="6"/>
  <c r="I185" i="6"/>
  <c r="J185" i="6" s="1"/>
  <c r="K185" i="6" s="1"/>
  <c r="C185" i="6"/>
  <c r="L185" i="6"/>
  <c r="D185" i="6"/>
  <c r="V1583" i="6"/>
  <c r="A1585" i="6"/>
  <c r="U1584" i="6"/>
  <c r="T1584" i="6"/>
  <c r="X183" i="6"/>
  <c r="S184" i="6"/>
  <c r="F182" i="9"/>
  <c r="I182" i="9"/>
  <c r="P182" i="9" s="1"/>
  <c r="B183" i="9"/>
  <c r="D182" i="9"/>
  <c r="C182" i="9"/>
  <c r="E182" i="9"/>
  <c r="P185" i="6" l="1"/>
  <c r="B187" i="6"/>
  <c r="I186" i="6"/>
  <c r="J186" i="6" s="1"/>
  <c r="K186" i="6" s="1"/>
  <c r="C186" i="6"/>
  <c r="D186" i="6"/>
  <c r="L186" i="6"/>
  <c r="P186" i="6" s="1"/>
  <c r="H186" i="6"/>
  <c r="Y187" i="6"/>
  <c r="V1584" i="6"/>
  <c r="X184" i="6"/>
  <c r="S185" i="6"/>
  <c r="D183" i="9"/>
  <c r="I183" i="9"/>
  <c r="E183" i="9"/>
  <c r="C183" i="9"/>
  <c r="B184" i="9"/>
  <c r="F183" i="9"/>
  <c r="U1585" i="6"/>
  <c r="A1586" i="6"/>
  <c r="T1585" i="6"/>
  <c r="L187" i="6" l="1"/>
  <c r="H187" i="6"/>
  <c r="I187" i="6"/>
  <c r="J187" i="6" s="1"/>
  <c r="K187" i="6" s="1"/>
  <c r="B188" i="6"/>
  <c r="Y188" i="6"/>
  <c r="C187" i="6"/>
  <c r="D187" i="6"/>
  <c r="V1585" i="6"/>
  <c r="C184" i="9"/>
  <c r="I184" i="9"/>
  <c r="B185" i="9"/>
  <c r="D184" i="9"/>
  <c r="F184" i="9"/>
  <c r="E184" i="9"/>
  <c r="X185" i="6"/>
  <c r="S186" i="6"/>
  <c r="P183" i="9"/>
  <c r="A1587" i="6"/>
  <c r="U1586" i="6"/>
  <c r="T1586" i="6"/>
  <c r="D188" i="6" l="1"/>
  <c r="L188" i="6"/>
  <c r="P188" i="6" s="1"/>
  <c r="B189" i="6"/>
  <c r="H188" i="6"/>
  <c r="I188" i="6"/>
  <c r="J188" i="6" s="1"/>
  <c r="K188" i="6" s="1"/>
  <c r="C188" i="6"/>
  <c r="Y189" i="6"/>
  <c r="P187" i="6"/>
  <c r="V1586" i="6"/>
  <c r="A1588" i="6"/>
  <c r="U1587" i="6"/>
  <c r="T1587" i="6"/>
  <c r="X186" i="6"/>
  <c r="S187" i="6"/>
  <c r="E185" i="9"/>
  <c r="F185" i="9"/>
  <c r="D185" i="9"/>
  <c r="B186" i="9"/>
  <c r="C185" i="9"/>
  <c r="I185" i="9"/>
  <c r="P185" i="9" s="1"/>
  <c r="P184" i="9"/>
  <c r="Y190" i="6" l="1"/>
  <c r="L189" i="6"/>
  <c r="P189" i="6" s="1"/>
  <c r="H189" i="6"/>
  <c r="B190" i="6"/>
  <c r="D189" i="6"/>
  <c r="C189" i="6"/>
  <c r="I189" i="6"/>
  <c r="J189" i="6" s="1"/>
  <c r="K189" i="6" s="1"/>
  <c r="V1587" i="6"/>
  <c r="A1589" i="6"/>
  <c r="U1588" i="6"/>
  <c r="T1588" i="6"/>
  <c r="X187" i="6"/>
  <c r="S188" i="6"/>
  <c r="F186" i="9"/>
  <c r="D186" i="9"/>
  <c r="C186" i="9"/>
  <c r="E186" i="9"/>
  <c r="I186" i="9"/>
  <c r="B187" i="9"/>
  <c r="D190" i="6" l="1"/>
  <c r="Y191" i="6"/>
  <c r="L190" i="6"/>
  <c r="P190" i="6" s="1"/>
  <c r="H190" i="6"/>
  <c r="C190" i="6"/>
  <c r="I190" i="6"/>
  <c r="J190" i="6" s="1"/>
  <c r="K190" i="6" s="1"/>
  <c r="B191" i="6"/>
  <c r="V1588" i="6"/>
  <c r="A1590" i="6"/>
  <c r="U1589" i="6"/>
  <c r="T1589" i="6"/>
  <c r="X188" i="6"/>
  <c r="S189" i="6"/>
  <c r="P186" i="9"/>
  <c r="I187" i="9"/>
  <c r="P187" i="9" s="1"/>
  <c r="F187" i="9"/>
  <c r="B188" i="9"/>
  <c r="C187" i="9"/>
  <c r="E187" i="9"/>
  <c r="D187" i="9"/>
  <c r="D191" i="6" l="1"/>
  <c r="C191" i="6"/>
  <c r="H191" i="6"/>
  <c r="Y192" i="6"/>
  <c r="L191" i="6"/>
  <c r="B192" i="6"/>
  <c r="I191" i="6"/>
  <c r="J191" i="6" s="1"/>
  <c r="K191" i="6" s="1"/>
  <c r="V1589" i="6"/>
  <c r="B189" i="9"/>
  <c r="D188" i="9"/>
  <c r="E188" i="9"/>
  <c r="F188" i="9"/>
  <c r="C188" i="9"/>
  <c r="I188" i="9"/>
  <c r="A1591" i="6"/>
  <c r="U1590" i="6"/>
  <c r="T1590" i="6"/>
  <c r="X189" i="6"/>
  <c r="S190" i="6"/>
  <c r="Y193" i="6" l="1"/>
  <c r="B193" i="6"/>
  <c r="D192" i="6"/>
  <c r="I192" i="6"/>
  <c r="J192" i="6" s="1"/>
  <c r="K192" i="6" s="1"/>
  <c r="H192" i="6"/>
  <c r="C192" i="6"/>
  <c r="L192" i="6"/>
  <c r="P192" i="6" s="1"/>
  <c r="P191" i="6"/>
  <c r="V1590" i="6"/>
  <c r="A1592" i="6"/>
  <c r="U1591" i="6"/>
  <c r="T1591" i="6"/>
  <c r="X190" i="6"/>
  <c r="S191" i="6"/>
  <c r="E189" i="9"/>
  <c r="F189" i="9"/>
  <c r="C189" i="9"/>
  <c r="B190" i="9"/>
  <c r="I189" i="9"/>
  <c r="P189" i="9" s="1"/>
  <c r="D189" i="9"/>
  <c r="P188" i="9"/>
  <c r="Y194" i="6" l="1"/>
  <c r="I193" i="6"/>
  <c r="J193" i="6" s="1"/>
  <c r="K193" i="6" s="1"/>
  <c r="H193" i="6"/>
  <c r="B194" i="6"/>
  <c r="C193" i="6"/>
  <c r="D193" i="6"/>
  <c r="L193" i="6"/>
  <c r="V1591" i="6"/>
  <c r="X191" i="6"/>
  <c r="S192" i="6"/>
  <c r="F190" i="9"/>
  <c r="C190" i="9"/>
  <c r="E190" i="9"/>
  <c r="D190" i="9"/>
  <c r="B191" i="9"/>
  <c r="I190" i="9"/>
  <c r="P190" i="9" s="1"/>
  <c r="T1592" i="6"/>
  <c r="A1593" i="6"/>
  <c r="U1592" i="6"/>
  <c r="P193" i="6" l="1"/>
  <c r="C194" i="6"/>
  <c r="I194" i="6"/>
  <c r="J194" i="6" s="1"/>
  <c r="K194" i="6" s="1"/>
  <c r="H194" i="6"/>
  <c r="L194" i="6"/>
  <c r="P194" i="6" s="1"/>
  <c r="D194" i="6"/>
  <c r="Y195" i="6"/>
  <c r="B195" i="6"/>
  <c r="V1592" i="6"/>
  <c r="C191" i="9"/>
  <c r="I191" i="9"/>
  <c r="P191" i="9" s="1"/>
  <c r="B192" i="9"/>
  <c r="F191" i="9"/>
  <c r="D191" i="9"/>
  <c r="E191" i="9"/>
  <c r="X192" i="6"/>
  <c r="S193" i="6"/>
  <c r="T1593" i="6"/>
  <c r="U1593" i="6"/>
  <c r="A1594" i="6"/>
  <c r="I195" i="6" l="1"/>
  <c r="J195" i="6" s="1"/>
  <c r="K195" i="6" s="1"/>
  <c r="L195" i="6"/>
  <c r="P195" i="6" s="1"/>
  <c r="D195" i="6"/>
  <c r="B196" i="6"/>
  <c r="C195" i="6"/>
  <c r="H195" i="6"/>
  <c r="Y196" i="6"/>
  <c r="V1593" i="6"/>
  <c r="I192" i="9"/>
  <c r="P192" i="9" s="1"/>
  <c r="C192" i="9"/>
  <c r="B193" i="9"/>
  <c r="E192" i="9"/>
  <c r="D192" i="9"/>
  <c r="F192" i="9"/>
  <c r="U1594" i="6"/>
  <c r="A1595" i="6"/>
  <c r="T1594" i="6"/>
  <c r="X193" i="6"/>
  <c r="S194" i="6"/>
  <c r="B197" i="6" l="1"/>
  <c r="H196" i="6"/>
  <c r="C196" i="6"/>
  <c r="D196" i="6"/>
  <c r="L196" i="6"/>
  <c r="P196" i="6" s="1"/>
  <c r="Y197" i="6"/>
  <c r="I196" i="6"/>
  <c r="J196" i="6" s="1"/>
  <c r="K196" i="6" s="1"/>
  <c r="V1594" i="6"/>
  <c r="F193" i="9"/>
  <c r="D193" i="9"/>
  <c r="B194" i="9"/>
  <c r="I193" i="9"/>
  <c r="C193" i="9"/>
  <c r="E193" i="9"/>
  <c r="A1596" i="6"/>
  <c r="U1595" i="6"/>
  <c r="T1595" i="6"/>
  <c r="X194" i="6"/>
  <c r="S195" i="6"/>
  <c r="L197" i="6" l="1"/>
  <c r="C197" i="6"/>
  <c r="I197" i="6"/>
  <c r="J197" i="6" s="1"/>
  <c r="K197" i="6" s="1"/>
  <c r="H197" i="6"/>
  <c r="Y198" i="6"/>
  <c r="D197" i="6"/>
  <c r="B198" i="6"/>
  <c r="V1595" i="6"/>
  <c r="D194" i="9"/>
  <c r="I194" i="9"/>
  <c r="P194" i="9" s="1"/>
  <c r="E194" i="9"/>
  <c r="F194" i="9"/>
  <c r="B195" i="9"/>
  <c r="C194" i="9"/>
  <c r="X195" i="6"/>
  <c r="S196" i="6"/>
  <c r="A1597" i="6"/>
  <c r="U1596" i="6"/>
  <c r="T1596" i="6"/>
  <c r="P193" i="9"/>
  <c r="C198" i="6" l="1"/>
  <c r="B199" i="6"/>
  <c r="H198" i="6"/>
  <c r="I198" i="6"/>
  <c r="J198" i="6" s="1"/>
  <c r="K198" i="6" s="1"/>
  <c r="Y199" i="6"/>
  <c r="L198" i="6"/>
  <c r="P198" i="6" s="1"/>
  <c r="D198" i="6"/>
  <c r="P197" i="6"/>
  <c r="V1596" i="6"/>
  <c r="X196" i="6"/>
  <c r="S197" i="6"/>
  <c r="A1598" i="6"/>
  <c r="T1597" i="6"/>
  <c r="U1597" i="6"/>
  <c r="I195" i="9"/>
  <c r="F195" i="9"/>
  <c r="C195" i="9"/>
  <c r="D195" i="9"/>
  <c r="E195" i="9"/>
  <c r="B196" i="9"/>
  <c r="D199" i="6" l="1"/>
  <c r="C199" i="6"/>
  <c r="I199" i="6"/>
  <c r="J199" i="6" s="1"/>
  <c r="K199" i="6" s="1"/>
  <c r="H199" i="6"/>
  <c r="L199" i="6"/>
  <c r="P199" i="6" s="1"/>
  <c r="B200" i="6"/>
  <c r="Y200" i="6"/>
  <c r="V1597" i="6"/>
  <c r="X197" i="6"/>
  <c r="S198" i="6"/>
  <c r="U1598" i="6"/>
  <c r="A1599" i="6"/>
  <c r="T1598" i="6"/>
  <c r="I196" i="9"/>
  <c r="E196" i="9"/>
  <c r="D196" i="9"/>
  <c r="B197" i="9"/>
  <c r="F196" i="9"/>
  <c r="C196" i="9"/>
  <c r="P195" i="9"/>
  <c r="D200" i="6" l="1"/>
  <c r="I200" i="6"/>
  <c r="J200" i="6" s="1"/>
  <c r="K200" i="6" s="1"/>
  <c r="C200" i="6"/>
  <c r="B201" i="6"/>
  <c r="Y201" i="6"/>
  <c r="H200" i="6"/>
  <c r="L200" i="6"/>
  <c r="P200" i="6" s="1"/>
  <c r="V1598" i="6"/>
  <c r="X198" i="6"/>
  <c r="S199" i="6"/>
  <c r="P196" i="9"/>
  <c r="C197" i="9"/>
  <c r="E197" i="9"/>
  <c r="I197" i="9"/>
  <c r="B198" i="9"/>
  <c r="F197" i="9"/>
  <c r="D197" i="9"/>
  <c r="A1600" i="6"/>
  <c r="T1599" i="6"/>
  <c r="U1599" i="6"/>
  <c r="L201" i="6" l="1"/>
  <c r="P201" i="6" s="1"/>
  <c r="H201" i="6"/>
  <c r="Y202" i="6"/>
  <c r="C201" i="6"/>
  <c r="I201" i="6"/>
  <c r="J201" i="6" s="1"/>
  <c r="K201" i="6" s="1"/>
  <c r="B202" i="6"/>
  <c r="D201" i="6"/>
  <c r="V1599" i="6"/>
  <c r="I198" i="9"/>
  <c r="F198" i="9"/>
  <c r="B199" i="9"/>
  <c r="E198" i="9"/>
  <c r="D198" i="9"/>
  <c r="C198" i="9"/>
  <c r="P197" i="9"/>
  <c r="X199" i="6"/>
  <c r="S200" i="6"/>
  <c r="A1601" i="6"/>
  <c r="U1600" i="6"/>
  <c r="T1600" i="6"/>
  <c r="H202" i="6" l="1"/>
  <c r="B203" i="6"/>
  <c r="D202" i="6"/>
  <c r="C202" i="6"/>
  <c r="I202" i="6"/>
  <c r="J202" i="6" s="1"/>
  <c r="K202" i="6" s="1"/>
  <c r="Y203" i="6"/>
  <c r="L202" i="6"/>
  <c r="P202" i="6" s="1"/>
  <c r="V1600" i="6"/>
  <c r="A1602" i="6"/>
  <c r="U1601" i="6"/>
  <c r="T1601" i="6"/>
  <c r="I199" i="9"/>
  <c r="P199" i="9" s="1"/>
  <c r="D199" i="9"/>
  <c r="F199" i="9"/>
  <c r="E199" i="9"/>
  <c r="C199" i="9"/>
  <c r="B200" i="9"/>
  <c r="X200" i="6"/>
  <c r="S201" i="6"/>
  <c r="P198" i="9"/>
  <c r="L203" i="6" l="1"/>
  <c r="P203" i="6" s="1"/>
  <c r="D203" i="6"/>
  <c r="C203" i="6"/>
  <c r="B204" i="6"/>
  <c r="I203" i="6"/>
  <c r="J203" i="6" s="1"/>
  <c r="K203" i="6" s="1"/>
  <c r="H203" i="6"/>
  <c r="Y204" i="6"/>
  <c r="V1601" i="6"/>
  <c r="X201" i="6"/>
  <c r="S202" i="6"/>
  <c r="A1603" i="6"/>
  <c r="U1602" i="6"/>
  <c r="T1602" i="6"/>
  <c r="F200" i="9"/>
  <c r="E200" i="9"/>
  <c r="C200" i="9"/>
  <c r="B201" i="9"/>
  <c r="D200" i="9"/>
  <c r="I200" i="9"/>
  <c r="P200" i="9" s="1"/>
  <c r="B205" i="6" l="1"/>
  <c r="D204" i="6"/>
  <c r="I204" i="6"/>
  <c r="J204" i="6" s="1"/>
  <c r="K204" i="6" s="1"/>
  <c r="Y205" i="6"/>
  <c r="L204" i="6"/>
  <c r="P204" i="6" s="1"/>
  <c r="C204" i="6"/>
  <c r="H204" i="6"/>
  <c r="V1602" i="6"/>
  <c r="B202" i="9"/>
  <c r="I201" i="9"/>
  <c r="P201" i="9" s="1"/>
  <c r="C201" i="9"/>
  <c r="F201" i="9"/>
  <c r="D201" i="9"/>
  <c r="E201" i="9"/>
  <c r="X202" i="6"/>
  <c r="S203" i="6"/>
  <c r="A1604" i="6"/>
  <c r="U1603" i="6"/>
  <c r="T1603" i="6"/>
  <c r="B206" i="6" l="1"/>
  <c r="H205" i="6"/>
  <c r="I205" i="6"/>
  <c r="J205" i="6" s="1"/>
  <c r="K205" i="6" s="1"/>
  <c r="C205" i="6"/>
  <c r="Y206" i="6"/>
  <c r="L205" i="6"/>
  <c r="P205" i="6" s="1"/>
  <c r="D205" i="6"/>
  <c r="V1603" i="6"/>
  <c r="X203" i="6"/>
  <c r="S204" i="6"/>
  <c r="U1604" i="6"/>
  <c r="A1605" i="6"/>
  <c r="T1604" i="6"/>
  <c r="B203" i="9"/>
  <c r="D202" i="9"/>
  <c r="C202" i="9"/>
  <c r="F202" i="9"/>
  <c r="E202" i="9"/>
  <c r="I202" i="9"/>
  <c r="D206" i="6" l="1"/>
  <c r="B207" i="6"/>
  <c r="L206" i="6"/>
  <c r="H206" i="6"/>
  <c r="C206" i="6"/>
  <c r="I206" i="6"/>
  <c r="J206" i="6" s="1"/>
  <c r="K206" i="6" s="1"/>
  <c r="Y207" i="6"/>
  <c r="V1604" i="6"/>
  <c r="X204" i="6"/>
  <c r="S205" i="6"/>
  <c r="D203" i="9"/>
  <c r="E203" i="9"/>
  <c r="B204" i="9"/>
  <c r="C203" i="9"/>
  <c r="I203" i="9"/>
  <c r="F203" i="9"/>
  <c r="A1606" i="6"/>
  <c r="U1605" i="6"/>
  <c r="T1605" i="6"/>
  <c r="P202" i="9"/>
  <c r="P206" i="6" l="1"/>
  <c r="L207" i="6"/>
  <c r="H207" i="6"/>
  <c r="B208" i="6"/>
  <c r="Y208" i="6"/>
  <c r="I207" i="6"/>
  <c r="J207" i="6" s="1"/>
  <c r="K207" i="6" s="1"/>
  <c r="D207" i="6"/>
  <c r="C207" i="6"/>
  <c r="V1605" i="6"/>
  <c r="X205" i="6"/>
  <c r="S206" i="6"/>
  <c r="T1606" i="6"/>
  <c r="U1606" i="6"/>
  <c r="A1607" i="6"/>
  <c r="E204" i="9"/>
  <c r="C204" i="9"/>
  <c r="B205" i="9"/>
  <c r="D204" i="9"/>
  <c r="I204" i="9"/>
  <c r="P204" i="9" s="1"/>
  <c r="F204" i="9"/>
  <c r="P203" i="9"/>
  <c r="D208" i="6" l="1"/>
  <c r="C208" i="6"/>
  <c r="B209" i="6"/>
  <c r="Y209" i="6"/>
  <c r="I208" i="6"/>
  <c r="J208" i="6" s="1"/>
  <c r="K208" i="6" s="1"/>
  <c r="L208" i="6"/>
  <c r="P208" i="6" s="1"/>
  <c r="H208" i="6"/>
  <c r="P207" i="6"/>
  <c r="V1606" i="6"/>
  <c r="X206" i="6"/>
  <c r="S207" i="6"/>
  <c r="A1608" i="6"/>
  <c r="T1607" i="6"/>
  <c r="U1607" i="6"/>
  <c r="F205" i="9"/>
  <c r="C205" i="9"/>
  <c r="E205" i="9"/>
  <c r="D205" i="9"/>
  <c r="I205" i="9"/>
  <c r="B206" i="9"/>
  <c r="B210" i="6" l="1"/>
  <c r="I209" i="6"/>
  <c r="J209" i="6" s="1"/>
  <c r="K209" i="6" s="1"/>
  <c r="Y210" i="6"/>
  <c r="H209" i="6"/>
  <c r="D209" i="6"/>
  <c r="C209" i="6"/>
  <c r="L209" i="6"/>
  <c r="V1607" i="6"/>
  <c r="U1608" i="6"/>
  <c r="T1608" i="6"/>
  <c r="A1609" i="6"/>
  <c r="F206" i="9"/>
  <c r="B207" i="9"/>
  <c r="D206" i="9"/>
  <c r="C206" i="9"/>
  <c r="I206" i="9"/>
  <c r="E206" i="9"/>
  <c r="P205" i="9"/>
  <c r="X207" i="6"/>
  <c r="S208" i="6"/>
  <c r="P209" i="6" l="1"/>
  <c r="D210" i="6"/>
  <c r="L210" i="6"/>
  <c r="B211" i="6"/>
  <c r="Y211" i="6"/>
  <c r="H210" i="6"/>
  <c r="C210" i="6"/>
  <c r="I210" i="6"/>
  <c r="J210" i="6" s="1"/>
  <c r="K210" i="6" s="1"/>
  <c r="V1608" i="6"/>
  <c r="D207" i="9"/>
  <c r="I207" i="9"/>
  <c r="F207" i="9"/>
  <c r="C207" i="9"/>
  <c r="B208" i="9"/>
  <c r="E207" i="9"/>
  <c r="U1609" i="6"/>
  <c r="T1609" i="6"/>
  <c r="A1610" i="6"/>
  <c r="X208" i="6"/>
  <c r="S209" i="6"/>
  <c r="P206" i="9"/>
  <c r="D211" i="6" l="1"/>
  <c r="B212" i="6"/>
  <c r="I211" i="6"/>
  <c r="J211" i="6" s="1"/>
  <c r="K211" i="6" s="1"/>
  <c r="H211" i="6"/>
  <c r="L211" i="6"/>
  <c r="P211" i="6" s="1"/>
  <c r="Y212" i="6"/>
  <c r="C211" i="6"/>
  <c r="P210" i="6"/>
  <c r="V1609" i="6"/>
  <c r="A1611" i="6"/>
  <c r="T1610" i="6"/>
  <c r="U1610" i="6"/>
  <c r="B209" i="9"/>
  <c r="E208" i="9"/>
  <c r="I208" i="9"/>
  <c r="P208" i="9" s="1"/>
  <c r="F208" i="9"/>
  <c r="D208" i="9"/>
  <c r="C208" i="9"/>
  <c r="X209" i="6"/>
  <c r="S210" i="6"/>
  <c r="P207" i="9"/>
  <c r="C212" i="6" l="1"/>
  <c r="B213" i="6"/>
  <c r="Y213" i="6"/>
  <c r="L212" i="6"/>
  <c r="D212" i="6"/>
  <c r="I212" i="6"/>
  <c r="J212" i="6" s="1"/>
  <c r="K212" i="6" s="1"/>
  <c r="H212" i="6"/>
  <c r="V1610" i="6"/>
  <c r="X210" i="6"/>
  <c r="S211" i="6"/>
  <c r="E209" i="9"/>
  <c r="C209" i="9"/>
  <c r="F209" i="9"/>
  <c r="I209" i="9"/>
  <c r="P209" i="9" s="1"/>
  <c r="D209" i="9"/>
  <c r="B210" i="9"/>
  <c r="U1611" i="6"/>
  <c r="T1611" i="6"/>
  <c r="A1612" i="6"/>
  <c r="P212" i="6" l="1"/>
  <c r="H213" i="6"/>
  <c r="B214" i="6"/>
  <c r="C213" i="6"/>
  <c r="Y214" i="6"/>
  <c r="L213" i="6"/>
  <c r="P213" i="6" s="1"/>
  <c r="I213" i="6"/>
  <c r="J213" i="6" s="1"/>
  <c r="K213" i="6" s="1"/>
  <c r="D213" i="6"/>
  <c r="V1611" i="6"/>
  <c r="X211" i="6"/>
  <c r="S212" i="6"/>
  <c r="A1613" i="6"/>
  <c r="U1612" i="6"/>
  <c r="T1612" i="6"/>
  <c r="I210" i="9"/>
  <c r="P210" i="9" s="1"/>
  <c r="D210" i="9"/>
  <c r="F210" i="9"/>
  <c r="B211" i="9"/>
  <c r="C210" i="9"/>
  <c r="E210" i="9"/>
  <c r="H214" i="6" l="1"/>
  <c r="Y215" i="6"/>
  <c r="C214" i="6"/>
  <c r="B215" i="6"/>
  <c r="L214" i="6"/>
  <c r="I214" i="6"/>
  <c r="J214" i="6" s="1"/>
  <c r="K214" i="6" s="1"/>
  <c r="D214" i="6"/>
  <c r="V1612" i="6"/>
  <c r="T1613" i="6"/>
  <c r="U1613" i="6"/>
  <c r="A1614" i="6"/>
  <c r="D211" i="9"/>
  <c r="I211" i="9"/>
  <c r="F211" i="9"/>
  <c r="C211" i="9"/>
  <c r="B212" i="9"/>
  <c r="E211" i="9"/>
  <c r="X212" i="6"/>
  <c r="S213" i="6"/>
  <c r="P214" i="6" l="1"/>
  <c r="Y216" i="6"/>
  <c r="B216" i="6"/>
  <c r="C215" i="6"/>
  <c r="L215" i="6"/>
  <c r="P215" i="6" s="1"/>
  <c r="I215" i="6"/>
  <c r="J215" i="6" s="1"/>
  <c r="K215" i="6" s="1"/>
  <c r="D215" i="6"/>
  <c r="H215" i="6"/>
  <c r="V1613" i="6"/>
  <c r="U1614" i="6"/>
  <c r="T1614" i="6"/>
  <c r="A1615" i="6"/>
  <c r="X213" i="6"/>
  <c r="S214" i="6"/>
  <c r="P211" i="9"/>
  <c r="E212" i="9"/>
  <c r="C212" i="9"/>
  <c r="B213" i="9"/>
  <c r="D212" i="9"/>
  <c r="I212" i="9"/>
  <c r="F212" i="9"/>
  <c r="L216" i="6" l="1"/>
  <c r="P216" i="6" s="1"/>
  <c r="I216" i="6"/>
  <c r="J216" i="6" s="1"/>
  <c r="K216" i="6" s="1"/>
  <c r="C216" i="6"/>
  <c r="Y217" i="6"/>
  <c r="H216" i="6"/>
  <c r="D216" i="6"/>
  <c r="B217" i="6"/>
  <c r="V1614" i="6"/>
  <c r="I213" i="9"/>
  <c r="P213" i="9" s="1"/>
  <c r="C213" i="9"/>
  <c r="D213" i="9"/>
  <c r="F213" i="9"/>
  <c r="B214" i="9"/>
  <c r="E213" i="9"/>
  <c r="A1616" i="6"/>
  <c r="U1615" i="6"/>
  <c r="T1615" i="6"/>
  <c r="X214" i="6"/>
  <c r="S215" i="6"/>
  <c r="P212" i="9"/>
  <c r="C217" i="6" l="1"/>
  <c r="D217" i="6"/>
  <c r="L217" i="6"/>
  <c r="I217" i="6"/>
  <c r="J217" i="6" s="1"/>
  <c r="K217" i="6" s="1"/>
  <c r="B218" i="6"/>
  <c r="Y218" i="6"/>
  <c r="H217" i="6"/>
  <c r="V1615" i="6"/>
  <c r="E214" i="9"/>
  <c r="F214" i="9"/>
  <c r="D214" i="9"/>
  <c r="B215" i="9"/>
  <c r="C214" i="9"/>
  <c r="I214" i="9"/>
  <c r="P214" i="9" s="1"/>
  <c r="T1616" i="6"/>
  <c r="A1617" i="6"/>
  <c r="U1616" i="6"/>
  <c r="X215" i="6"/>
  <c r="S216" i="6"/>
  <c r="H218" i="6" l="1"/>
  <c r="Y219" i="6"/>
  <c r="B219" i="6"/>
  <c r="I218" i="6"/>
  <c r="J218" i="6" s="1"/>
  <c r="K218" i="6" s="1"/>
  <c r="C218" i="6"/>
  <c r="L218" i="6"/>
  <c r="P218" i="6" s="1"/>
  <c r="D218" i="6"/>
  <c r="P217" i="6"/>
  <c r="V1616" i="6"/>
  <c r="X216" i="6"/>
  <c r="S217" i="6"/>
  <c r="B216" i="9"/>
  <c r="F215" i="9"/>
  <c r="D215" i="9"/>
  <c r="I215" i="9"/>
  <c r="P215" i="9" s="1"/>
  <c r="E215" i="9"/>
  <c r="C215" i="9"/>
  <c r="U1617" i="6"/>
  <c r="T1617" i="6"/>
  <c r="A1618" i="6"/>
  <c r="L219" i="6" l="1"/>
  <c r="H219" i="6"/>
  <c r="D219" i="6"/>
  <c r="I219" i="6"/>
  <c r="J219" i="6" s="1"/>
  <c r="K219" i="6" s="1"/>
  <c r="B220" i="6"/>
  <c r="Y220" i="6"/>
  <c r="C219" i="6"/>
  <c r="V1617" i="6"/>
  <c r="E216" i="9"/>
  <c r="F216" i="9"/>
  <c r="C216" i="9"/>
  <c r="B217" i="9"/>
  <c r="D216" i="9"/>
  <c r="I216" i="9"/>
  <c r="X217" i="6"/>
  <c r="S218" i="6"/>
  <c r="A1619" i="6"/>
  <c r="T1618" i="6"/>
  <c r="U1618" i="6"/>
  <c r="Y221" i="6" l="1"/>
  <c r="B221" i="6"/>
  <c r="L220" i="6"/>
  <c r="P220" i="6" s="1"/>
  <c r="C220" i="6"/>
  <c r="D220" i="6"/>
  <c r="H220" i="6"/>
  <c r="I220" i="6"/>
  <c r="J220" i="6" s="1"/>
  <c r="K220" i="6" s="1"/>
  <c r="P219" i="6"/>
  <c r="V1618" i="6"/>
  <c r="F217" i="9"/>
  <c r="B218" i="9"/>
  <c r="E217" i="9"/>
  <c r="I217" i="9"/>
  <c r="D217" i="9"/>
  <c r="C217" i="9"/>
  <c r="P216" i="9"/>
  <c r="A1620" i="6"/>
  <c r="T1619" i="6"/>
  <c r="U1619" i="6"/>
  <c r="X218" i="6"/>
  <c r="S219" i="6"/>
  <c r="I221" i="6" l="1"/>
  <c r="J221" i="6" s="1"/>
  <c r="K221" i="6" s="1"/>
  <c r="Y222" i="6"/>
  <c r="C221" i="6"/>
  <c r="L221" i="6"/>
  <c r="H221" i="6"/>
  <c r="B222" i="6"/>
  <c r="D221" i="6"/>
  <c r="V1619" i="6"/>
  <c r="X219" i="6"/>
  <c r="S220" i="6"/>
  <c r="D218" i="9"/>
  <c r="E218" i="9"/>
  <c r="I218" i="9"/>
  <c r="P218" i="9" s="1"/>
  <c r="B219" i="9"/>
  <c r="F218" i="9"/>
  <c r="C218" i="9"/>
  <c r="T1620" i="6"/>
  <c r="A1621" i="6"/>
  <c r="U1620" i="6"/>
  <c r="P217" i="9"/>
  <c r="Y223" i="6" l="1"/>
  <c r="L222" i="6"/>
  <c r="P222" i="6" s="1"/>
  <c r="I222" i="6"/>
  <c r="J222" i="6" s="1"/>
  <c r="K222" i="6" s="1"/>
  <c r="D222" i="6"/>
  <c r="C222" i="6"/>
  <c r="H222" i="6"/>
  <c r="B223" i="6"/>
  <c r="P221" i="6"/>
  <c r="V1620" i="6"/>
  <c r="X220" i="6"/>
  <c r="S221" i="6"/>
  <c r="A1622" i="6"/>
  <c r="T1621" i="6"/>
  <c r="U1621" i="6"/>
  <c r="F219" i="9"/>
  <c r="B220" i="9"/>
  <c r="D219" i="9"/>
  <c r="E219" i="9"/>
  <c r="I219" i="9"/>
  <c r="C219" i="9"/>
  <c r="Y224" i="6" l="1"/>
  <c r="I223" i="6"/>
  <c r="J223" i="6" s="1"/>
  <c r="K223" i="6" s="1"/>
  <c r="H223" i="6"/>
  <c r="D223" i="6"/>
  <c r="C223" i="6"/>
  <c r="L223" i="6"/>
  <c r="B224" i="6"/>
  <c r="V1621" i="6"/>
  <c r="D220" i="9"/>
  <c r="E220" i="9"/>
  <c r="I220" i="9"/>
  <c r="P220" i="9" s="1"/>
  <c r="C220" i="9"/>
  <c r="B221" i="9"/>
  <c r="F220" i="9"/>
  <c r="X221" i="6"/>
  <c r="S222" i="6"/>
  <c r="P219" i="9"/>
  <c r="U1622" i="6"/>
  <c r="A1623" i="6"/>
  <c r="T1622" i="6"/>
  <c r="B225" i="6" l="1"/>
  <c r="Y225" i="6"/>
  <c r="L224" i="6"/>
  <c r="P224" i="6" s="1"/>
  <c r="D224" i="6"/>
  <c r="C224" i="6"/>
  <c r="H224" i="6"/>
  <c r="I224" i="6"/>
  <c r="J224" i="6" s="1"/>
  <c r="K224" i="6" s="1"/>
  <c r="P223" i="6"/>
  <c r="V1622" i="6"/>
  <c r="I221" i="9"/>
  <c r="F221" i="9"/>
  <c r="E221" i="9"/>
  <c r="D221" i="9"/>
  <c r="C221" i="9"/>
  <c r="B222" i="9"/>
  <c r="U1623" i="6"/>
  <c r="T1623" i="6"/>
  <c r="A1624" i="6"/>
  <c r="X222" i="6"/>
  <c r="S223" i="6"/>
  <c r="H225" i="6" l="1"/>
  <c r="Y226" i="6"/>
  <c r="C225" i="6"/>
  <c r="I225" i="6"/>
  <c r="J225" i="6" s="1"/>
  <c r="K225" i="6" s="1"/>
  <c r="B226" i="6"/>
  <c r="D225" i="6"/>
  <c r="L225" i="6"/>
  <c r="V1623" i="6"/>
  <c r="F222" i="9"/>
  <c r="E222" i="9"/>
  <c r="D222" i="9"/>
  <c r="I222" i="9"/>
  <c r="C222" i="9"/>
  <c r="B223" i="9"/>
  <c r="P221" i="9"/>
  <c r="T1624" i="6"/>
  <c r="U1624" i="6"/>
  <c r="A1625" i="6"/>
  <c r="X223" i="6"/>
  <c r="S224" i="6"/>
  <c r="C226" i="6" l="1"/>
  <c r="H226" i="6"/>
  <c r="Y227" i="6"/>
  <c r="I226" i="6"/>
  <c r="J226" i="6" s="1"/>
  <c r="K226" i="6" s="1"/>
  <c r="L226" i="6"/>
  <c r="B227" i="6"/>
  <c r="D226" i="6"/>
  <c r="P225" i="6"/>
  <c r="V1624" i="6"/>
  <c r="T1625" i="6"/>
  <c r="U1625" i="6"/>
  <c r="A1626" i="6"/>
  <c r="X224" i="6"/>
  <c r="S225" i="6"/>
  <c r="P222" i="9"/>
  <c r="B224" i="9"/>
  <c r="E223" i="9"/>
  <c r="C223" i="9"/>
  <c r="I223" i="9"/>
  <c r="F223" i="9"/>
  <c r="D223" i="9"/>
  <c r="D227" i="6" l="1"/>
  <c r="B228" i="6"/>
  <c r="C227" i="6"/>
  <c r="I227" i="6"/>
  <c r="J227" i="6" s="1"/>
  <c r="K227" i="6" s="1"/>
  <c r="H227" i="6"/>
  <c r="Y228" i="6"/>
  <c r="L227" i="6"/>
  <c r="P226" i="6"/>
  <c r="V1625" i="6"/>
  <c r="A1627" i="6"/>
  <c r="T1626" i="6"/>
  <c r="U1626" i="6"/>
  <c r="B225" i="9"/>
  <c r="I224" i="9"/>
  <c r="D224" i="9"/>
  <c r="E224" i="9"/>
  <c r="C224" i="9"/>
  <c r="F224" i="9"/>
  <c r="X225" i="6"/>
  <c r="S226" i="6"/>
  <c r="P223" i="9"/>
  <c r="P227" i="6" l="1"/>
  <c r="D228" i="6"/>
  <c r="Y229" i="6"/>
  <c r="I228" i="6"/>
  <c r="J228" i="6" s="1"/>
  <c r="K228" i="6" s="1"/>
  <c r="L228" i="6"/>
  <c r="P228" i="6" s="1"/>
  <c r="B229" i="6"/>
  <c r="H228" i="6"/>
  <c r="C228" i="6"/>
  <c r="V1626" i="6"/>
  <c r="U1627" i="6"/>
  <c r="A1628" i="6"/>
  <c r="T1627" i="6"/>
  <c r="X226" i="6"/>
  <c r="S227" i="6"/>
  <c r="P224" i="9"/>
  <c r="F225" i="9"/>
  <c r="D225" i="9"/>
  <c r="C225" i="9"/>
  <c r="E225" i="9"/>
  <c r="I225" i="9"/>
  <c r="P225" i="9" s="1"/>
  <c r="B226" i="9"/>
  <c r="C229" i="6" l="1"/>
  <c r="H229" i="6"/>
  <c r="B230" i="6"/>
  <c r="D229" i="6"/>
  <c r="L229" i="6"/>
  <c r="P229" i="6" s="1"/>
  <c r="Y230" i="6"/>
  <c r="I229" i="6"/>
  <c r="J229" i="6" s="1"/>
  <c r="K229" i="6" s="1"/>
  <c r="V1627" i="6"/>
  <c r="X227" i="6"/>
  <c r="S228" i="6"/>
  <c r="C226" i="9"/>
  <c r="E226" i="9"/>
  <c r="I226" i="9"/>
  <c r="P226" i="9" s="1"/>
  <c r="F226" i="9"/>
  <c r="B227" i="9"/>
  <c r="D226" i="9"/>
  <c r="A1629" i="6"/>
  <c r="T1628" i="6"/>
  <c r="U1628" i="6"/>
  <c r="I230" i="6" l="1"/>
  <c r="J230" i="6" s="1"/>
  <c r="K230" i="6" s="1"/>
  <c r="Y231" i="6"/>
  <c r="B231" i="6"/>
  <c r="H230" i="6"/>
  <c r="D230" i="6"/>
  <c r="C230" i="6"/>
  <c r="L230" i="6"/>
  <c r="V1628" i="6"/>
  <c r="X228" i="6"/>
  <c r="S229" i="6"/>
  <c r="I227" i="9"/>
  <c r="P227" i="9" s="1"/>
  <c r="C227" i="9"/>
  <c r="B228" i="9"/>
  <c r="E227" i="9"/>
  <c r="D227" i="9"/>
  <c r="F227" i="9"/>
  <c r="U1629" i="6"/>
  <c r="T1629" i="6"/>
  <c r="A1630" i="6"/>
  <c r="P230" i="6" l="1"/>
  <c r="H231" i="6"/>
  <c r="L231" i="6"/>
  <c r="B232" i="6"/>
  <c r="D231" i="6"/>
  <c r="Y232" i="6"/>
  <c r="I231" i="6"/>
  <c r="J231" i="6" s="1"/>
  <c r="K231" i="6" s="1"/>
  <c r="C231" i="6"/>
  <c r="V1629" i="6"/>
  <c r="B229" i="9"/>
  <c r="D228" i="9"/>
  <c r="C228" i="9"/>
  <c r="I228" i="9"/>
  <c r="P228" i="9" s="1"/>
  <c r="E228" i="9"/>
  <c r="F228" i="9"/>
  <c r="X229" i="6"/>
  <c r="S230" i="6"/>
  <c r="U1630" i="6"/>
  <c r="A1631" i="6"/>
  <c r="T1630" i="6"/>
  <c r="C232" i="6" l="1"/>
  <c r="H232" i="6"/>
  <c r="Y233" i="6"/>
  <c r="B233" i="6"/>
  <c r="I232" i="6"/>
  <c r="J232" i="6" s="1"/>
  <c r="K232" i="6" s="1"/>
  <c r="L232" i="6"/>
  <c r="P232" i="6" s="1"/>
  <c r="D232" i="6"/>
  <c r="P231" i="6"/>
  <c r="V1630" i="6"/>
  <c r="U1631" i="6"/>
  <c r="A1632" i="6"/>
  <c r="T1631" i="6"/>
  <c r="X230" i="6"/>
  <c r="S231" i="6"/>
  <c r="C229" i="9"/>
  <c r="E229" i="9"/>
  <c r="F229" i="9"/>
  <c r="B230" i="9"/>
  <c r="I229" i="9"/>
  <c r="P229" i="9" s="1"/>
  <c r="D229" i="9"/>
  <c r="D233" i="6" l="1"/>
  <c r="I233" i="6"/>
  <c r="J233" i="6" s="1"/>
  <c r="K233" i="6" s="1"/>
  <c r="C233" i="6"/>
  <c r="Y234" i="6"/>
  <c r="L233" i="6"/>
  <c r="H233" i="6"/>
  <c r="B234" i="6"/>
  <c r="V1631" i="6"/>
  <c r="U1632" i="6"/>
  <c r="A1633" i="6"/>
  <c r="T1632" i="6"/>
  <c r="D230" i="9"/>
  <c r="B231" i="9"/>
  <c r="E230" i="9"/>
  <c r="I230" i="9"/>
  <c r="P230" i="9" s="1"/>
  <c r="C230" i="9"/>
  <c r="F230" i="9"/>
  <c r="X231" i="6"/>
  <c r="S232" i="6"/>
  <c r="H234" i="6" l="1"/>
  <c r="B235" i="6"/>
  <c r="D234" i="6"/>
  <c r="Y235" i="6"/>
  <c r="L234" i="6"/>
  <c r="P234" i="6" s="1"/>
  <c r="C234" i="6"/>
  <c r="I234" i="6"/>
  <c r="J234" i="6" s="1"/>
  <c r="K234" i="6" s="1"/>
  <c r="P233" i="6"/>
  <c r="V1632" i="6"/>
  <c r="B232" i="9"/>
  <c r="I231" i="9"/>
  <c r="E231" i="9"/>
  <c r="D231" i="9"/>
  <c r="C231" i="9"/>
  <c r="F231" i="9"/>
  <c r="X232" i="6"/>
  <c r="S233" i="6"/>
  <c r="A1634" i="6"/>
  <c r="U1633" i="6"/>
  <c r="T1633" i="6"/>
  <c r="H235" i="6" l="1"/>
  <c r="C235" i="6"/>
  <c r="B236" i="6"/>
  <c r="L235" i="6"/>
  <c r="P235" i="6" s="1"/>
  <c r="I235" i="6"/>
  <c r="J235" i="6" s="1"/>
  <c r="K235" i="6" s="1"/>
  <c r="D235" i="6"/>
  <c r="Y236" i="6"/>
  <c r="V1633" i="6"/>
  <c r="B233" i="9"/>
  <c r="D232" i="9"/>
  <c r="I232" i="9"/>
  <c r="C232" i="9"/>
  <c r="E232" i="9"/>
  <c r="F232" i="9"/>
  <c r="P231" i="9"/>
  <c r="A1635" i="6"/>
  <c r="T1634" i="6"/>
  <c r="U1634" i="6"/>
  <c r="X233" i="6"/>
  <c r="S234" i="6"/>
  <c r="B237" i="6" l="1"/>
  <c r="I236" i="6"/>
  <c r="J236" i="6" s="1"/>
  <c r="K236" i="6" s="1"/>
  <c r="L236" i="6"/>
  <c r="P236" i="6" s="1"/>
  <c r="H236" i="6"/>
  <c r="Y237" i="6"/>
  <c r="C236" i="6"/>
  <c r="D236" i="6"/>
  <c r="V1634" i="6"/>
  <c r="X234" i="6"/>
  <c r="S235" i="6"/>
  <c r="C233" i="9"/>
  <c r="D233" i="9"/>
  <c r="E233" i="9"/>
  <c r="F233" i="9"/>
  <c r="I233" i="9"/>
  <c r="P233" i="9" s="1"/>
  <c r="B234" i="9"/>
  <c r="A1636" i="6"/>
  <c r="U1635" i="6"/>
  <c r="T1635" i="6"/>
  <c r="P232" i="9"/>
  <c r="H237" i="6" l="1"/>
  <c r="Y238" i="6"/>
  <c r="I237" i="6"/>
  <c r="J237" i="6" s="1"/>
  <c r="K237" i="6" s="1"/>
  <c r="L237" i="6"/>
  <c r="P237" i="6" s="1"/>
  <c r="D237" i="6"/>
  <c r="C237" i="6"/>
  <c r="B238" i="6"/>
  <c r="V1635" i="6"/>
  <c r="C234" i="9"/>
  <c r="F234" i="9"/>
  <c r="B235" i="9"/>
  <c r="D234" i="9"/>
  <c r="E234" i="9"/>
  <c r="I234" i="9"/>
  <c r="P234" i="9" s="1"/>
  <c r="A1637" i="6"/>
  <c r="U1636" i="6"/>
  <c r="T1636" i="6"/>
  <c r="X235" i="6"/>
  <c r="S236" i="6"/>
  <c r="C238" i="6" l="1"/>
  <c r="Y239" i="6"/>
  <c r="H238" i="6"/>
  <c r="I238" i="6"/>
  <c r="J238" i="6" s="1"/>
  <c r="K238" i="6" s="1"/>
  <c r="D238" i="6"/>
  <c r="B239" i="6"/>
  <c r="L238" i="6"/>
  <c r="V1636" i="6"/>
  <c r="I235" i="9"/>
  <c r="P235" i="9" s="1"/>
  <c r="E235" i="9"/>
  <c r="D235" i="9"/>
  <c r="F235" i="9"/>
  <c r="C235" i="9"/>
  <c r="B236" i="9"/>
  <c r="A1638" i="6"/>
  <c r="T1637" i="6"/>
  <c r="U1637" i="6"/>
  <c r="X236" i="6"/>
  <c r="S237" i="6"/>
  <c r="H239" i="6" l="1"/>
  <c r="Y240" i="6"/>
  <c r="L239" i="6"/>
  <c r="P239" i="6" s="1"/>
  <c r="D239" i="6"/>
  <c r="C239" i="6"/>
  <c r="B240" i="6"/>
  <c r="I239" i="6"/>
  <c r="J239" i="6" s="1"/>
  <c r="K239" i="6" s="1"/>
  <c r="P238" i="6"/>
  <c r="V1637" i="6"/>
  <c r="I236" i="9"/>
  <c r="P236" i="9" s="1"/>
  <c r="D236" i="9"/>
  <c r="B237" i="9"/>
  <c r="F236" i="9"/>
  <c r="E236" i="9"/>
  <c r="C236" i="9"/>
  <c r="X237" i="6"/>
  <c r="S238" i="6"/>
  <c r="T1638" i="6"/>
  <c r="U1638" i="6"/>
  <c r="A1639" i="6"/>
  <c r="L240" i="6" l="1"/>
  <c r="P240" i="6" s="1"/>
  <c r="B241" i="6"/>
  <c r="D240" i="6"/>
  <c r="C240" i="6"/>
  <c r="I240" i="6"/>
  <c r="J240" i="6" s="1"/>
  <c r="K240" i="6" s="1"/>
  <c r="Y241" i="6"/>
  <c r="H240" i="6"/>
  <c r="V1638" i="6"/>
  <c r="X238" i="6"/>
  <c r="S239" i="6"/>
  <c r="F237" i="9"/>
  <c r="C237" i="9"/>
  <c r="D237" i="9"/>
  <c r="B238" i="9"/>
  <c r="I237" i="9"/>
  <c r="P237" i="9" s="1"/>
  <c r="E237" i="9"/>
  <c r="A1640" i="6"/>
  <c r="T1639" i="6"/>
  <c r="U1639" i="6"/>
  <c r="I241" i="6" l="1"/>
  <c r="J241" i="6" s="1"/>
  <c r="K241" i="6" s="1"/>
  <c r="C241" i="6"/>
  <c r="L241" i="6"/>
  <c r="B242" i="6"/>
  <c r="Y242" i="6"/>
  <c r="D241" i="6"/>
  <c r="H241" i="6"/>
  <c r="V1639" i="6"/>
  <c r="X239" i="6"/>
  <c r="S240" i="6"/>
  <c r="A1641" i="6"/>
  <c r="T1640" i="6"/>
  <c r="U1640" i="6"/>
  <c r="I238" i="9"/>
  <c r="F238" i="9"/>
  <c r="D238" i="9"/>
  <c r="C238" i="9"/>
  <c r="B239" i="9"/>
  <c r="E238" i="9"/>
  <c r="D242" i="6" l="1"/>
  <c r="L242" i="6"/>
  <c r="P242" i="6" s="1"/>
  <c r="B243" i="6"/>
  <c r="I242" i="6"/>
  <c r="J242" i="6" s="1"/>
  <c r="K242" i="6" s="1"/>
  <c r="C242" i="6"/>
  <c r="H242" i="6"/>
  <c r="Y243" i="6"/>
  <c r="P241" i="6"/>
  <c r="V1640" i="6"/>
  <c r="X240" i="6"/>
  <c r="S241" i="6"/>
  <c r="B240" i="9"/>
  <c r="I239" i="9"/>
  <c r="E239" i="9"/>
  <c r="F239" i="9"/>
  <c r="D239" i="9"/>
  <c r="C239" i="9"/>
  <c r="U1641" i="6"/>
  <c r="A1642" i="6"/>
  <c r="T1641" i="6"/>
  <c r="P238" i="9"/>
  <c r="Y244" i="6" l="1"/>
  <c r="L243" i="6"/>
  <c r="P243" i="6" s="1"/>
  <c r="D243" i="6"/>
  <c r="H243" i="6"/>
  <c r="C243" i="6"/>
  <c r="I243" i="6"/>
  <c r="J243" i="6" s="1"/>
  <c r="K243" i="6" s="1"/>
  <c r="B244" i="6"/>
  <c r="V1641" i="6"/>
  <c r="B241" i="9"/>
  <c r="D240" i="9"/>
  <c r="C240" i="9"/>
  <c r="E240" i="9"/>
  <c r="F240" i="9"/>
  <c r="I240" i="9"/>
  <c r="P240" i="9" s="1"/>
  <c r="X241" i="6"/>
  <c r="S242" i="6"/>
  <c r="A1643" i="6"/>
  <c r="T1642" i="6"/>
  <c r="U1642" i="6"/>
  <c r="P239" i="9"/>
  <c r="H244" i="6" l="1"/>
  <c r="C244" i="6"/>
  <c r="L244" i="6"/>
  <c r="P244" i="6" s="1"/>
  <c r="Y245" i="6"/>
  <c r="D244" i="6"/>
  <c r="B245" i="6"/>
  <c r="I244" i="6"/>
  <c r="J244" i="6" s="1"/>
  <c r="K244" i="6" s="1"/>
  <c r="V1642" i="6"/>
  <c r="X242" i="6"/>
  <c r="S243" i="6"/>
  <c r="I241" i="9"/>
  <c r="F241" i="9"/>
  <c r="B242" i="9"/>
  <c r="E241" i="9"/>
  <c r="C241" i="9"/>
  <c r="D241" i="9"/>
  <c r="A1644" i="6"/>
  <c r="T1643" i="6"/>
  <c r="U1643" i="6"/>
  <c r="D245" i="6" l="1"/>
  <c r="H245" i="6"/>
  <c r="C245" i="6"/>
  <c r="I245" i="6"/>
  <c r="J245" i="6" s="1"/>
  <c r="K245" i="6" s="1"/>
  <c r="Y246" i="6"/>
  <c r="B246" i="6"/>
  <c r="L245" i="6"/>
  <c r="V1643" i="6"/>
  <c r="A1645" i="6"/>
  <c r="T1644" i="6"/>
  <c r="U1644" i="6"/>
  <c r="X243" i="6"/>
  <c r="S244" i="6"/>
  <c r="E242" i="9"/>
  <c r="I242" i="9"/>
  <c r="F242" i="9"/>
  <c r="D242" i="9"/>
  <c r="B243" i="9"/>
  <c r="C242" i="9"/>
  <c r="P241" i="9"/>
  <c r="P245" i="6" l="1"/>
  <c r="I246" i="6"/>
  <c r="J246" i="6" s="1"/>
  <c r="K246" i="6" s="1"/>
  <c r="Y247" i="6"/>
  <c r="H246" i="6"/>
  <c r="B247" i="6"/>
  <c r="C246" i="6"/>
  <c r="L246" i="6"/>
  <c r="P246" i="6" s="1"/>
  <c r="D246" i="6"/>
  <c r="V1644" i="6"/>
  <c r="X244" i="6"/>
  <c r="S245" i="6"/>
  <c r="U1645" i="6"/>
  <c r="A1646" i="6"/>
  <c r="T1645" i="6"/>
  <c r="I243" i="9"/>
  <c r="B244" i="9"/>
  <c r="D243" i="9"/>
  <c r="E243" i="9"/>
  <c r="F243" i="9"/>
  <c r="C243" i="9"/>
  <c r="P242" i="9"/>
  <c r="B248" i="6" l="1"/>
  <c r="L247" i="6"/>
  <c r="D247" i="6"/>
  <c r="Y248" i="6"/>
  <c r="C247" i="6"/>
  <c r="I247" i="6"/>
  <c r="J247" i="6" s="1"/>
  <c r="K247" i="6" s="1"/>
  <c r="H247" i="6"/>
  <c r="V1645" i="6"/>
  <c r="C244" i="9"/>
  <c r="B245" i="9"/>
  <c r="E244" i="9"/>
  <c r="I244" i="9"/>
  <c r="P244" i="9" s="1"/>
  <c r="F244" i="9"/>
  <c r="D244" i="9"/>
  <c r="P243" i="9"/>
  <c r="A1647" i="6"/>
  <c r="T1646" i="6"/>
  <c r="U1646" i="6"/>
  <c r="X245" i="6"/>
  <c r="S246" i="6"/>
  <c r="P247" i="6" l="1"/>
  <c r="C248" i="6"/>
  <c r="Y249" i="6"/>
  <c r="D248" i="6"/>
  <c r="I248" i="6"/>
  <c r="J248" i="6" s="1"/>
  <c r="K248" i="6" s="1"/>
  <c r="B249" i="6"/>
  <c r="H248" i="6"/>
  <c r="L248" i="6"/>
  <c r="V1646" i="6"/>
  <c r="E245" i="9"/>
  <c r="D245" i="9"/>
  <c r="F245" i="9"/>
  <c r="C245" i="9"/>
  <c r="B246" i="9"/>
  <c r="I245" i="9"/>
  <c r="X246" i="6"/>
  <c r="S247" i="6"/>
  <c r="U1647" i="6"/>
  <c r="A1648" i="6"/>
  <c r="T1647" i="6"/>
  <c r="D249" i="6" l="1"/>
  <c r="C249" i="6"/>
  <c r="L249" i="6"/>
  <c r="P249" i="6" s="1"/>
  <c r="I249" i="6"/>
  <c r="J249" i="6" s="1"/>
  <c r="K249" i="6" s="1"/>
  <c r="B250" i="6"/>
  <c r="Y250" i="6"/>
  <c r="H249" i="6"/>
  <c r="P248" i="6"/>
  <c r="V1647" i="6"/>
  <c r="X247" i="6"/>
  <c r="S248" i="6"/>
  <c r="B247" i="9"/>
  <c r="I246" i="9"/>
  <c r="F246" i="9"/>
  <c r="D246" i="9"/>
  <c r="E246" i="9"/>
  <c r="C246" i="9"/>
  <c r="T1648" i="6"/>
  <c r="A1649" i="6"/>
  <c r="U1648" i="6"/>
  <c r="P245" i="9"/>
  <c r="AI100" i="3" l="1"/>
  <c r="B251" i="6"/>
  <c r="I250" i="6"/>
  <c r="J250" i="6" s="1"/>
  <c r="K250" i="6" s="1"/>
  <c r="D250" i="6"/>
  <c r="H250" i="6"/>
  <c r="C250" i="6"/>
  <c r="Y251" i="6"/>
  <c r="L250" i="6"/>
  <c r="P250" i="6" s="1"/>
  <c r="V1648" i="6"/>
  <c r="A1650" i="6"/>
  <c r="U1649" i="6"/>
  <c r="T1649" i="6"/>
  <c r="P246" i="9"/>
  <c r="X248" i="6"/>
  <c r="S249" i="6"/>
  <c r="I247" i="9"/>
  <c r="P247" i="9" s="1"/>
  <c r="C247" i="9"/>
  <c r="F247" i="9"/>
  <c r="E247" i="9"/>
  <c r="B248" i="9"/>
  <c r="D247" i="9"/>
  <c r="AI101" i="3" l="1"/>
  <c r="H251" i="6"/>
  <c r="L251" i="6"/>
  <c r="Y252" i="6"/>
  <c r="D251" i="6"/>
  <c r="B252" i="6"/>
  <c r="I251" i="6"/>
  <c r="J251" i="6" s="1"/>
  <c r="K251" i="6" s="1"/>
  <c r="C251" i="6"/>
  <c r="V1649" i="6"/>
  <c r="I248" i="9"/>
  <c r="P248" i="9" s="1"/>
  <c r="E248" i="9"/>
  <c r="D248" i="9"/>
  <c r="B249" i="9"/>
  <c r="F248" i="9"/>
  <c r="C248" i="9"/>
  <c r="X249" i="6"/>
  <c r="S250" i="6"/>
  <c r="A1651" i="6"/>
  <c r="U1650" i="6"/>
  <c r="T1650" i="6"/>
  <c r="AI102" i="3" l="1"/>
  <c r="Y253" i="6"/>
  <c r="H252" i="6"/>
  <c r="I252" i="6"/>
  <c r="J252" i="6" s="1"/>
  <c r="K252" i="6" s="1"/>
  <c r="C252" i="6"/>
  <c r="L252" i="6"/>
  <c r="P252" i="6" s="1"/>
  <c r="D252" i="6"/>
  <c r="B253" i="6"/>
  <c r="P251" i="6"/>
  <c r="V1650" i="6"/>
  <c r="E249" i="9"/>
  <c r="I249" i="9"/>
  <c r="F249" i="9"/>
  <c r="C249" i="9"/>
  <c r="B250" i="9"/>
  <c r="D249" i="9"/>
  <c r="T100" i="3"/>
  <c r="X250" i="6"/>
  <c r="S251" i="6"/>
  <c r="U1651" i="6"/>
  <c r="A1652" i="6"/>
  <c r="T1651" i="6"/>
  <c r="AI103" i="3" l="1"/>
  <c r="Y254" i="6"/>
  <c r="D253" i="6"/>
  <c r="B254" i="6"/>
  <c r="H253" i="6"/>
  <c r="L253" i="6"/>
  <c r="P253" i="6" s="1"/>
  <c r="C253" i="6"/>
  <c r="I253" i="6"/>
  <c r="J253" i="6" s="1"/>
  <c r="K253" i="6" s="1"/>
  <c r="V1651" i="6"/>
  <c r="S109" i="1"/>
  <c r="S110" i="1" s="1"/>
  <c r="S111" i="1" s="1"/>
  <c r="S112" i="1" s="1"/>
  <c r="S113" i="1" s="1"/>
  <c r="S114" i="1" s="1"/>
  <c r="S115" i="1" s="1"/>
  <c r="S116" i="1" s="1"/>
  <c r="S117" i="1" s="1"/>
  <c r="S118" i="1" s="1"/>
  <c r="S119" i="1" s="1"/>
  <c r="S120" i="1" s="1"/>
  <c r="S121" i="1" s="1"/>
  <c r="S122" i="1" s="1"/>
  <c r="S123" i="1" s="1"/>
  <c r="S124" i="1" s="1"/>
  <c r="S125" i="1" s="1"/>
  <c r="S126" i="1" s="1"/>
  <c r="S127" i="1" s="1"/>
  <c r="T101" i="3"/>
  <c r="C250" i="9"/>
  <c r="D250" i="9"/>
  <c r="E250" i="9"/>
  <c r="I250" i="9"/>
  <c r="B251" i="9"/>
  <c r="F250" i="9"/>
  <c r="A1653" i="6"/>
  <c r="T1652" i="6"/>
  <c r="U1652" i="6"/>
  <c r="X251" i="6"/>
  <c r="S252" i="6"/>
  <c r="P249" i="9"/>
  <c r="AA100" i="3" l="1"/>
  <c r="AI104" i="3"/>
  <c r="S100" i="3"/>
  <c r="U100" i="3"/>
  <c r="V100" i="3"/>
  <c r="C254" i="6"/>
  <c r="D254" i="6"/>
  <c r="B255" i="6"/>
  <c r="Y255" i="6"/>
  <c r="L254" i="6"/>
  <c r="I254" i="6"/>
  <c r="J254" i="6" s="1"/>
  <c r="K254" i="6" s="1"/>
  <c r="H254" i="6"/>
  <c r="V1652" i="6"/>
  <c r="B252" i="9"/>
  <c r="E251" i="9"/>
  <c r="D251" i="9"/>
  <c r="I251" i="9"/>
  <c r="P251" i="9" s="1"/>
  <c r="F251" i="9"/>
  <c r="C251" i="9"/>
  <c r="P250" i="9"/>
  <c r="A1654" i="6"/>
  <c r="T1653" i="6"/>
  <c r="U1653" i="6"/>
  <c r="T102" i="3"/>
  <c r="X252" i="6"/>
  <c r="S253" i="6"/>
  <c r="AA101" i="3" l="1"/>
  <c r="AI105" i="3"/>
  <c r="U101" i="3"/>
  <c r="R109" i="1"/>
  <c r="R110" i="1" s="1"/>
  <c r="R111" i="1" s="1"/>
  <c r="R112" i="1" s="1"/>
  <c r="R113" i="1" s="1"/>
  <c r="R114" i="1" s="1"/>
  <c r="R115" i="1" s="1"/>
  <c r="R116" i="1" s="1"/>
  <c r="R117" i="1" s="1"/>
  <c r="R118" i="1" s="1"/>
  <c r="R119" i="1" s="1"/>
  <c r="R120" i="1" s="1"/>
  <c r="R121" i="1" s="1"/>
  <c r="R122" i="1" s="1"/>
  <c r="R123" i="1" s="1"/>
  <c r="R124" i="1" s="1"/>
  <c r="R125" i="1" s="1"/>
  <c r="R126" i="1" s="1"/>
  <c r="R127" i="1" s="1"/>
  <c r="S101" i="3"/>
  <c r="V101" i="3"/>
  <c r="P254" i="6"/>
  <c r="C255" i="6"/>
  <c r="B256" i="6"/>
  <c r="I255" i="6"/>
  <c r="J255" i="6" s="1"/>
  <c r="K255" i="6" s="1"/>
  <c r="Y256" i="6"/>
  <c r="H255" i="6"/>
  <c r="L255" i="6"/>
  <c r="D255" i="6"/>
  <c r="V1653" i="6"/>
  <c r="T103" i="3"/>
  <c r="U1654" i="6"/>
  <c r="A1655" i="6"/>
  <c r="T1654" i="6"/>
  <c r="X253" i="6"/>
  <c r="S254" i="6"/>
  <c r="I252" i="9"/>
  <c r="P252" i="9" s="1"/>
  <c r="E252" i="9"/>
  <c r="F252" i="9"/>
  <c r="C252" i="9"/>
  <c r="B253" i="9"/>
  <c r="D252" i="9"/>
  <c r="AA102" i="3" l="1"/>
  <c r="AI106" i="3"/>
  <c r="AI107" i="3" s="1"/>
  <c r="AI108" i="3" s="1"/>
  <c r="AI109" i="3" s="1"/>
  <c r="AI110" i="3" s="1"/>
  <c r="AI111" i="3" s="1"/>
  <c r="AI112" i="3" s="1"/>
  <c r="AI113" i="3" s="1"/>
  <c r="AI114" i="3" s="1"/>
  <c r="AI115" i="3" s="1"/>
  <c r="AI116" i="3" s="1"/>
  <c r="AI117" i="3" s="1"/>
  <c r="AI118" i="3" s="1"/>
  <c r="AI119" i="3" s="1"/>
  <c r="AI120" i="3" s="1"/>
  <c r="AI121" i="3" s="1"/>
  <c r="AI122" i="3" s="1"/>
  <c r="AI123" i="3" s="1"/>
  <c r="AI124" i="3" s="1"/>
  <c r="AI125" i="3" s="1"/>
  <c r="S102" i="3"/>
  <c r="U102" i="3"/>
  <c r="V102" i="3"/>
  <c r="D256" i="6"/>
  <c r="B257" i="6"/>
  <c r="L256" i="6"/>
  <c r="P256" i="6" s="1"/>
  <c r="Y257" i="6"/>
  <c r="C256" i="6"/>
  <c r="H256" i="6"/>
  <c r="I256" i="6"/>
  <c r="J256" i="6" s="1"/>
  <c r="K256" i="6" s="1"/>
  <c r="P255" i="6"/>
  <c r="V1654" i="6"/>
  <c r="B254" i="9"/>
  <c r="D253" i="9"/>
  <c r="F253" i="9"/>
  <c r="E253" i="9"/>
  <c r="C253" i="9"/>
  <c r="I253" i="9"/>
  <c r="P253" i="9" s="1"/>
  <c r="U1655" i="6"/>
  <c r="A1656" i="6"/>
  <c r="T1655" i="6"/>
  <c r="T104" i="3"/>
  <c r="X254" i="6"/>
  <c r="S255" i="6"/>
  <c r="AF109" i="1" l="1"/>
  <c r="AI110" i="1" s="1"/>
  <c r="AA103" i="3"/>
  <c r="U103" i="3"/>
  <c r="S103" i="3"/>
  <c r="V103" i="3"/>
  <c r="B258" i="6"/>
  <c r="C257" i="6"/>
  <c r="Y258" i="6"/>
  <c r="I257" i="6"/>
  <c r="J257" i="6" s="1"/>
  <c r="K257" i="6" s="1"/>
  <c r="L257" i="6"/>
  <c r="D257" i="6"/>
  <c r="H257" i="6"/>
  <c r="V1655" i="6"/>
  <c r="T105" i="3"/>
  <c r="A1657" i="6"/>
  <c r="T1656" i="6"/>
  <c r="U1656" i="6"/>
  <c r="I254" i="9"/>
  <c r="P254" i="9" s="1"/>
  <c r="F254" i="9"/>
  <c r="D254" i="9"/>
  <c r="C254" i="9"/>
  <c r="E254" i="9"/>
  <c r="B255" i="9"/>
  <c r="X255" i="6"/>
  <c r="S256" i="6"/>
  <c r="AG109" i="1" l="1"/>
  <c r="AF110" i="1"/>
  <c r="AI111" i="1" s="1"/>
  <c r="AA104" i="3"/>
  <c r="S104" i="3"/>
  <c r="U104" i="3"/>
  <c r="V104" i="3"/>
  <c r="P257" i="6"/>
  <c r="B259" i="6"/>
  <c r="D258" i="6"/>
  <c r="L258" i="6"/>
  <c r="P258" i="6" s="1"/>
  <c r="I258" i="6"/>
  <c r="J258" i="6" s="1"/>
  <c r="K258" i="6" s="1"/>
  <c r="H258" i="6"/>
  <c r="Y259" i="6"/>
  <c r="C258" i="6"/>
  <c r="V1656" i="6"/>
  <c r="A1658" i="6"/>
  <c r="T1657" i="6"/>
  <c r="U1657" i="6"/>
  <c r="X256" i="6"/>
  <c r="S257" i="6"/>
  <c r="D255" i="9"/>
  <c r="C255" i="9"/>
  <c r="F255" i="9"/>
  <c r="B256" i="9"/>
  <c r="E255" i="9"/>
  <c r="I255" i="9"/>
  <c r="P255" i="9" s="1"/>
  <c r="T106" i="3"/>
  <c r="AG110" i="1" l="1"/>
  <c r="AF111" i="1"/>
  <c r="AI112" i="1" s="1"/>
  <c r="U109" i="1"/>
  <c r="T109" i="1"/>
  <c r="AA105" i="3"/>
  <c r="U105" i="3"/>
  <c r="S105" i="3"/>
  <c r="V105" i="3"/>
  <c r="B260" i="6"/>
  <c r="H259" i="6"/>
  <c r="L259" i="6"/>
  <c r="D259" i="6"/>
  <c r="C259" i="6"/>
  <c r="I259" i="6"/>
  <c r="J259" i="6" s="1"/>
  <c r="K259" i="6" s="1"/>
  <c r="Y260" i="6"/>
  <c r="V1657" i="6"/>
  <c r="T1658" i="6"/>
  <c r="A1659" i="6"/>
  <c r="U1658" i="6"/>
  <c r="I256" i="9"/>
  <c r="P256" i="9" s="1"/>
  <c r="D256" i="9"/>
  <c r="C256" i="9"/>
  <c r="B257" i="9"/>
  <c r="E256" i="9"/>
  <c r="F256" i="9"/>
  <c r="X257" i="6"/>
  <c r="S258" i="6"/>
  <c r="AG111" i="1" l="1"/>
  <c r="AF112" i="1"/>
  <c r="AI113" i="1" s="1"/>
  <c r="T110" i="1"/>
  <c r="AB109" i="1"/>
  <c r="Z109" i="1"/>
  <c r="AA109" i="1"/>
  <c r="AC109" i="1"/>
  <c r="U110" i="1"/>
  <c r="AA106" i="3"/>
  <c r="S106" i="3"/>
  <c r="U106" i="3"/>
  <c r="V106" i="3"/>
  <c r="P259" i="6"/>
  <c r="Y261" i="6"/>
  <c r="L260" i="6"/>
  <c r="D260" i="6"/>
  <c r="I260" i="6"/>
  <c r="J260" i="6" s="1"/>
  <c r="K260" i="6" s="1"/>
  <c r="C260" i="6"/>
  <c r="H260" i="6"/>
  <c r="B261" i="6"/>
  <c r="V1658" i="6"/>
  <c r="U1659" i="6"/>
  <c r="A1660" i="6"/>
  <c r="T1659" i="6"/>
  <c r="C257" i="9"/>
  <c r="D257" i="9"/>
  <c r="I257" i="9"/>
  <c r="F257" i="9"/>
  <c r="B258" i="9"/>
  <c r="E257" i="9"/>
  <c r="X258" i="6"/>
  <c r="S259" i="6"/>
  <c r="AG112" i="1" l="1"/>
  <c r="AF113" i="1"/>
  <c r="AC110" i="1"/>
  <c r="AA110" i="1"/>
  <c r="U111" i="1"/>
  <c r="T111" i="1"/>
  <c r="AB110" i="1"/>
  <c r="Z110" i="1"/>
  <c r="I261" i="6"/>
  <c r="J261" i="6" s="1"/>
  <c r="K261" i="6" s="1"/>
  <c r="Y262" i="6"/>
  <c r="B262" i="6"/>
  <c r="D261" i="6"/>
  <c r="L261" i="6"/>
  <c r="P261" i="6" s="1"/>
  <c r="C261" i="6"/>
  <c r="H261" i="6"/>
  <c r="P260" i="6"/>
  <c r="V1659" i="6"/>
  <c r="T1660" i="6"/>
  <c r="U1660" i="6"/>
  <c r="A1661" i="6"/>
  <c r="D258" i="9"/>
  <c r="E258" i="9"/>
  <c r="C258" i="9"/>
  <c r="B259" i="9"/>
  <c r="I258" i="9"/>
  <c r="P258" i="9" s="1"/>
  <c r="F258" i="9"/>
  <c r="P257" i="9"/>
  <c r="X259" i="6"/>
  <c r="S260" i="6"/>
  <c r="AI114" i="1" l="1"/>
  <c r="AF114" i="1"/>
  <c r="AI115" i="1" s="1"/>
  <c r="AG113" i="1"/>
  <c r="Z111" i="1"/>
  <c r="AB111" i="1"/>
  <c r="T112" i="1"/>
  <c r="AC111" i="1"/>
  <c r="AA111" i="1"/>
  <c r="U112" i="1"/>
  <c r="D262" i="6"/>
  <c r="H262" i="6"/>
  <c r="Y263" i="6"/>
  <c r="I262" i="6"/>
  <c r="J262" i="6" s="1"/>
  <c r="K262" i="6" s="1"/>
  <c r="L262" i="6"/>
  <c r="P262" i="6" s="1"/>
  <c r="C262" i="6"/>
  <c r="B263" i="6"/>
  <c r="V1660" i="6"/>
  <c r="X260" i="6"/>
  <c r="S261" i="6"/>
  <c r="I259" i="9"/>
  <c r="P259" i="9" s="1"/>
  <c r="D259" i="9"/>
  <c r="C259" i="9"/>
  <c r="F259" i="9"/>
  <c r="E259" i="9"/>
  <c r="B260" i="9"/>
  <c r="U1661" i="6"/>
  <c r="A1662" i="6"/>
  <c r="T1661" i="6"/>
  <c r="AF115" i="1" l="1"/>
  <c r="AI116" i="1" s="1"/>
  <c r="AG114" i="1"/>
  <c r="AC112" i="1"/>
  <c r="U113" i="1"/>
  <c r="AA112" i="1"/>
  <c r="AB112" i="1"/>
  <c r="T113" i="1"/>
  <c r="Z112" i="1"/>
  <c r="Y264" i="6"/>
  <c r="L263" i="6"/>
  <c r="H263" i="6"/>
  <c r="C263" i="6"/>
  <c r="B264" i="6"/>
  <c r="I263" i="6"/>
  <c r="J263" i="6" s="1"/>
  <c r="K263" i="6" s="1"/>
  <c r="D263" i="6"/>
  <c r="V1661" i="6"/>
  <c r="X261" i="6"/>
  <c r="S262" i="6"/>
  <c r="U1662" i="6"/>
  <c r="T1662" i="6"/>
  <c r="A1663" i="6"/>
  <c r="B261" i="9"/>
  <c r="F260" i="9"/>
  <c r="I260" i="9"/>
  <c r="P260" i="9" s="1"/>
  <c r="D260" i="9"/>
  <c r="C260" i="9"/>
  <c r="E260" i="9"/>
  <c r="AG115" i="1" l="1"/>
  <c r="AF116" i="1"/>
  <c r="AI117" i="1" s="1"/>
  <c r="AB113" i="1"/>
  <c r="T114" i="1"/>
  <c r="Z113" i="1"/>
  <c r="AC113" i="1"/>
  <c r="U114" i="1"/>
  <c r="AA113" i="1"/>
  <c r="I264" i="6"/>
  <c r="J264" i="6" s="1"/>
  <c r="K264" i="6" s="1"/>
  <c r="D264" i="6"/>
  <c r="L264" i="6"/>
  <c r="P264" i="6" s="1"/>
  <c r="H264" i="6"/>
  <c r="Y265" i="6"/>
  <c r="C264" i="6"/>
  <c r="B265" i="6"/>
  <c r="P263" i="6"/>
  <c r="V1662" i="6"/>
  <c r="X262" i="6"/>
  <c r="S263" i="6"/>
  <c r="I261" i="9"/>
  <c r="P261" i="9" s="1"/>
  <c r="C261" i="9"/>
  <c r="F261" i="9"/>
  <c r="B262" i="9"/>
  <c r="E261" i="9"/>
  <c r="D261" i="9"/>
  <c r="A1664" i="6"/>
  <c r="U1663" i="6"/>
  <c r="T1663" i="6"/>
  <c r="AF117" i="1" l="1"/>
  <c r="AI118" i="1" s="1"/>
  <c r="AG116" i="1"/>
  <c r="AC114" i="1"/>
  <c r="U115" i="1"/>
  <c r="AA114" i="1"/>
  <c r="Z114" i="1"/>
  <c r="AB114" i="1"/>
  <c r="T115" i="1"/>
  <c r="C265" i="6"/>
  <c r="Y266" i="6"/>
  <c r="D265" i="6"/>
  <c r="H265" i="6"/>
  <c r="I265" i="6"/>
  <c r="J265" i="6" s="1"/>
  <c r="K265" i="6" s="1"/>
  <c r="L265" i="6"/>
  <c r="P265" i="6" s="1"/>
  <c r="B266" i="6"/>
  <c r="V1663" i="6"/>
  <c r="U1664" i="6"/>
  <c r="A1665" i="6"/>
  <c r="T1664" i="6"/>
  <c r="B263" i="9"/>
  <c r="F262" i="9"/>
  <c r="D262" i="9"/>
  <c r="C262" i="9"/>
  <c r="I262" i="9"/>
  <c r="E262" i="9"/>
  <c r="X263" i="6"/>
  <c r="S264" i="6"/>
  <c r="AG117" i="1" l="1"/>
  <c r="AF118" i="1"/>
  <c r="AI119" i="1" s="1"/>
  <c r="T116" i="1"/>
  <c r="AB115" i="1"/>
  <c r="Z115" i="1"/>
  <c r="AC115" i="1"/>
  <c r="U116" i="1"/>
  <c r="AA115" i="1"/>
  <c r="B267" i="6"/>
  <c r="Y267" i="6"/>
  <c r="I266" i="6"/>
  <c r="J266" i="6" s="1"/>
  <c r="K266" i="6" s="1"/>
  <c r="H266" i="6"/>
  <c r="C266" i="6"/>
  <c r="D266" i="6"/>
  <c r="L266" i="6"/>
  <c r="V1664" i="6"/>
  <c r="F263" i="9"/>
  <c r="B264" i="9"/>
  <c r="C263" i="9"/>
  <c r="D263" i="9"/>
  <c r="E263" i="9"/>
  <c r="I263" i="9"/>
  <c r="T1665" i="6"/>
  <c r="U1665" i="6"/>
  <c r="A1666" i="6"/>
  <c r="P262" i="9"/>
  <c r="X264" i="6"/>
  <c r="S265" i="6"/>
  <c r="AF119" i="1" l="1"/>
  <c r="AI120" i="1" s="1"/>
  <c r="AG118" i="1"/>
  <c r="U117" i="1"/>
  <c r="AA116" i="1"/>
  <c r="AC116" i="1"/>
  <c r="T117" i="1"/>
  <c r="Z116" i="1"/>
  <c r="AB116" i="1"/>
  <c r="P266" i="6"/>
  <c r="B268" i="6"/>
  <c r="I267" i="6"/>
  <c r="J267" i="6" s="1"/>
  <c r="K267" i="6" s="1"/>
  <c r="Y268" i="6"/>
  <c r="D267" i="6"/>
  <c r="L267" i="6"/>
  <c r="P267" i="6" s="1"/>
  <c r="C267" i="6"/>
  <c r="H267" i="6"/>
  <c r="V1665" i="6"/>
  <c r="U1666" i="6"/>
  <c r="T1666" i="6"/>
  <c r="A1667" i="6"/>
  <c r="P263" i="9"/>
  <c r="D264" i="9"/>
  <c r="C264" i="9"/>
  <c r="I264" i="9"/>
  <c r="B265" i="9"/>
  <c r="F264" i="9"/>
  <c r="E264" i="9"/>
  <c r="X265" i="6"/>
  <c r="S266" i="6"/>
  <c r="AF120" i="1" l="1"/>
  <c r="AG119" i="1"/>
  <c r="AB117" i="1"/>
  <c r="T118" i="1"/>
  <c r="Z117" i="1"/>
  <c r="AC117" i="1"/>
  <c r="U118" i="1"/>
  <c r="AA117" i="1"/>
  <c r="Y269" i="6"/>
  <c r="I268" i="6"/>
  <c r="J268" i="6" s="1"/>
  <c r="K268" i="6" s="1"/>
  <c r="D268" i="6"/>
  <c r="H268" i="6"/>
  <c r="L268" i="6"/>
  <c r="P268" i="6" s="1"/>
  <c r="C268" i="6"/>
  <c r="B269" i="6"/>
  <c r="V1666" i="6"/>
  <c r="T1667" i="6"/>
  <c r="A1668" i="6"/>
  <c r="U1667" i="6"/>
  <c r="F265" i="9"/>
  <c r="C265" i="9"/>
  <c r="D265" i="9"/>
  <c r="B266" i="9"/>
  <c r="E265" i="9"/>
  <c r="I265" i="9"/>
  <c r="X266" i="6"/>
  <c r="S267" i="6"/>
  <c r="P264" i="9"/>
  <c r="AI121" i="1" l="1"/>
  <c r="AG120" i="1"/>
  <c r="AF121" i="1"/>
  <c r="AI122" i="1" s="1"/>
  <c r="AA118" i="1"/>
  <c r="U119" i="1"/>
  <c r="AC118" i="1"/>
  <c r="T119" i="1"/>
  <c r="Z118" i="1"/>
  <c r="AB118" i="1"/>
  <c r="L269" i="6"/>
  <c r="P269" i="6" s="1"/>
  <c r="D269" i="6"/>
  <c r="B270" i="6"/>
  <c r="Y270" i="6"/>
  <c r="H269" i="6"/>
  <c r="I269" i="6"/>
  <c r="J269" i="6" s="1"/>
  <c r="K269" i="6" s="1"/>
  <c r="C269" i="6"/>
  <c r="V1667" i="6"/>
  <c r="P265" i="9"/>
  <c r="E266" i="9"/>
  <c r="B267" i="9"/>
  <c r="F266" i="9"/>
  <c r="C266" i="9"/>
  <c r="D266" i="9"/>
  <c r="I266" i="9"/>
  <c r="P266" i="9" s="1"/>
  <c r="A1669" i="6"/>
  <c r="T1668" i="6"/>
  <c r="U1668" i="6"/>
  <c r="X267" i="6"/>
  <c r="S268" i="6"/>
  <c r="AF122" i="1" l="1"/>
  <c r="AI123" i="1" s="1"/>
  <c r="AG121" i="1"/>
  <c r="AB119" i="1"/>
  <c r="T120" i="1"/>
  <c r="Z119" i="1"/>
  <c r="AC119" i="1"/>
  <c r="U120" i="1"/>
  <c r="AA119" i="1"/>
  <c r="B271" i="6"/>
  <c r="H270" i="6"/>
  <c r="Y271" i="6"/>
  <c r="L270" i="6"/>
  <c r="P270" i="6" s="1"/>
  <c r="C270" i="6"/>
  <c r="D270" i="6"/>
  <c r="I270" i="6"/>
  <c r="J270" i="6" s="1"/>
  <c r="K270" i="6" s="1"/>
  <c r="V1668" i="6"/>
  <c r="A1670" i="6"/>
  <c r="T1669" i="6"/>
  <c r="U1669" i="6"/>
  <c r="E267" i="9"/>
  <c r="I267" i="9"/>
  <c r="C267" i="9"/>
  <c r="F267" i="9"/>
  <c r="B268" i="9"/>
  <c r="D267" i="9"/>
  <c r="X268" i="6"/>
  <c r="S269" i="6"/>
  <c r="AG122" i="1" l="1"/>
  <c r="AF123" i="1"/>
  <c r="AI124" i="1" s="1"/>
  <c r="AC120" i="1"/>
  <c r="U121" i="1"/>
  <c r="AA120" i="1"/>
  <c r="Z120" i="1"/>
  <c r="AB120" i="1"/>
  <c r="T121" i="1"/>
  <c r="H271" i="6"/>
  <c r="B272" i="6"/>
  <c r="D271" i="6"/>
  <c r="I271" i="6"/>
  <c r="J271" i="6" s="1"/>
  <c r="K271" i="6" s="1"/>
  <c r="Y272" i="6"/>
  <c r="L271" i="6"/>
  <c r="C271" i="6"/>
  <c r="V1669" i="6"/>
  <c r="X269" i="6"/>
  <c r="S270" i="6"/>
  <c r="I268" i="9"/>
  <c r="B269" i="9"/>
  <c r="C268" i="9"/>
  <c r="F268" i="9"/>
  <c r="D268" i="9"/>
  <c r="E268" i="9"/>
  <c r="T1670" i="6"/>
  <c r="U1670" i="6"/>
  <c r="A1671" i="6"/>
  <c r="P267" i="9"/>
  <c r="AG123" i="1" l="1"/>
  <c r="AF124" i="1"/>
  <c r="Z121" i="1"/>
  <c r="AB121" i="1"/>
  <c r="T122" i="1"/>
  <c r="AC121" i="1"/>
  <c r="U122" i="1"/>
  <c r="AA121" i="1"/>
  <c r="P271" i="6"/>
  <c r="D272" i="6"/>
  <c r="H272" i="6"/>
  <c r="B273" i="6"/>
  <c r="C272" i="6"/>
  <c r="L272" i="6"/>
  <c r="P272" i="6" s="1"/>
  <c r="Y273" i="6"/>
  <c r="I272" i="6"/>
  <c r="J272" i="6" s="1"/>
  <c r="K272" i="6" s="1"/>
  <c r="V1670" i="6"/>
  <c r="I269" i="9"/>
  <c r="P269" i="9" s="1"/>
  <c r="B270" i="9"/>
  <c r="D269" i="9"/>
  <c r="E269" i="9"/>
  <c r="C269" i="9"/>
  <c r="F269" i="9"/>
  <c r="X270" i="6"/>
  <c r="S271" i="6"/>
  <c r="P268" i="9"/>
  <c r="U1671" i="6"/>
  <c r="T1671" i="6"/>
  <c r="A1672" i="6"/>
  <c r="AI125" i="1" l="1"/>
  <c r="AG124" i="1"/>
  <c r="AF125" i="1"/>
  <c r="AI126" i="1" s="1"/>
  <c r="AC122" i="1"/>
  <c r="AA122" i="1"/>
  <c r="U123" i="1"/>
  <c r="AB122" i="1"/>
  <c r="T123" i="1"/>
  <c r="Z122" i="1"/>
  <c r="I273" i="6"/>
  <c r="J273" i="6" s="1"/>
  <c r="K273" i="6" s="1"/>
  <c r="C273" i="6"/>
  <c r="H273" i="6"/>
  <c r="L273" i="6"/>
  <c r="Y274" i="6"/>
  <c r="B274" i="6"/>
  <c r="D273" i="6"/>
  <c r="V1671" i="6"/>
  <c r="A1673" i="6"/>
  <c r="T1672" i="6"/>
  <c r="U1672" i="6"/>
  <c r="X271" i="6"/>
  <c r="S272" i="6"/>
  <c r="D270" i="9"/>
  <c r="E270" i="9"/>
  <c r="B271" i="9"/>
  <c r="F270" i="9"/>
  <c r="C270" i="9"/>
  <c r="I270" i="9"/>
  <c r="P270" i="9" s="1"/>
  <c r="AG125" i="1" l="1"/>
  <c r="AF126" i="1"/>
  <c r="AI127" i="1" s="1"/>
  <c r="AI8" i="1" s="1"/>
  <c r="T124" i="1"/>
  <c r="Z123" i="1"/>
  <c r="AB123" i="1"/>
  <c r="AA123" i="1"/>
  <c r="U124" i="1"/>
  <c r="AC123" i="1"/>
  <c r="I274" i="6"/>
  <c r="J274" i="6" s="1"/>
  <c r="K274" i="6" s="1"/>
  <c r="C274" i="6"/>
  <c r="H274" i="6"/>
  <c r="Y275" i="6"/>
  <c r="D274" i="6"/>
  <c r="B275" i="6"/>
  <c r="L274" i="6"/>
  <c r="P274" i="6" s="1"/>
  <c r="P273" i="6"/>
  <c r="V1672" i="6"/>
  <c r="I271" i="9"/>
  <c r="E271" i="9"/>
  <c r="F271" i="9"/>
  <c r="D271" i="9"/>
  <c r="B272" i="9"/>
  <c r="C271" i="9"/>
  <c r="X272" i="6"/>
  <c r="S273" i="6"/>
  <c r="A1674" i="6"/>
  <c r="T1673" i="6"/>
  <c r="U1673" i="6"/>
  <c r="AF127" i="1" l="1"/>
  <c r="AG127" i="1" s="1"/>
  <c r="AG8" i="1" s="1"/>
  <c r="AJ8" i="1" s="1"/>
  <c r="F1" i="9" s="1"/>
  <c r="M8" i="9" s="1"/>
  <c r="G8" i="9" s="1"/>
  <c r="AG126" i="1"/>
  <c r="AC124" i="1"/>
  <c r="U125" i="1"/>
  <c r="AA124" i="1"/>
  <c r="AB124" i="1"/>
  <c r="T125" i="1"/>
  <c r="Z124" i="1"/>
  <c r="B276" i="6"/>
  <c r="D275" i="6"/>
  <c r="Y276" i="6"/>
  <c r="L275" i="6"/>
  <c r="P275" i="6" s="1"/>
  <c r="I275" i="6"/>
  <c r="J275" i="6" s="1"/>
  <c r="K275" i="6" s="1"/>
  <c r="H275" i="6"/>
  <c r="C275" i="6"/>
  <c r="V1673" i="6"/>
  <c r="X273" i="6"/>
  <c r="S274" i="6"/>
  <c r="E272" i="9"/>
  <c r="F272" i="9"/>
  <c r="C272" i="9"/>
  <c r="I272" i="9"/>
  <c r="B273" i="9"/>
  <c r="D272" i="9"/>
  <c r="U1674" i="6"/>
  <c r="A1675" i="6"/>
  <c r="T1674" i="6"/>
  <c r="P271" i="9"/>
  <c r="AB125" i="1" l="1"/>
  <c r="T126" i="1"/>
  <c r="Z125" i="1"/>
  <c r="AC125" i="1"/>
  <c r="U126" i="1"/>
  <c r="AA125" i="1"/>
  <c r="C276" i="6"/>
  <c r="B277" i="6"/>
  <c r="D276" i="6"/>
  <c r="L276" i="6"/>
  <c r="P276" i="6" s="1"/>
  <c r="H276" i="6"/>
  <c r="Y277" i="6"/>
  <c r="I276" i="6"/>
  <c r="J276" i="6" s="1"/>
  <c r="K276" i="6" s="1"/>
  <c r="V1674" i="6"/>
  <c r="X274" i="6"/>
  <c r="S275" i="6"/>
  <c r="E273" i="9"/>
  <c r="F273" i="9"/>
  <c r="I273" i="9"/>
  <c r="P273" i="9" s="1"/>
  <c r="B274" i="9"/>
  <c r="C273" i="9"/>
  <c r="D273" i="9"/>
  <c r="A1676" i="6"/>
  <c r="T1675" i="6"/>
  <c r="U1675" i="6"/>
  <c r="P272" i="9"/>
  <c r="AC126" i="1" l="1"/>
  <c r="AA126" i="1"/>
  <c r="U127" i="1"/>
  <c r="AB126" i="1"/>
  <c r="Z126" i="1"/>
  <c r="T127" i="1"/>
  <c r="C277" i="6"/>
  <c r="H277" i="6"/>
  <c r="L277" i="6"/>
  <c r="D277" i="6"/>
  <c r="Y278" i="6"/>
  <c r="I277" i="6"/>
  <c r="J277" i="6" s="1"/>
  <c r="K277" i="6" s="1"/>
  <c r="B278" i="6"/>
  <c r="V1675" i="6"/>
  <c r="A1677" i="6"/>
  <c r="U1676" i="6"/>
  <c r="T1676" i="6"/>
  <c r="X275" i="6"/>
  <c r="S276" i="6"/>
  <c r="I274" i="9"/>
  <c r="P274" i="9" s="1"/>
  <c r="E274" i="9"/>
  <c r="D274" i="9"/>
  <c r="B275" i="9"/>
  <c r="F274" i="9"/>
  <c r="C274" i="9"/>
  <c r="AB127" i="1" l="1"/>
  <c r="Z127" i="1"/>
  <c r="AC127" i="1"/>
  <c r="AA127" i="1"/>
  <c r="I278" i="6"/>
  <c r="J278" i="6" s="1"/>
  <c r="K278" i="6" s="1"/>
  <c r="D278" i="6"/>
  <c r="H278" i="6"/>
  <c r="Y279" i="6"/>
  <c r="L278" i="6"/>
  <c r="P278" i="6" s="1"/>
  <c r="B279" i="6"/>
  <c r="C278" i="6"/>
  <c r="P277" i="6"/>
  <c r="V1676" i="6"/>
  <c r="X276" i="6"/>
  <c r="S277" i="6"/>
  <c r="A1678" i="6"/>
  <c r="U1677" i="6"/>
  <c r="T1677" i="6"/>
  <c r="F275" i="9"/>
  <c r="I275" i="9"/>
  <c r="C275" i="9"/>
  <c r="E275" i="9"/>
  <c r="D275" i="9"/>
  <c r="B276" i="9"/>
  <c r="I279" i="6" l="1"/>
  <c r="J279" i="6" s="1"/>
  <c r="K279" i="6" s="1"/>
  <c r="D279" i="6"/>
  <c r="L279" i="6"/>
  <c r="P279" i="6" s="1"/>
  <c r="C279" i="6"/>
  <c r="H279" i="6"/>
  <c r="Y280" i="6"/>
  <c r="B280" i="6"/>
  <c r="V1677" i="6"/>
  <c r="C276" i="9"/>
  <c r="E276" i="9"/>
  <c r="D276" i="9"/>
  <c r="F276" i="9"/>
  <c r="B277" i="9"/>
  <c r="I276" i="9"/>
  <c r="U1678" i="6"/>
  <c r="T1678" i="6"/>
  <c r="A1679" i="6"/>
  <c r="X277" i="6"/>
  <c r="S278" i="6"/>
  <c r="P275" i="9"/>
  <c r="I280" i="6" l="1"/>
  <c r="J280" i="6" s="1"/>
  <c r="K280" i="6" s="1"/>
  <c r="H280" i="6"/>
  <c r="C280" i="6"/>
  <c r="Y281" i="6"/>
  <c r="L280" i="6"/>
  <c r="B281" i="6"/>
  <c r="D280" i="6"/>
  <c r="V1678" i="6"/>
  <c r="X278" i="6"/>
  <c r="S279" i="6"/>
  <c r="E277" i="9"/>
  <c r="I277" i="9"/>
  <c r="D277" i="9"/>
  <c r="C277" i="9"/>
  <c r="F277" i="9"/>
  <c r="B278" i="9"/>
  <c r="A1680" i="6"/>
  <c r="T1679" i="6"/>
  <c r="U1679" i="6"/>
  <c r="P276" i="9"/>
  <c r="I281" i="6" l="1"/>
  <c r="J281" i="6" s="1"/>
  <c r="K281" i="6" s="1"/>
  <c r="C281" i="6"/>
  <c r="B282" i="6"/>
  <c r="D281" i="6"/>
  <c r="H281" i="6"/>
  <c r="L281" i="6"/>
  <c r="P281" i="6" s="1"/>
  <c r="Y282" i="6"/>
  <c r="P280" i="6"/>
  <c r="V1679" i="6"/>
  <c r="X279" i="6"/>
  <c r="S280" i="6"/>
  <c r="U1680" i="6"/>
  <c r="T1680" i="6"/>
  <c r="A1681" i="6"/>
  <c r="P277" i="9"/>
  <c r="D278" i="9"/>
  <c r="F278" i="9"/>
  <c r="I278" i="9"/>
  <c r="E278" i="9"/>
  <c r="B279" i="9"/>
  <c r="C278" i="9"/>
  <c r="I282" i="6" l="1"/>
  <c r="J282" i="6" s="1"/>
  <c r="K282" i="6" s="1"/>
  <c r="B283" i="6"/>
  <c r="D282" i="6"/>
  <c r="H282" i="6"/>
  <c r="Y283" i="6"/>
  <c r="C282" i="6"/>
  <c r="L282" i="6"/>
  <c r="V1680" i="6"/>
  <c r="A1682" i="6"/>
  <c r="U1681" i="6"/>
  <c r="T1681" i="6"/>
  <c r="F279" i="9"/>
  <c r="D279" i="9"/>
  <c r="I279" i="9"/>
  <c r="B280" i="9"/>
  <c r="E279" i="9"/>
  <c r="C279" i="9"/>
  <c r="P278" i="9"/>
  <c r="X280" i="6"/>
  <c r="S281" i="6"/>
  <c r="D283" i="6" l="1"/>
  <c r="B284" i="6"/>
  <c r="Y284" i="6"/>
  <c r="C283" i="6"/>
  <c r="H283" i="6"/>
  <c r="I283" i="6"/>
  <c r="J283" i="6" s="1"/>
  <c r="K283" i="6" s="1"/>
  <c r="L283" i="6"/>
  <c r="P283" i="6" s="1"/>
  <c r="P282" i="6"/>
  <c r="V1681" i="6"/>
  <c r="A1683" i="6"/>
  <c r="T1682" i="6"/>
  <c r="U1682" i="6"/>
  <c r="B281" i="9"/>
  <c r="E280" i="9"/>
  <c r="C280" i="9"/>
  <c r="I280" i="9"/>
  <c r="D280" i="9"/>
  <c r="F280" i="9"/>
  <c r="P279" i="9"/>
  <c r="X281" i="6"/>
  <c r="S282" i="6"/>
  <c r="D284" i="6" l="1"/>
  <c r="Y285" i="6"/>
  <c r="C284" i="6"/>
  <c r="B285" i="6"/>
  <c r="L284" i="6"/>
  <c r="I284" i="6"/>
  <c r="J284" i="6" s="1"/>
  <c r="K284" i="6" s="1"/>
  <c r="H284" i="6"/>
  <c r="V1682" i="6"/>
  <c r="T1683" i="6"/>
  <c r="U1683" i="6"/>
  <c r="A1684" i="6"/>
  <c r="P280" i="9"/>
  <c r="X282" i="6"/>
  <c r="S283" i="6"/>
  <c r="C281" i="9"/>
  <c r="I281" i="9"/>
  <c r="P281" i="9" s="1"/>
  <c r="F281" i="9"/>
  <c r="B282" i="9"/>
  <c r="D281" i="9"/>
  <c r="E281" i="9"/>
  <c r="P284" i="6" l="1"/>
  <c r="Y286" i="6"/>
  <c r="H285" i="6"/>
  <c r="L285" i="6"/>
  <c r="P285" i="6" s="1"/>
  <c r="D285" i="6"/>
  <c r="B286" i="6"/>
  <c r="C285" i="6"/>
  <c r="I285" i="6"/>
  <c r="J285" i="6" s="1"/>
  <c r="K285" i="6" s="1"/>
  <c r="V1683" i="6"/>
  <c r="A1685" i="6"/>
  <c r="U1684" i="6"/>
  <c r="T1684" i="6"/>
  <c r="X283" i="6"/>
  <c r="S284" i="6"/>
  <c r="F282" i="9"/>
  <c r="D282" i="9"/>
  <c r="E282" i="9"/>
  <c r="C282" i="9"/>
  <c r="B283" i="9"/>
  <c r="I282" i="9"/>
  <c r="P282" i="9" s="1"/>
  <c r="L286" i="6" l="1"/>
  <c r="P286" i="6" s="1"/>
  <c r="C286" i="6"/>
  <c r="H286" i="6"/>
  <c r="D286" i="6"/>
  <c r="Y287" i="6"/>
  <c r="B287" i="6"/>
  <c r="I286" i="6"/>
  <c r="J286" i="6" s="1"/>
  <c r="K286" i="6" s="1"/>
  <c r="V1684" i="6"/>
  <c r="X284" i="6"/>
  <c r="S285" i="6"/>
  <c r="B284" i="9"/>
  <c r="I283" i="9"/>
  <c r="P283" i="9" s="1"/>
  <c r="D283" i="9"/>
  <c r="E283" i="9"/>
  <c r="F283" i="9"/>
  <c r="C283" i="9"/>
  <c r="U1685" i="6"/>
  <c r="T1685" i="6"/>
  <c r="A1686" i="6"/>
  <c r="L287" i="6" l="1"/>
  <c r="P287" i="6" s="1"/>
  <c r="I287" i="6"/>
  <c r="J287" i="6" s="1"/>
  <c r="K287" i="6" s="1"/>
  <c r="B288" i="6"/>
  <c r="H287" i="6"/>
  <c r="C287" i="6"/>
  <c r="D287" i="6"/>
  <c r="Y288" i="6"/>
  <c r="V1685" i="6"/>
  <c r="D284" i="9"/>
  <c r="C284" i="9"/>
  <c r="F284" i="9"/>
  <c r="B285" i="9"/>
  <c r="I284" i="9"/>
  <c r="P284" i="9" s="1"/>
  <c r="E284" i="9"/>
  <c r="X285" i="6"/>
  <c r="S286" i="6"/>
  <c r="A1687" i="6"/>
  <c r="T1686" i="6"/>
  <c r="U1686" i="6"/>
  <c r="Y289" i="6" l="1"/>
  <c r="B289" i="6"/>
  <c r="C288" i="6"/>
  <c r="I288" i="6"/>
  <c r="J288" i="6" s="1"/>
  <c r="K288" i="6" s="1"/>
  <c r="L288" i="6"/>
  <c r="P288" i="6" s="1"/>
  <c r="D288" i="6"/>
  <c r="H288" i="6"/>
  <c r="V1686" i="6"/>
  <c r="B286" i="9"/>
  <c r="E285" i="9"/>
  <c r="F285" i="9"/>
  <c r="D285" i="9"/>
  <c r="I285" i="9"/>
  <c r="C285" i="9"/>
  <c r="A1688" i="6"/>
  <c r="U1687" i="6"/>
  <c r="T1687" i="6"/>
  <c r="X286" i="6"/>
  <c r="S287" i="6"/>
  <c r="I289" i="6" l="1"/>
  <c r="J289" i="6" s="1"/>
  <c r="K289" i="6" s="1"/>
  <c r="Y290" i="6"/>
  <c r="D289" i="6"/>
  <c r="H289" i="6"/>
  <c r="C289" i="6"/>
  <c r="B290" i="6"/>
  <c r="L289" i="6"/>
  <c r="V1687" i="6"/>
  <c r="A1689" i="6"/>
  <c r="T1688" i="6"/>
  <c r="U1688" i="6"/>
  <c r="P285" i="9"/>
  <c r="F286" i="9"/>
  <c r="C286" i="9"/>
  <c r="E286" i="9"/>
  <c r="D286" i="9"/>
  <c r="B287" i="9"/>
  <c r="I286" i="9"/>
  <c r="X287" i="6"/>
  <c r="S288" i="6"/>
  <c r="D290" i="6" l="1"/>
  <c r="B291" i="6"/>
  <c r="Y291" i="6"/>
  <c r="C290" i="6"/>
  <c r="I290" i="6"/>
  <c r="J290" i="6" s="1"/>
  <c r="K290" i="6" s="1"/>
  <c r="L290" i="6"/>
  <c r="P290" i="6" s="1"/>
  <c r="H290" i="6"/>
  <c r="P289" i="6"/>
  <c r="V1688" i="6"/>
  <c r="D287" i="9"/>
  <c r="I287" i="9"/>
  <c r="F287" i="9"/>
  <c r="E287" i="9"/>
  <c r="B288" i="9"/>
  <c r="C287" i="9"/>
  <c r="P286" i="9"/>
  <c r="X288" i="6"/>
  <c r="S289" i="6"/>
  <c r="A1690" i="6"/>
  <c r="T1689" i="6"/>
  <c r="U1689" i="6"/>
  <c r="Y292" i="6" l="1"/>
  <c r="L291" i="6"/>
  <c r="B292" i="6"/>
  <c r="H291" i="6"/>
  <c r="D291" i="6"/>
  <c r="C291" i="6"/>
  <c r="I291" i="6"/>
  <c r="J291" i="6" s="1"/>
  <c r="K291" i="6" s="1"/>
  <c r="V1689" i="6"/>
  <c r="I288" i="9"/>
  <c r="P288" i="9" s="1"/>
  <c r="F288" i="9"/>
  <c r="E288" i="9"/>
  <c r="C288" i="9"/>
  <c r="D288" i="9"/>
  <c r="B289" i="9"/>
  <c r="X289" i="6"/>
  <c r="S290" i="6"/>
  <c r="P287" i="9"/>
  <c r="U1690" i="6"/>
  <c r="A1691" i="6"/>
  <c r="T1690" i="6"/>
  <c r="Y293" i="6" l="1"/>
  <c r="L292" i="6"/>
  <c r="P292" i="6" s="1"/>
  <c r="H292" i="6"/>
  <c r="B293" i="6"/>
  <c r="C292" i="6"/>
  <c r="D292" i="6"/>
  <c r="I292" i="6"/>
  <c r="J292" i="6" s="1"/>
  <c r="K292" i="6" s="1"/>
  <c r="P291" i="6"/>
  <c r="V1690" i="6"/>
  <c r="X290" i="6"/>
  <c r="S291" i="6"/>
  <c r="I289" i="9"/>
  <c r="P289" i="9" s="1"/>
  <c r="E289" i="9"/>
  <c r="B290" i="9"/>
  <c r="C289" i="9"/>
  <c r="D289" i="9"/>
  <c r="F289" i="9"/>
  <c r="A1692" i="6"/>
  <c r="T1691" i="6"/>
  <c r="U1691" i="6"/>
  <c r="C293" i="6" l="1"/>
  <c r="L293" i="6"/>
  <c r="P293" i="6" s="1"/>
  <c r="H293" i="6"/>
  <c r="Y294" i="6"/>
  <c r="I293" i="6"/>
  <c r="J293" i="6" s="1"/>
  <c r="K293" i="6" s="1"/>
  <c r="D293" i="6"/>
  <c r="B294" i="6"/>
  <c r="V1691" i="6"/>
  <c r="D290" i="9"/>
  <c r="F290" i="9"/>
  <c r="C290" i="9"/>
  <c r="E290" i="9"/>
  <c r="B291" i="9"/>
  <c r="I290" i="9"/>
  <c r="P290" i="9" s="1"/>
  <c r="U1692" i="6"/>
  <c r="T1692" i="6"/>
  <c r="A1693" i="6"/>
  <c r="X291" i="6"/>
  <c r="S292" i="6"/>
  <c r="B295" i="6" l="1"/>
  <c r="L294" i="6"/>
  <c r="P294" i="6" s="1"/>
  <c r="Y295" i="6"/>
  <c r="D294" i="6"/>
  <c r="C294" i="6"/>
  <c r="H294" i="6"/>
  <c r="I294" i="6"/>
  <c r="J294" i="6" s="1"/>
  <c r="K294" i="6" s="1"/>
  <c r="V1692" i="6"/>
  <c r="D291" i="9"/>
  <c r="B292" i="9"/>
  <c r="C291" i="9"/>
  <c r="F291" i="9"/>
  <c r="I291" i="9"/>
  <c r="P291" i="9" s="1"/>
  <c r="E291" i="9"/>
  <c r="A1694" i="6"/>
  <c r="T1693" i="6"/>
  <c r="U1693" i="6"/>
  <c r="X292" i="6"/>
  <c r="S293" i="6"/>
  <c r="B296" i="6" l="1"/>
  <c r="D295" i="6"/>
  <c r="Y296" i="6"/>
  <c r="C295" i="6"/>
  <c r="L295" i="6"/>
  <c r="I295" i="6"/>
  <c r="J295" i="6" s="1"/>
  <c r="K295" i="6" s="1"/>
  <c r="H295" i="6"/>
  <c r="V1693" i="6"/>
  <c r="E292" i="9"/>
  <c r="D292" i="9"/>
  <c r="I292" i="9"/>
  <c r="C292" i="9"/>
  <c r="F292" i="9"/>
  <c r="B293" i="9"/>
  <c r="A1695" i="6"/>
  <c r="U1694" i="6"/>
  <c r="T1694" i="6"/>
  <c r="X293" i="6"/>
  <c r="S294" i="6"/>
  <c r="Y297" i="6" l="1"/>
  <c r="L296" i="6"/>
  <c r="I296" i="6"/>
  <c r="J296" i="6" s="1"/>
  <c r="K296" i="6" s="1"/>
  <c r="C296" i="6"/>
  <c r="B297" i="6"/>
  <c r="H296" i="6"/>
  <c r="D296" i="6"/>
  <c r="P295" i="6"/>
  <c r="V1694" i="6"/>
  <c r="X294" i="6"/>
  <c r="S295" i="6"/>
  <c r="I293" i="9"/>
  <c r="F293" i="9"/>
  <c r="C293" i="9"/>
  <c r="E293" i="9"/>
  <c r="D293" i="9"/>
  <c r="B294" i="9"/>
  <c r="P292" i="9"/>
  <c r="T1695" i="6"/>
  <c r="U1695" i="6"/>
  <c r="A1696" i="6"/>
  <c r="Y298" i="6" l="1"/>
  <c r="H297" i="6"/>
  <c r="C297" i="6"/>
  <c r="I297" i="6"/>
  <c r="J297" i="6" s="1"/>
  <c r="K297" i="6" s="1"/>
  <c r="D297" i="6"/>
  <c r="B298" i="6"/>
  <c r="L297" i="6"/>
  <c r="P297" i="6" s="1"/>
  <c r="P296" i="6"/>
  <c r="V1695" i="6"/>
  <c r="P293" i="9"/>
  <c r="X295" i="6"/>
  <c r="S296" i="6"/>
  <c r="A1697" i="6"/>
  <c r="U1696" i="6"/>
  <c r="T1696" i="6"/>
  <c r="D294" i="9"/>
  <c r="B295" i="9"/>
  <c r="C294" i="9"/>
  <c r="E294" i="9"/>
  <c r="F294" i="9"/>
  <c r="I294" i="9"/>
  <c r="P294" i="9" s="1"/>
  <c r="I298" i="6" l="1"/>
  <c r="J298" i="6" s="1"/>
  <c r="K298" i="6" s="1"/>
  <c r="H298" i="6"/>
  <c r="C298" i="6"/>
  <c r="B299" i="6"/>
  <c r="D298" i="6"/>
  <c r="L298" i="6"/>
  <c r="P298" i="6" s="1"/>
  <c r="Y299" i="6"/>
  <c r="V1696" i="6"/>
  <c r="B296" i="9"/>
  <c r="C295" i="9"/>
  <c r="D295" i="9"/>
  <c r="E295" i="9"/>
  <c r="F295" i="9"/>
  <c r="I295" i="9"/>
  <c r="P295" i="9" s="1"/>
  <c r="T1697" i="6"/>
  <c r="A1698" i="6"/>
  <c r="U1697" i="6"/>
  <c r="X296" i="6"/>
  <c r="S297" i="6"/>
  <c r="I299" i="6" l="1"/>
  <c r="J299" i="6" s="1"/>
  <c r="K299" i="6" s="1"/>
  <c r="L299" i="6"/>
  <c r="P299" i="6" s="1"/>
  <c r="B300" i="6"/>
  <c r="Y300" i="6"/>
  <c r="C299" i="6"/>
  <c r="D299" i="6"/>
  <c r="H299" i="6"/>
  <c r="V1697" i="6"/>
  <c r="T1698" i="6"/>
  <c r="U1698" i="6"/>
  <c r="A1699" i="6"/>
  <c r="E296" i="9"/>
  <c r="F296" i="9"/>
  <c r="I296" i="9"/>
  <c r="B297" i="9"/>
  <c r="C296" i="9"/>
  <c r="D296" i="9"/>
  <c r="X297" i="6"/>
  <c r="S298" i="6"/>
  <c r="L300" i="6" l="1"/>
  <c r="H300" i="6"/>
  <c r="B301" i="6"/>
  <c r="I300" i="6"/>
  <c r="J300" i="6" s="1"/>
  <c r="K300" i="6" s="1"/>
  <c r="C300" i="6"/>
  <c r="Y301" i="6"/>
  <c r="D300" i="6"/>
  <c r="V1698" i="6"/>
  <c r="F297" i="9"/>
  <c r="D297" i="9"/>
  <c r="E297" i="9"/>
  <c r="C297" i="9"/>
  <c r="B298" i="9"/>
  <c r="I297" i="9"/>
  <c r="A1700" i="6"/>
  <c r="U1699" i="6"/>
  <c r="T1699" i="6"/>
  <c r="P296" i="9"/>
  <c r="X298" i="6"/>
  <c r="S299" i="6"/>
  <c r="I301" i="6" l="1"/>
  <c r="J301" i="6" s="1"/>
  <c r="K301" i="6" s="1"/>
  <c r="B302" i="6"/>
  <c r="D301" i="6"/>
  <c r="L301" i="6"/>
  <c r="P301" i="6" s="1"/>
  <c r="C301" i="6"/>
  <c r="Y302" i="6"/>
  <c r="H301" i="6"/>
  <c r="P300" i="6"/>
  <c r="V1699" i="6"/>
  <c r="P297" i="9"/>
  <c r="A1701" i="6"/>
  <c r="T1700" i="6"/>
  <c r="U1700" i="6"/>
  <c r="X299" i="6"/>
  <c r="S300" i="6"/>
  <c r="I298" i="9"/>
  <c r="C298" i="9"/>
  <c r="B299" i="9"/>
  <c r="F298" i="9"/>
  <c r="E298" i="9"/>
  <c r="D298" i="9"/>
  <c r="B303" i="6" l="1"/>
  <c r="L302" i="6"/>
  <c r="P302" i="6" s="1"/>
  <c r="Y303" i="6"/>
  <c r="H302" i="6"/>
  <c r="I302" i="6"/>
  <c r="J302" i="6" s="1"/>
  <c r="K302" i="6" s="1"/>
  <c r="C302" i="6"/>
  <c r="D302" i="6"/>
  <c r="V1700" i="6"/>
  <c r="T1701" i="6"/>
  <c r="A1702" i="6"/>
  <c r="U1701" i="6"/>
  <c r="B300" i="9"/>
  <c r="I299" i="9"/>
  <c r="P299" i="9" s="1"/>
  <c r="E299" i="9"/>
  <c r="C299" i="9"/>
  <c r="D299" i="9"/>
  <c r="F299" i="9"/>
  <c r="P298" i="9"/>
  <c r="X300" i="6"/>
  <c r="S301" i="6"/>
  <c r="B304" i="6" l="1"/>
  <c r="L303" i="6"/>
  <c r="Y304" i="6"/>
  <c r="I303" i="6"/>
  <c r="J303" i="6" s="1"/>
  <c r="K303" i="6" s="1"/>
  <c r="H303" i="6"/>
  <c r="C303" i="6"/>
  <c r="D303" i="6"/>
  <c r="V1701" i="6"/>
  <c r="I300" i="9"/>
  <c r="B301" i="9"/>
  <c r="F300" i="9"/>
  <c r="E300" i="9"/>
  <c r="C300" i="9"/>
  <c r="D300" i="9"/>
  <c r="A1703" i="6"/>
  <c r="U1702" i="6"/>
  <c r="T1702" i="6"/>
  <c r="X301" i="6"/>
  <c r="S302" i="6"/>
  <c r="P303" i="6" l="1"/>
  <c r="D304" i="6"/>
  <c r="I304" i="6"/>
  <c r="J304" i="6" s="1"/>
  <c r="K304" i="6" s="1"/>
  <c r="Y305" i="6"/>
  <c r="H304" i="6"/>
  <c r="L304" i="6"/>
  <c r="C304" i="6"/>
  <c r="B305" i="6"/>
  <c r="V1702" i="6"/>
  <c r="X302" i="6"/>
  <c r="S303" i="6"/>
  <c r="A1704" i="6"/>
  <c r="U1703" i="6"/>
  <c r="T1703" i="6"/>
  <c r="D301" i="9"/>
  <c r="B302" i="9"/>
  <c r="F301" i="9"/>
  <c r="C301" i="9"/>
  <c r="I301" i="9"/>
  <c r="P301" i="9" s="1"/>
  <c r="E301" i="9"/>
  <c r="P300" i="9"/>
  <c r="B306" i="6" l="1"/>
  <c r="C305" i="6"/>
  <c r="Y306" i="6"/>
  <c r="L305" i="6"/>
  <c r="P305" i="6" s="1"/>
  <c r="D305" i="6"/>
  <c r="H305" i="6"/>
  <c r="I305" i="6"/>
  <c r="J305" i="6" s="1"/>
  <c r="K305" i="6" s="1"/>
  <c r="P304" i="6"/>
  <c r="V1703" i="6"/>
  <c r="I302" i="9"/>
  <c r="P302" i="9" s="1"/>
  <c r="E302" i="9"/>
  <c r="B303" i="9"/>
  <c r="F302" i="9"/>
  <c r="D302" i="9"/>
  <c r="C302" i="9"/>
  <c r="X303" i="6"/>
  <c r="S304" i="6"/>
  <c r="U1704" i="6"/>
  <c r="T1704" i="6"/>
  <c r="A1705" i="6"/>
  <c r="L306" i="6" l="1"/>
  <c r="H306" i="6"/>
  <c r="C306" i="6"/>
  <c r="B307" i="6"/>
  <c r="Y307" i="6"/>
  <c r="D306" i="6"/>
  <c r="I306" i="6"/>
  <c r="J306" i="6" s="1"/>
  <c r="K306" i="6" s="1"/>
  <c r="V1704" i="6"/>
  <c r="F303" i="9"/>
  <c r="E303" i="9"/>
  <c r="I303" i="9"/>
  <c r="P303" i="9" s="1"/>
  <c r="D303" i="9"/>
  <c r="B304" i="9"/>
  <c r="C303" i="9"/>
  <c r="X304" i="6"/>
  <c r="S305" i="6"/>
  <c r="A1706" i="6"/>
  <c r="T1705" i="6"/>
  <c r="U1705" i="6"/>
  <c r="B308" i="6" l="1"/>
  <c r="D307" i="6"/>
  <c r="L307" i="6"/>
  <c r="P307" i="6" s="1"/>
  <c r="Y308" i="6"/>
  <c r="I307" i="6"/>
  <c r="J307" i="6" s="1"/>
  <c r="K307" i="6" s="1"/>
  <c r="H307" i="6"/>
  <c r="C307" i="6"/>
  <c r="P306" i="6"/>
  <c r="V1705" i="6"/>
  <c r="F304" i="9"/>
  <c r="B305" i="9"/>
  <c r="E304" i="9"/>
  <c r="C304" i="9"/>
  <c r="D304" i="9"/>
  <c r="I304" i="9"/>
  <c r="X305" i="6"/>
  <c r="S306" i="6"/>
  <c r="U1706" i="6"/>
  <c r="T1706" i="6"/>
  <c r="A1707" i="6"/>
  <c r="D308" i="6" l="1"/>
  <c r="I308" i="6"/>
  <c r="J308" i="6" s="1"/>
  <c r="K308" i="6" s="1"/>
  <c r="H308" i="6"/>
  <c r="B309" i="6"/>
  <c r="Y309" i="6"/>
  <c r="C308" i="6"/>
  <c r="L308" i="6"/>
  <c r="V1706" i="6"/>
  <c r="A1708" i="6"/>
  <c r="T1707" i="6"/>
  <c r="U1707" i="6"/>
  <c r="B306" i="9"/>
  <c r="C305" i="9"/>
  <c r="F305" i="9"/>
  <c r="D305" i="9"/>
  <c r="E305" i="9"/>
  <c r="I305" i="9"/>
  <c r="X306" i="6"/>
  <c r="S307" i="6"/>
  <c r="P304" i="9"/>
  <c r="P308" i="6" l="1"/>
  <c r="D309" i="6"/>
  <c r="B310" i="6"/>
  <c r="H309" i="6"/>
  <c r="C309" i="6"/>
  <c r="L309" i="6"/>
  <c r="Y310" i="6"/>
  <c r="I309" i="6"/>
  <c r="J309" i="6" s="1"/>
  <c r="K309" i="6" s="1"/>
  <c r="V1707" i="6"/>
  <c r="X307" i="6"/>
  <c r="S308" i="6"/>
  <c r="P305" i="9"/>
  <c r="U1708" i="6"/>
  <c r="A1709" i="6"/>
  <c r="T1708" i="6"/>
  <c r="B307" i="9"/>
  <c r="E306" i="9"/>
  <c r="I306" i="9"/>
  <c r="D306" i="9"/>
  <c r="F306" i="9"/>
  <c r="C306" i="9"/>
  <c r="D310" i="6" l="1"/>
  <c r="B311" i="6"/>
  <c r="C310" i="6"/>
  <c r="H310" i="6"/>
  <c r="I310" i="6"/>
  <c r="J310" i="6" s="1"/>
  <c r="K310" i="6" s="1"/>
  <c r="Y311" i="6"/>
  <c r="L310" i="6"/>
  <c r="P309" i="6"/>
  <c r="V1708" i="6"/>
  <c r="E307" i="9"/>
  <c r="B308" i="9"/>
  <c r="I307" i="9"/>
  <c r="D307" i="9"/>
  <c r="F307" i="9"/>
  <c r="C307" i="9"/>
  <c r="P306" i="9"/>
  <c r="X308" i="6"/>
  <c r="S309" i="6"/>
  <c r="A1710" i="6"/>
  <c r="U1709" i="6"/>
  <c r="T1709" i="6"/>
  <c r="H311" i="6" l="1"/>
  <c r="C311" i="6"/>
  <c r="L311" i="6"/>
  <c r="B312" i="6"/>
  <c r="I311" i="6"/>
  <c r="J311" i="6" s="1"/>
  <c r="K311" i="6" s="1"/>
  <c r="D311" i="6"/>
  <c r="Y312" i="6"/>
  <c r="P310" i="6"/>
  <c r="V1709" i="6"/>
  <c r="F308" i="9"/>
  <c r="I308" i="9"/>
  <c r="B309" i="9"/>
  <c r="E308" i="9"/>
  <c r="C308" i="9"/>
  <c r="D308" i="9"/>
  <c r="X309" i="6"/>
  <c r="S310" i="6"/>
  <c r="P307" i="9"/>
  <c r="A1711" i="6"/>
  <c r="T1710" i="6"/>
  <c r="U1710" i="6"/>
  <c r="L312" i="6" l="1"/>
  <c r="P312" i="6" s="1"/>
  <c r="C312" i="6"/>
  <c r="D312" i="6"/>
  <c r="I312" i="6"/>
  <c r="J312" i="6" s="1"/>
  <c r="K312" i="6" s="1"/>
  <c r="Y313" i="6"/>
  <c r="B313" i="6"/>
  <c r="H312" i="6"/>
  <c r="P311" i="6"/>
  <c r="V1710" i="6"/>
  <c r="A1712" i="6"/>
  <c r="U1711" i="6"/>
  <c r="T1711" i="6"/>
  <c r="E309" i="9"/>
  <c r="C309" i="9"/>
  <c r="B310" i="9"/>
  <c r="D309" i="9"/>
  <c r="I309" i="9"/>
  <c r="F309" i="9"/>
  <c r="P308" i="9"/>
  <c r="X310" i="6"/>
  <c r="S311" i="6"/>
  <c r="C313" i="6" l="1"/>
  <c r="B314" i="6"/>
  <c r="D313" i="6"/>
  <c r="I313" i="6"/>
  <c r="J313" i="6" s="1"/>
  <c r="K313" i="6" s="1"/>
  <c r="L313" i="6"/>
  <c r="P313" i="6" s="1"/>
  <c r="H313" i="6"/>
  <c r="Y314" i="6"/>
  <c r="V1711" i="6"/>
  <c r="F310" i="9"/>
  <c r="D310" i="9"/>
  <c r="E310" i="9"/>
  <c r="C310" i="9"/>
  <c r="I310" i="9"/>
  <c r="B311" i="9"/>
  <c r="X311" i="6"/>
  <c r="S312" i="6"/>
  <c r="P309" i="9"/>
  <c r="A1713" i="6"/>
  <c r="U1712" i="6"/>
  <c r="T1712" i="6"/>
  <c r="D314" i="6" l="1"/>
  <c r="B315" i="6"/>
  <c r="C314" i="6"/>
  <c r="I314" i="6"/>
  <c r="J314" i="6" s="1"/>
  <c r="K314" i="6" s="1"/>
  <c r="Y315" i="6"/>
  <c r="L314" i="6"/>
  <c r="P314" i="6" s="1"/>
  <c r="H314" i="6"/>
  <c r="V1712" i="6"/>
  <c r="F311" i="9"/>
  <c r="E311" i="9"/>
  <c r="D311" i="9"/>
  <c r="I311" i="9"/>
  <c r="B312" i="9"/>
  <c r="C311" i="9"/>
  <c r="A1714" i="6"/>
  <c r="T1713" i="6"/>
  <c r="U1713" i="6"/>
  <c r="X312" i="6"/>
  <c r="S313" i="6"/>
  <c r="P310" i="9"/>
  <c r="Y316" i="6" l="1"/>
  <c r="I315" i="6"/>
  <c r="J315" i="6" s="1"/>
  <c r="K315" i="6" s="1"/>
  <c r="D315" i="6"/>
  <c r="B316" i="6"/>
  <c r="C315" i="6"/>
  <c r="L315" i="6"/>
  <c r="P315" i="6" s="1"/>
  <c r="H315" i="6"/>
  <c r="V1713" i="6"/>
  <c r="B313" i="9"/>
  <c r="E312" i="9"/>
  <c r="C312" i="9"/>
  <c r="D312" i="9"/>
  <c r="F312" i="9"/>
  <c r="I312" i="9"/>
  <c r="P312" i="9" s="1"/>
  <c r="U1714" i="6"/>
  <c r="A1715" i="6"/>
  <c r="T1714" i="6"/>
  <c r="X313" i="6"/>
  <c r="S314" i="6"/>
  <c r="P311" i="9"/>
  <c r="Y317" i="6" l="1"/>
  <c r="C316" i="6"/>
  <c r="D316" i="6"/>
  <c r="I316" i="6"/>
  <c r="J316" i="6" s="1"/>
  <c r="K316" i="6" s="1"/>
  <c r="B317" i="6"/>
  <c r="L316" i="6"/>
  <c r="H316" i="6"/>
  <c r="V1714" i="6"/>
  <c r="E313" i="9"/>
  <c r="C313" i="9"/>
  <c r="B314" i="9"/>
  <c r="F313" i="9"/>
  <c r="I313" i="9"/>
  <c r="P313" i="9" s="1"/>
  <c r="D313" i="9"/>
  <c r="X314" i="6"/>
  <c r="S315" i="6"/>
  <c r="A1716" i="6"/>
  <c r="U1715" i="6"/>
  <c r="T1715" i="6"/>
  <c r="P316" i="6" l="1"/>
  <c r="D317" i="6"/>
  <c r="Y318" i="6"/>
  <c r="C317" i="6"/>
  <c r="H317" i="6"/>
  <c r="B318" i="6"/>
  <c r="I317" i="6"/>
  <c r="J317" i="6" s="1"/>
  <c r="K317" i="6" s="1"/>
  <c r="L317" i="6"/>
  <c r="V1715" i="6"/>
  <c r="X315" i="6"/>
  <c r="S316" i="6"/>
  <c r="I314" i="9"/>
  <c r="P314" i="9" s="1"/>
  <c r="B315" i="9"/>
  <c r="E314" i="9"/>
  <c r="C314" i="9"/>
  <c r="F314" i="9"/>
  <c r="D314" i="9"/>
  <c r="A1717" i="6"/>
  <c r="T1716" i="6"/>
  <c r="U1716" i="6"/>
  <c r="C318" i="6" l="1"/>
  <c r="B319" i="6"/>
  <c r="L318" i="6"/>
  <c r="D318" i="6"/>
  <c r="Y319" i="6"/>
  <c r="H318" i="6"/>
  <c r="I318" i="6"/>
  <c r="J318" i="6" s="1"/>
  <c r="K318" i="6" s="1"/>
  <c r="P317" i="6"/>
  <c r="V1716" i="6"/>
  <c r="U1717" i="6"/>
  <c r="T1717" i="6"/>
  <c r="A1718" i="6"/>
  <c r="X316" i="6"/>
  <c r="S317" i="6"/>
  <c r="E315" i="9"/>
  <c r="D315" i="9"/>
  <c r="F315" i="9"/>
  <c r="C315" i="9"/>
  <c r="I315" i="9"/>
  <c r="B316" i="9"/>
  <c r="B320" i="6" l="1"/>
  <c r="I319" i="6"/>
  <c r="J319" i="6" s="1"/>
  <c r="K319" i="6" s="1"/>
  <c r="L319" i="6"/>
  <c r="P319" i="6" s="1"/>
  <c r="D319" i="6"/>
  <c r="C319" i="6"/>
  <c r="H319" i="6"/>
  <c r="Y320" i="6"/>
  <c r="P318" i="6"/>
  <c r="V1717" i="6"/>
  <c r="A1719" i="6"/>
  <c r="U1718" i="6"/>
  <c r="T1718" i="6"/>
  <c r="C316" i="9"/>
  <c r="F316" i="9"/>
  <c r="E316" i="9"/>
  <c r="I316" i="9"/>
  <c r="P316" i="9" s="1"/>
  <c r="B317" i="9"/>
  <c r="D316" i="9"/>
  <c r="P315" i="9"/>
  <c r="X317" i="6"/>
  <c r="S318" i="6"/>
  <c r="D320" i="6" l="1"/>
  <c r="H320" i="6"/>
  <c r="I320" i="6"/>
  <c r="J320" i="6" s="1"/>
  <c r="K320" i="6" s="1"/>
  <c r="C320" i="6"/>
  <c r="L320" i="6"/>
  <c r="B321" i="6"/>
  <c r="Y321" i="6"/>
  <c r="V1718" i="6"/>
  <c r="A1720" i="6"/>
  <c r="U1719" i="6"/>
  <c r="T1719" i="6"/>
  <c r="X318" i="6"/>
  <c r="S319" i="6"/>
  <c r="E317" i="9"/>
  <c r="C317" i="9"/>
  <c r="D317" i="9"/>
  <c r="F317" i="9"/>
  <c r="B318" i="9"/>
  <c r="I317" i="9"/>
  <c r="P317" i="9" s="1"/>
  <c r="L321" i="6" l="1"/>
  <c r="P321" i="6" s="1"/>
  <c r="H321" i="6"/>
  <c r="B322" i="6"/>
  <c r="C321" i="6"/>
  <c r="Y322" i="6"/>
  <c r="D321" i="6"/>
  <c r="I321" i="6"/>
  <c r="J321" i="6" s="1"/>
  <c r="K321" i="6" s="1"/>
  <c r="P320" i="6"/>
  <c r="V1719" i="6"/>
  <c r="X319" i="6"/>
  <c r="S320" i="6"/>
  <c r="B319" i="9"/>
  <c r="C318" i="9"/>
  <c r="F318" i="9"/>
  <c r="I318" i="9"/>
  <c r="P318" i="9" s="1"/>
  <c r="D318" i="9"/>
  <c r="E318" i="9"/>
  <c r="U1720" i="6"/>
  <c r="T1720" i="6"/>
  <c r="A1721" i="6"/>
  <c r="I322" i="6" l="1"/>
  <c r="J322" i="6" s="1"/>
  <c r="K322" i="6" s="1"/>
  <c r="C322" i="6"/>
  <c r="H322" i="6"/>
  <c r="B323" i="6"/>
  <c r="Y323" i="6"/>
  <c r="D322" i="6"/>
  <c r="L322" i="6"/>
  <c r="P322" i="6" s="1"/>
  <c r="V1720" i="6"/>
  <c r="A1722" i="6"/>
  <c r="U1721" i="6"/>
  <c r="T1721" i="6"/>
  <c r="C319" i="9"/>
  <c r="E319" i="9"/>
  <c r="B320" i="9"/>
  <c r="I319" i="9"/>
  <c r="D319" i="9"/>
  <c r="F319" i="9"/>
  <c r="X320" i="6"/>
  <c r="S321" i="6"/>
  <c r="H323" i="6" l="1"/>
  <c r="B324" i="6"/>
  <c r="I323" i="6"/>
  <c r="J323" i="6" s="1"/>
  <c r="K323" i="6" s="1"/>
  <c r="C323" i="6"/>
  <c r="Y324" i="6"/>
  <c r="D323" i="6"/>
  <c r="L323" i="6"/>
  <c r="V1721" i="6"/>
  <c r="I320" i="9"/>
  <c r="P320" i="9" s="1"/>
  <c r="F320" i="9"/>
  <c r="B321" i="9"/>
  <c r="C320" i="9"/>
  <c r="D320" i="9"/>
  <c r="E320" i="9"/>
  <c r="X321" i="6"/>
  <c r="S322" i="6"/>
  <c r="A1723" i="6"/>
  <c r="U1722" i="6"/>
  <c r="T1722" i="6"/>
  <c r="P319" i="9"/>
  <c r="C324" i="6" l="1"/>
  <c r="Y325" i="6"/>
  <c r="B325" i="6"/>
  <c r="L324" i="6"/>
  <c r="H324" i="6"/>
  <c r="I324" i="6"/>
  <c r="J324" i="6" s="1"/>
  <c r="K324" i="6" s="1"/>
  <c r="D324" i="6"/>
  <c r="P323" i="6"/>
  <c r="V1722" i="6"/>
  <c r="B322" i="9"/>
  <c r="C321" i="9"/>
  <c r="D321" i="9"/>
  <c r="E321" i="9"/>
  <c r="I321" i="9"/>
  <c r="P321" i="9" s="1"/>
  <c r="F321" i="9"/>
  <c r="A1724" i="6"/>
  <c r="T1723" i="6"/>
  <c r="U1723" i="6"/>
  <c r="X322" i="6"/>
  <c r="S323" i="6"/>
  <c r="Y326" i="6" l="1"/>
  <c r="B326" i="6"/>
  <c r="D325" i="6"/>
  <c r="H325" i="6"/>
  <c r="C325" i="6"/>
  <c r="I325" i="6"/>
  <c r="J325" i="6" s="1"/>
  <c r="K325" i="6" s="1"/>
  <c r="L325" i="6"/>
  <c r="P324" i="6"/>
  <c r="V1723" i="6"/>
  <c r="A1725" i="6"/>
  <c r="U1724" i="6"/>
  <c r="T1724" i="6"/>
  <c r="X323" i="6"/>
  <c r="S324" i="6"/>
  <c r="C322" i="9"/>
  <c r="I322" i="9"/>
  <c r="P322" i="9" s="1"/>
  <c r="D322" i="9"/>
  <c r="F322" i="9"/>
  <c r="E322" i="9"/>
  <c r="B323" i="9"/>
  <c r="Y327" i="6" l="1"/>
  <c r="C326" i="6"/>
  <c r="D326" i="6"/>
  <c r="B327" i="6"/>
  <c r="I326" i="6"/>
  <c r="J326" i="6" s="1"/>
  <c r="K326" i="6" s="1"/>
  <c r="H326" i="6"/>
  <c r="L326" i="6"/>
  <c r="P325" i="6"/>
  <c r="V1724" i="6"/>
  <c r="X324" i="6"/>
  <c r="S325" i="6"/>
  <c r="A1726" i="6"/>
  <c r="U1725" i="6"/>
  <c r="T1725" i="6"/>
  <c r="C323" i="9"/>
  <c r="F323" i="9"/>
  <c r="E323" i="9"/>
  <c r="D323" i="9"/>
  <c r="I323" i="9"/>
  <c r="P323" i="9" s="1"/>
  <c r="B324" i="9"/>
  <c r="B328" i="6" l="1"/>
  <c r="D327" i="6"/>
  <c r="H327" i="6"/>
  <c r="I327" i="6"/>
  <c r="J327" i="6" s="1"/>
  <c r="K327" i="6" s="1"/>
  <c r="C327" i="6"/>
  <c r="L327" i="6"/>
  <c r="P327" i="6" s="1"/>
  <c r="Y328" i="6"/>
  <c r="V1725" i="6"/>
  <c r="P326" i="6"/>
  <c r="X325" i="6"/>
  <c r="S326" i="6"/>
  <c r="A1727" i="6"/>
  <c r="T1726" i="6"/>
  <c r="U1726" i="6"/>
  <c r="I324" i="9"/>
  <c r="F324" i="9"/>
  <c r="D324" i="9"/>
  <c r="B325" i="9"/>
  <c r="C324" i="9"/>
  <c r="E324" i="9"/>
  <c r="C328" i="6" l="1"/>
  <c r="B329" i="6"/>
  <c r="H328" i="6"/>
  <c r="I328" i="6"/>
  <c r="J328" i="6" s="1"/>
  <c r="K328" i="6" s="1"/>
  <c r="Y329" i="6"/>
  <c r="D328" i="6"/>
  <c r="L328" i="6"/>
  <c r="P328" i="6" s="1"/>
  <c r="V1726" i="6"/>
  <c r="A1728" i="6"/>
  <c r="T1727" i="6"/>
  <c r="U1727" i="6"/>
  <c r="E325" i="9"/>
  <c r="D325" i="9"/>
  <c r="C325" i="9"/>
  <c r="B326" i="9"/>
  <c r="I325" i="9"/>
  <c r="P325" i="9" s="1"/>
  <c r="F325" i="9"/>
  <c r="X326" i="6"/>
  <c r="S327" i="6"/>
  <c r="P324" i="9"/>
  <c r="D329" i="6" l="1"/>
  <c r="I329" i="6"/>
  <c r="J329" i="6" s="1"/>
  <c r="K329" i="6" s="1"/>
  <c r="Y330" i="6"/>
  <c r="C329" i="6"/>
  <c r="L329" i="6"/>
  <c r="P329" i="6" s="1"/>
  <c r="B330" i="6"/>
  <c r="H329" i="6"/>
  <c r="V1727" i="6"/>
  <c r="B327" i="9"/>
  <c r="D326" i="9"/>
  <c r="E326" i="9"/>
  <c r="C326" i="9"/>
  <c r="F326" i="9"/>
  <c r="I326" i="9"/>
  <c r="P326" i="9" s="1"/>
  <c r="A1729" i="6"/>
  <c r="U1728" i="6"/>
  <c r="T1728" i="6"/>
  <c r="X327" i="6"/>
  <c r="S328" i="6"/>
  <c r="D330" i="6" l="1"/>
  <c r="Y331" i="6"/>
  <c r="I330" i="6"/>
  <c r="J330" i="6" s="1"/>
  <c r="K330" i="6" s="1"/>
  <c r="L330" i="6"/>
  <c r="B331" i="6"/>
  <c r="C330" i="6"/>
  <c r="H330" i="6"/>
  <c r="V1728" i="6"/>
  <c r="X328" i="6"/>
  <c r="S329" i="6"/>
  <c r="U1729" i="6"/>
  <c r="A1730" i="6"/>
  <c r="T1729" i="6"/>
  <c r="E327" i="9"/>
  <c r="I327" i="9"/>
  <c r="P327" i="9" s="1"/>
  <c r="D327" i="9"/>
  <c r="F327" i="9"/>
  <c r="C327" i="9"/>
  <c r="B328" i="9"/>
  <c r="D331" i="6" l="1"/>
  <c r="I331" i="6"/>
  <c r="J331" i="6" s="1"/>
  <c r="K331" i="6" s="1"/>
  <c r="L331" i="6"/>
  <c r="P331" i="6" s="1"/>
  <c r="Y332" i="6"/>
  <c r="H331" i="6"/>
  <c r="C331" i="6"/>
  <c r="B332" i="6"/>
  <c r="P330" i="6"/>
  <c r="V1729" i="6"/>
  <c r="A1731" i="6"/>
  <c r="U1730" i="6"/>
  <c r="T1730" i="6"/>
  <c r="X329" i="6"/>
  <c r="S330" i="6"/>
  <c r="C328" i="9"/>
  <c r="E328" i="9"/>
  <c r="I328" i="9"/>
  <c r="P328" i="9" s="1"/>
  <c r="D328" i="9"/>
  <c r="F328" i="9"/>
  <c r="B329" i="9"/>
  <c r="C332" i="6" l="1"/>
  <c r="L332" i="6"/>
  <c r="P332" i="6" s="1"/>
  <c r="D332" i="6"/>
  <c r="Y333" i="6"/>
  <c r="I332" i="6"/>
  <c r="J332" i="6" s="1"/>
  <c r="K332" i="6" s="1"/>
  <c r="B333" i="6"/>
  <c r="H332" i="6"/>
  <c r="V1730" i="6"/>
  <c r="A1732" i="6"/>
  <c r="U1731" i="6"/>
  <c r="T1731" i="6"/>
  <c r="X330" i="6"/>
  <c r="S331" i="6"/>
  <c r="B330" i="9"/>
  <c r="C329" i="9"/>
  <c r="E329" i="9"/>
  <c r="F329" i="9"/>
  <c r="I329" i="9"/>
  <c r="P329" i="9" s="1"/>
  <c r="D329" i="9"/>
  <c r="B334" i="6" l="1"/>
  <c r="H333" i="6"/>
  <c r="Y334" i="6"/>
  <c r="L333" i="6"/>
  <c r="P333" i="6" s="1"/>
  <c r="I333" i="6"/>
  <c r="J333" i="6" s="1"/>
  <c r="K333" i="6" s="1"/>
  <c r="C333" i="6"/>
  <c r="D333" i="6"/>
  <c r="V1731" i="6"/>
  <c r="D330" i="9"/>
  <c r="E330" i="9"/>
  <c r="B331" i="9"/>
  <c r="C330" i="9"/>
  <c r="I330" i="9"/>
  <c r="F330" i="9"/>
  <c r="X331" i="6"/>
  <c r="S332" i="6"/>
  <c r="A1733" i="6"/>
  <c r="T1732" i="6"/>
  <c r="U1732" i="6"/>
  <c r="H334" i="6" l="1"/>
  <c r="D334" i="6"/>
  <c r="I334" i="6"/>
  <c r="J334" i="6" s="1"/>
  <c r="K334" i="6" s="1"/>
  <c r="C334" i="6"/>
  <c r="Y335" i="6"/>
  <c r="L334" i="6"/>
  <c r="P334" i="6" s="1"/>
  <c r="B335" i="6"/>
  <c r="V1732" i="6"/>
  <c r="F331" i="9"/>
  <c r="I331" i="9"/>
  <c r="D331" i="9"/>
  <c r="B332" i="9"/>
  <c r="E331" i="9"/>
  <c r="C331" i="9"/>
  <c r="P330" i="9"/>
  <c r="X332" i="6"/>
  <c r="S333" i="6"/>
  <c r="A1734" i="6"/>
  <c r="T1733" i="6"/>
  <c r="U1733" i="6"/>
  <c r="D335" i="6" l="1"/>
  <c r="B336" i="6"/>
  <c r="Y336" i="6"/>
  <c r="L335" i="6"/>
  <c r="H335" i="6"/>
  <c r="C335" i="6"/>
  <c r="I335" i="6"/>
  <c r="J335" i="6" s="1"/>
  <c r="K335" i="6" s="1"/>
  <c r="V1733" i="6"/>
  <c r="F332" i="9"/>
  <c r="E332" i="9"/>
  <c r="C332" i="9"/>
  <c r="B333" i="9"/>
  <c r="I332" i="9"/>
  <c r="P332" i="9" s="1"/>
  <c r="D332" i="9"/>
  <c r="X333" i="6"/>
  <c r="S334" i="6"/>
  <c r="P331" i="9"/>
  <c r="A1735" i="6"/>
  <c r="U1734" i="6"/>
  <c r="T1734" i="6"/>
  <c r="P335" i="6" l="1"/>
  <c r="C336" i="6"/>
  <c r="I336" i="6"/>
  <c r="J336" i="6" s="1"/>
  <c r="K336" i="6" s="1"/>
  <c r="L336" i="6"/>
  <c r="P336" i="6" s="1"/>
  <c r="H336" i="6"/>
  <c r="D336" i="6"/>
  <c r="B337" i="6"/>
  <c r="Y337" i="6"/>
  <c r="V1734" i="6"/>
  <c r="I333" i="9"/>
  <c r="C333" i="9"/>
  <c r="F333" i="9"/>
  <c r="D333" i="9"/>
  <c r="E333" i="9"/>
  <c r="B334" i="9"/>
  <c r="X334" i="6"/>
  <c r="S335" i="6"/>
  <c r="U1735" i="6"/>
  <c r="T1735" i="6"/>
  <c r="A1736" i="6"/>
  <c r="I337" i="6" l="1"/>
  <c r="J337" i="6" s="1"/>
  <c r="K337" i="6" s="1"/>
  <c r="D337" i="6"/>
  <c r="L337" i="6"/>
  <c r="Y338" i="6"/>
  <c r="B338" i="6"/>
  <c r="C337" i="6"/>
  <c r="H337" i="6"/>
  <c r="V1735" i="6"/>
  <c r="P333" i="9"/>
  <c r="I334" i="9"/>
  <c r="F334" i="9"/>
  <c r="E334" i="9"/>
  <c r="B335" i="9"/>
  <c r="C334" i="9"/>
  <c r="D334" i="9"/>
  <c r="X335" i="6"/>
  <c r="S336" i="6"/>
  <c r="U1736" i="6"/>
  <c r="T1736" i="6"/>
  <c r="A1737" i="6"/>
  <c r="L338" i="6" l="1"/>
  <c r="P338" i="6" s="1"/>
  <c r="D338" i="6"/>
  <c r="Y339" i="6"/>
  <c r="C338" i="6"/>
  <c r="I338" i="6"/>
  <c r="J338" i="6" s="1"/>
  <c r="K338" i="6" s="1"/>
  <c r="H338" i="6"/>
  <c r="B339" i="6"/>
  <c r="P337" i="6"/>
  <c r="V1736" i="6"/>
  <c r="D335" i="9"/>
  <c r="F335" i="9"/>
  <c r="E335" i="9"/>
  <c r="B336" i="9"/>
  <c r="C335" i="9"/>
  <c r="I335" i="9"/>
  <c r="X336" i="6"/>
  <c r="S337" i="6"/>
  <c r="A1738" i="6"/>
  <c r="T1737" i="6"/>
  <c r="U1737" i="6"/>
  <c r="P334" i="9"/>
  <c r="Y340" i="6" l="1"/>
  <c r="C339" i="6"/>
  <c r="D339" i="6"/>
  <c r="I339" i="6"/>
  <c r="J339" i="6" s="1"/>
  <c r="K339" i="6" s="1"/>
  <c r="H339" i="6"/>
  <c r="B340" i="6"/>
  <c r="L339" i="6"/>
  <c r="V1737" i="6"/>
  <c r="I336" i="9"/>
  <c r="P336" i="9" s="1"/>
  <c r="E336" i="9"/>
  <c r="B337" i="9"/>
  <c r="F336" i="9"/>
  <c r="C336" i="9"/>
  <c r="D336" i="9"/>
  <c r="A1739" i="6"/>
  <c r="T1738" i="6"/>
  <c r="U1738" i="6"/>
  <c r="X337" i="6"/>
  <c r="S338" i="6"/>
  <c r="P335" i="9"/>
  <c r="P339" i="6" l="1"/>
  <c r="C340" i="6"/>
  <c r="D340" i="6"/>
  <c r="Y341" i="6"/>
  <c r="I340" i="6"/>
  <c r="J340" i="6" s="1"/>
  <c r="K340" i="6" s="1"/>
  <c r="B341" i="6"/>
  <c r="L340" i="6"/>
  <c r="P340" i="6" s="1"/>
  <c r="H340" i="6"/>
  <c r="V1738" i="6"/>
  <c r="A1740" i="6"/>
  <c r="U1739" i="6"/>
  <c r="T1739" i="6"/>
  <c r="C337" i="9"/>
  <c r="E337" i="9"/>
  <c r="B338" i="9"/>
  <c r="D337" i="9"/>
  <c r="F337" i="9"/>
  <c r="I337" i="9"/>
  <c r="P337" i="9" s="1"/>
  <c r="X338" i="6"/>
  <c r="S339" i="6"/>
  <c r="D341" i="6" l="1"/>
  <c r="Y342" i="6"/>
  <c r="H341" i="6"/>
  <c r="B342" i="6"/>
  <c r="C341" i="6"/>
  <c r="L341" i="6"/>
  <c r="P341" i="6" s="1"/>
  <c r="I341" i="6"/>
  <c r="J341" i="6" s="1"/>
  <c r="K341" i="6" s="1"/>
  <c r="V1739" i="6"/>
  <c r="U1740" i="6"/>
  <c r="T1740" i="6"/>
  <c r="A1741" i="6"/>
  <c r="X339" i="6"/>
  <c r="S340" i="6"/>
  <c r="C338" i="9"/>
  <c r="I338" i="9"/>
  <c r="B339" i="9"/>
  <c r="F338" i="9"/>
  <c r="E338" i="9"/>
  <c r="D338" i="9"/>
  <c r="C342" i="6" l="1"/>
  <c r="Y343" i="6"/>
  <c r="D342" i="6"/>
  <c r="L342" i="6"/>
  <c r="I342" i="6"/>
  <c r="J342" i="6" s="1"/>
  <c r="K342" i="6" s="1"/>
  <c r="B343" i="6"/>
  <c r="H342" i="6"/>
  <c r="V1740" i="6"/>
  <c r="F339" i="9"/>
  <c r="D339" i="9"/>
  <c r="I339" i="9"/>
  <c r="P339" i="9" s="1"/>
  <c r="B340" i="9"/>
  <c r="E339" i="9"/>
  <c r="C339" i="9"/>
  <c r="A1742" i="6"/>
  <c r="U1741" i="6"/>
  <c r="T1741" i="6"/>
  <c r="P338" i="9"/>
  <c r="X340" i="6"/>
  <c r="S341" i="6"/>
  <c r="V1741" i="6" l="1"/>
  <c r="B344" i="6"/>
  <c r="I343" i="6"/>
  <c r="J343" i="6" s="1"/>
  <c r="K343" i="6" s="1"/>
  <c r="L343" i="6"/>
  <c r="P343" i="6" s="1"/>
  <c r="D343" i="6"/>
  <c r="Y344" i="6"/>
  <c r="C343" i="6"/>
  <c r="H343" i="6"/>
  <c r="P342" i="6"/>
  <c r="E340" i="9"/>
  <c r="D340" i="9"/>
  <c r="I340" i="9"/>
  <c r="P340" i="9" s="1"/>
  <c r="B341" i="9"/>
  <c r="C340" i="9"/>
  <c r="F340" i="9"/>
  <c r="A1743" i="6"/>
  <c r="T1742" i="6"/>
  <c r="U1742" i="6"/>
  <c r="X341" i="6"/>
  <c r="S342" i="6"/>
  <c r="H344" i="6" l="1"/>
  <c r="B345" i="6"/>
  <c r="C344" i="6"/>
  <c r="I344" i="6"/>
  <c r="J344" i="6" s="1"/>
  <c r="K344" i="6" s="1"/>
  <c r="L344" i="6"/>
  <c r="Y345" i="6"/>
  <c r="D344" i="6"/>
  <c r="V1742" i="6"/>
  <c r="D341" i="9"/>
  <c r="I341" i="9"/>
  <c r="P341" i="9" s="1"/>
  <c r="E341" i="9"/>
  <c r="F341" i="9"/>
  <c r="B342" i="9"/>
  <c r="C341" i="9"/>
  <c r="X342" i="6"/>
  <c r="S343" i="6"/>
  <c r="U1743" i="6"/>
  <c r="T1743" i="6"/>
  <c r="A1744" i="6"/>
  <c r="P344" i="6" l="1"/>
  <c r="C345" i="6"/>
  <c r="B346" i="6"/>
  <c r="H345" i="6"/>
  <c r="Y346" i="6"/>
  <c r="D345" i="6"/>
  <c r="I345" i="6"/>
  <c r="J345" i="6" s="1"/>
  <c r="K345" i="6" s="1"/>
  <c r="L345" i="6"/>
  <c r="P345" i="6" s="1"/>
  <c r="V1743" i="6"/>
  <c r="C342" i="9"/>
  <c r="B343" i="9"/>
  <c r="E342" i="9"/>
  <c r="D342" i="9"/>
  <c r="F342" i="9"/>
  <c r="I342" i="9"/>
  <c r="A1745" i="6"/>
  <c r="U1744" i="6"/>
  <c r="T1744" i="6"/>
  <c r="X343" i="6"/>
  <c r="S344" i="6"/>
  <c r="B347" i="6" l="1"/>
  <c r="H346" i="6"/>
  <c r="I346" i="6"/>
  <c r="J346" i="6" s="1"/>
  <c r="K346" i="6" s="1"/>
  <c r="Y347" i="6"/>
  <c r="D346" i="6"/>
  <c r="C346" i="6"/>
  <c r="L346" i="6"/>
  <c r="V1744" i="6"/>
  <c r="A1746" i="6"/>
  <c r="U1745" i="6"/>
  <c r="T1745" i="6"/>
  <c r="D343" i="9"/>
  <c r="E343" i="9"/>
  <c r="C343" i="9"/>
  <c r="B344" i="9"/>
  <c r="I343" i="9"/>
  <c r="F343" i="9"/>
  <c r="X344" i="6"/>
  <c r="S345" i="6"/>
  <c r="P342" i="9"/>
  <c r="P346" i="6" l="1"/>
  <c r="C347" i="6"/>
  <c r="D347" i="6"/>
  <c r="B348" i="6"/>
  <c r="I347" i="6"/>
  <c r="J347" i="6" s="1"/>
  <c r="K347" i="6" s="1"/>
  <c r="L347" i="6"/>
  <c r="H347" i="6"/>
  <c r="Y348" i="6"/>
  <c r="V1745" i="6"/>
  <c r="X345" i="6"/>
  <c r="S346" i="6"/>
  <c r="A1747" i="6"/>
  <c r="T1746" i="6"/>
  <c r="U1746" i="6"/>
  <c r="P343" i="9"/>
  <c r="C344" i="9"/>
  <c r="D344" i="9"/>
  <c r="E344" i="9"/>
  <c r="F344" i="9"/>
  <c r="B345" i="9"/>
  <c r="I344" i="9"/>
  <c r="P344" i="9" s="1"/>
  <c r="I348" i="6" l="1"/>
  <c r="J348" i="6" s="1"/>
  <c r="K348" i="6" s="1"/>
  <c r="Y349" i="6"/>
  <c r="D348" i="6"/>
  <c r="L348" i="6"/>
  <c r="P348" i="6" s="1"/>
  <c r="B349" i="6"/>
  <c r="C348" i="6"/>
  <c r="H348" i="6"/>
  <c r="P347" i="6"/>
  <c r="V1746" i="6"/>
  <c r="D345" i="9"/>
  <c r="E345" i="9"/>
  <c r="F345" i="9"/>
  <c r="B346" i="9"/>
  <c r="C345" i="9"/>
  <c r="I345" i="9"/>
  <c r="P345" i="9" s="1"/>
  <c r="T1747" i="6"/>
  <c r="A1748" i="6"/>
  <c r="U1747" i="6"/>
  <c r="X346" i="6"/>
  <c r="S347" i="6"/>
  <c r="L349" i="6" l="1"/>
  <c r="P349" i="6" s="1"/>
  <c r="Y350" i="6"/>
  <c r="I349" i="6"/>
  <c r="J349" i="6" s="1"/>
  <c r="K349" i="6" s="1"/>
  <c r="D349" i="6"/>
  <c r="C349" i="6"/>
  <c r="H349" i="6"/>
  <c r="B350" i="6"/>
  <c r="V1747" i="6"/>
  <c r="D346" i="9"/>
  <c r="E346" i="9"/>
  <c r="F346" i="9"/>
  <c r="B347" i="9"/>
  <c r="I346" i="9"/>
  <c r="P346" i="9" s="1"/>
  <c r="C346" i="9"/>
  <c r="T107" i="3"/>
  <c r="A1749" i="6"/>
  <c r="T1748" i="6"/>
  <c r="U1748" i="6"/>
  <c r="X347" i="6"/>
  <c r="S348" i="6"/>
  <c r="L350" i="6" l="1"/>
  <c r="P350" i="6" s="1"/>
  <c r="B351" i="6"/>
  <c r="I350" i="6"/>
  <c r="J350" i="6" s="1"/>
  <c r="K350" i="6" s="1"/>
  <c r="Y351" i="6"/>
  <c r="D350" i="6"/>
  <c r="C350" i="6"/>
  <c r="H350" i="6"/>
  <c r="V1748" i="6"/>
  <c r="U1749" i="6"/>
  <c r="T1749" i="6"/>
  <c r="A1750" i="6"/>
  <c r="C347" i="9"/>
  <c r="D347" i="9"/>
  <c r="I347" i="9"/>
  <c r="P347" i="9" s="1"/>
  <c r="F347" i="9"/>
  <c r="E347" i="9"/>
  <c r="B348" i="9"/>
  <c r="X348" i="6"/>
  <c r="S349" i="6"/>
  <c r="T108" i="3"/>
  <c r="U107" i="3" l="1"/>
  <c r="S107" i="3"/>
  <c r="V107" i="3"/>
  <c r="D351" i="6"/>
  <c r="C351" i="6"/>
  <c r="L351" i="6"/>
  <c r="I351" i="6"/>
  <c r="J351" i="6" s="1"/>
  <c r="K351" i="6" s="1"/>
  <c r="H351" i="6"/>
  <c r="B352" i="6"/>
  <c r="Y352" i="6"/>
  <c r="V1749" i="6"/>
  <c r="C348" i="9"/>
  <c r="I348" i="9"/>
  <c r="B349" i="9"/>
  <c r="D348" i="9"/>
  <c r="E348" i="9"/>
  <c r="F348" i="9"/>
  <c r="A1751" i="6"/>
  <c r="U1750" i="6"/>
  <c r="T1750" i="6"/>
  <c r="T109" i="3"/>
  <c r="X349" i="6"/>
  <c r="S350" i="6"/>
  <c r="S108" i="3" l="1"/>
  <c r="U108" i="3"/>
  <c r="V108" i="3"/>
  <c r="L352" i="6"/>
  <c r="P352" i="6" s="1"/>
  <c r="D352" i="6"/>
  <c r="I352" i="6"/>
  <c r="J352" i="6" s="1"/>
  <c r="K352" i="6" s="1"/>
  <c r="C352" i="6"/>
  <c r="H352" i="6"/>
  <c r="Y353" i="6"/>
  <c r="B353" i="6"/>
  <c r="P351" i="6"/>
  <c r="V1750" i="6"/>
  <c r="D349" i="9"/>
  <c r="B350" i="9"/>
  <c r="F349" i="9"/>
  <c r="I349" i="9"/>
  <c r="P349" i="9" s="1"/>
  <c r="C349" i="9"/>
  <c r="E349" i="9"/>
  <c r="X350" i="6"/>
  <c r="S351" i="6"/>
  <c r="P348" i="9"/>
  <c r="T110" i="3"/>
  <c r="A1752" i="6"/>
  <c r="T1751" i="6"/>
  <c r="U1751" i="6"/>
  <c r="U109" i="3" l="1"/>
  <c r="S109" i="3"/>
  <c r="V109" i="3"/>
  <c r="H353" i="6"/>
  <c r="D353" i="6"/>
  <c r="B354" i="6"/>
  <c r="I353" i="6"/>
  <c r="J353" i="6" s="1"/>
  <c r="K353" i="6" s="1"/>
  <c r="Y354" i="6"/>
  <c r="C353" i="6"/>
  <c r="L353" i="6"/>
  <c r="V1751" i="6"/>
  <c r="T1752" i="6"/>
  <c r="A1753" i="6"/>
  <c r="U1752" i="6"/>
  <c r="X351" i="6"/>
  <c r="S352" i="6"/>
  <c r="T111" i="3"/>
  <c r="F350" i="9"/>
  <c r="D350" i="9"/>
  <c r="I350" i="9"/>
  <c r="E350" i="9"/>
  <c r="C350" i="9"/>
  <c r="B351" i="9"/>
  <c r="S110" i="3" l="1"/>
  <c r="U110" i="3"/>
  <c r="V110" i="3"/>
  <c r="P353" i="6"/>
  <c r="C354" i="6"/>
  <c r="D354" i="6"/>
  <c r="Y355" i="6"/>
  <c r="B355" i="6"/>
  <c r="I354" i="6"/>
  <c r="J354" i="6" s="1"/>
  <c r="K354" i="6" s="1"/>
  <c r="L354" i="6"/>
  <c r="P354" i="6" s="1"/>
  <c r="H354" i="6"/>
  <c r="V1752" i="6"/>
  <c r="P350" i="9"/>
  <c r="D351" i="9"/>
  <c r="F351" i="9"/>
  <c r="I351" i="9"/>
  <c r="E351" i="9"/>
  <c r="B352" i="9"/>
  <c r="C351" i="9"/>
  <c r="A1754" i="6"/>
  <c r="T1753" i="6"/>
  <c r="U1753" i="6"/>
  <c r="T112" i="3"/>
  <c r="X352" i="6"/>
  <c r="S353" i="6"/>
  <c r="U111" i="3" l="1"/>
  <c r="S111" i="3"/>
  <c r="V111" i="3"/>
  <c r="Y356" i="6"/>
  <c r="C355" i="6"/>
  <c r="H355" i="6"/>
  <c r="I355" i="6"/>
  <c r="J355" i="6" s="1"/>
  <c r="K355" i="6" s="1"/>
  <c r="L355" i="6"/>
  <c r="P355" i="6" s="1"/>
  <c r="B356" i="6"/>
  <c r="D355" i="6"/>
  <c r="V1753" i="6"/>
  <c r="T113" i="3"/>
  <c r="F352" i="9"/>
  <c r="I352" i="9"/>
  <c r="D352" i="9"/>
  <c r="C352" i="9"/>
  <c r="B353" i="9"/>
  <c r="E352" i="9"/>
  <c r="X353" i="6"/>
  <c r="S354" i="6"/>
  <c r="P351" i="9"/>
  <c r="T1754" i="6"/>
  <c r="U1754" i="6"/>
  <c r="A1755" i="6"/>
  <c r="S112" i="3" l="1"/>
  <c r="U112" i="3"/>
  <c r="V112" i="3"/>
  <c r="H356" i="6"/>
  <c r="C356" i="6"/>
  <c r="D356" i="6"/>
  <c r="Y357" i="6"/>
  <c r="B357" i="6"/>
  <c r="L356" i="6"/>
  <c r="P356" i="6" s="1"/>
  <c r="I356" i="6"/>
  <c r="J356" i="6" s="1"/>
  <c r="K356" i="6" s="1"/>
  <c r="V1754" i="6"/>
  <c r="X354" i="6"/>
  <c r="S355" i="6"/>
  <c r="P352" i="9"/>
  <c r="E353" i="9"/>
  <c r="F353" i="9"/>
  <c r="I353" i="9"/>
  <c r="D353" i="9"/>
  <c r="C353" i="9"/>
  <c r="B354" i="9"/>
  <c r="T114" i="3"/>
  <c r="A1756" i="6"/>
  <c r="T1755" i="6"/>
  <c r="U1755" i="6"/>
  <c r="U113" i="3" l="1"/>
  <c r="S113" i="3"/>
  <c r="V113" i="3"/>
  <c r="H357" i="6"/>
  <c r="D357" i="6"/>
  <c r="C357" i="6"/>
  <c r="B358" i="6"/>
  <c r="Y358" i="6"/>
  <c r="L357" i="6"/>
  <c r="P357" i="6" s="1"/>
  <c r="I357" i="6"/>
  <c r="J357" i="6" s="1"/>
  <c r="K357" i="6" s="1"/>
  <c r="V1755" i="6"/>
  <c r="T115" i="3"/>
  <c r="F354" i="9"/>
  <c r="B355" i="9"/>
  <c r="E354" i="9"/>
  <c r="C354" i="9"/>
  <c r="I354" i="9"/>
  <c r="D354" i="9"/>
  <c r="X355" i="6"/>
  <c r="S356" i="6"/>
  <c r="P353" i="9"/>
  <c r="U1756" i="6"/>
  <c r="T1756" i="6"/>
  <c r="A1757" i="6"/>
  <c r="S114" i="3" l="1"/>
  <c r="U114" i="3"/>
  <c r="V114" i="3"/>
  <c r="Y359" i="6"/>
  <c r="B359" i="6"/>
  <c r="H358" i="6"/>
  <c r="L358" i="6"/>
  <c r="D358" i="6"/>
  <c r="I358" i="6"/>
  <c r="J358" i="6" s="1"/>
  <c r="K358" i="6" s="1"/>
  <c r="C358" i="6"/>
  <c r="V1756" i="6"/>
  <c r="I355" i="9"/>
  <c r="D355" i="9"/>
  <c r="B356" i="9"/>
  <c r="C355" i="9"/>
  <c r="E355" i="9"/>
  <c r="F355" i="9"/>
  <c r="T116" i="3"/>
  <c r="P354" i="9"/>
  <c r="X356" i="6"/>
  <c r="S357" i="6"/>
  <c r="T1757" i="6"/>
  <c r="U1757" i="6"/>
  <c r="A1758" i="6"/>
  <c r="U115" i="3" l="1"/>
  <c r="S115" i="3"/>
  <c r="V115" i="3"/>
  <c r="P358" i="6"/>
  <c r="B360" i="6"/>
  <c r="L359" i="6"/>
  <c r="I359" i="6"/>
  <c r="J359" i="6" s="1"/>
  <c r="K359" i="6" s="1"/>
  <c r="D359" i="6"/>
  <c r="Y360" i="6"/>
  <c r="C359" i="6"/>
  <c r="H359" i="6"/>
  <c r="V1757" i="6"/>
  <c r="C356" i="9"/>
  <c r="I356" i="9"/>
  <c r="P356" i="9" s="1"/>
  <c r="F356" i="9"/>
  <c r="B357" i="9"/>
  <c r="D356" i="9"/>
  <c r="E356" i="9"/>
  <c r="X357" i="6"/>
  <c r="S358" i="6"/>
  <c r="T117" i="3"/>
  <c r="P355" i="9"/>
  <c r="A1759" i="6"/>
  <c r="U1758" i="6"/>
  <c r="T1758" i="6"/>
  <c r="S116" i="3" l="1"/>
  <c r="U116" i="3"/>
  <c r="V116" i="3"/>
  <c r="D360" i="6"/>
  <c r="Y361" i="6"/>
  <c r="C360" i="6"/>
  <c r="B361" i="6"/>
  <c r="L360" i="6"/>
  <c r="I360" i="6"/>
  <c r="J360" i="6" s="1"/>
  <c r="K360" i="6" s="1"/>
  <c r="H360" i="6"/>
  <c r="P359" i="6"/>
  <c r="V1758" i="6"/>
  <c r="U1759" i="6"/>
  <c r="A1760" i="6"/>
  <c r="T1759" i="6"/>
  <c r="T118" i="3"/>
  <c r="C357" i="9"/>
  <c r="B358" i="9"/>
  <c r="D357" i="9"/>
  <c r="F357" i="9"/>
  <c r="E357" i="9"/>
  <c r="I357" i="9"/>
  <c r="P357" i="9" s="1"/>
  <c r="X358" i="6"/>
  <c r="S359" i="6"/>
  <c r="AA107" i="3" l="1"/>
  <c r="U117" i="3"/>
  <c r="S117" i="3"/>
  <c r="V117" i="3"/>
  <c r="H361" i="6"/>
  <c r="D361" i="6"/>
  <c r="Y362" i="6"/>
  <c r="B362" i="6"/>
  <c r="C361" i="6"/>
  <c r="L361" i="6"/>
  <c r="I361" i="6"/>
  <c r="J361" i="6" s="1"/>
  <c r="K361" i="6" s="1"/>
  <c r="P360" i="6"/>
  <c r="V1759" i="6"/>
  <c r="X359" i="6"/>
  <c r="S360" i="6"/>
  <c r="U1760" i="6"/>
  <c r="T1760" i="6"/>
  <c r="A1761" i="6"/>
  <c r="I358" i="9"/>
  <c r="P358" i="9" s="1"/>
  <c r="F358" i="9"/>
  <c r="B359" i="9"/>
  <c r="D358" i="9"/>
  <c r="E358" i="9"/>
  <c r="C358" i="9"/>
  <c r="T119" i="3"/>
  <c r="AA108" i="3" l="1"/>
  <c r="S118" i="3"/>
  <c r="U118" i="3"/>
  <c r="V118" i="3"/>
  <c r="C362" i="6"/>
  <c r="I362" i="6"/>
  <c r="J362" i="6" s="1"/>
  <c r="K362" i="6" s="1"/>
  <c r="L362" i="6"/>
  <c r="P362" i="6" s="1"/>
  <c r="H362" i="6"/>
  <c r="B363" i="6"/>
  <c r="D362" i="6"/>
  <c r="Y363" i="6"/>
  <c r="P361" i="6"/>
  <c r="V1760" i="6"/>
  <c r="A1762" i="6"/>
  <c r="T1761" i="6"/>
  <c r="U1761" i="6"/>
  <c r="T120" i="3"/>
  <c r="F359" i="9"/>
  <c r="B360" i="9"/>
  <c r="C359" i="9"/>
  <c r="D359" i="9"/>
  <c r="I359" i="9"/>
  <c r="P359" i="9" s="1"/>
  <c r="E359" i="9"/>
  <c r="X360" i="6"/>
  <c r="S361" i="6"/>
  <c r="AA109" i="3" l="1"/>
  <c r="U119" i="3"/>
  <c r="S119" i="3"/>
  <c r="V119" i="3"/>
  <c r="D363" i="6"/>
  <c r="I363" i="6"/>
  <c r="J363" i="6" s="1"/>
  <c r="K363" i="6" s="1"/>
  <c r="L363" i="6"/>
  <c r="Y364" i="6"/>
  <c r="C363" i="6"/>
  <c r="B364" i="6"/>
  <c r="H363" i="6"/>
  <c r="V1761" i="6"/>
  <c r="T121" i="3"/>
  <c r="X361" i="6"/>
  <c r="S362" i="6"/>
  <c r="D360" i="9"/>
  <c r="F360" i="9"/>
  <c r="B361" i="9"/>
  <c r="E360" i="9"/>
  <c r="C360" i="9"/>
  <c r="I360" i="9"/>
  <c r="U1762" i="6"/>
  <c r="T1762" i="6"/>
  <c r="A1763" i="6"/>
  <c r="AA110" i="3" l="1"/>
  <c r="S120" i="3"/>
  <c r="U120" i="3"/>
  <c r="V120" i="3"/>
  <c r="I364" i="6"/>
  <c r="J364" i="6" s="1"/>
  <c r="K364" i="6" s="1"/>
  <c r="B365" i="6"/>
  <c r="C364" i="6"/>
  <c r="H364" i="6"/>
  <c r="Y365" i="6"/>
  <c r="D364" i="6"/>
  <c r="L364" i="6"/>
  <c r="P364" i="6" s="1"/>
  <c r="P363" i="6"/>
  <c r="V1762" i="6"/>
  <c r="T122" i="3"/>
  <c r="P360" i="9"/>
  <c r="U1763" i="6"/>
  <c r="T1763" i="6"/>
  <c r="A1764" i="6"/>
  <c r="X362" i="6"/>
  <c r="S363" i="6"/>
  <c r="E361" i="9"/>
  <c r="B362" i="9"/>
  <c r="F361" i="9"/>
  <c r="D361" i="9"/>
  <c r="C361" i="9"/>
  <c r="I361" i="9"/>
  <c r="AA111" i="3" l="1"/>
  <c r="U121" i="3"/>
  <c r="S121" i="3"/>
  <c r="V121" i="3"/>
  <c r="C365" i="6"/>
  <c r="I365" i="6"/>
  <c r="J365" i="6" s="1"/>
  <c r="K365" i="6" s="1"/>
  <c r="Y366" i="6"/>
  <c r="H365" i="6"/>
  <c r="L365" i="6"/>
  <c r="P365" i="6" s="1"/>
  <c r="D365" i="6"/>
  <c r="B366" i="6"/>
  <c r="V1763" i="6"/>
  <c r="U1764" i="6"/>
  <c r="T1764" i="6"/>
  <c r="A1765" i="6"/>
  <c r="F362" i="9"/>
  <c r="C362" i="9"/>
  <c r="D362" i="9"/>
  <c r="B363" i="9"/>
  <c r="I362" i="9"/>
  <c r="P362" i="9" s="1"/>
  <c r="E362" i="9"/>
  <c r="P361" i="9"/>
  <c r="T123" i="3"/>
  <c r="X363" i="6"/>
  <c r="S364" i="6"/>
  <c r="AA112" i="3" l="1"/>
  <c r="S122" i="3"/>
  <c r="U122" i="3"/>
  <c r="B1" i="9"/>
  <c r="V122" i="3"/>
  <c r="I366" i="6"/>
  <c r="J366" i="6" s="1"/>
  <c r="K366" i="6" s="1"/>
  <c r="D366" i="6"/>
  <c r="C366" i="6"/>
  <c r="L366" i="6"/>
  <c r="P366" i="6" s="1"/>
  <c r="H366" i="6"/>
  <c r="Y367" i="6"/>
  <c r="B367" i="6"/>
  <c r="V1764" i="6"/>
  <c r="T124" i="3"/>
  <c r="A1766" i="6"/>
  <c r="U1765" i="6"/>
  <c r="T1765" i="6"/>
  <c r="X364" i="6"/>
  <c r="S365" i="6"/>
  <c r="C363" i="9"/>
  <c r="D363" i="9"/>
  <c r="E363" i="9"/>
  <c r="F363" i="9"/>
  <c r="I363" i="9"/>
  <c r="B364" i="9"/>
  <c r="AA113" i="3" l="1"/>
  <c r="N576" i="9"/>
  <c r="M65" i="9"/>
  <c r="G65" i="9" s="1"/>
  <c r="N185" i="9"/>
  <c r="H185" i="9" s="1"/>
  <c r="M754" i="9"/>
  <c r="N384" i="9"/>
  <c r="N600" i="9"/>
  <c r="N220" i="9"/>
  <c r="H220" i="9" s="1"/>
  <c r="M15" i="9"/>
  <c r="M221" i="9"/>
  <c r="G221" i="9" s="1"/>
  <c r="M753" i="9"/>
  <c r="N311" i="9"/>
  <c r="H311" i="9" s="1"/>
  <c r="N154" i="9"/>
  <c r="H154" i="9" s="1"/>
  <c r="M866" i="9"/>
  <c r="N788" i="9"/>
  <c r="N796" i="9"/>
  <c r="M516" i="9"/>
  <c r="N632" i="9"/>
  <c r="N253" i="9"/>
  <c r="H253" i="9" s="1"/>
  <c r="M815" i="9"/>
  <c r="N326" i="9"/>
  <c r="H326" i="9" s="1"/>
  <c r="M16" i="9"/>
  <c r="M710" i="9"/>
  <c r="N211" i="9"/>
  <c r="H211" i="9" s="1"/>
  <c r="N297" i="9"/>
  <c r="H297" i="9" s="1"/>
  <c r="N82" i="9"/>
  <c r="H82" i="9" s="1"/>
  <c r="M334" i="9"/>
  <c r="G334" i="9" s="1"/>
  <c r="N608" i="9"/>
  <c r="M797" i="9"/>
  <c r="N36" i="9"/>
  <c r="H36" i="9" s="1"/>
  <c r="M209" i="9"/>
  <c r="G209" i="9" s="1"/>
  <c r="M664" i="9"/>
  <c r="N525" i="9"/>
  <c r="M390" i="9"/>
  <c r="N481" i="9"/>
  <c r="M634" i="9"/>
  <c r="N217" i="9"/>
  <c r="H217" i="9" s="1"/>
  <c r="M489" i="9"/>
  <c r="M145" i="9"/>
  <c r="G145" i="9" s="1"/>
  <c r="N866" i="9"/>
  <c r="M117" i="9"/>
  <c r="G117" i="9" s="1"/>
  <c r="N845" i="9"/>
  <c r="M148" i="9"/>
  <c r="G148" i="9" s="1"/>
  <c r="N284" i="9"/>
  <c r="H284" i="9" s="1"/>
  <c r="N353" i="9"/>
  <c r="H353" i="9" s="1"/>
  <c r="N188" i="9"/>
  <c r="H188" i="9" s="1"/>
  <c r="N76" i="9"/>
  <c r="H76" i="9" s="1"/>
  <c r="N801" i="9"/>
  <c r="M648" i="9"/>
  <c r="M542" i="9"/>
  <c r="M638" i="9"/>
  <c r="N441" i="9"/>
  <c r="N854" i="9"/>
  <c r="M119" i="9"/>
  <c r="G119" i="9" s="1"/>
  <c r="N347" i="9"/>
  <c r="H347" i="9" s="1"/>
  <c r="M24" i="9"/>
  <c r="G24" i="9" s="1"/>
  <c r="N199" i="9"/>
  <c r="H199" i="9" s="1"/>
  <c r="N562" i="9"/>
  <c r="M744" i="9"/>
  <c r="M176" i="9"/>
  <c r="G176" i="9" s="1"/>
  <c r="N45" i="9"/>
  <c r="H45" i="9" s="1"/>
  <c r="M610" i="9"/>
  <c r="N709" i="9"/>
  <c r="M14" i="9"/>
  <c r="N848" i="9"/>
  <c r="M18" i="9"/>
  <c r="G18" i="9" s="1"/>
  <c r="N645" i="9"/>
  <c r="N612" i="9"/>
  <c r="N383" i="9"/>
  <c r="M599" i="9"/>
  <c r="N534" i="9"/>
  <c r="M74" i="9"/>
  <c r="G74" i="9" s="1"/>
  <c r="N726" i="9"/>
  <c r="N416" i="9"/>
  <c r="N337" i="9"/>
  <c r="H337" i="9" s="1"/>
  <c r="M21" i="9"/>
  <c r="G21" i="9" s="1"/>
  <c r="M85" i="9"/>
  <c r="G85" i="9" s="1"/>
  <c r="M427" i="9"/>
  <c r="N827" i="9"/>
  <c r="M555" i="9"/>
  <c r="M385" i="9"/>
  <c r="M285" i="9"/>
  <c r="G285" i="9" s="1"/>
  <c r="N129" i="9"/>
  <c r="H129" i="9" s="1"/>
  <c r="N847" i="9"/>
  <c r="M72" i="9"/>
  <c r="G72" i="9" s="1"/>
  <c r="M218" i="9"/>
  <c r="G218" i="9" s="1"/>
  <c r="N670" i="9"/>
  <c r="N756" i="9"/>
  <c r="N707" i="9"/>
  <c r="M131" i="9"/>
  <c r="G131" i="9" s="1"/>
  <c r="M82" i="9"/>
  <c r="G82" i="9" s="1"/>
  <c r="N839" i="9"/>
  <c r="N108" i="9"/>
  <c r="H108" i="9" s="1"/>
  <c r="N399" i="9"/>
  <c r="N488" i="9"/>
  <c r="N300" i="9"/>
  <c r="H300" i="9" s="1"/>
  <c r="M89" i="9"/>
  <c r="G89" i="9" s="1"/>
  <c r="M220" i="9"/>
  <c r="G220" i="9" s="1"/>
  <c r="N301" i="9"/>
  <c r="H301" i="9" s="1"/>
  <c r="M29" i="9"/>
  <c r="G29" i="9" s="1"/>
  <c r="N41" i="9"/>
  <c r="H41" i="9" s="1"/>
  <c r="N213" i="9"/>
  <c r="H213" i="9" s="1"/>
  <c r="M91" i="9"/>
  <c r="G91" i="9" s="1"/>
  <c r="M787" i="9"/>
  <c r="N785" i="9"/>
  <c r="M295" i="9"/>
  <c r="G295" i="9" s="1"/>
  <c r="N122" i="9"/>
  <c r="H122" i="9" s="1"/>
  <c r="M153" i="9"/>
  <c r="G153" i="9" s="1"/>
  <c r="N240" i="9"/>
  <c r="H240" i="9" s="1"/>
  <c r="N328" i="9"/>
  <c r="H328" i="9" s="1"/>
  <c r="M313" i="9"/>
  <c r="G313" i="9" s="1"/>
  <c r="N389" i="9"/>
  <c r="M707" i="9"/>
  <c r="M311" i="9"/>
  <c r="G311" i="9" s="1"/>
  <c r="N453" i="9"/>
  <c r="N358" i="9"/>
  <c r="H358" i="9" s="1"/>
  <c r="N40" i="9"/>
  <c r="H40" i="9" s="1"/>
  <c r="M185" i="9"/>
  <c r="G185" i="9" s="1"/>
  <c r="M254" i="9"/>
  <c r="G254" i="9" s="1"/>
  <c r="N160" i="9"/>
  <c r="H160" i="9" s="1"/>
  <c r="M566" i="9"/>
  <c r="N458" i="9"/>
  <c r="M207" i="9"/>
  <c r="G207" i="9" s="1"/>
  <c r="M164" i="9"/>
  <c r="G164" i="9" s="1"/>
  <c r="N195" i="9"/>
  <c r="H195" i="9" s="1"/>
  <c r="N365" i="9"/>
  <c r="N43" i="9"/>
  <c r="H43" i="9" s="1"/>
  <c r="M727" i="9"/>
  <c r="M391" i="9"/>
  <c r="M506" i="9"/>
  <c r="M742" i="9"/>
  <c r="N115" i="9"/>
  <c r="H115" i="9" s="1"/>
  <c r="N533" i="9"/>
  <c r="M666" i="9"/>
  <c r="M181" i="9"/>
  <c r="G181" i="9" s="1"/>
  <c r="N306" i="9"/>
  <c r="H306" i="9" s="1"/>
  <c r="N428" i="9"/>
  <c r="N62" i="9"/>
  <c r="H62" i="9" s="1"/>
  <c r="M439" i="9"/>
  <c r="M46" i="9"/>
  <c r="G46" i="9" s="1"/>
  <c r="M453" i="9"/>
  <c r="M312" i="9"/>
  <c r="G312" i="9" s="1"/>
  <c r="N149" i="9"/>
  <c r="H149" i="9" s="1"/>
  <c r="N102" i="9"/>
  <c r="H102" i="9" s="1"/>
  <c r="N580" i="9"/>
  <c r="M849" i="9"/>
  <c r="M600" i="9"/>
  <c r="M455" i="9"/>
  <c r="M223" i="9"/>
  <c r="G223" i="9" s="1"/>
  <c r="M150" i="9"/>
  <c r="G150" i="9" s="1"/>
  <c r="M318" i="9"/>
  <c r="G318" i="9" s="1"/>
  <c r="M641" i="9"/>
  <c r="M160" i="9"/>
  <c r="G160" i="9" s="1"/>
  <c r="M834" i="9"/>
  <c r="N210" i="9"/>
  <c r="H210" i="9" s="1"/>
  <c r="N815" i="9"/>
  <c r="N194" i="9"/>
  <c r="H194" i="9" s="1"/>
  <c r="M27" i="9"/>
  <c r="G27" i="9" s="1"/>
  <c r="M309" i="9"/>
  <c r="G309" i="9" s="1"/>
  <c r="N644" i="9"/>
  <c r="N391" i="9"/>
  <c r="M83" i="9"/>
  <c r="G83" i="9" s="1"/>
  <c r="M863" i="9"/>
  <c r="N319" i="9"/>
  <c r="H319" i="9" s="1"/>
  <c r="M418" i="9"/>
  <c r="N366" i="9"/>
  <c r="M357" i="9"/>
  <c r="G357" i="9" s="1"/>
  <c r="N543" i="9"/>
  <c r="M569" i="9"/>
  <c r="M674" i="9"/>
  <c r="N447" i="9"/>
  <c r="M807" i="9"/>
  <c r="M359" i="9"/>
  <c r="G359" i="9" s="1"/>
  <c r="N250" i="9"/>
  <c r="H250" i="9" s="1"/>
  <c r="N782" i="9"/>
  <c r="N78" i="9"/>
  <c r="H78" i="9" s="1"/>
  <c r="M762" i="9"/>
  <c r="M803" i="9"/>
  <c r="M252" i="9"/>
  <c r="G252" i="9" s="1"/>
  <c r="N397" i="9"/>
  <c r="N377" i="9"/>
  <c r="M837" i="9"/>
  <c r="M481" i="9"/>
  <c r="M424" i="9"/>
  <c r="N190" i="9"/>
  <c r="H190" i="9" s="1"/>
  <c r="M821" i="9"/>
  <c r="M19" i="9"/>
  <c r="G19" i="9" s="1"/>
  <c r="M33" i="9"/>
  <c r="G33" i="9" s="1"/>
  <c r="N620" i="9"/>
  <c r="N275" i="9"/>
  <c r="H275" i="9" s="1"/>
  <c r="N459" i="9"/>
  <c r="M720" i="9"/>
  <c r="N844" i="9"/>
  <c r="M675" i="9"/>
  <c r="M558" i="9"/>
  <c r="N429" i="9"/>
  <c r="M210" i="9"/>
  <c r="G210" i="9" s="1"/>
  <c r="M245" i="9"/>
  <c r="G245" i="9" s="1"/>
  <c r="N506" i="9"/>
  <c r="M847" i="9"/>
  <c r="M168" i="9"/>
  <c r="G168" i="9" s="1"/>
  <c r="N807" i="9"/>
  <c r="N26" i="9"/>
  <c r="H26" i="9" s="1"/>
  <c r="M616" i="9"/>
  <c r="N457" i="9"/>
  <c r="N180" i="9"/>
  <c r="H180" i="9" s="1"/>
  <c r="N522" i="9"/>
  <c r="N535" i="9"/>
  <c r="N748" i="9"/>
  <c r="M814" i="9"/>
  <c r="M504" i="9"/>
  <c r="M433" i="9"/>
  <c r="M793" i="9"/>
  <c r="M722" i="9"/>
  <c r="N135" i="9"/>
  <c r="H135" i="9" s="1"/>
  <c r="M548" i="9"/>
  <c r="M421" i="9"/>
  <c r="M521" i="9"/>
  <c r="N141" i="9"/>
  <c r="H141" i="9" s="1"/>
  <c r="N352" i="9"/>
  <c r="H352" i="9" s="1"/>
  <c r="N739" i="9"/>
  <c r="N18" i="9"/>
  <c r="H18" i="9" s="1"/>
  <c r="N266" i="9"/>
  <c r="H266" i="9" s="1"/>
  <c r="N393" i="9"/>
  <c r="N634" i="9"/>
  <c r="M625" i="9"/>
  <c r="N238" i="9"/>
  <c r="H238" i="9" s="1"/>
  <c r="M403" i="9"/>
  <c r="N302" i="9"/>
  <c r="H302" i="9" s="1"/>
  <c r="M205" i="9"/>
  <c r="G205" i="9" s="1"/>
  <c r="N286" i="9"/>
  <c r="H286" i="9" s="1"/>
  <c r="N856" i="9"/>
  <c r="N452" i="9"/>
  <c r="M776" i="9"/>
  <c r="M534" i="9"/>
  <c r="N158" i="9"/>
  <c r="H158" i="9" s="1"/>
  <c r="M228" i="9"/>
  <c r="G228" i="9" s="1"/>
  <c r="M335" i="9"/>
  <c r="G335" i="9" s="1"/>
  <c r="N521" i="9"/>
  <c r="N549" i="9"/>
  <c r="N233" i="9"/>
  <c r="H233" i="9" s="1"/>
  <c r="N127" i="9"/>
  <c r="H127" i="9" s="1"/>
  <c r="M226" i="9"/>
  <c r="G226" i="9" s="1"/>
  <c r="M755" i="9"/>
  <c r="N103" i="9"/>
  <c r="H103" i="9" s="1"/>
  <c r="N125" i="9"/>
  <c r="H125" i="9" s="1"/>
  <c r="N77" i="9"/>
  <c r="H77" i="9" s="1"/>
  <c r="N99" i="9"/>
  <c r="H99" i="9" s="1"/>
  <c r="N212" i="9"/>
  <c r="H212" i="9" s="1"/>
  <c r="M646" i="9"/>
  <c r="M212" i="9"/>
  <c r="G212" i="9" s="1"/>
  <c r="M568" i="9"/>
  <c r="N162" i="9"/>
  <c r="H162" i="9" s="1"/>
  <c r="N157" i="9"/>
  <c r="H157" i="9" s="1"/>
  <c r="N599" i="9"/>
  <c r="N12" i="9"/>
  <c r="M791" i="9"/>
  <c r="M190" i="9"/>
  <c r="G190" i="9" s="1"/>
  <c r="N448" i="9"/>
  <c r="N222" i="9"/>
  <c r="H222" i="9" s="1"/>
  <c r="N303" i="9"/>
  <c r="H303" i="9" s="1"/>
  <c r="N495" i="9"/>
  <c r="N595" i="9"/>
  <c r="N532" i="9"/>
  <c r="M522" i="9"/>
  <c r="M724" i="9"/>
  <c r="M11" i="9"/>
  <c r="N474" i="9"/>
  <c r="M134" i="9"/>
  <c r="G134" i="9" s="1"/>
  <c r="N611" i="9"/>
  <c r="N156" i="9"/>
  <c r="H156" i="9" s="1"/>
  <c r="M454" i="9"/>
  <c r="N320" i="9"/>
  <c r="H320" i="9" s="1"/>
  <c r="N818" i="9"/>
  <c r="N113" i="9"/>
  <c r="H113" i="9" s="1"/>
  <c r="N327" i="9"/>
  <c r="H327" i="9" s="1"/>
  <c r="N235" i="9"/>
  <c r="H235" i="9" s="1"/>
  <c r="M197" i="9"/>
  <c r="G197" i="9" s="1"/>
  <c r="M819" i="9"/>
  <c r="N579" i="9"/>
  <c r="N310" i="9"/>
  <c r="H310" i="9" s="1"/>
  <c r="N207" i="9"/>
  <c r="H207" i="9" s="1"/>
  <c r="M411" i="9"/>
  <c r="M477" i="9"/>
  <c r="N775" i="9"/>
  <c r="M369" i="9"/>
  <c r="M584" i="9"/>
  <c r="M479" i="9"/>
  <c r="N21" i="9"/>
  <c r="H21" i="9" s="1"/>
  <c r="M127" i="9"/>
  <c r="G127" i="9" s="1"/>
  <c r="M490" i="9"/>
  <c r="M544" i="9"/>
  <c r="M747" i="9"/>
  <c r="M426" i="9"/>
  <c r="M299" i="9"/>
  <c r="G299" i="9" s="1"/>
  <c r="N121" i="9"/>
  <c r="H121" i="9" s="1"/>
  <c r="M146" i="9"/>
  <c r="G146" i="9" s="1"/>
  <c r="N849" i="9"/>
  <c r="M563" i="9"/>
  <c r="M222" i="9"/>
  <c r="G222" i="9" s="1"/>
  <c r="N49" i="9"/>
  <c r="H49" i="9" s="1"/>
  <c r="M660" i="9"/>
  <c r="M626" i="9"/>
  <c r="N54" i="9"/>
  <c r="H54" i="9" s="1"/>
  <c r="N691" i="9"/>
  <c r="N526" i="9"/>
  <c r="N545" i="9"/>
  <c r="M378" i="9"/>
  <c r="M246" i="9"/>
  <c r="G246" i="9" s="1"/>
  <c r="N411" i="9"/>
  <c r="N636" i="9"/>
  <c r="N711" i="9"/>
  <c r="M858" i="9"/>
  <c r="N225" i="9"/>
  <c r="H225" i="9" s="1"/>
  <c r="M44" i="9"/>
  <c r="G44" i="9" s="1"/>
  <c r="N795" i="9"/>
  <c r="M540" i="9"/>
  <c r="M249" i="9"/>
  <c r="G249" i="9" s="1"/>
  <c r="N718" i="9"/>
  <c r="N751" i="9"/>
  <c r="M552" i="9"/>
  <c r="M317" i="9"/>
  <c r="G317" i="9" s="1"/>
  <c r="N342" i="9"/>
  <c r="H342" i="9" s="1"/>
  <c r="M651" i="9"/>
  <c r="M32" i="9"/>
  <c r="G32" i="9" s="1"/>
  <c r="M456" i="9"/>
  <c r="N537" i="9"/>
  <c r="N130" i="9"/>
  <c r="H130" i="9" s="1"/>
  <c r="M536" i="9"/>
  <c r="M438" i="9"/>
  <c r="M108" i="9"/>
  <c r="G108" i="9" s="1"/>
  <c r="M408" i="9"/>
  <c r="M771" i="9"/>
  <c r="M135" i="9"/>
  <c r="G135" i="9" s="1"/>
  <c r="M772" i="9"/>
  <c r="N661" i="9"/>
  <c r="N469" i="9"/>
  <c r="M42" i="9"/>
  <c r="G42" i="9" s="1"/>
  <c r="N610" i="9"/>
  <c r="N343" i="9"/>
  <c r="H343" i="9" s="1"/>
  <c r="N764" i="9"/>
  <c r="N528" i="9"/>
  <c r="N790" i="9"/>
  <c r="N667" i="9"/>
  <c r="N722" i="9"/>
  <c r="N229" i="9"/>
  <c r="H229" i="9" s="1"/>
  <c r="M399" i="9"/>
  <c r="M101" i="9"/>
  <c r="G101" i="9" s="1"/>
  <c r="N315" i="9"/>
  <c r="H315" i="9" s="1"/>
  <c r="M529" i="9"/>
  <c r="M206" i="9"/>
  <c r="G206" i="9" s="1"/>
  <c r="M696" i="9"/>
  <c r="M203" i="9"/>
  <c r="G203" i="9" s="1"/>
  <c r="M92" i="9"/>
  <c r="G92" i="9" s="1"/>
  <c r="N205" i="9"/>
  <c r="H205" i="9" s="1"/>
  <c r="N733" i="9"/>
  <c r="N443" i="9"/>
  <c r="M346" i="9"/>
  <c r="G346" i="9" s="1"/>
  <c r="N781" i="9"/>
  <c r="N855" i="9"/>
  <c r="N630" i="9"/>
  <c r="M723" i="9"/>
  <c r="N75" i="9"/>
  <c r="H75" i="9" s="1"/>
  <c r="M575" i="9"/>
  <c r="M699" i="9"/>
  <c r="N677" i="9"/>
  <c r="M308" i="9"/>
  <c r="G308" i="9" s="1"/>
  <c r="M316" i="9"/>
  <c r="G316" i="9" s="1"/>
  <c r="N413" i="9"/>
  <c r="M22" i="9"/>
  <c r="G22" i="9" s="1"/>
  <c r="M199" i="9"/>
  <c r="G199" i="9" s="1"/>
  <c r="M188" i="9"/>
  <c r="G188" i="9" s="1"/>
  <c r="N567" i="9"/>
  <c r="N629" i="9"/>
  <c r="M545" i="9"/>
  <c r="N552" i="9"/>
  <c r="N132" i="9"/>
  <c r="H132" i="9" s="1"/>
  <c r="M224" i="9"/>
  <c r="G224" i="9" s="1"/>
  <c r="N91" i="9"/>
  <c r="H91" i="9" s="1"/>
  <c r="N200" i="9"/>
  <c r="H200" i="9" s="1"/>
  <c r="M121" i="9"/>
  <c r="G121" i="9" s="1"/>
  <c r="N471" i="9"/>
  <c r="M443" i="9"/>
  <c r="N741" i="9"/>
  <c r="N231" i="9"/>
  <c r="H231" i="9" s="1"/>
  <c r="M76" i="9"/>
  <c r="G76" i="9" s="1"/>
  <c r="N745" i="9"/>
  <c r="M618" i="9"/>
  <c r="M208" i="9"/>
  <c r="G208" i="9" s="1"/>
  <c r="N330" i="9"/>
  <c r="H330" i="9" s="1"/>
  <c r="M284" i="9"/>
  <c r="G284" i="9" s="1"/>
  <c r="M537" i="9"/>
  <c r="M654" i="9"/>
  <c r="N204" i="9"/>
  <c r="H204" i="9" s="1"/>
  <c r="N379" i="9"/>
  <c r="N223" i="9"/>
  <c r="H223" i="9" s="1"/>
  <c r="M429" i="9"/>
  <c r="M779" i="9"/>
  <c r="M305" i="9"/>
  <c r="G305" i="9" s="1"/>
  <c r="N708" i="9"/>
  <c r="M702" i="9"/>
  <c r="M773" i="9"/>
  <c r="M425" i="9"/>
  <c r="M602" i="9"/>
  <c r="M507" i="9"/>
  <c r="N106" i="9"/>
  <c r="H106" i="9" s="1"/>
  <c r="M401" i="9"/>
  <c r="N805" i="9"/>
  <c r="M483" i="9"/>
  <c r="M817" i="9"/>
  <c r="M140" i="9"/>
  <c r="G140" i="9" s="1"/>
  <c r="M840" i="9"/>
  <c r="M431" i="9"/>
  <c r="M300" i="9"/>
  <c r="G300" i="9" s="1"/>
  <c r="N823" i="9"/>
  <c r="M444" i="9"/>
  <c r="N263" i="9"/>
  <c r="H263" i="9" s="1"/>
  <c r="M63" i="9"/>
  <c r="G63" i="9" s="1"/>
  <c r="N175" i="9"/>
  <c r="H175" i="9" s="1"/>
  <c r="N564" i="9"/>
  <c r="M475" i="9"/>
  <c r="N289" i="9"/>
  <c r="H289" i="9" s="1"/>
  <c r="N759" i="9"/>
  <c r="M162" i="9"/>
  <c r="G162" i="9" s="1"/>
  <c r="N727" i="9"/>
  <c r="M449" i="9"/>
  <c r="N692" i="9"/>
  <c r="M711" i="9"/>
  <c r="N171" i="9"/>
  <c r="H171" i="9" s="1"/>
  <c r="N862" i="9"/>
  <c r="M47" i="9"/>
  <c r="G47" i="9" s="1"/>
  <c r="M144" i="9"/>
  <c r="G144" i="9" s="1"/>
  <c r="N531" i="9"/>
  <c r="N256" i="9"/>
  <c r="H256" i="9" s="1"/>
  <c r="M590" i="9"/>
  <c r="N454" i="9"/>
  <c r="M520" i="9"/>
  <c r="M344" i="9"/>
  <c r="G344" i="9" s="1"/>
  <c r="M339" i="9"/>
  <c r="G339" i="9" s="1"/>
  <c r="N147" i="9"/>
  <c r="H147" i="9" s="1"/>
  <c r="N280" i="9"/>
  <c r="H280" i="9" s="1"/>
  <c r="M613" i="9"/>
  <c r="N361" i="9"/>
  <c r="H361" i="9" s="1"/>
  <c r="M622" i="9"/>
  <c r="M576" i="9"/>
  <c r="N139" i="9"/>
  <c r="H139" i="9" s="1"/>
  <c r="N221" i="9"/>
  <c r="H221" i="9" s="1"/>
  <c r="M572" i="9"/>
  <c r="M215" i="9"/>
  <c r="G215" i="9" s="1"/>
  <c r="N678" i="9"/>
  <c r="M822" i="9"/>
  <c r="N577" i="9"/>
  <c r="N656" i="9"/>
  <c r="M173" i="9"/>
  <c r="G173" i="9" s="1"/>
  <c r="N9" i="9"/>
  <c r="M404" i="9"/>
  <c r="N590" i="9"/>
  <c r="M260" i="9"/>
  <c r="G260" i="9" s="1"/>
  <c r="N360" i="9"/>
  <c r="H360" i="9" s="1"/>
  <c r="M719" i="9"/>
  <c r="N65" i="9"/>
  <c r="H65" i="9" s="1"/>
  <c r="N260" i="9"/>
  <c r="H260" i="9" s="1"/>
  <c r="N693" i="9"/>
  <c r="M528" i="9"/>
  <c r="M166" i="9"/>
  <c r="G166" i="9" s="1"/>
  <c r="M712" i="9"/>
  <c r="M77" i="9"/>
  <c r="G77" i="9" s="1"/>
  <c r="N658" i="9"/>
  <c r="N730" i="9"/>
  <c r="N402" i="9"/>
  <c r="N760" i="9"/>
  <c r="N480" i="9"/>
  <c r="M23" i="9"/>
  <c r="G23" i="9" s="1"/>
  <c r="N17" i="9"/>
  <c r="N799" i="9"/>
  <c r="N594" i="9"/>
  <c r="N540" i="9"/>
  <c r="M693" i="9"/>
  <c r="M114" i="9"/>
  <c r="G114" i="9" s="1"/>
  <c r="N196" i="9"/>
  <c r="H196" i="9" s="1"/>
  <c r="M708" i="9"/>
  <c r="N79" i="9"/>
  <c r="H79" i="9" s="1"/>
  <c r="M198" i="9"/>
  <c r="G198" i="9" s="1"/>
  <c r="N50" i="9"/>
  <c r="H50" i="9" s="1"/>
  <c r="N436" i="9"/>
  <c r="N609" i="9"/>
  <c r="N557" i="9"/>
  <c r="M374" i="9"/>
  <c r="N407" i="9"/>
  <c r="M469" i="9"/>
  <c r="N514" i="9"/>
  <c r="M124" i="9"/>
  <c r="G124" i="9" s="1"/>
  <c r="N622" i="9"/>
  <c r="N464" i="9"/>
  <c r="M794" i="9"/>
  <c r="M691" i="9"/>
  <c r="N504" i="9"/>
  <c r="M650" i="9"/>
  <c r="M103" i="9"/>
  <c r="G103" i="9" s="1"/>
  <c r="M180" i="9"/>
  <c r="G180" i="9" s="1"/>
  <c r="M838" i="9"/>
  <c r="M503" i="9"/>
  <c r="M440" i="9"/>
  <c r="N390" i="9"/>
  <c r="M50" i="9"/>
  <c r="G50" i="9" s="1"/>
  <c r="M225" i="9"/>
  <c r="G225" i="9" s="1"/>
  <c r="T225" i="9" s="1"/>
  <c r="M219" i="9"/>
  <c r="G219" i="9" s="1"/>
  <c r="M182" i="9"/>
  <c r="G182" i="9" s="1"/>
  <c r="M333" i="9"/>
  <c r="G333" i="9" s="1"/>
  <c r="N432" i="9"/>
  <c r="N705" i="9"/>
  <c r="N765" i="9"/>
  <c r="N165" i="9"/>
  <c r="H165" i="9" s="1"/>
  <c r="N819" i="9"/>
  <c r="N671" i="9"/>
  <c r="M609" i="9"/>
  <c r="N851" i="9"/>
  <c r="M800" i="9"/>
  <c r="N793" i="9"/>
  <c r="M80" i="9"/>
  <c r="G80" i="9" s="1"/>
  <c r="N832" i="9"/>
  <c r="N187" i="9"/>
  <c r="H187" i="9" s="1"/>
  <c r="N163" i="9"/>
  <c r="H163" i="9" s="1"/>
  <c r="N617" i="9"/>
  <c r="M420" i="9"/>
  <c r="M237" i="9"/>
  <c r="G237" i="9" s="1"/>
  <c r="M688" i="9"/>
  <c r="N591" i="9"/>
  <c r="M157" i="9"/>
  <c r="G157" i="9" s="1"/>
  <c r="M51" i="9"/>
  <c r="G51" i="9" s="1"/>
  <c r="N509" i="9"/>
  <c r="M314" i="9"/>
  <c r="G314" i="9" s="1"/>
  <c r="N704" i="9"/>
  <c r="N385" i="9"/>
  <c r="M106" i="9"/>
  <c r="G106" i="9" s="1"/>
  <c r="N449" i="9"/>
  <c r="N421" i="9"/>
  <c r="N456" i="9"/>
  <c r="N825" i="9"/>
  <c r="M553" i="9"/>
  <c r="N119" i="9"/>
  <c r="H119" i="9" s="1"/>
  <c r="N95" i="9"/>
  <c r="H95" i="9" s="1"/>
  <c r="N73" i="9"/>
  <c r="H73" i="9" s="1"/>
  <c r="N865" i="9"/>
  <c r="N499" i="9"/>
  <c r="N603" i="9"/>
  <c r="M139" i="9"/>
  <c r="G139" i="9" s="1"/>
  <c r="N423" i="9"/>
  <c r="M255" i="9"/>
  <c r="G255" i="9" s="1"/>
  <c r="M361" i="9"/>
  <c r="G361" i="9" s="1"/>
  <c r="N32" i="9"/>
  <c r="H32" i="9" s="1"/>
  <c r="N515" i="9"/>
  <c r="N124" i="9"/>
  <c r="H124" i="9" s="1"/>
  <c r="N145" i="9"/>
  <c r="H145" i="9" s="1"/>
  <c r="M183" i="9"/>
  <c r="G183" i="9" s="1"/>
  <c r="M128" i="9"/>
  <c r="G128" i="9" s="1"/>
  <c r="M663" i="9"/>
  <c r="N769" i="9"/>
  <c r="M632" i="9"/>
  <c r="M551" i="9"/>
  <c r="M177" i="9"/>
  <c r="G177" i="9" s="1"/>
  <c r="M788" i="9"/>
  <c r="N249" i="9"/>
  <c r="H249" i="9" s="1"/>
  <c r="N169" i="9"/>
  <c r="H169" i="9" s="1"/>
  <c r="N98" i="9"/>
  <c r="H98" i="9" s="1"/>
  <c r="N460" i="9"/>
  <c r="N354" i="9"/>
  <c r="H354" i="9" s="1"/>
  <c r="N776" i="9"/>
  <c r="M810" i="9"/>
  <c r="N58" i="9"/>
  <c r="H58" i="9" s="1"/>
  <c r="M687" i="9"/>
  <c r="M778" i="9"/>
  <c r="N734" i="9"/>
  <c r="M437" i="9"/>
  <c r="M397" i="9"/>
  <c r="M417" i="9"/>
  <c r="M269" i="9"/>
  <c r="G269" i="9" s="1"/>
  <c r="M839" i="9"/>
  <c r="M169" i="9"/>
  <c r="G169" i="9" s="1"/>
  <c r="N435" i="9"/>
  <c r="M320" i="9"/>
  <c r="G320" i="9" s="1"/>
  <c r="M211" i="9"/>
  <c r="G211" i="9" s="1"/>
  <c r="M655" i="9"/>
  <c r="N251" i="9"/>
  <c r="H251" i="9" s="1"/>
  <c r="N208" i="9"/>
  <c r="H208" i="9" s="1"/>
  <c r="N700" i="9"/>
  <c r="N259" i="9"/>
  <c r="H259" i="9" s="1"/>
  <c r="N774" i="9"/>
  <c r="M70" i="9"/>
  <c r="G70" i="9" s="1"/>
  <c r="M756" i="9"/>
  <c r="M62" i="9"/>
  <c r="G62" i="9" s="1"/>
  <c r="M110" i="9"/>
  <c r="G110" i="9" s="1"/>
  <c r="N417" i="9"/>
  <c r="N831" i="9"/>
  <c r="N597" i="9"/>
  <c r="N420" i="9"/>
  <c r="M690" i="9"/>
  <c r="N681" i="9"/>
  <c r="N731" i="9"/>
  <c r="M728" i="9"/>
  <c r="N134" i="9"/>
  <c r="H134" i="9" s="1"/>
  <c r="N114" i="9"/>
  <c r="H114" i="9" s="1"/>
  <c r="N182" i="9"/>
  <c r="H182" i="9" s="1"/>
  <c r="M580" i="9"/>
  <c r="M41" i="9"/>
  <c r="G41" i="9" s="1"/>
  <c r="T41" i="9" s="1"/>
  <c r="N33" i="9"/>
  <c r="H33" i="9" s="1"/>
  <c r="M282" i="9"/>
  <c r="G282" i="9" s="1"/>
  <c r="M498" i="9"/>
  <c r="M283" i="9"/>
  <c r="G283" i="9" s="1"/>
  <c r="M54" i="9"/>
  <c r="G54" i="9" s="1"/>
  <c r="N339" i="9"/>
  <c r="H339" i="9" s="1"/>
  <c r="N92" i="9"/>
  <c r="H92" i="9" s="1"/>
  <c r="M833" i="9"/>
  <c r="M118" i="9"/>
  <c r="G118" i="9" s="1"/>
  <c r="M556" i="9"/>
  <c r="M508" i="9"/>
  <c r="M120" i="9"/>
  <c r="G120" i="9" s="1"/>
  <c r="M286" i="9"/>
  <c r="G286" i="9" s="1"/>
  <c r="M824" i="9"/>
  <c r="N766" i="9"/>
  <c r="N372" i="9"/>
  <c r="M306" i="9"/>
  <c r="G306" i="9" s="1"/>
  <c r="M501" i="9"/>
  <c r="M492" i="9"/>
  <c r="N553" i="9"/>
  <c r="N451" i="9"/>
  <c r="N606" i="9"/>
  <c r="N380" i="9"/>
  <c r="M123" i="9"/>
  <c r="G123" i="9" s="1"/>
  <c r="M138" i="9"/>
  <c r="G138" i="9" s="1"/>
  <c r="N573" i="9"/>
  <c r="M59" i="9"/>
  <c r="G59" i="9" s="1"/>
  <c r="N587" i="9"/>
  <c r="N668" i="9"/>
  <c r="N846" i="9"/>
  <c r="M200" i="9"/>
  <c r="G200" i="9" s="1"/>
  <c r="N574" i="9"/>
  <c r="N547" i="9"/>
  <c r="N112" i="9"/>
  <c r="H112" i="9" s="1"/>
  <c r="M355" i="9"/>
  <c r="G355" i="9" s="1"/>
  <c r="N28" i="9"/>
  <c r="H28" i="9" s="1"/>
  <c r="M430" i="9"/>
  <c r="N446" i="9"/>
  <c r="M230" i="9"/>
  <c r="G230" i="9" s="1"/>
  <c r="M530" i="9"/>
  <c r="N763" i="9"/>
  <c r="M137" i="9"/>
  <c r="G137" i="9" s="1"/>
  <c r="N492" i="9"/>
  <c r="M579" i="9"/>
  <c r="N791" i="9"/>
  <c r="N405" i="9"/>
  <c r="M195" i="9"/>
  <c r="G195" i="9" s="1"/>
  <c r="M698" i="9"/>
  <c r="M462" i="9"/>
  <c r="M770" i="9"/>
  <c r="N631" i="9"/>
  <c r="N236" i="9"/>
  <c r="H236" i="9" s="1"/>
  <c r="M759" i="9"/>
  <c r="M151" i="9"/>
  <c r="G151" i="9" s="1"/>
  <c r="N666" i="9"/>
  <c r="M271" i="9"/>
  <c r="G271" i="9" s="1"/>
  <c r="N357" i="9"/>
  <c r="H357" i="9" s="1"/>
  <c r="M509" i="9"/>
  <c r="N462" i="9"/>
  <c r="N642" i="9"/>
  <c r="N245" i="9"/>
  <c r="H245" i="9" s="1"/>
  <c r="N757" i="9"/>
  <c r="M161" i="9"/>
  <c r="G161" i="9" s="1"/>
  <c r="M152" i="9"/>
  <c r="G152" i="9" s="1"/>
  <c r="M319" i="9"/>
  <c r="G319" i="9" s="1"/>
  <c r="N13" i="9"/>
  <c r="M835" i="9"/>
  <c r="N570" i="9"/>
  <c r="M643" i="9"/>
  <c r="N438" i="9"/>
  <c r="N244" i="9"/>
  <c r="H244" i="9" s="1"/>
  <c r="M603" i="9"/>
  <c r="N824" i="9"/>
  <c r="N267" i="9"/>
  <c r="H267" i="9" s="1"/>
  <c r="N628" i="9"/>
  <c r="M324" i="9"/>
  <c r="G324" i="9" s="1"/>
  <c r="M290" i="9"/>
  <c r="G290" i="9" s="1"/>
  <c r="M12" i="9"/>
  <c r="M533" i="9"/>
  <c r="M434" i="9"/>
  <c r="N318" i="9"/>
  <c r="H318" i="9" s="1"/>
  <c r="N715" i="9"/>
  <c r="M256" i="9"/>
  <c r="G256" i="9" s="1"/>
  <c r="N237" i="9"/>
  <c r="H237" i="9" s="1"/>
  <c r="N473" i="9"/>
  <c r="N490" i="9"/>
  <c r="M39" i="9"/>
  <c r="G39" i="9" s="1"/>
  <c r="M452" i="9"/>
  <c r="M647" i="9"/>
  <c r="N189" i="9"/>
  <c r="H189" i="9" s="1"/>
  <c r="N582" i="9"/>
  <c r="M700" i="9"/>
  <c r="M442" i="9"/>
  <c r="M122" i="9"/>
  <c r="G122" i="9" s="1"/>
  <c r="N833" i="9"/>
  <c r="M697" i="9"/>
  <c r="N151" i="9"/>
  <c r="H151" i="9" s="1"/>
  <c r="M136" i="9"/>
  <c r="G136" i="9" s="1"/>
  <c r="N753" i="9"/>
  <c r="M322" i="9"/>
  <c r="G322" i="9" s="1"/>
  <c r="N762" i="9"/>
  <c r="N29" i="9"/>
  <c r="H29" i="9" s="1"/>
  <c r="M250" i="9"/>
  <c r="G250" i="9" s="1"/>
  <c r="M147" i="9"/>
  <c r="G147" i="9" s="1"/>
  <c r="N728" i="9"/>
  <c r="M790" i="9"/>
  <c r="M402" i="9"/>
  <c r="N381" i="9"/>
  <c r="N39" i="9"/>
  <c r="H39" i="9" s="1"/>
  <c r="N586" i="9"/>
  <c r="N107" i="9"/>
  <c r="H107" i="9" s="1"/>
  <c r="N735" i="9"/>
  <c r="M543" i="9"/>
  <c r="M784" i="9"/>
  <c r="M765" i="9"/>
  <c r="N593" i="9"/>
  <c r="M586" i="9"/>
  <c r="M466" i="9"/>
  <c r="N261" i="9"/>
  <c r="H261" i="9" s="1"/>
  <c r="M578" i="9"/>
  <c r="N674" i="9"/>
  <c r="M270" i="9"/>
  <c r="G270" i="9" s="1"/>
  <c r="N218" i="9"/>
  <c r="H218" i="9" s="1"/>
  <c r="M244" i="9"/>
  <c r="G244" i="9" s="1"/>
  <c r="N31" i="9"/>
  <c r="H31" i="9" s="1"/>
  <c r="N572" i="9"/>
  <c r="N842" i="9"/>
  <c r="N623" i="9"/>
  <c r="N770" i="9"/>
  <c r="M73" i="9"/>
  <c r="G73" i="9" s="1"/>
  <c r="T73" i="9" s="1"/>
  <c r="N351" i="9"/>
  <c r="H351" i="9" s="1"/>
  <c r="N424" i="9"/>
  <c r="N178" i="9"/>
  <c r="H178" i="9" s="1"/>
  <c r="N324" i="9"/>
  <c r="H324" i="9" s="1"/>
  <c r="M836" i="9"/>
  <c r="N426" i="9"/>
  <c r="N226" i="9"/>
  <c r="H226" i="9" s="1"/>
  <c r="M673" i="9"/>
  <c r="M240" i="9"/>
  <c r="G240" i="9" s="1"/>
  <c r="M302" i="9"/>
  <c r="G302" i="9" s="1"/>
  <c r="T302" i="9" s="1"/>
  <c r="N239" i="9"/>
  <c r="H239" i="9" s="1"/>
  <c r="M491" i="9"/>
  <c r="M258" i="9"/>
  <c r="G258" i="9" s="1"/>
  <c r="N746" i="9"/>
  <c r="M571" i="9"/>
  <c r="M739" i="9"/>
  <c r="N35" i="9"/>
  <c r="H35" i="9" s="1"/>
  <c r="M266" i="9"/>
  <c r="G266" i="9" s="1"/>
  <c r="N27" i="9"/>
  <c r="H27" i="9" s="1"/>
  <c r="N93" i="9"/>
  <c r="H93" i="9" s="1"/>
  <c r="N396" i="9"/>
  <c r="M298" i="9"/>
  <c r="G298" i="9" s="1"/>
  <c r="M587" i="9"/>
  <c r="N561" i="9"/>
  <c r="M856" i="9"/>
  <c r="M323" i="9"/>
  <c r="G323" i="9" s="1"/>
  <c r="M315" i="9"/>
  <c r="G315" i="9" s="1"/>
  <c r="M280" i="9"/>
  <c r="G280" i="9" s="1"/>
  <c r="M677" i="9"/>
  <c r="M685" i="9"/>
  <c r="M861" i="9"/>
  <c r="M792" i="9"/>
  <c r="N340" i="9"/>
  <c r="H340" i="9" s="1"/>
  <c r="M279" i="9"/>
  <c r="G279" i="9" s="1"/>
  <c r="N860" i="9"/>
  <c r="N712" i="9"/>
  <c r="M703" i="9"/>
  <c r="M340" i="9"/>
  <c r="G340" i="9" s="1"/>
  <c r="N133" i="9"/>
  <c r="H133" i="9" s="1"/>
  <c r="N74" i="9"/>
  <c r="H74" i="9" s="1"/>
  <c r="N699" i="9"/>
  <c r="N373" i="9"/>
  <c r="N808" i="9"/>
  <c r="N527" i="9"/>
  <c r="N410" i="9"/>
  <c r="M518" i="9"/>
  <c r="N176" i="9"/>
  <c r="H176" i="9" s="1"/>
  <c r="M406" i="9"/>
  <c r="M686" i="9"/>
  <c r="M671" i="9"/>
  <c r="N248" i="9"/>
  <c r="H248" i="9" s="1"/>
  <c r="M36" i="9"/>
  <c r="G36" i="9" s="1"/>
  <c r="M709" i="9"/>
  <c r="M476" i="9"/>
  <c r="M142" i="9"/>
  <c r="G142" i="9" s="1"/>
  <c r="N530" i="9"/>
  <c r="N798" i="9"/>
  <c r="M347" i="9"/>
  <c r="G347" i="9" s="1"/>
  <c r="M265" i="9"/>
  <c r="G265" i="9" s="1"/>
  <c r="M748" i="9"/>
  <c r="M546" i="9"/>
  <c r="N657" i="9"/>
  <c r="N296" i="9"/>
  <c r="H296" i="9" s="1"/>
  <c r="M155" i="9"/>
  <c r="G155" i="9" s="1"/>
  <c r="M99" i="9"/>
  <c r="G99" i="9" s="1"/>
  <c r="N472" i="9"/>
  <c r="M229" i="9"/>
  <c r="G229" i="9" s="1"/>
  <c r="T229" i="9" s="1"/>
  <c r="M519" i="9"/>
  <c r="M143" i="9"/>
  <c r="G143" i="9" s="1"/>
  <c r="N292" i="9"/>
  <c r="H292" i="9" s="1"/>
  <c r="N100" i="9"/>
  <c r="H100" i="9" s="1"/>
  <c r="N596" i="9"/>
  <c r="N70" i="9"/>
  <c r="H70" i="9" s="1"/>
  <c r="M608" i="9"/>
  <c r="N309" i="9"/>
  <c r="H309" i="9" s="1"/>
  <c r="M301" i="9"/>
  <c r="G301" i="9" s="1"/>
  <c r="M487" i="9"/>
  <c r="M656" i="9"/>
  <c r="N737" i="9"/>
  <c r="N829" i="9"/>
  <c r="M31" i="9"/>
  <c r="G31" i="9" s="1"/>
  <c r="N780" i="9"/>
  <c r="N627" i="9"/>
  <c r="M113" i="9"/>
  <c r="G113" i="9" s="1"/>
  <c r="N841" i="9"/>
  <c r="M816" i="9"/>
  <c r="N203" i="9"/>
  <c r="H203" i="9" s="1"/>
  <c r="M813" i="9"/>
  <c r="M486" i="9"/>
  <c r="M830" i="9"/>
  <c r="M621" i="9"/>
  <c r="M845" i="9"/>
  <c r="M66" i="9"/>
  <c r="G66" i="9" s="1"/>
  <c r="N813" i="9"/>
  <c r="N524" i="9"/>
  <c r="M377" i="9"/>
  <c r="M743" i="9"/>
  <c r="N643" i="9"/>
  <c r="N136" i="9"/>
  <c r="H136" i="9" s="1"/>
  <c r="M517" i="9"/>
  <c r="M474" i="9"/>
  <c r="M296" i="9"/>
  <c r="G296" i="9" s="1"/>
  <c r="N853" i="9"/>
  <c r="N202" i="9"/>
  <c r="H202" i="9" s="1"/>
  <c r="M436" i="9"/>
  <c r="N234" i="9"/>
  <c r="H234" i="9" s="1"/>
  <c r="M353" i="9"/>
  <c r="G353" i="9" s="1"/>
  <c r="M179" i="9"/>
  <c r="G179" i="9" s="1"/>
  <c r="N695" i="9"/>
  <c r="N276" i="9"/>
  <c r="H276" i="9" s="1"/>
  <c r="N288" i="9"/>
  <c r="H288" i="9" s="1"/>
  <c r="M446" i="9"/>
  <c r="M428" i="9"/>
  <c r="M713" i="9"/>
  <c r="M268" i="9"/>
  <c r="G268" i="9" s="1"/>
  <c r="N109" i="9"/>
  <c r="H109" i="9" s="1"/>
  <c r="N398" i="9"/>
  <c r="M13" i="9"/>
  <c r="N219" i="9"/>
  <c r="H219" i="9" s="1"/>
  <c r="N714" i="9"/>
  <c r="M801" i="9"/>
  <c r="M640" i="9"/>
  <c r="N663" i="9"/>
  <c r="N800" i="9"/>
  <c r="M338" i="9"/>
  <c r="G338" i="9" s="1"/>
  <c r="N269" i="9"/>
  <c r="H269" i="9" s="1"/>
  <c r="N155" i="9"/>
  <c r="H155" i="9" s="1"/>
  <c r="M243" i="9"/>
  <c r="G243" i="9" s="1"/>
  <c r="M329" i="9"/>
  <c r="G329" i="9" s="1"/>
  <c r="N560" i="9"/>
  <c r="N283" i="9"/>
  <c r="H283" i="9" s="1"/>
  <c r="M615" i="9"/>
  <c r="N152" i="9"/>
  <c r="H152" i="9" s="1"/>
  <c r="M388" i="9"/>
  <c r="M777" i="9"/>
  <c r="N146" i="9"/>
  <c r="H146" i="9" s="1"/>
  <c r="M450" i="9"/>
  <c r="M714" i="9"/>
  <c r="N598" i="9"/>
  <c r="N672" i="9"/>
  <c r="N412" i="9"/>
  <c r="N697" i="9"/>
  <c r="N418" i="9"/>
  <c r="N581" i="9"/>
  <c r="M409" i="9"/>
  <c r="M485" i="9"/>
  <c r="M636" i="9"/>
  <c r="M288" i="9"/>
  <c r="G288" i="9" s="1"/>
  <c r="M275" i="9"/>
  <c r="G275" i="9" s="1"/>
  <c r="N282" i="9"/>
  <c r="H282" i="9" s="1"/>
  <c r="N811" i="9"/>
  <c r="N516" i="9"/>
  <c r="M26" i="9"/>
  <c r="G26" i="9" s="1"/>
  <c r="N744" i="9"/>
  <c r="N650" i="9"/>
  <c r="N749" i="9"/>
  <c r="M842" i="9"/>
  <c r="N209" i="9"/>
  <c r="H209" i="9" s="1"/>
  <c r="M644" i="9"/>
  <c r="N44" i="9"/>
  <c r="H44" i="9" s="1"/>
  <c r="M605" i="9"/>
  <c r="N822" i="9"/>
  <c r="N193" i="9"/>
  <c r="H193" i="9" s="1"/>
  <c r="M752" i="9"/>
  <c r="M853" i="9"/>
  <c r="N419" i="9"/>
  <c r="M495" i="9"/>
  <c r="N376" i="9"/>
  <c r="M478" i="9"/>
  <c r="M111" i="9"/>
  <c r="G111" i="9" s="1"/>
  <c r="N97" i="9"/>
  <c r="H97" i="9" s="1"/>
  <c r="M774" i="9"/>
  <c r="N335" i="9"/>
  <c r="H335" i="9" s="1"/>
  <c r="M358" i="9"/>
  <c r="G358" i="9" s="1"/>
  <c r="N387" i="9"/>
  <c r="M785" i="9"/>
  <c r="N386" i="9"/>
  <c r="M806" i="9"/>
  <c r="N273" i="9"/>
  <c r="H273" i="9" s="1"/>
  <c r="M470" i="9"/>
  <c r="M604" i="9"/>
  <c r="M141" i="9"/>
  <c r="G141" i="9" s="1"/>
  <c r="M500" i="9"/>
  <c r="N25" i="9"/>
  <c r="H25" i="9" s="1"/>
  <c r="N624" i="9"/>
  <c r="M94" i="9"/>
  <c r="G94" i="9" s="1"/>
  <c r="N401" i="9"/>
  <c r="N794" i="9"/>
  <c r="N55" i="9"/>
  <c r="H55" i="9" s="1"/>
  <c r="M400" i="9"/>
  <c r="M422" i="9"/>
  <c r="N345" i="9"/>
  <c r="H345" i="9" s="1"/>
  <c r="M372" i="9"/>
  <c r="M107" i="9"/>
  <c r="G107" i="9" s="1"/>
  <c r="N649" i="9"/>
  <c r="N720" i="9"/>
  <c r="N313" i="9"/>
  <c r="H313" i="9" s="1"/>
  <c r="N864" i="9"/>
  <c r="N761" i="9"/>
  <c r="N374" i="9"/>
  <c r="N329" i="9"/>
  <c r="H329" i="9" s="1"/>
  <c r="M447" i="9"/>
  <c r="N721" i="9"/>
  <c r="N554" i="9"/>
  <c r="N440" i="9"/>
  <c r="M681" i="9"/>
  <c r="N550" i="9"/>
  <c r="M808" i="9"/>
  <c r="M721" i="9"/>
  <c r="N274" i="9"/>
  <c r="H274" i="9" s="1"/>
  <c r="M582" i="9"/>
  <c r="M829" i="9"/>
  <c r="M844" i="9"/>
  <c r="M167" i="9"/>
  <c r="G167" i="9" s="1"/>
  <c r="M645" i="9"/>
  <c r="M415" i="9"/>
  <c r="N463" i="9"/>
  <c r="M468" i="9"/>
  <c r="N639" i="9"/>
  <c r="N243" i="9"/>
  <c r="H243" i="9" s="1"/>
  <c r="M826" i="9"/>
  <c r="N626" i="9"/>
  <c r="N403" i="9"/>
  <c r="N430" i="9"/>
  <c r="N88" i="9"/>
  <c r="H88" i="9" s="1"/>
  <c r="N14" i="9"/>
  <c r="M667" i="9"/>
  <c r="M172" i="9"/>
  <c r="G172" i="9" s="1"/>
  <c r="N529" i="9"/>
  <c r="N783" i="9"/>
  <c r="N247" i="9"/>
  <c r="H247" i="9" s="1"/>
  <c r="N826" i="9"/>
  <c r="N652" i="9"/>
  <c r="N359" i="9"/>
  <c r="H359" i="9" s="1"/>
  <c r="M657" i="9"/>
  <c r="N434" i="9"/>
  <c r="M718" i="9"/>
  <c r="M585" i="9"/>
  <c r="M61" i="9"/>
  <c r="G61" i="9" s="1"/>
  <c r="M695" i="9"/>
  <c r="M69" i="9"/>
  <c r="G69" i="9" s="1"/>
  <c r="N123" i="9"/>
  <c r="H123" i="9" s="1"/>
  <c r="N80" i="9"/>
  <c r="H80" i="9" s="1"/>
  <c r="N503" i="9"/>
  <c r="M233" i="9"/>
  <c r="G233" i="9" s="1"/>
  <c r="T233" i="9" s="1"/>
  <c r="M738" i="9"/>
  <c r="N338" i="9"/>
  <c r="H338" i="9" s="1"/>
  <c r="N664" i="9"/>
  <c r="N772" i="9"/>
  <c r="N30" i="9"/>
  <c r="H30" i="9" s="1"/>
  <c r="M541" i="9"/>
  <c r="N541" i="9"/>
  <c r="N585" i="9"/>
  <c r="N736" i="9"/>
  <c r="N494" i="9"/>
  <c r="N312" i="9"/>
  <c r="H312" i="9" s="1"/>
  <c r="M373" i="9"/>
  <c r="M384" i="9"/>
  <c r="N750" i="9"/>
  <c r="M350" i="9"/>
  <c r="G350" i="9" s="1"/>
  <c r="M360" i="9"/>
  <c r="G360" i="9" s="1"/>
  <c r="N640" i="9"/>
  <c r="N784" i="9"/>
  <c r="M49" i="9"/>
  <c r="G49" i="9" s="1"/>
  <c r="M368" i="9"/>
  <c r="M58" i="9"/>
  <c r="G58" i="9" s="1"/>
  <c r="N546" i="9"/>
  <c r="M574" i="9"/>
  <c r="M825" i="9"/>
  <c r="N409" i="9"/>
  <c r="N683" i="9"/>
  <c r="N633" i="9"/>
  <c r="M857" i="9"/>
  <c r="M330" i="9"/>
  <c r="G330" i="9" s="1"/>
  <c r="M740" i="9"/>
  <c r="M259" i="9"/>
  <c r="G259" i="9" s="1"/>
  <c r="M257" i="9"/>
  <c r="G257" i="9" s="1"/>
  <c r="M262" i="9"/>
  <c r="G262" i="9" s="1"/>
  <c r="M473" i="9"/>
  <c r="N566" i="9"/>
  <c r="M281" i="9"/>
  <c r="G281" i="9" s="1"/>
  <c r="M38" i="9"/>
  <c r="G38" i="9" s="1"/>
  <c r="N843" i="9"/>
  <c r="M376" i="9"/>
  <c r="N336" i="9"/>
  <c r="H336" i="9" s="1"/>
  <c r="N101" i="9"/>
  <c r="H101" i="9" s="1"/>
  <c r="N465" i="9"/>
  <c r="M689" i="9"/>
  <c r="N364" i="9"/>
  <c r="H364" i="9" s="1"/>
  <c r="M733" i="9"/>
  <c r="N272" i="9"/>
  <c r="H272" i="9" s="1"/>
  <c r="M352" i="9"/>
  <c r="G352" i="9" s="1"/>
  <c r="N350" i="9"/>
  <c r="H350" i="9" s="1"/>
  <c r="N15" i="9"/>
  <c r="M386" i="9"/>
  <c r="N427" i="9"/>
  <c r="M236" i="9"/>
  <c r="G236" i="9" s="1"/>
  <c r="M71" i="9"/>
  <c r="G71" i="9" s="1"/>
  <c r="N144" i="9"/>
  <c r="H144" i="9" s="1"/>
  <c r="M499" i="9"/>
  <c r="N255" i="9"/>
  <c r="H255" i="9" s="1"/>
  <c r="N47" i="9"/>
  <c r="H47" i="9" s="1"/>
  <c r="N278" i="9"/>
  <c r="H278" i="9" s="1"/>
  <c r="N725" i="9"/>
  <c r="M595" i="9"/>
  <c r="N701" i="9"/>
  <c r="M596" i="9"/>
  <c r="N241" i="9"/>
  <c r="H241" i="9" s="1"/>
  <c r="M661" i="9"/>
  <c r="M294" i="9"/>
  <c r="G294" i="9" s="1"/>
  <c r="N835" i="9"/>
  <c r="M326" i="9"/>
  <c r="G326" i="9" s="1"/>
  <c r="M204" i="9"/>
  <c r="G204" i="9" s="1"/>
  <c r="M852" i="9"/>
  <c r="M175" i="9"/>
  <c r="G175" i="9" s="1"/>
  <c r="M620" i="9"/>
  <c r="M217" i="9"/>
  <c r="G217" i="9" s="1"/>
  <c r="T217" i="9" s="1"/>
  <c r="M410" i="9"/>
  <c r="M267" i="9"/>
  <c r="G267" i="9" s="1"/>
  <c r="N719" i="9"/>
  <c r="M565" i="9"/>
  <c r="M679" i="9"/>
  <c r="M239" i="9"/>
  <c r="G239" i="9" s="1"/>
  <c r="T239" i="9" s="1"/>
  <c r="N814" i="9"/>
  <c r="N625" i="9"/>
  <c r="M619" i="9"/>
  <c r="N679" i="9"/>
  <c r="N168" i="9"/>
  <c r="H168" i="9" s="1"/>
  <c r="N468" i="9"/>
  <c r="N257" i="9"/>
  <c r="H257" i="9" s="1"/>
  <c r="N486" i="9"/>
  <c r="N568" i="9"/>
  <c r="M463" i="9"/>
  <c r="M248" i="9"/>
  <c r="G248" i="9" s="1"/>
  <c r="M272" i="9"/>
  <c r="G272" i="9" s="1"/>
  <c r="M189" i="9"/>
  <c r="G189" i="9" s="1"/>
  <c r="N308" i="9"/>
  <c r="H308" i="9" s="1"/>
  <c r="N685" i="9"/>
  <c r="N555" i="9"/>
  <c r="N368" i="9"/>
  <c r="N388" i="9"/>
  <c r="N64" i="9"/>
  <c r="H64" i="9" s="1"/>
  <c r="N706" i="9"/>
  <c r="M303" i="9"/>
  <c r="G303" i="9" s="1"/>
  <c r="M561" i="9"/>
  <c r="N703" i="9"/>
  <c r="M342" i="9"/>
  <c r="G342" i="9" s="1"/>
  <c r="M607" i="9"/>
  <c r="M497" i="9"/>
  <c r="N59" i="9"/>
  <c r="H59" i="9" s="1"/>
  <c r="N314" i="9"/>
  <c r="H314" i="9" s="1"/>
  <c r="N836" i="9"/>
  <c r="N96" i="9"/>
  <c r="H96" i="9" s="1"/>
  <c r="M331" i="9"/>
  <c r="G331" i="9" s="1"/>
  <c r="N496" i="9"/>
  <c r="M192" i="9"/>
  <c r="G192" i="9" s="1"/>
  <c r="N804" i="9"/>
  <c r="N262" i="9"/>
  <c r="H262" i="9" s="1"/>
  <c r="M554" i="9"/>
  <c r="N861" i="9"/>
  <c r="N67" i="9"/>
  <c r="H67" i="9" s="1"/>
  <c r="N777" i="9"/>
  <c r="N646" i="9"/>
  <c r="M512" i="9"/>
  <c r="N511" i="9"/>
  <c r="N215" i="9"/>
  <c r="H215" i="9" s="1"/>
  <c r="M383" i="9"/>
  <c r="N754" i="9"/>
  <c r="N287" i="9"/>
  <c r="H287" i="9" s="1"/>
  <c r="M782" i="9"/>
  <c r="N126" i="9"/>
  <c r="H126" i="9" s="1"/>
  <c r="N502" i="9"/>
  <c r="M238" i="9"/>
  <c r="G238" i="9" s="1"/>
  <c r="M799" i="9"/>
  <c r="N551" i="9"/>
  <c r="M637" i="9"/>
  <c r="M68" i="9"/>
  <c r="G68" i="9" s="1"/>
  <c r="M214" i="9"/>
  <c r="G214" i="9" s="1"/>
  <c r="N682" i="9"/>
  <c r="N349" i="9"/>
  <c r="H349" i="9" s="1"/>
  <c r="M171" i="9"/>
  <c r="G171" i="9" s="1"/>
  <c r="N755" i="9"/>
  <c r="M40" i="9"/>
  <c r="G40" i="9" s="1"/>
  <c r="N24" i="9"/>
  <c r="H24" i="9" s="1"/>
  <c r="M741" i="9"/>
  <c r="N153" i="9"/>
  <c r="H153" i="9" s="1"/>
  <c r="N830" i="9"/>
  <c r="N140" i="9"/>
  <c r="H140" i="9" s="1"/>
  <c r="M64" i="9"/>
  <c r="G64" i="9" s="1"/>
  <c r="M364" i="9"/>
  <c r="G364" i="9" s="1"/>
  <c r="M235" i="9"/>
  <c r="G235" i="9" s="1"/>
  <c r="M459" i="9"/>
  <c r="N618" i="9"/>
  <c r="M348" i="9"/>
  <c r="G348" i="9" s="1"/>
  <c r="M658" i="9"/>
  <c r="N475" i="9"/>
  <c r="M232" i="9"/>
  <c r="G232" i="9" s="1"/>
  <c r="M84" i="9"/>
  <c r="G84" i="9" s="1"/>
  <c r="M387" i="9"/>
  <c r="M549" i="9"/>
  <c r="M465" i="9"/>
  <c r="N729" i="9"/>
  <c r="N184" i="9"/>
  <c r="H184" i="9" s="1"/>
  <c r="M100" i="9"/>
  <c r="G100" i="9" s="1"/>
  <c r="N192" i="9"/>
  <c r="H192" i="9" s="1"/>
  <c r="M628" i="9"/>
  <c r="N290" i="9"/>
  <c r="H290" i="9" s="1"/>
  <c r="M273" i="9"/>
  <c r="G273" i="9" s="1"/>
  <c r="N648" i="9"/>
  <c r="N422" i="9"/>
  <c r="M798" i="9"/>
  <c r="N431" i="9"/>
  <c r="M786" i="9"/>
  <c r="N224" i="9"/>
  <c r="H224" i="9" s="1"/>
  <c r="N414" i="9"/>
  <c r="N838" i="9"/>
  <c r="N680" i="9"/>
  <c r="M419" i="9"/>
  <c r="N669" i="9"/>
  <c r="M633" i="9"/>
  <c r="N584" i="9"/>
  <c r="N797" i="9"/>
  <c r="M670" i="9"/>
  <c r="M87" i="9"/>
  <c r="G87" i="9" s="1"/>
  <c r="M601" i="9"/>
  <c r="M321" i="9"/>
  <c r="G321" i="9" s="1"/>
  <c r="M35" i="9"/>
  <c r="G35" i="9" s="1"/>
  <c r="M493" i="9"/>
  <c r="N803" i="9"/>
  <c r="N583" i="9"/>
  <c r="M178" i="9"/>
  <c r="G178" i="9" s="1"/>
  <c r="N479" i="9"/>
  <c r="M750" i="9"/>
  <c r="M174" i="9"/>
  <c r="G174" i="9" s="1"/>
  <c r="M573" i="9"/>
  <c r="N148" i="9"/>
  <c r="H148" i="9" s="1"/>
  <c r="N466" i="9"/>
  <c r="M527" i="9"/>
  <c r="M341" i="9"/>
  <c r="G341" i="9" s="1"/>
  <c r="N647" i="9"/>
  <c r="N305" i="9"/>
  <c r="H305" i="9" s="1"/>
  <c r="M494" i="9"/>
  <c r="M736" i="9"/>
  <c r="M488" i="9"/>
  <c r="M716" i="9"/>
  <c r="M684" i="9"/>
  <c r="M676" i="9"/>
  <c r="N518" i="9"/>
  <c r="N48" i="9"/>
  <c r="H48" i="9" s="1"/>
  <c r="N295" i="9"/>
  <c r="H295" i="9" s="1"/>
  <c r="N332" i="9"/>
  <c r="H332" i="9" s="1"/>
  <c r="M769" i="9"/>
  <c r="N117" i="9"/>
  <c r="H117" i="9" s="1"/>
  <c r="M365" i="9"/>
  <c r="M705" i="9"/>
  <c r="M242" i="9"/>
  <c r="G242" i="9" s="1"/>
  <c r="N615" i="9"/>
  <c r="M292" i="9"/>
  <c r="G292" i="9" s="1"/>
  <c r="N378" i="9"/>
  <c r="M854" i="9"/>
  <c r="N42" i="9"/>
  <c r="H42" i="9" s="1"/>
  <c r="M261" i="9"/>
  <c r="G261" i="9" s="1"/>
  <c r="N367" i="9"/>
  <c r="M505" i="9"/>
  <c r="N56" i="9"/>
  <c r="H56" i="9" s="1"/>
  <c r="M96" i="9"/>
  <c r="G96" i="9" s="1"/>
  <c r="N322" i="9"/>
  <c r="H322" i="9" s="1"/>
  <c r="N406" i="9"/>
  <c r="N738" i="9"/>
  <c r="M277" i="9"/>
  <c r="G277" i="9" s="1"/>
  <c r="N538" i="9"/>
  <c r="N498" i="9"/>
  <c r="N512" i="9"/>
  <c r="N828" i="9"/>
  <c r="N254" i="9"/>
  <c r="H254" i="9" s="1"/>
  <c r="N174" i="9"/>
  <c r="H174" i="9" s="1"/>
  <c r="N773" i="9"/>
  <c r="M227" i="9"/>
  <c r="G227" i="9" s="1"/>
  <c r="M631" i="9"/>
  <c r="N37" i="9"/>
  <c r="H37" i="9" s="1"/>
  <c r="M627" i="9"/>
  <c r="M28" i="9"/>
  <c r="G28" i="9" s="1"/>
  <c r="T28" i="9" s="1"/>
  <c r="M43" i="9"/>
  <c r="G43" i="9" s="1"/>
  <c r="N662" i="9"/>
  <c r="N536" i="9"/>
  <c r="M692" i="9"/>
  <c r="M649" i="9"/>
  <c r="N507" i="9"/>
  <c r="M337" i="9"/>
  <c r="G337" i="9" s="1"/>
  <c r="M193" i="9"/>
  <c r="G193" i="9" s="1"/>
  <c r="N201" i="9"/>
  <c r="H201" i="9" s="1"/>
  <c r="M291" i="9"/>
  <c r="G291" i="9" s="1"/>
  <c r="N575" i="9"/>
  <c r="M78" i="9"/>
  <c r="G78" i="9" s="1"/>
  <c r="M392" i="9"/>
  <c r="N150" i="9"/>
  <c r="H150" i="9" s="1"/>
  <c r="N505" i="9"/>
  <c r="M432" i="9"/>
  <c r="N375" i="9"/>
  <c r="N638" i="9"/>
  <c r="N789" i="9"/>
  <c r="M623" i="9"/>
  <c r="M379" i="9"/>
  <c r="N696" i="9"/>
  <c r="N544" i="9"/>
  <c r="N363" i="9"/>
  <c r="H363" i="9" s="1"/>
  <c r="M583" i="9"/>
  <c r="N592" i="9"/>
  <c r="M380" i="9"/>
  <c r="N258" i="9"/>
  <c r="H258" i="9" s="1"/>
  <c r="N142" i="9"/>
  <c r="H142" i="9" s="1"/>
  <c r="N437" i="9"/>
  <c r="N655" i="9"/>
  <c r="N613" i="9"/>
  <c r="M789" i="9"/>
  <c r="N752" i="9"/>
  <c r="M97" i="9"/>
  <c r="G97" i="9" s="1"/>
  <c r="N450" i="9"/>
  <c r="N710" i="9"/>
  <c r="N230" i="9"/>
  <c r="H230" i="9" s="1"/>
  <c r="M523" i="9"/>
  <c r="M60" i="9"/>
  <c r="G60" i="9" s="1"/>
  <c r="M472" i="9"/>
  <c r="M467" i="9"/>
  <c r="N571" i="9"/>
  <c r="N172" i="9"/>
  <c r="H172" i="9" s="1"/>
  <c r="M407" i="9"/>
  <c r="M766" i="9"/>
  <c r="M746" i="9"/>
  <c r="N334" i="9"/>
  <c r="H334" i="9" s="1"/>
  <c r="N520" i="9"/>
  <c r="N408" i="9"/>
  <c r="M591" i="9"/>
  <c r="N732" i="9"/>
  <c r="M535" i="9"/>
  <c r="N341" i="9"/>
  <c r="H341" i="9" s="1"/>
  <c r="M635" i="9"/>
  <c r="M606" i="9"/>
  <c r="N167" i="9"/>
  <c r="H167" i="9" s="1"/>
  <c r="M510" i="9"/>
  <c r="M186" i="9"/>
  <c r="G186" i="9" s="1"/>
  <c r="M526" i="9"/>
  <c r="M416" i="9"/>
  <c r="N143" i="9"/>
  <c r="H143" i="9" s="1"/>
  <c r="M577" i="9"/>
  <c r="N660" i="9"/>
  <c r="N252" i="9"/>
  <c r="H252" i="9" s="1"/>
  <c r="N771" i="9"/>
  <c r="N279" i="9"/>
  <c r="H279" i="9" s="1"/>
  <c r="N809" i="9"/>
  <c r="M264" i="9"/>
  <c r="G264" i="9" s="1"/>
  <c r="N641" i="9"/>
  <c r="N317" i="9"/>
  <c r="H317" i="9" s="1"/>
  <c r="M855" i="9"/>
  <c r="M414" i="9"/>
  <c r="M614" i="9"/>
  <c r="N605" i="9"/>
  <c r="N16" i="9"/>
  <c r="M395" i="9"/>
  <c r="N271" i="9"/>
  <c r="H271" i="9" s="1"/>
  <c r="N191" i="9"/>
  <c r="H191" i="9" s="1"/>
  <c r="N500" i="9"/>
  <c r="M588" i="9"/>
  <c r="M502" i="9"/>
  <c r="N513" i="9"/>
  <c r="M851" i="9"/>
  <c r="N120" i="9"/>
  <c r="H120" i="9" s="1"/>
  <c r="M659" i="9"/>
  <c r="N778" i="9"/>
  <c r="N478" i="9"/>
  <c r="N61" i="9"/>
  <c r="H61" i="9" s="1"/>
  <c r="M458" i="9"/>
  <c r="N164" i="9"/>
  <c r="H164" i="9" s="1"/>
  <c r="M547" i="9"/>
  <c r="N517" i="9"/>
  <c r="N355" i="9"/>
  <c r="H355" i="9" s="1"/>
  <c r="N455" i="9"/>
  <c r="M737" i="9"/>
  <c r="N742" i="9"/>
  <c r="M184" i="9"/>
  <c r="G184" i="9" s="1"/>
  <c r="N485" i="9"/>
  <c r="N470" i="9"/>
  <c r="M662" i="9"/>
  <c r="N298" i="9"/>
  <c r="H298" i="9" s="1"/>
  <c r="N323" i="9"/>
  <c r="H323" i="9" s="1"/>
  <c r="M413" i="9"/>
  <c r="M336" i="9"/>
  <c r="G336" i="9" s="1"/>
  <c r="N291" i="9"/>
  <c r="H291" i="9" s="1"/>
  <c r="M375" i="9"/>
  <c r="M531" i="9"/>
  <c r="M482" i="9"/>
  <c r="M304" i="9"/>
  <c r="G304" i="9" s="1"/>
  <c r="N501" i="9"/>
  <c r="M52" i="9"/>
  <c r="G52" i="9" s="1"/>
  <c r="M820" i="9"/>
  <c r="N325" i="9"/>
  <c r="H325" i="9" s="1"/>
  <c r="M130" i="9"/>
  <c r="G130" i="9" s="1"/>
  <c r="M781" i="9"/>
  <c r="N84" i="9"/>
  <c r="H84" i="9" s="1"/>
  <c r="N281" i="9"/>
  <c r="H281" i="9" s="1"/>
  <c r="M460" i="9"/>
  <c r="M102" i="9"/>
  <c r="G102" i="9" s="1"/>
  <c r="M562" i="9"/>
  <c r="N81" i="9"/>
  <c r="H81" i="9" s="1"/>
  <c r="M557" i="9"/>
  <c r="M363" i="9"/>
  <c r="G363" i="9" s="1"/>
  <c r="M694" i="9"/>
  <c r="M57" i="9"/>
  <c r="G57" i="9" s="1"/>
  <c r="N523" i="9"/>
  <c r="N232" i="9"/>
  <c r="H232" i="9" s="1"/>
  <c r="N242" i="9"/>
  <c r="H242" i="9" s="1"/>
  <c r="M515" i="9"/>
  <c r="M247" i="9"/>
  <c r="G247" i="9" s="1"/>
  <c r="N415" i="9"/>
  <c r="M287" i="9"/>
  <c r="G287" i="9" s="1"/>
  <c r="M726" i="9"/>
  <c r="M564" i="9"/>
  <c r="M653" i="9"/>
  <c r="N673" i="9"/>
  <c r="M349" i="9"/>
  <c r="G349" i="9" s="1"/>
  <c r="M464" i="9"/>
  <c r="N806" i="9"/>
  <c r="M88" i="9"/>
  <c r="G88" i="9" s="1"/>
  <c r="M34" i="9"/>
  <c r="G34" i="9" s="1"/>
  <c r="N214" i="9"/>
  <c r="H214" i="9" s="1"/>
  <c r="N740" i="9"/>
  <c r="N294" i="9"/>
  <c r="H294" i="9" s="1"/>
  <c r="M398" i="9"/>
  <c r="N66" i="9"/>
  <c r="H66" i="9" s="1"/>
  <c r="N265" i="9"/>
  <c r="H265" i="9" s="1"/>
  <c r="N8" i="9"/>
  <c r="H8" i="9" s="1"/>
  <c r="M804" i="9"/>
  <c r="N467" i="9"/>
  <c r="M538" i="9"/>
  <c r="M187" i="9"/>
  <c r="G187" i="9" s="1"/>
  <c r="M441" i="9"/>
  <c r="N166" i="9"/>
  <c r="H166" i="9" s="1"/>
  <c r="N52" i="9"/>
  <c r="H52" i="9" s="1"/>
  <c r="M841" i="9"/>
  <c r="M274" i="9"/>
  <c r="G274" i="9" s="1"/>
  <c r="M125" i="9"/>
  <c r="G125" i="9" s="1"/>
  <c r="M480" i="9"/>
  <c r="M382" i="9"/>
  <c r="M683" i="9"/>
  <c r="N197" i="9"/>
  <c r="H197" i="9" s="1"/>
  <c r="N747" i="9"/>
  <c r="N111" i="9"/>
  <c r="H111" i="9" s="1"/>
  <c r="M356" i="9"/>
  <c r="G356" i="9" s="1"/>
  <c r="M682" i="9"/>
  <c r="M251" i="9"/>
  <c r="G251" i="9" s="1"/>
  <c r="M581" i="9"/>
  <c r="N22" i="9"/>
  <c r="H22" i="9" s="1"/>
  <c r="N304" i="9"/>
  <c r="H304" i="9" s="1"/>
  <c r="N268" i="9"/>
  <c r="H268" i="9" s="1"/>
  <c r="N724" i="9"/>
  <c r="N684" i="9"/>
  <c r="M293" i="9"/>
  <c r="G293" i="9" s="1"/>
  <c r="N821" i="9"/>
  <c r="N491" i="9"/>
  <c r="M796" i="9"/>
  <c r="N433" i="9"/>
  <c r="N321" i="9"/>
  <c r="H321" i="9" s="1"/>
  <c r="M104" i="9"/>
  <c r="G104" i="9" s="1"/>
  <c r="M795" i="9"/>
  <c r="N216" i="9"/>
  <c r="H216" i="9" s="1"/>
  <c r="N816" i="9"/>
  <c r="N637" i="9"/>
  <c r="M831" i="9"/>
  <c r="M597" i="9"/>
  <c r="M802" i="9"/>
  <c r="M216" i="9"/>
  <c r="G216" i="9" s="1"/>
  <c r="N837" i="9"/>
  <c r="M95" i="9"/>
  <c r="G95" i="9" s="1"/>
  <c r="N444" i="9"/>
  <c r="M642" i="9"/>
  <c r="N105" i="9"/>
  <c r="H105" i="9" s="1"/>
  <c r="N370" i="9"/>
  <c r="M354" i="9"/>
  <c r="G354" i="9" s="1"/>
  <c r="N72" i="9"/>
  <c r="H72" i="9" s="1"/>
  <c r="M864" i="9"/>
  <c r="M112" i="9"/>
  <c r="G112" i="9" s="1"/>
  <c r="M67" i="9"/>
  <c r="G67" i="9" s="1"/>
  <c r="M129" i="9"/>
  <c r="G129" i="9" s="1"/>
  <c r="N588" i="9"/>
  <c r="M617" i="9"/>
  <c r="M10" i="9"/>
  <c r="M848" i="9"/>
  <c r="M116" i="9"/>
  <c r="G116" i="9" s="1"/>
  <c r="N63" i="9"/>
  <c r="H63" i="9" s="1"/>
  <c r="M213" i="9"/>
  <c r="G213" i="9" s="1"/>
  <c r="N173" i="9"/>
  <c r="H173" i="9" s="1"/>
  <c r="N356" i="9"/>
  <c r="H356" i="9" s="1"/>
  <c r="M332" i="9"/>
  <c r="G332" i="9" s="1"/>
  <c r="M451" i="9"/>
  <c r="M734" i="9"/>
  <c r="N698" i="9"/>
  <c r="N38" i="9"/>
  <c r="H38" i="9" s="1"/>
  <c r="M570" i="9"/>
  <c r="N362" i="9"/>
  <c r="H362" i="9" s="1"/>
  <c r="M328" i="9"/>
  <c r="G328" i="9" s="1"/>
  <c r="N270" i="9"/>
  <c r="H270" i="9" s="1"/>
  <c r="M539" i="9"/>
  <c r="N539" i="9"/>
  <c r="M448" i="9"/>
  <c r="N487" i="9"/>
  <c r="M669" i="9"/>
  <c r="N688" i="9"/>
  <c r="M79" i="9"/>
  <c r="G79" i="9" s="1"/>
  <c r="M30" i="9"/>
  <c r="G30" i="9" s="1"/>
  <c r="M513" i="9"/>
  <c r="N563" i="9"/>
  <c r="M589" i="9"/>
  <c r="M86" i="9"/>
  <c r="G86" i="9" s="1"/>
  <c r="M532" i="9"/>
  <c r="M109" i="9"/>
  <c r="G109" i="9" s="1"/>
  <c r="M126" i="9"/>
  <c r="G126" i="9" s="1"/>
  <c r="N71" i="9"/>
  <c r="H71" i="9" s="1"/>
  <c r="M652" i="9"/>
  <c r="N476" i="9"/>
  <c r="N170" i="9"/>
  <c r="H170" i="9" s="1"/>
  <c r="N104" i="9"/>
  <c r="H104" i="9" s="1"/>
  <c r="N863" i="9"/>
  <c r="N840" i="9"/>
  <c r="N482" i="9"/>
  <c r="N348" i="9"/>
  <c r="H348" i="9" s="1"/>
  <c r="M165" i="9"/>
  <c r="G165" i="9" s="1"/>
  <c r="M731" i="9"/>
  <c r="N548" i="9"/>
  <c r="M48" i="9"/>
  <c r="G48" i="9" s="1"/>
  <c r="N654" i="9"/>
  <c r="M105" i="9"/>
  <c r="G105" i="9" s="1"/>
  <c r="N94" i="9"/>
  <c r="H94" i="9" s="1"/>
  <c r="N859" i="9"/>
  <c r="N834" i="9"/>
  <c r="M680" i="9"/>
  <c r="M241" i="9"/>
  <c r="G241" i="9" s="1"/>
  <c r="M156" i="9"/>
  <c r="G156" i="9" s="1"/>
  <c r="N508" i="9"/>
  <c r="N57" i="9"/>
  <c r="H57" i="9" s="1"/>
  <c r="N556" i="9"/>
  <c r="M20" i="9"/>
  <c r="G20" i="9" s="1"/>
  <c r="N116" i="9"/>
  <c r="H116" i="9" s="1"/>
  <c r="N812" i="9"/>
  <c r="M751" i="9"/>
  <c r="M862" i="9"/>
  <c r="M133" i="9"/>
  <c r="G133" i="9" s="1"/>
  <c r="M611" i="9"/>
  <c r="M843" i="9"/>
  <c r="N400" i="9"/>
  <c r="N277" i="9"/>
  <c r="H277" i="9" s="1"/>
  <c r="M732" i="9"/>
  <c r="N316" i="9"/>
  <c r="H316" i="9" s="1"/>
  <c r="N589" i="9"/>
  <c r="M159" i="9"/>
  <c r="G159" i="9" s="1"/>
  <c r="N852" i="9"/>
  <c r="M471" i="9"/>
  <c r="M17" i="9"/>
  <c r="M828" i="9"/>
  <c r="M860" i="9"/>
  <c r="N331" i="9"/>
  <c r="H331" i="9" s="1"/>
  <c r="N51" i="9"/>
  <c r="H51" i="9" s="1"/>
  <c r="M629" i="9"/>
  <c r="M234" i="9"/>
  <c r="G234" i="9" s="1"/>
  <c r="N483" i="9"/>
  <c r="M9" i="9"/>
  <c r="M678" i="9"/>
  <c r="M525" i="9"/>
  <c r="M158" i="9"/>
  <c r="G158" i="9" s="1"/>
  <c r="M701" i="9"/>
  <c r="M297" i="9"/>
  <c r="G297" i="9" s="1"/>
  <c r="T297" i="9" s="1"/>
  <c r="M729" i="9"/>
  <c r="N484" i="9"/>
  <c r="M201" i="9"/>
  <c r="G201" i="9" s="1"/>
  <c r="N86" i="9"/>
  <c r="H86" i="9" s="1"/>
  <c r="M263" i="9"/>
  <c r="G263" i="9" s="1"/>
  <c r="M163" i="9"/>
  <c r="G163" i="9" s="1"/>
  <c r="N161" i="9"/>
  <c r="H161" i="9" s="1"/>
  <c r="M524" i="9"/>
  <c r="M55" i="9"/>
  <c r="G55" i="9" s="1"/>
  <c r="M735" i="9"/>
  <c r="M45" i="9"/>
  <c r="G45" i="9" s="1"/>
  <c r="T45" i="9" s="1"/>
  <c r="M567" i="9"/>
  <c r="N767" i="9"/>
  <c r="N425" i="9"/>
  <c r="M639" i="9"/>
  <c r="M775" i="9"/>
  <c r="M823" i="9"/>
  <c r="N867" i="9"/>
  <c r="M75" i="9"/>
  <c r="G75" i="9" s="1"/>
  <c r="N651" i="9"/>
  <c r="N676" i="9"/>
  <c r="N787" i="9"/>
  <c r="M191" i="9"/>
  <c r="G191" i="9" s="1"/>
  <c r="N619" i="9"/>
  <c r="M594" i="9"/>
  <c r="M351" i="9"/>
  <c r="G351" i="9" s="1"/>
  <c r="N477" i="9"/>
  <c r="M763" i="9"/>
  <c r="M761" i="9"/>
  <c r="N758" i="9"/>
  <c r="N118" i="9"/>
  <c r="H118" i="9" s="1"/>
  <c r="N802" i="9"/>
  <c r="M194" i="9"/>
  <c r="G194" i="9" s="1"/>
  <c r="N395" i="9"/>
  <c r="M668" i="9"/>
  <c r="N445" i="9"/>
  <c r="M278" i="9"/>
  <c r="G278" i="9" s="1"/>
  <c r="M307" i="9"/>
  <c r="G307" i="9" s="1"/>
  <c r="M865" i="9"/>
  <c r="M90" i="9"/>
  <c r="G90" i="9" s="1"/>
  <c r="M550" i="9"/>
  <c r="N46" i="9"/>
  <c r="H46" i="9" s="1"/>
  <c r="N675" i="9"/>
  <c r="N227" i="9"/>
  <c r="H227" i="9" s="1"/>
  <c r="N493" i="9"/>
  <c r="M717" i="9"/>
  <c r="N10" i="9"/>
  <c r="N779" i="9"/>
  <c r="M749" i="9"/>
  <c r="N34" i="9"/>
  <c r="H34" i="9" s="1"/>
  <c r="M867" i="9"/>
  <c r="N110" i="9"/>
  <c r="H110" i="9" s="1"/>
  <c r="N820" i="9"/>
  <c r="N333" i="9"/>
  <c r="H333" i="9" s="1"/>
  <c r="M325" i="9"/>
  <c r="G325" i="9" s="1"/>
  <c r="M715" i="9"/>
  <c r="M846" i="9"/>
  <c r="N206" i="9"/>
  <c r="H206" i="9" s="1"/>
  <c r="M672" i="9"/>
  <c r="M367" i="9"/>
  <c r="M276" i="9"/>
  <c r="G276" i="9" s="1"/>
  <c r="N19" i="9"/>
  <c r="H19" i="9" s="1"/>
  <c r="N181" i="9"/>
  <c r="H181" i="9" s="1"/>
  <c r="N293" i="9"/>
  <c r="H293" i="9" s="1"/>
  <c r="N85" i="9"/>
  <c r="H85" i="9" s="1"/>
  <c r="N371" i="9"/>
  <c r="M381" i="9"/>
  <c r="M132" i="9"/>
  <c r="G132" i="9" s="1"/>
  <c r="M25" i="9"/>
  <c r="G25" i="9" s="1"/>
  <c r="M827" i="9"/>
  <c r="M859" i="9"/>
  <c r="N702" i="9"/>
  <c r="N392" i="9"/>
  <c r="N128" i="9"/>
  <c r="H128" i="9" s="1"/>
  <c r="M149" i="9"/>
  <c r="G149" i="9" s="1"/>
  <c r="M37" i="9"/>
  <c r="G37" i="9" s="1"/>
  <c r="M345" i="9"/>
  <c r="G345" i="9" s="1"/>
  <c r="N690" i="9"/>
  <c r="M624" i="9"/>
  <c r="M231" i="9"/>
  <c r="G231" i="9" s="1"/>
  <c r="N177" i="9"/>
  <c r="H177" i="9" s="1"/>
  <c r="M850" i="9"/>
  <c r="M253" i="9"/>
  <c r="G253" i="9" s="1"/>
  <c r="M423" i="9"/>
  <c r="N614" i="9"/>
  <c r="M764" i="9"/>
  <c r="N246" i="9"/>
  <c r="H246" i="9" s="1"/>
  <c r="N68" i="9"/>
  <c r="H68" i="9" s="1"/>
  <c r="M560" i="9"/>
  <c r="N87" i="9"/>
  <c r="H87" i="9" s="1"/>
  <c r="M412" i="9"/>
  <c r="M706" i="9"/>
  <c r="M780" i="9"/>
  <c r="M725" i="9"/>
  <c r="M768" i="9"/>
  <c r="M757" i="9"/>
  <c r="M630" i="9"/>
  <c r="N542" i="9"/>
  <c r="M612" i="9"/>
  <c r="M592" i="9"/>
  <c r="N810" i="9"/>
  <c r="M366" i="9"/>
  <c r="N179" i="9"/>
  <c r="H179" i="9" s="1"/>
  <c r="M511" i="9"/>
  <c r="M394" i="9"/>
  <c r="N159" i="9"/>
  <c r="H159" i="9" s="1"/>
  <c r="M783" i="9"/>
  <c r="N621" i="9"/>
  <c r="M98" i="9"/>
  <c r="G98" i="9" s="1"/>
  <c r="N346" i="9"/>
  <c r="H346" i="9" s="1"/>
  <c r="N686" i="9"/>
  <c r="M93" i="9"/>
  <c r="G93" i="9" s="1"/>
  <c r="N137" i="9"/>
  <c r="H137" i="9" s="1"/>
  <c r="M484" i="9"/>
  <c r="N786" i="9"/>
  <c r="N83" i="9"/>
  <c r="H83" i="9" s="1"/>
  <c r="M809" i="9"/>
  <c r="N489" i="9"/>
  <c r="N565" i="9"/>
  <c r="N138" i="9"/>
  <c r="H138" i="9" s="1"/>
  <c r="M760" i="9"/>
  <c r="N817" i="9"/>
  <c r="M196" i="9"/>
  <c r="G196" i="9" s="1"/>
  <c r="N510" i="9"/>
  <c r="N89" i="9"/>
  <c r="H89" i="9" s="1"/>
  <c r="M310" i="9"/>
  <c r="G310" i="9" s="1"/>
  <c r="M370" i="9"/>
  <c r="N687" i="9"/>
  <c r="M389" i="9"/>
  <c r="M811" i="9"/>
  <c r="M514" i="9"/>
  <c r="N404" i="9"/>
  <c r="M461" i="9"/>
  <c r="N519" i="9"/>
  <c r="N90" i="9"/>
  <c r="H90" i="9" s="1"/>
  <c r="N442" i="9"/>
  <c r="N60" i="9"/>
  <c r="H60" i="9" s="1"/>
  <c r="N299" i="9"/>
  <c r="H299" i="9" s="1"/>
  <c r="N850" i="9"/>
  <c r="N659" i="9"/>
  <c r="M393" i="9"/>
  <c r="N285" i="9"/>
  <c r="H285" i="9" s="1"/>
  <c r="N616" i="9"/>
  <c r="N198" i="9"/>
  <c r="H198" i="9" s="1"/>
  <c r="N857" i="9"/>
  <c r="M767" i="9"/>
  <c r="N23" i="9"/>
  <c r="H23" i="9" s="1"/>
  <c r="N604" i="9"/>
  <c r="M343" i="9"/>
  <c r="G343" i="9" s="1"/>
  <c r="N369" i="9"/>
  <c r="N716" i="9"/>
  <c r="N569" i="9"/>
  <c r="N307" i="9"/>
  <c r="H307" i="9" s="1"/>
  <c r="N717" i="9"/>
  <c r="M745" i="9"/>
  <c r="M665" i="9"/>
  <c r="N69" i="9"/>
  <c r="H69" i="9" s="1"/>
  <c r="N792" i="9"/>
  <c r="N578" i="9"/>
  <c r="N858" i="9"/>
  <c r="M362" i="9"/>
  <c r="G362" i="9" s="1"/>
  <c r="N768" i="9"/>
  <c r="N558" i="9"/>
  <c r="M202" i="9"/>
  <c r="G202" i="9" s="1"/>
  <c r="N228" i="9"/>
  <c r="H228" i="9" s="1"/>
  <c r="N439" i="9"/>
  <c r="M371" i="9"/>
  <c r="N20" i="9"/>
  <c r="H20" i="9" s="1"/>
  <c r="M327" i="9"/>
  <c r="G327" i="9" s="1"/>
  <c r="M170" i="9"/>
  <c r="G170" i="9" s="1"/>
  <c r="N602" i="9"/>
  <c r="M56" i="9"/>
  <c r="G56" i="9" s="1"/>
  <c r="N723" i="9"/>
  <c r="N461" i="9"/>
  <c r="M405" i="9"/>
  <c r="M396" i="9"/>
  <c r="M435" i="9"/>
  <c r="M559" i="9"/>
  <c r="M704" i="9"/>
  <c r="N11" i="9"/>
  <c r="N264" i="9"/>
  <c r="H264" i="9" s="1"/>
  <c r="N713" i="9"/>
  <c r="M758" i="9"/>
  <c r="M154" i="9"/>
  <c r="G154" i="9" s="1"/>
  <c r="M496" i="9"/>
  <c r="N635" i="9"/>
  <c r="M818" i="9"/>
  <c r="N601" i="9"/>
  <c r="N559" i="9"/>
  <c r="N607" i="9"/>
  <c r="M81" i="9"/>
  <c r="G81" i="9" s="1"/>
  <c r="N382" i="9"/>
  <c r="N394" i="9"/>
  <c r="M593" i="9"/>
  <c r="N743" i="9"/>
  <c r="M730" i="9"/>
  <c r="M457" i="9"/>
  <c r="N131" i="9"/>
  <c r="H131" i="9" s="1"/>
  <c r="M115" i="9"/>
  <c r="G115" i="9" s="1"/>
  <c r="M832" i="9"/>
  <c r="N186" i="9"/>
  <c r="H186" i="9" s="1"/>
  <c r="N689" i="9"/>
  <c r="N497" i="9"/>
  <c r="N653" i="9"/>
  <c r="M53" i="9"/>
  <c r="G53" i="9" s="1"/>
  <c r="M812" i="9"/>
  <c r="M598" i="9"/>
  <c r="N665" i="9"/>
  <c r="N344" i="9"/>
  <c r="H344" i="9" s="1"/>
  <c r="N183" i="9"/>
  <c r="H183" i="9" s="1"/>
  <c r="M289" i="9"/>
  <c r="G289" i="9" s="1"/>
  <c r="M805" i="9"/>
  <c r="M445" i="9"/>
  <c r="N53" i="9"/>
  <c r="H53" i="9" s="1"/>
  <c r="N694" i="9"/>
  <c r="M868" i="9"/>
  <c r="N868" i="9"/>
  <c r="M869" i="9"/>
  <c r="N869" i="9"/>
  <c r="N870" i="9"/>
  <c r="M870" i="9"/>
  <c r="N871" i="9"/>
  <c r="M871" i="9"/>
  <c r="M872" i="9"/>
  <c r="N872" i="9"/>
  <c r="M873" i="9"/>
  <c r="N873" i="9"/>
  <c r="N874" i="9"/>
  <c r="M874" i="9"/>
  <c r="N875" i="9"/>
  <c r="M875" i="9"/>
  <c r="M876" i="9"/>
  <c r="N876" i="9"/>
  <c r="M877" i="9"/>
  <c r="N877" i="9"/>
  <c r="M878" i="9"/>
  <c r="N878" i="9"/>
  <c r="M879" i="9"/>
  <c r="N879" i="9"/>
  <c r="M880" i="9"/>
  <c r="N880" i="9"/>
  <c r="N881" i="9"/>
  <c r="M881" i="9"/>
  <c r="M882" i="9"/>
  <c r="N882" i="9"/>
  <c r="N883" i="9"/>
  <c r="M883" i="9"/>
  <c r="N884" i="9"/>
  <c r="M884" i="9"/>
  <c r="N885" i="9"/>
  <c r="M885" i="9"/>
  <c r="N886" i="9"/>
  <c r="M886" i="9"/>
  <c r="M887" i="9"/>
  <c r="N887" i="9"/>
  <c r="M888" i="9"/>
  <c r="N888" i="9"/>
  <c r="M889" i="9"/>
  <c r="N889" i="9"/>
  <c r="N890" i="9"/>
  <c r="M890" i="9"/>
  <c r="N891" i="9"/>
  <c r="M891" i="9"/>
  <c r="M892" i="9"/>
  <c r="N892" i="9"/>
  <c r="M893" i="9"/>
  <c r="N893" i="9"/>
  <c r="N894" i="9"/>
  <c r="M894" i="9"/>
  <c r="N895" i="9"/>
  <c r="M895" i="9"/>
  <c r="N896" i="9"/>
  <c r="M896" i="9"/>
  <c r="M897" i="9"/>
  <c r="N897" i="9"/>
  <c r="N898" i="9"/>
  <c r="M898" i="9"/>
  <c r="N899" i="9"/>
  <c r="M899" i="9"/>
  <c r="N900" i="9"/>
  <c r="M900" i="9"/>
  <c r="M901" i="9"/>
  <c r="N901" i="9"/>
  <c r="M902" i="9"/>
  <c r="N902" i="9"/>
  <c r="N903" i="9"/>
  <c r="M903" i="9"/>
  <c r="M904" i="9"/>
  <c r="N904" i="9"/>
  <c r="M905" i="9"/>
  <c r="N905" i="9"/>
  <c r="N906" i="9"/>
  <c r="M906" i="9"/>
  <c r="M907" i="9"/>
  <c r="N907" i="9"/>
  <c r="M908" i="9"/>
  <c r="N908" i="9"/>
  <c r="N909" i="9"/>
  <c r="M909" i="9"/>
  <c r="N910" i="9"/>
  <c r="M910" i="9"/>
  <c r="M911" i="9"/>
  <c r="N911" i="9"/>
  <c r="N912" i="9"/>
  <c r="M912" i="9"/>
  <c r="N913" i="9"/>
  <c r="M913" i="9"/>
  <c r="M914" i="9"/>
  <c r="N914" i="9"/>
  <c r="M915" i="9"/>
  <c r="N915" i="9"/>
  <c r="N916" i="9"/>
  <c r="M916" i="9"/>
  <c r="M917" i="9"/>
  <c r="N917" i="9"/>
  <c r="M918" i="9"/>
  <c r="N918" i="9"/>
  <c r="N919" i="9"/>
  <c r="M919" i="9"/>
  <c r="N920" i="9"/>
  <c r="M920" i="9"/>
  <c r="M921" i="9"/>
  <c r="N921" i="9"/>
  <c r="M922" i="9"/>
  <c r="N922" i="9"/>
  <c r="M923" i="9"/>
  <c r="N923" i="9"/>
  <c r="M924" i="9"/>
  <c r="N924" i="9"/>
  <c r="M925" i="9"/>
  <c r="N925" i="9"/>
  <c r="M926" i="9"/>
  <c r="N926" i="9"/>
  <c r="N927" i="9"/>
  <c r="M927" i="9"/>
  <c r="N928" i="9"/>
  <c r="M928" i="9"/>
  <c r="N929" i="9"/>
  <c r="M929" i="9"/>
  <c r="N930" i="9"/>
  <c r="M930" i="9"/>
  <c r="M931" i="9"/>
  <c r="N931" i="9"/>
  <c r="M932" i="9"/>
  <c r="N932" i="9"/>
  <c r="N933" i="9"/>
  <c r="M933" i="9"/>
  <c r="M934" i="9"/>
  <c r="N934" i="9"/>
  <c r="M935" i="9"/>
  <c r="N935" i="9"/>
  <c r="N936" i="9"/>
  <c r="M936" i="9"/>
  <c r="N937" i="9"/>
  <c r="M937" i="9"/>
  <c r="M938" i="9"/>
  <c r="N938" i="9"/>
  <c r="N939" i="9"/>
  <c r="M939" i="9"/>
  <c r="N940" i="9"/>
  <c r="M940" i="9"/>
  <c r="M941" i="9"/>
  <c r="N941" i="9"/>
  <c r="M942" i="9"/>
  <c r="N942" i="9"/>
  <c r="N943" i="9"/>
  <c r="M943" i="9"/>
  <c r="N944" i="9"/>
  <c r="M944" i="9"/>
  <c r="N945" i="9"/>
  <c r="M945" i="9"/>
  <c r="N946" i="9"/>
  <c r="M946" i="9"/>
  <c r="M947" i="9"/>
  <c r="N947" i="9"/>
  <c r="M948" i="9"/>
  <c r="N948" i="9"/>
  <c r="M949" i="9"/>
  <c r="N949" i="9"/>
  <c r="M950" i="9"/>
  <c r="N950" i="9"/>
  <c r="N951" i="9"/>
  <c r="M951" i="9"/>
  <c r="N952" i="9"/>
  <c r="M952" i="9"/>
  <c r="N953" i="9"/>
  <c r="M953" i="9"/>
  <c r="M954" i="9"/>
  <c r="N954" i="9"/>
  <c r="M955" i="9"/>
  <c r="N955" i="9"/>
  <c r="M956" i="9"/>
  <c r="N956" i="9"/>
  <c r="M957" i="9"/>
  <c r="N957" i="9"/>
  <c r="M958" i="9"/>
  <c r="N958" i="9"/>
  <c r="M959" i="9"/>
  <c r="N959" i="9"/>
  <c r="N960" i="9"/>
  <c r="M960" i="9"/>
  <c r="N961" i="9"/>
  <c r="M961" i="9"/>
  <c r="N962" i="9"/>
  <c r="M962" i="9"/>
  <c r="N963" i="9"/>
  <c r="M963" i="9"/>
  <c r="N964" i="9"/>
  <c r="M964" i="9"/>
  <c r="M965" i="9"/>
  <c r="N965" i="9"/>
  <c r="N966" i="9"/>
  <c r="M966" i="9"/>
  <c r="N967" i="9"/>
  <c r="M967" i="9"/>
  <c r="M968" i="9"/>
  <c r="N968" i="9"/>
  <c r="M969" i="9"/>
  <c r="N969" i="9"/>
  <c r="N970" i="9"/>
  <c r="M970" i="9"/>
  <c r="N971" i="9"/>
  <c r="M971" i="9"/>
  <c r="M972" i="9"/>
  <c r="N972" i="9"/>
  <c r="M973" i="9"/>
  <c r="N973" i="9"/>
  <c r="N974" i="9"/>
  <c r="M974" i="9"/>
  <c r="M975" i="9"/>
  <c r="N975" i="9"/>
  <c r="M976" i="9"/>
  <c r="N976" i="9"/>
  <c r="M977" i="9"/>
  <c r="N977" i="9"/>
  <c r="N978" i="9"/>
  <c r="M978" i="9"/>
  <c r="N979" i="9"/>
  <c r="M979" i="9"/>
  <c r="N980" i="9"/>
  <c r="M980" i="9"/>
  <c r="M981" i="9"/>
  <c r="N981" i="9"/>
  <c r="M982" i="9"/>
  <c r="N982" i="9"/>
  <c r="N983" i="9"/>
  <c r="M983" i="9"/>
  <c r="M984" i="9"/>
  <c r="N984" i="9"/>
  <c r="M985" i="9"/>
  <c r="N985" i="9"/>
  <c r="N986" i="9"/>
  <c r="M986" i="9"/>
  <c r="N987" i="9"/>
  <c r="M987" i="9"/>
  <c r="M988" i="9"/>
  <c r="N988" i="9"/>
  <c r="N989" i="9"/>
  <c r="M989" i="9"/>
  <c r="N990" i="9"/>
  <c r="M990" i="9"/>
  <c r="N991" i="9"/>
  <c r="M991" i="9"/>
  <c r="M992" i="9"/>
  <c r="N992" i="9"/>
  <c r="N993" i="9"/>
  <c r="M993" i="9"/>
  <c r="N994" i="9"/>
  <c r="M994" i="9"/>
  <c r="M995" i="9"/>
  <c r="N995" i="9"/>
  <c r="M996" i="9"/>
  <c r="N996" i="9"/>
  <c r="N997" i="9"/>
  <c r="M997" i="9"/>
  <c r="M998" i="9"/>
  <c r="N998" i="9"/>
  <c r="N999" i="9"/>
  <c r="M999" i="9"/>
  <c r="M1000" i="9"/>
  <c r="N1000" i="9"/>
  <c r="M1001" i="9"/>
  <c r="N1001" i="9"/>
  <c r="M1002" i="9"/>
  <c r="N1002" i="9"/>
  <c r="M1003" i="9"/>
  <c r="N1003" i="9"/>
  <c r="M1004" i="9"/>
  <c r="N1004" i="9"/>
  <c r="M1005" i="9"/>
  <c r="N1005" i="9"/>
  <c r="N1006" i="9"/>
  <c r="M1006" i="9"/>
  <c r="M1007" i="9"/>
  <c r="N1007" i="9"/>
  <c r="M1008" i="9"/>
  <c r="N1008" i="9"/>
  <c r="N1009" i="9"/>
  <c r="M1009" i="9"/>
  <c r="N1010" i="9"/>
  <c r="M1010" i="9"/>
  <c r="N1011" i="9"/>
  <c r="M1011" i="9"/>
  <c r="M1012" i="9"/>
  <c r="N1012" i="9"/>
  <c r="M1013" i="9"/>
  <c r="N1013" i="9"/>
  <c r="M1014" i="9"/>
  <c r="N1014" i="9"/>
  <c r="N1015" i="9"/>
  <c r="M1015" i="9"/>
  <c r="N1016" i="9"/>
  <c r="M1016" i="9"/>
  <c r="N1017" i="9"/>
  <c r="M1017" i="9"/>
  <c r="M1018" i="9"/>
  <c r="N1018" i="9"/>
  <c r="U123" i="3"/>
  <c r="S123" i="3"/>
  <c r="V123" i="3"/>
  <c r="Y368" i="6"/>
  <c r="D367" i="6"/>
  <c r="H367" i="6"/>
  <c r="C367" i="6"/>
  <c r="B368" i="6"/>
  <c r="I367" i="6"/>
  <c r="J367" i="6" s="1"/>
  <c r="K367" i="6" s="1"/>
  <c r="L367" i="6"/>
  <c r="P367" i="6" s="1"/>
  <c r="V1765" i="6"/>
  <c r="T1766" i="6"/>
  <c r="U1766" i="6"/>
  <c r="A1767" i="6"/>
  <c r="P363" i="9"/>
  <c r="X365" i="6"/>
  <c r="S366" i="6"/>
  <c r="T125" i="3"/>
  <c r="T126" i="3"/>
  <c r="S128" i="1"/>
  <c r="F364" i="9"/>
  <c r="E364" i="9"/>
  <c r="B365" i="9"/>
  <c r="I364" i="9"/>
  <c r="P364" i="9" s="1"/>
  <c r="D364" i="9"/>
  <c r="C364" i="9"/>
  <c r="T133" i="9" l="1"/>
  <c r="T109" i="9"/>
  <c r="G9" i="9"/>
  <c r="T275" i="9"/>
  <c r="T204" i="9"/>
  <c r="T149" i="9"/>
  <c r="T129" i="9"/>
  <c r="T315" i="9"/>
  <c r="T30" i="9"/>
  <c r="T292" i="9"/>
  <c r="T241" i="9"/>
  <c r="T274" i="9"/>
  <c r="T280" i="9"/>
  <c r="T108" i="9"/>
  <c r="T320" i="9"/>
  <c r="T326" i="9"/>
  <c r="T40" i="9"/>
  <c r="T353" i="9"/>
  <c r="T171" i="9"/>
  <c r="T236" i="9"/>
  <c r="T263" i="9"/>
  <c r="T303" i="9"/>
  <c r="T165" i="9"/>
  <c r="T127" i="9"/>
  <c r="T188" i="9"/>
  <c r="T79" i="9"/>
  <c r="T256" i="9"/>
  <c r="T95" i="9"/>
  <c r="T141" i="9"/>
  <c r="T286" i="9"/>
  <c r="T199" i="9"/>
  <c r="T194" i="9"/>
  <c r="T49" i="9"/>
  <c r="T231" i="9"/>
  <c r="T193" i="9"/>
  <c r="T328" i="9"/>
  <c r="T180" i="9"/>
  <c r="T139" i="9"/>
  <c r="T82" i="9"/>
  <c r="T289" i="9"/>
  <c r="T75" i="9"/>
  <c r="T240" i="9"/>
  <c r="T345" i="9"/>
  <c r="T234" i="9"/>
  <c r="T100" i="9"/>
  <c r="T235" i="9"/>
  <c r="T112" i="9"/>
  <c r="T157" i="9"/>
  <c r="T126" i="9"/>
  <c r="T154" i="9"/>
  <c r="T191" i="9"/>
  <c r="T332" i="9"/>
  <c r="T195" i="9"/>
  <c r="T351" i="9"/>
  <c r="T98" i="9"/>
  <c r="T278" i="9"/>
  <c r="T352" i="9"/>
  <c r="T301" i="9"/>
  <c r="T36" i="9"/>
  <c r="T106" i="9"/>
  <c r="T103" i="9"/>
  <c r="T202" i="9"/>
  <c r="T132" i="9"/>
  <c r="T67" i="9"/>
  <c r="T342" i="9"/>
  <c r="T130" i="9"/>
  <c r="T310" i="9"/>
  <c r="T337" i="9"/>
  <c r="T360" i="9"/>
  <c r="T31" i="9"/>
  <c r="T343" i="9"/>
  <c r="T37" i="9"/>
  <c r="T354" i="9"/>
  <c r="T306" i="9"/>
  <c r="T54" i="9"/>
  <c r="T261" i="9"/>
  <c r="T184" i="9"/>
  <c r="T170" i="9"/>
  <c r="T212" i="9"/>
  <c r="T327" i="9"/>
  <c r="T287" i="9"/>
  <c r="T102" i="9"/>
  <c r="T211" i="9"/>
  <c r="T300" i="9"/>
  <c r="T311" i="9"/>
  <c r="T55" i="9"/>
  <c r="T88" i="9"/>
  <c r="T336" i="9"/>
  <c r="T115" i="9"/>
  <c r="T196" i="9"/>
  <c r="T185" i="9"/>
  <c r="T349" i="9"/>
  <c r="T175" i="9"/>
  <c r="T238" i="9"/>
  <c r="T273" i="9"/>
  <c r="T189" i="9"/>
  <c r="T259" i="9"/>
  <c r="T113" i="9"/>
  <c r="T122" i="9"/>
  <c r="T76" i="9"/>
  <c r="T325" i="9"/>
  <c r="T26" i="9"/>
  <c r="T56" i="9"/>
  <c r="T93" i="9"/>
  <c r="T99" i="9"/>
  <c r="T276" i="9"/>
  <c r="T190" i="9"/>
  <c r="T363" i="9"/>
  <c r="T216" i="9"/>
  <c r="T288" i="9"/>
  <c r="T162" i="9"/>
  <c r="T247" i="9"/>
  <c r="T58" i="9"/>
  <c r="T97" i="9"/>
  <c r="T187" i="9"/>
  <c r="T62" i="9"/>
  <c r="T178" i="9"/>
  <c r="T272" i="9"/>
  <c r="T260" i="9"/>
  <c r="T248" i="9"/>
  <c r="T330" i="9"/>
  <c r="T250" i="9"/>
  <c r="T213" i="9"/>
  <c r="T125" i="9"/>
  <c r="T64" i="9"/>
  <c r="T340" i="9"/>
  <c r="T210" i="9"/>
  <c r="T361" i="9"/>
  <c r="T135" i="9"/>
  <c r="T284" i="9"/>
  <c r="T251" i="9"/>
  <c r="T43" i="9"/>
  <c r="T81" i="9"/>
  <c r="T253" i="9"/>
  <c r="T78" i="9"/>
  <c r="T107" i="9"/>
  <c r="T158" i="9"/>
  <c r="T25" i="9"/>
  <c r="T105" i="9"/>
  <c r="T169" i="9"/>
  <c r="T220" i="9"/>
  <c r="T48" i="9"/>
  <c r="T96" i="9"/>
  <c r="T347" i="9"/>
  <c r="T147" i="9"/>
  <c r="T163" i="9"/>
  <c r="T200" i="9"/>
  <c r="T222" i="9"/>
  <c r="T362" i="9"/>
  <c r="T77" i="9"/>
  <c r="T35" i="9"/>
  <c r="T267" i="9"/>
  <c r="T319" i="9"/>
  <c r="T201" i="9"/>
  <c r="T156" i="9"/>
  <c r="T364" i="9"/>
  <c r="T358" i="9"/>
  <c r="T296" i="9"/>
  <c r="T266" i="9"/>
  <c r="T244" i="9"/>
  <c r="T121" i="9"/>
  <c r="T50" i="9"/>
  <c r="T160" i="9"/>
  <c r="T307" i="9"/>
  <c r="T116" i="9"/>
  <c r="T304" i="9"/>
  <c r="T68" i="9"/>
  <c r="T281" i="9"/>
  <c r="T338" i="9"/>
  <c r="T39" i="9"/>
  <c r="T161" i="9"/>
  <c r="T230" i="9"/>
  <c r="T59" i="9"/>
  <c r="T316" i="9"/>
  <c r="T33" i="9"/>
  <c r="T46" i="9"/>
  <c r="T24" i="9"/>
  <c r="T53" i="9"/>
  <c r="T104" i="9"/>
  <c r="T87" i="9"/>
  <c r="T155" i="9"/>
  <c r="T270" i="9"/>
  <c r="T136" i="9"/>
  <c r="T282" i="9"/>
  <c r="T339" i="9"/>
  <c r="T308" i="9"/>
  <c r="T299" i="9"/>
  <c r="T19" i="9"/>
  <c r="T318" i="9"/>
  <c r="T91" i="9"/>
  <c r="T148" i="9"/>
  <c r="T209" i="9"/>
  <c r="T138" i="9"/>
  <c r="T344" i="9"/>
  <c r="T224" i="9"/>
  <c r="T92" i="9"/>
  <c r="T249" i="9"/>
  <c r="T245" i="9"/>
  <c r="T83" i="9"/>
  <c r="T150" i="9"/>
  <c r="T131" i="9"/>
  <c r="T18" i="9"/>
  <c r="T119" i="9"/>
  <c r="T277" i="9"/>
  <c r="T174" i="9"/>
  <c r="T84" i="9"/>
  <c r="T262" i="9"/>
  <c r="T111" i="9"/>
  <c r="T323" i="9"/>
  <c r="T123" i="9"/>
  <c r="T120" i="9"/>
  <c r="T333" i="9"/>
  <c r="T23" i="9"/>
  <c r="T215" i="9"/>
  <c r="T208" i="9"/>
  <c r="T203" i="9"/>
  <c r="T134" i="9"/>
  <c r="T359" i="9"/>
  <c r="T223" i="9"/>
  <c r="T85" i="9"/>
  <c r="T117" i="9"/>
  <c r="T356" i="9"/>
  <c r="T34" i="9"/>
  <c r="T186" i="9"/>
  <c r="T232" i="9"/>
  <c r="T257" i="9"/>
  <c r="T69" i="9"/>
  <c r="T258" i="9"/>
  <c r="T355" i="9"/>
  <c r="T110" i="9"/>
  <c r="T128" i="9"/>
  <c r="T314" i="9"/>
  <c r="T80" i="9"/>
  <c r="T182" i="9"/>
  <c r="T164" i="9"/>
  <c r="T29" i="9"/>
  <c r="T21" i="9"/>
  <c r="T291" i="9"/>
  <c r="T242" i="9"/>
  <c r="T172" i="9"/>
  <c r="T179" i="9"/>
  <c r="T183" i="9"/>
  <c r="T219" i="9"/>
  <c r="T198" i="9"/>
  <c r="T140" i="9"/>
  <c r="T305" i="9"/>
  <c r="T206" i="9"/>
  <c r="T44" i="9"/>
  <c r="T226" i="9"/>
  <c r="T309" i="9"/>
  <c r="T181" i="9"/>
  <c r="T207" i="9"/>
  <c r="T313" i="9"/>
  <c r="T145" i="9"/>
  <c r="T334" i="9"/>
  <c r="T65" i="9"/>
  <c r="T159" i="9"/>
  <c r="T264" i="9"/>
  <c r="T61" i="9"/>
  <c r="T265" i="9"/>
  <c r="T118" i="9"/>
  <c r="T51" i="9"/>
  <c r="T42" i="9"/>
  <c r="T197" i="9"/>
  <c r="T205" i="9"/>
  <c r="T27" i="9"/>
  <c r="T218" i="9"/>
  <c r="T20" i="9"/>
  <c r="T293" i="9"/>
  <c r="T227" i="9"/>
  <c r="T348" i="9"/>
  <c r="T294" i="9"/>
  <c r="T71" i="9"/>
  <c r="T167" i="9"/>
  <c r="T279" i="9"/>
  <c r="T298" i="9"/>
  <c r="T271" i="9"/>
  <c r="T70" i="9"/>
  <c r="T269" i="9"/>
  <c r="T32" i="9"/>
  <c r="T89" i="9"/>
  <c r="T72" i="9"/>
  <c r="T57" i="9"/>
  <c r="T329" i="9"/>
  <c r="T66" i="9"/>
  <c r="T143" i="9"/>
  <c r="T124" i="9"/>
  <c r="T144" i="9"/>
  <c r="T101" i="9"/>
  <c r="T153" i="9"/>
  <c r="T74" i="9"/>
  <c r="T176" i="9"/>
  <c r="T192" i="9"/>
  <c r="T350" i="9"/>
  <c r="T243" i="9"/>
  <c r="T151" i="9"/>
  <c r="T137" i="9"/>
  <c r="T114" i="9"/>
  <c r="T47" i="9"/>
  <c r="T252" i="9"/>
  <c r="T357" i="9"/>
  <c r="T254" i="9"/>
  <c r="T90" i="9"/>
  <c r="T52" i="9"/>
  <c r="T341" i="9"/>
  <c r="T268" i="9"/>
  <c r="T142" i="9"/>
  <c r="T290" i="9"/>
  <c r="T237" i="9"/>
  <c r="T173" i="9"/>
  <c r="T63" i="9"/>
  <c r="T22" i="9"/>
  <c r="T346" i="9"/>
  <c r="T317" i="9"/>
  <c r="T335" i="9"/>
  <c r="T312" i="9"/>
  <c r="T295" i="9"/>
  <c r="T285" i="9"/>
  <c r="T221" i="9"/>
  <c r="T86" i="9"/>
  <c r="T60" i="9"/>
  <c r="T321" i="9"/>
  <c r="T214" i="9"/>
  <c r="T331" i="9"/>
  <c r="T38" i="9"/>
  <c r="T94" i="9"/>
  <c r="T322" i="9"/>
  <c r="T324" i="9"/>
  <c r="T152" i="9"/>
  <c r="T283" i="9"/>
  <c r="T177" i="9"/>
  <c r="T255" i="9"/>
  <c r="T166" i="9"/>
  <c r="T246" i="9"/>
  <c r="T146" i="9"/>
  <c r="T228" i="9"/>
  <c r="T168" i="9"/>
  <c r="G10" i="9"/>
  <c r="T8" i="9"/>
  <c r="I8" i="9"/>
  <c r="H9" i="9"/>
  <c r="H10" i="9" s="1"/>
  <c r="AA114" i="3"/>
  <c r="U124" i="3"/>
  <c r="S124" i="3"/>
  <c r="V124" i="3"/>
  <c r="H368" i="6"/>
  <c r="I368" i="6"/>
  <c r="J368" i="6" s="1"/>
  <c r="K368" i="6" s="1"/>
  <c r="D368" i="6"/>
  <c r="C368" i="6"/>
  <c r="B369" i="6"/>
  <c r="L368" i="6"/>
  <c r="Y369" i="6"/>
  <c r="V1766" i="6"/>
  <c r="X366" i="6"/>
  <c r="S367" i="6"/>
  <c r="U1767" i="6"/>
  <c r="A1768" i="6"/>
  <c r="T1767" i="6"/>
  <c r="H365" i="9"/>
  <c r="I365" i="9"/>
  <c r="G365" i="9"/>
  <c r="D365" i="9"/>
  <c r="E365" i="9"/>
  <c r="B366" i="9"/>
  <c r="C365" i="9"/>
  <c r="F365" i="9"/>
  <c r="T9" i="9" l="1"/>
  <c r="G11" i="9"/>
  <c r="T10" i="9"/>
  <c r="T365" i="9"/>
  <c r="G12" i="9"/>
  <c r="H11" i="9"/>
  <c r="H12" i="9" s="1"/>
  <c r="I9" i="9"/>
  <c r="I10" i="9" s="1"/>
  <c r="P10" i="9" s="1"/>
  <c r="AA115" i="3"/>
  <c r="S125" i="3"/>
  <c r="R128" i="1"/>
  <c r="S126" i="3" s="1"/>
  <c r="BA5" i="3" s="1"/>
  <c r="U125" i="3"/>
  <c r="T128" i="1"/>
  <c r="U126" i="3"/>
  <c r="V125" i="3"/>
  <c r="V126" i="3"/>
  <c r="U128" i="1"/>
  <c r="P368" i="6"/>
  <c r="C369" i="6"/>
  <c r="I369" i="6"/>
  <c r="J369" i="6" s="1"/>
  <c r="K369" i="6" s="1"/>
  <c r="Y370" i="6"/>
  <c r="D369" i="6"/>
  <c r="B370" i="6"/>
  <c r="H369" i="6"/>
  <c r="L369" i="6"/>
  <c r="P369" i="6" s="1"/>
  <c r="V1767" i="6"/>
  <c r="F366" i="9"/>
  <c r="B367" i="9"/>
  <c r="D366" i="9"/>
  <c r="C366" i="9"/>
  <c r="E366" i="9"/>
  <c r="I366" i="9"/>
  <c r="P366" i="9" s="1"/>
  <c r="H366" i="9"/>
  <c r="G366" i="9"/>
  <c r="X367" i="6"/>
  <c r="S368" i="6"/>
  <c r="P365" i="9"/>
  <c r="A1769" i="6"/>
  <c r="T1768" i="6"/>
  <c r="U1768" i="6"/>
  <c r="T366" i="9" l="1"/>
  <c r="G13" i="9"/>
  <c r="T12" i="9"/>
  <c r="T11" i="9"/>
  <c r="H13" i="9"/>
  <c r="H14" i="9" s="1"/>
  <c r="P9" i="9"/>
  <c r="I11" i="9"/>
  <c r="AK5" i="3"/>
  <c r="AA117" i="3"/>
  <c r="Z118" i="3" s="1"/>
  <c r="AA116" i="3"/>
  <c r="AB128" i="1"/>
  <c r="Z128" i="1"/>
  <c r="AC128" i="1"/>
  <c r="AA128" i="1"/>
  <c r="B371" i="6"/>
  <c r="L370" i="6"/>
  <c r="Y371" i="6"/>
  <c r="D370" i="6"/>
  <c r="H370" i="6"/>
  <c r="I370" i="6"/>
  <c r="J370" i="6" s="1"/>
  <c r="K370" i="6" s="1"/>
  <c r="C370" i="6"/>
  <c r="V1768" i="6"/>
  <c r="X368" i="6"/>
  <c r="S369" i="6"/>
  <c r="F367" i="9"/>
  <c r="G367" i="9"/>
  <c r="D367" i="9"/>
  <c r="B368" i="9"/>
  <c r="C367" i="9"/>
  <c r="E367" i="9"/>
  <c r="I367" i="9"/>
  <c r="P367" i="9" s="1"/>
  <c r="H367" i="9"/>
  <c r="T1769" i="6"/>
  <c r="A1770" i="6"/>
  <c r="U1769" i="6"/>
  <c r="G14" i="9" l="1"/>
  <c r="G15" i="9" s="1"/>
  <c r="G16" i="9" s="1"/>
  <c r="G17" i="9" s="1"/>
  <c r="H15" i="9"/>
  <c r="H16" i="9" s="1"/>
  <c r="Z119" i="3"/>
  <c r="T367" i="9"/>
  <c r="T13" i="9"/>
  <c r="I12" i="9"/>
  <c r="P11" i="9"/>
  <c r="AA129" i="1"/>
  <c r="AA130" i="1" s="1"/>
  <c r="AA131" i="1" s="1"/>
  <c r="AA132" i="1" s="1"/>
  <c r="AA133" i="1" s="1"/>
  <c r="AA134" i="1" s="1"/>
  <c r="AA135" i="1" s="1"/>
  <c r="AA136" i="1" s="1"/>
  <c r="AA137" i="1" s="1"/>
  <c r="AA138" i="1" s="1"/>
  <c r="AA139" i="1" s="1"/>
  <c r="AA140" i="1" s="1"/>
  <c r="AA141" i="1" s="1"/>
  <c r="AA142" i="1" s="1"/>
  <c r="AA143" i="1" s="1"/>
  <c r="AA144" i="1" s="1"/>
  <c r="AA145" i="1" s="1"/>
  <c r="AA146" i="1" s="1"/>
  <c r="AA147" i="1" s="1"/>
  <c r="AA148" i="1" s="1"/>
  <c r="AA149" i="1" s="1"/>
  <c r="AA150" i="1" s="1"/>
  <c r="AA151" i="1" s="1"/>
  <c r="AA152" i="1" s="1"/>
  <c r="AA153" i="1" s="1"/>
  <c r="AA154" i="1" s="1"/>
  <c r="AA155" i="1" s="1"/>
  <c r="AA156" i="1" s="1"/>
  <c r="AA157" i="1" s="1"/>
  <c r="AA158" i="1" s="1"/>
  <c r="AA159" i="1" s="1"/>
  <c r="AA160" i="1" s="1"/>
  <c r="AA161" i="1" s="1"/>
  <c r="AA162" i="1" s="1"/>
  <c r="AA163" i="1" s="1"/>
  <c r="AA164" i="1" s="1"/>
  <c r="AA165" i="1" s="1"/>
  <c r="AA166" i="1" s="1"/>
  <c r="AA167" i="1" s="1"/>
  <c r="AA168" i="1" s="1"/>
  <c r="AA169" i="1" s="1"/>
  <c r="AA170" i="1" s="1"/>
  <c r="AA171" i="1" s="1"/>
  <c r="AA172" i="1" s="1"/>
  <c r="AA173" i="1" s="1"/>
  <c r="AA174" i="1" s="1"/>
  <c r="AA175" i="1" s="1"/>
  <c r="AA176" i="1" s="1"/>
  <c r="AA177" i="1" s="1"/>
  <c r="AA178" i="1" s="1"/>
  <c r="AA179" i="1" s="1"/>
  <c r="AA180" i="1" s="1"/>
  <c r="AA181" i="1" s="1"/>
  <c r="AA182" i="1" s="1"/>
  <c r="AA183" i="1" s="1"/>
  <c r="AA184" i="1" s="1"/>
  <c r="AA185" i="1" s="1"/>
  <c r="AA186" i="1" s="1"/>
  <c r="AA187" i="1" s="1"/>
  <c r="AA188" i="1" s="1"/>
  <c r="AA189" i="1" s="1"/>
  <c r="AA190" i="1" s="1"/>
  <c r="AA191" i="1" s="1"/>
  <c r="AA192" i="1" s="1"/>
  <c r="AA193" i="1" s="1"/>
  <c r="AA194" i="1" s="1"/>
  <c r="AA195" i="1" s="1"/>
  <c r="AA196" i="1" s="1"/>
  <c r="AA197" i="1" s="1"/>
  <c r="AA198" i="1" s="1"/>
  <c r="AA199" i="1" s="1"/>
  <c r="AA200" i="1" s="1"/>
  <c r="AA201" i="1" s="1"/>
  <c r="AA202" i="1" s="1"/>
  <c r="AA203" i="1" s="1"/>
  <c r="AA204" i="1" s="1"/>
  <c r="AA205" i="1" s="1"/>
  <c r="AA206" i="1" s="1"/>
  <c r="AA207" i="1" s="1"/>
  <c r="AA208" i="1" s="1"/>
  <c r="AA209" i="1" s="1"/>
  <c r="AA210" i="1" s="1"/>
  <c r="AA211" i="1" s="1"/>
  <c r="AA212" i="1" s="1"/>
  <c r="AA213" i="1" s="1"/>
  <c r="AA214" i="1" s="1"/>
  <c r="AA215" i="1" s="1"/>
  <c r="AA216" i="1" s="1"/>
  <c r="AA217" i="1" s="1"/>
  <c r="AA218" i="1" s="1"/>
  <c r="AA219" i="1" s="1"/>
  <c r="AA220" i="1" s="1"/>
  <c r="AA221" i="1" s="1"/>
  <c r="AA222" i="1" s="1"/>
  <c r="AA223" i="1" s="1"/>
  <c r="AA224" i="1" s="1"/>
  <c r="AA225" i="1" s="1"/>
  <c r="AA226" i="1" s="1"/>
  <c r="AA227" i="1" s="1"/>
  <c r="AA228" i="1" s="1"/>
  <c r="AA229" i="1" s="1"/>
  <c r="AA230" i="1" s="1"/>
  <c r="AA231" i="1" s="1"/>
  <c r="AA232" i="1" s="1"/>
  <c r="AA233" i="1" s="1"/>
  <c r="AA234" i="1" s="1"/>
  <c r="AA235" i="1" s="1"/>
  <c r="AA236" i="1" s="1"/>
  <c r="AA237" i="1" s="1"/>
  <c r="AA238" i="1" s="1"/>
  <c r="AA239" i="1" s="1"/>
  <c r="AA240" i="1" s="1"/>
  <c r="AA241" i="1" s="1"/>
  <c r="AA242" i="1" s="1"/>
  <c r="AA243" i="1" s="1"/>
  <c r="AA244" i="1" s="1"/>
  <c r="AA245" i="1" s="1"/>
  <c r="AA246" i="1" s="1"/>
  <c r="AA247" i="1" s="1"/>
  <c r="AA248" i="1" s="1"/>
  <c r="AA249" i="1" s="1"/>
  <c r="AA250" i="1" s="1"/>
  <c r="AA251" i="1" s="1"/>
  <c r="AA252" i="1" s="1"/>
  <c r="AA253" i="1" s="1"/>
  <c r="AA254" i="1" s="1"/>
  <c r="AA255" i="1" s="1"/>
  <c r="AA256" i="1" s="1"/>
  <c r="AA257" i="1" s="1"/>
  <c r="AA258" i="1" s="1"/>
  <c r="AA259" i="1" s="1"/>
  <c r="AA260" i="1" s="1"/>
  <c r="AA261" i="1" s="1"/>
  <c r="AA262" i="1" s="1"/>
  <c r="AA263" i="1" s="1"/>
  <c r="AA264" i="1" s="1"/>
  <c r="AA265" i="1" s="1"/>
  <c r="AA266" i="1" s="1"/>
  <c r="AA267" i="1" s="1"/>
  <c r="AA268" i="1" s="1"/>
  <c r="AA269" i="1" s="1"/>
  <c r="AA270" i="1" s="1"/>
  <c r="AA271" i="1" s="1"/>
  <c r="AA272" i="1" s="1"/>
  <c r="AA273" i="1" s="1"/>
  <c r="AA274" i="1" s="1"/>
  <c r="AA275" i="1" s="1"/>
  <c r="AA276" i="1" s="1"/>
  <c r="AA277" i="1" s="1"/>
  <c r="AA278" i="1" s="1"/>
  <c r="AA279" i="1" s="1"/>
  <c r="AA280" i="1" s="1"/>
  <c r="AA281" i="1" s="1"/>
  <c r="AA282" i="1" s="1"/>
  <c r="AA283" i="1" s="1"/>
  <c r="AA284" i="1" s="1"/>
  <c r="AA285" i="1" s="1"/>
  <c r="AA286" i="1" s="1"/>
  <c r="AA287" i="1" s="1"/>
  <c r="AA288" i="1" s="1"/>
  <c r="AA289" i="1" s="1"/>
  <c r="AA290" i="1" s="1"/>
  <c r="AA291" i="1" s="1"/>
  <c r="AA292" i="1" s="1"/>
  <c r="AA293" i="1" s="1"/>
  <c r="AA294" i="1" s="1"/>
  <c r="AA295" i="1" s="1"/>
  <c r="AA296" i="1" s="1"/>
  <c r="AA297" i="1" s="1"/>
  <c r="AA298" i="1" s="1"/>
  <c r="AA299" i="1" s="1"/>
  <c r="AA300" i="1" s="1"/>
  <c r="AA301" i="1" s="1"/>
  <c r="AA302" i="1" s="1"/>
  <c r="AA303" i="1" s="1"/>
  <c r="AA304" i="1" s="1"/>
  <c r="AA305" i="1" s="1"/>
  <c r="AA306" i="1" s="1"/>
  <c r="AA307" i="1" s="1"/>
  <c r="AA308" i="1" s="1"/>
  <c r="AA309" i="1" s="1"/>
  <c r="AA310" i="1" s="1"/>
  <c r="AA311" i="1" s="1"/>
  <c r="AA312" i="1" s="1"/>
  <c r="AA313" i="1" s="1"/>
  <c r="AA314" i="1" s="1"/>
  <c r="AA315" i="1" s="1"/>
  <c r="AA316" i="1" s="1"/>
  <c r="AA317" i="1" s="1"/>
  <c r="AA318" i="1" s="1"/>
  <c r="AA319" i="1" s="1"/>
  <c r="AA320" i="1" s="1"/>
  <c r="AA321" i="1" s="1"/>
  <c r="AA322" i="1" s="1"/>
  <c r="AA323" i="1" s="1"/>
  <c r="AA324" i="1" s="1"/>
  <c r="AA325" i="1" s="1"/>
  <c r="AA326" i="1" s="1"/>
  <c r="AA327" i="1" s="1"/>
  <c r="AA328" i="1" s="1"/>
  <c r="AA329" i="1" s="1"/>
  <c r="AA330" i="1" s="1"/>
  <c r="AA331" i="1" s="1"/>
  <c r="AA332" i="1" s="1"/>
  <c r="AA333" i="1" s="1"/>
  <c r="AA334" i="1" s="1"/>
  <c r="AA335" i="1" s="1"/>
  <c r="AA336" i="1" s="1"/>
  <c r="AA337" i="1" s="1"/>
  <c r="AA338" i="1" s="1"/>
  <c r="AA339" i="1" s="1"/>
  <c r="AA340" i="1" s="1"/>
  <c r="AA341" i="1" s="1"/>
  <c r="AA342" i="1" s="1"/>
  <c r="AA343" i="1" s="1"/>
  <c r="AA344" i="1" s="1"/>
  <c r="AA345" i="1" s="1"/>
  <c r="AA346" i="1" s="1"/>
  <c r="AA347" i="1" s="1"/>
  <c r="AA348" i="1" s="1"/>
  <c r="AA349" i="1" s="1"/>
  <c r="AA350" i="1" s="1"/>
  <c r="AA351" i="1" s="1"/>
  <c r="AA352" i="1" s="1"/>
  <c r="AA353" i="1" s="1"/>
  <c r="AA354" i="1" s="1"/>
  <c r="AA355" i="1" s="1"/>
  <c r="AA356" i="1" s="1"/>
  <c r="AA357" i="1" s="1"/>
  <c r="AA358" i="1" s="1"/>
  <c r="AA359" i="1" s="1"/>
  <c r="AA360" i="1" s="1"/>
  <c r="AA361" i="1" s="1"/>
  <c r="AA362" i="1" s="1"/>
  <c r="AA363" i="1" s="1"/>
  <c r="AA364" i="1" s="1"/>
  <c r="AA365" i="1" s="1"/>
  <c r="AA366" i="1" s="1"/>
  <c r="AA367" i="1" s="1"/>
  <c r="AA368" i="1" s="1"/>
  <c r="AA369" i="1" s="1"/>
  <c r="AA370" i="1" s="1"/>
  <c r="AA371" i="1" s="1"/>
  <c r="AA372" i="1" s="1"/>
  <c r="AA373" i="1" s="1"/>
  <c r="AA374" i="1" s="1"/>
  <c r="AA375" i="1" s="1"/>
  <c r="AA376" i="1" s="1"/>
  <c r="AA377" i="1" s="1"/>
  <c r="AA378" i="1" s="1"/>
  <c r="AA379" i="1" s="1"/>
  <c r="AA380" i="1" s="1"/>
  <c r="AA381" i="1" s="1"/>
  <c r="AA382" i="1" s="1"/>
  <c r="AA383" i="1" s="1"/>
  <c r="AA384" i="1" s="1"/>
  <c r="AA385" i="1" s="1"/>
  <c r="AA386" i="1" s="1"/>
  <c r="AA387" i="1" s="1"/>
  <c r="AA388" i="1" s="1"/>
  <c r="AA389" i="1" s="1"/>
  <c r="AA390" i="1" s="1"/>
  <c r="AA391" i="1" s="1"/>
  <c r="AA392" i="1" s="1"/>
  <c r="AA393" i="1" s="1"/>
  <c r="AA394" i="1" s="1"/>
  <c r="AA395" i="1" s="1"/>
  <c r="AA396" i="1" s="1"/>
  <c r="AA397" i="1" s="1"/>
  <c r="AA398" i="1" s="1"/>
  <c r="AA399" i="1" s="1"/>
  <c r="AA400" i="1" s="1"/>
  <c r="AA401" i="1" s="1"/>
  <c r="AA1" i="1"/>
  <c r="Z129" i="1"/>
  <c r="Z130" i="1" s="1"/>
  <c r="Z131" i="1" s="1"/>
  <c r="Z132" i="1" s="1"/>
  <c r="Z133" i="1" s="1"/>
  <c r="Z134" i="1" s="1"/>
  <c r="Z135" i="1" s="1"/>
  <c r="Z136" i="1" s="1"/>
  <c r="Z137" i="1" s="1"/>
  <c r="Z138" i="1" s="1"/>
  <c r="Z139" i="1" s="1"/>
  <c r="Z140" i="1" s="1"/>
  <c r="Z141" i="1" s="1"/>
  <c r="Z142" i="1" s="1"/>
  <c r="Z143" i="1" s="1"/>
  <c r="Z144" i="1" s="1"/>
  <c r="Z145" i="1" s="1"/>
  <c r="Z146" i="1" s="1"/>
  <c r="Z147" i="1" s="1"/>
  <c r="Z148" i="1" s="1"/>
  <c r="Z149" i="1" s="1"/>
  <c r="Z150" i="1" s="1"/>
  <c r="Z151" i="1" s="1"/>
  <c r="Z152" i="1" s="1"/>
  <c r="Z153" i="1" s="1"/>
  <c r="Z154" i="1" s="1"/>
  <c r="Z155" i="1" s="1"/>
  <c r="Z156" i="1" s="1"/>
  <c r="Z157" i="1" s="1"/>
  <c r="Z158" i="1" s="1"/>
  <c r="Z159" i="1" s="1"/>
  <c r="Z160" i="1" s="1"/>
  <c r="Z161" i="1" s="1"/>
  <c r="Z162" i="1" s="1"/>
  <c r="Z163" i="1" s="1"/>
  <c r="Z164" i="1" s="1"/>
  <c r="Z165" i="1" s="1"/>
  <c r="Z166" i="1" s="1"/>
  <c r="Z167" i="1" s="1"/>
  <c r="Z168" i="1" s="1"/>
  <c r="Z169" i="1" s="1"/>
  <c r="Z170" i="1" s="1"/>
  <c r="Z171" i="1" s="1"/>
  <c r="Z172" i="1" s="1"/>
  <c r="Z173" i="1" s="1"/>
  <c r="Z174" i="1" s="1"/>
  <c r="Z175" i="1" s="1"/>
  <c r="Z176" i="1" s="1"/>
  <c r="Z177" i="1" s="1"/>
  <c r="Z178" i="1" s="1"/>
  <c r="Z179" i="1" s="1"/>
  <c r="Z180" i="1" s="1"/>
  <c r="Z181" i="1" s="1"/>
  <c r="Z182" i="1" s="1"/>
  <c r="Z183" i="1" s="1"/>
  <c r="Z184" i="1" s="1"/>
  <c r="Z185" i="1" s="1"/>
  <c r="Z186" i="1" s="1"/>
  <c r="Z187" i="1" s="1"/>
  <c r="Z188" i="1" s="1"/>
  <c r="Z189" i="1" s="1"/>
  <c r="Z190" i="1" s="1"/>
  <c r="Z191" i="1" s="1"/>
  <c r="Z192" i="1" s="1"/>
  <c r="Z193" i="1" s="1"/>
  <c r="Z194" i="1" s="1"/>
  <c r="Z195" i="1" s="1"/>
  <c r="Z196" i="1" s="1"/>
  <c r="Z197" i="1" s="1"/>
  <c r="Z198" i="1" s="1"/>
  <c r="Z199" i="1" s="1"/>
  <c r="Z200" i="1" s="1"/>
  <c r="Z201" i="1" s="1"/>
  <c r="Z202" i="1" s="1"/>
  <c r="Z203" i="1" s="1"/>
  <c r="Z204" i="1" s="1"/>
  <c r="Z205" i="1" s="1"/>
  <c r="Z206" i="1" s="1"/>
  <c r="Z207" i="1" s="1"/>
  <c r="Z208" i="1" s="1"/>
  <c r="Z209" i="1" s="1"/>
  <c r="Z210" i="1" s="1"/>
  <c r="Z211" i="1" s="1"/>
  <c r="Z212" i="1" s="1"/>
  <c r="Z213" i="1" s="1"/>
  <c r="Z214" i="1" s="1"/>
  <c r="Z215" i="1" s="1"/>
  <c r="Z216" i="1" s="1"/>
  <c r="Z217" i="1" s="1"/>
  <c r="Z218" i="1" s="1"/>
  <c r="Z219" i="1" s="1"/>
  <c r="Z220" i="1" s="1"/>
  <c r="Z221" i="1" s="1"/>
  <c r="Z222" i="1" s="1"/>
  <c r="Z223" i="1" s="1"/>
  <c r="Z224" i="1" s="1"/>
  <c r="Z225" i="1" s="1"/>
  <c r="Z226" i="1" s="1"/>
  <c r="Z227" i="1" s="1"/>
  <c r="Z228" i="1" s="1"/>
  <c r="Z229" i="1" s="1"/>
  <c r="Z230" i="1" s="1"/>
  <c r="Z231" i="1" s="1"/>
  <c r="Z232" i="1" s="1"/>
  <c r="Z233" i="1" s="1"/>
  <c r="Z234" i="1" s="1"/>
  <c r="Z235" i="1" s="1"/>
  <c r="Z236" i="1" s="1"/>
  <c r="Z237" i="1" s="1"/>
  <c r="Z238" i="1" s="1"/>
  <c r="Z239" i="1" s="1"/>
  <c r="Z240" i="1" s="1"/>
  <c r="Z241" i="1" s="1"/>
  <c r="Z242" i="1" s="1"/>
  <c r="Z243" i="1" s="1"/>
  <c r="Z244" i="1" s="1"/>
  <c r="Z245" i="1" s="1"/>
  <c r="Z246" i="1" s="1"/>
  <c r="Z247" i="1" s="1"/>
  <c r="Z248" i="1" s="1"/>
  <c r="Z249" i="1" s="1"/>
  <c r="Z250" i="1" s="1"/>
  <c r="Z251" i="1" s="1"/>
  <c r="Z252" i="1" s="1"/>
  <c r="Z253" i="1" s="1"/>
  <c r="Z254" i="1" s="1"/>
  <c r="Z255" i="1" s="1"/>
  <c r="Z256" i="1" s="1"/>
  <c r="Z257" i="1" s="1"/>
  <c r="Z258" i="1" s="1"/>
  <c r="Z259" i="1" s="1"/>
  <c r="Z260" i="1" s="1"/>
  <c r="Z261" i="1" s="1"/>
  <c r="Z262" i="1" s="1"/>
  <c r="Z263" i="1" s="1"/>
  <c r="Z264" i="1" s="1"/>
  <c r="Z265" i="1" s="1"/>
  <c r="Z266" i="1" s="1"/>
  <c r="Z267" i="1" s="1"/>
  <c r="Z268" i="1" s="1"/>
  <c r="Z269" i="1" s="1"/>
  <c r="Z270" i="1" s="1"/>
  <c r="Z271" i="1" s="1"/>
  <c r="Z272" i="1" s="1"/>
  <c r="Z273" i="1" s="1"/>
  <c r="Z274" i="1" s="1"/>
  <c r="Z275" i="1" s="1"/>
  <c r="Z276" i="1" s="1"/>
  <c r="Z277" i="1" s="1"/>
  <c r="Z278" i="1" s="1"/>
  <c r="Z279" i="1" s="1"/>
  <c r="Z280" i="1" s="1"/>
  <c r="Z281" i="1" s="1"/>
  <c r="Z282" i="1" s="1"/>
  <c r="Z283" i="1" s="1"/>
  <c r="Z284" i="1" s="1"/>
  <c r="Z285" i="1" s="1"/>
  <c r="Z286" i="1" s="1"/>
  <c r="Z287" i="1" s="1"/>
  <c r="Z288" i="1" s="1"/>
  <c r="Z289" i="1" s="1"/>
  <c r="Z290" i="1" s="1"/>
  <c r="Z291" i="1" s="1"/>
  <c r="Z292" i="1" s="1"/>
  <c r="Z293" i="1" s="1"/>
  <c r="Z294" i="1" s="1"/>
  <c r="Z295" i="1" s="1"/>
  <c r="Z296" i="1" s="1"/>
  <c r="Z297" i="1" s="1"/>
  <c r="Z298" i="1" s="1"/>
  <c r="Z299" i="1" s="1"/>
  <c r="Z300" i="1" s="1"/>
  <c r="Z301" i="1" s="1"/>
  <c r="Z302" i="1" s="1"/>
  <c r="Z303" i="1" s="1"/>
  <c r="Z304" i="1" s="1"/>
  <c r="Z305" i="1" s="1"/>
  <c r="Z306" i="1" s="1"/>
  <c r="Z307" i="1" s="1"/>
  <c r="Z308" i="1" s="1"/>
  <c r="Z309" i="1" s="1"/>
  <c r="Z310" i="1" s="1"/>
  <c r="Z311" i="1" s="1"/>
  <c r="Z312" i="1" s="1"/>
  <c r="Z313" i="1" s="1"/>
  <c r="Z314" i="1" s="1"/>
  <c r="Z315" i="1" s="1"/>
  <c r="Z316" i="1" s="1"/>
  <c r="Z317" i="1" s="1"/>
  <c r="Z318" i="1" s="1"/>
  <c r="Z319" i="1" s="1"/>
  <c r="Z320" i="1" s="1"/>
  <c r="Z321" i="1" s="1"/>
  <c r="Z322" i="1" s="1"/>
  <c r="Z323" i="1" s="1"/>
  <c r="Z324" i="1" s="1"/>
  <c r="Z325" i="1" s="1"/>
  <c r="Z326" i="1" s="1"/>
  <c r="Z327" i="1" s="1"/>
  <c r="Z328" i="1" s="1"/>
  <c r="Z329" i="1" s="1"/>
  <c r="Z330" i="1" s="1"/>
  <c r="Z331" i="1" s="1"/>
  <c r="Z332" i="1" s="1"/>
  <c r="Z333" i="1" s="1"/>
  <c r="Z334" i="1" s="1"/>
  <c r="Z335" i="1" s="1"/>
  <c r="Z336" i="1" s="1"/>
  <c r="Z337" i="1" s="1"/>
  <c r="Z338" i="1" s="1"/>
  <c r="Z339" i="1" s="1"/>
  <c r="Z340" i="1" s="1"/>
  <c r="Z341" i="1" s="1"/>
  <c r="Z342" i="1" s="1"/>
  <c r="Z343" i="1" s="1"/>
  <c r="Z344" i="1" s="1"/>
  <c r="Z345" i="1" s="1"/>
  <c r="Z346" i="1" s="1"/>
  <c r="Z347" i="1" s="1"/>
  <c r="Z348" i="1" s="1"/>
  <c r="Z349" i="1" s="1"/>
  <c r="Z350" i="1" s="1"/>
  <c r="Z351" i="1" s="1"/>
  <c r="Z352" i="1" s="1"/>
  <c r="Z353" i="1" s="1"/>
  <c r="Z354" i="1" s="1"/>
  <c r="Z355" i="1" s="1"/>
  <c r="Z356" i="1" s="1"/>
  <c r="Z357" i="1" s="1"/>
  <c r="Z358" i="1" s="1"/>
  <c r="Z359" i="1" s="1"/>
  <c r="Z360" i="1" s="1"/>
  <c r="Z361" i="1" s="1"/>
  <c r="Z362" i="1" s="1"/>
  <c r="Z363" i="1" s="1"/>
  <c r="Z364" i="1" s="1"/>
  <c r="Z365" i="1" s="1"/>
  <c r="Z366" i="1" s="1"/>
  <c r="Z367" i="1" s="1"/>
  <c r="Z368" i="1" s="1"/>
  <c r="Z369" i="1" s="1"/>
  <c r="Z370" i="1" s="1"/>
  <c r="Z371" i="1" s="1"/>
  <c r="Z372" i="1" s="1"/>
  <c r="Z373" i="1" s="1"/>
  <c r="Z374" i="1" s="1"/>
  <c r="Z375" i="1" s="1"/>
  <c r="Z376" i="1" s="1"/>
  <c r="Z377" i="1" s="1"/>
  <c r="Z378" i="1" s="1"/>
  <c r="Z379" i="1" s="1"/>
  <c r="Z380" i="1" s="1"/>
  <c r="Z381" i="1" s="1"/>
  <c r="Z382" i="1" s="1"/>
  <c r="Z383" i="1" s="1"/>
  <c r="Z384" i="1" s="1"/>
  <c r="Z385" i="1" s="1"/>
  <c r="Z386" i="1" s="1"/>
  <c r="Z387" i="1" s="1"/>
  <c r="Z388" i="1" s="1"/>
  <c r="Z389" i="1" s="1"/>
  <c r="Z390" i="1" s="1"/>
  <c r="Z391" i="1" s="1"/>
  <c r="Z392" i="1" s="1"/>
  <c r="Z393" i="1" s="1"/>
  <c r="Z394" i="1" s="1"/>
  <c r="Z395" i="1" s="1"/>
  <c r="Z396" i="1" s="1"/>
  <c r="Z397" i="1" s="1"/>
  <c r="Z398" i="1" s="1"/>
  <c r="Z399" i="1" s="1"/>
  <c r="Z400" i="1" s="1"/>
  <c r="Z401" i="1" s="1"/>
  <c r="Z1" i="1"/>
  <c r="P370" i="6"/>
  <c r="H371" i="6"/>
  <c r="Y372" i="6"/>
  <c r="C371" i="6"/>
  <c r="L371" i="6"/>
  <c r="P371" i="6" s="1"/>
  <c r="D371" i="6"/>
  <c r="B372" i="6"/>
  <c r="I371" i="6"/>
  <c r="J371" i="6" s="1"/>
  <c r="K371" i="6" s="1"/>
  <c r="V1769" i="6"/>
  <c r="H368" i="9"/>
  <c r="I368" i="9"/>
  <c r="P368" i="9" s="1"/>
  <c r="E368" i="9"/>
  <c r="D368" i="9"/>
  <c r="G368" i="9"/>
  <c r="C368" i="9"/>
  <c r="B369" i="9"/>
  <c r="F368" i="9"/>
  <c r="X369" i="6"/>
  <c r="S370" i="6"/>
  <c r="U1770" i="6"/>
  <c r="A1771" i="6"/>
  <c r="T1770" i="6"/>
  <c r="AJ25" i="3" l="1"/>
  <c r="AJ34" i="3"/>
  <c r="AJ43" i="3"/>
  <c r="A43" i="18" s="1"/>
  <c r="AJ21" i="3"/>
  <c r="A21" i="18" s="1"/>
  <c r="AJ54" i="3"/>
  <c r="AJ7" i="3"/>
  <c r="AJ50" i="3"/>
  <c r="AJ8" i="3"/>
  <c r="AJ20" i="3"/>
  <c r="AJ47" i="3"/>
  <c r="A47" i="18" s="1"/>
  <c r="AJ37" i="3"/>
  <c r="A37" i="18" s="1"/>
  <c r="AJ48" i="3"/>
  <c r="A48" i="18" s="1"/>
  <c r="AJ31" i="3"/>
  <c r="AJ57" i="3"/>
  <c r="A57" i="18" s="1"/>
  <c r="AJ15" i="3"/>
  <c r="A15" i="18" s="1"/>
  <c r="AJ10" i="3"/>
  <c r="AJ13" i="3"/>
  <c r="AJ35" i="3"/>
  <c r="AJ9" i="3"/>
  <c r="AJ23" i="3"/>
  <c r="A23" i="18" s="1"/>
  <c r="AJ64" i="3"/>
  <c r="AJ38" i="3"/>
  <c r="A38" i="18" s="1"/>
  <c r="AJ16" i="3"/>
  <c r="A16" i="18" s="1"/>
  <c r="AJ29" i="3"/>
  <c r="AJ22" i="3"/>
  <c r="AJ12" i="3"/>
  <c r="AJ19" i="3"/>
  <c r="A19" i="18" s="1"/>
  <c r="AJ56" i="3"/>
  <c r="A56" i="18" s="1"/>
  <c r="AJ49" i="3"/>
  <c r="A49" i="18" s="1"/>
  <c r="AJ40" i="3"/>
  <c r="A40" i="18" s="1"/>
  <c r="AJ36" i="3"/>
  <c r="Z120" i="3"/>
  <c r="Z121" i="3" s="1"/>
  <c r="Z122" i="3" s="1"/>
  <c r="H17" i="9"/>
  <c r="T17" i="9" s="1"/>
  <c r="T14" i="9"/>
  <c r="T16" i="9"/>
  <c r="T15" i="9"/>
  <c r="A34" i="18"/>
  <c r="T368" i="9"/>
  <c r="I13" i="9"/>
  <c r="P12" i="9"/>
  <c r="Y373" i="6"/>
  <c r="I372" i="6"/>
  <c r="J372" i="6" s="1"/>
  <c r="K372" i="6" s="1"/>
  <c r="L372" i="6"/>
  <c r="P372" i="6" s="1"/>
  <c r="B373" i="6"/>
  <c r="D372" i="6"/>
  <c r="C372" i="6"/>
  <c r="H372" i="6"/>
  <c r="V1770" i="6"/>
  <c r="A1772" i="6"/>
  <c r="T1771" i="6"/>
  <c r="U1771" i="6"/>
  <c r="F369" i="9"/>
  <c r="B370" i="9"/>
  <c r="E369" i="9"/>
  <c r="I369" i="9"/>
  <c r="P369" i="9" s="1"/>
  <c r="D369" i="9"/>
  <c r="H369" i="9"/>
  <c r="G369" i="9"/>
  <c r="C369" i="9"/>
  <c r="X370" i="6"/>
  <c r="S371" i="6"/>
  <c r="AJ60" i="3" l="1"/>
  <c r="AJ61" i="3"/>
  <c r="A61" i="18" s="1"/>
  <c r="AJ66" i="3"/>
  <c r="AJ67" i="3"/>
  <c r="A67" i="18" s="1"/>
  <c r="AJ114" i="3"/>
  <c r="AJ84" i="3"/>
  <c r="AL84" i="3" s="1"/>
  <c r="AJ103" i="3"/>
  <c r="AK103" i="3" s="1"/>
  <c r="AJ88" i="3"/>
  <c r="AK88" i="3" s="1"/>
  <c r="AJ118" i="3"/>
  <c r="AK118" i="3" s="1"/>
  <c r="AJ85" i="3"/>
  <c r="AK85" i="3" s="1"/>
  <c r="AJ104" i="3"/>
  <c r="AL104" i="3" s="1"/>
  <c r="AJ108" i="3"/>
  <c r="AM108" i="3" s="1"/>
  <c r="AJ117" i="3"/>
  <c r="AM117" i="3" s="1"/>
  <c r="AJ116" i="3"/>
  <c r="AK116" i="3" s="1"/>
  <c r="AN116" i="3" s="1"/>
  <c r="AJ99" i="3"/>
  <c r="AL99" i="3" s="1"/>
  <c r="AJ125" i="3"/>
  <c r="AK125" i="3" s="1"/>
  <c r="AJ109" i="3"/>
  <c r="AJ89" i="3"/>
  <c r="AL89" i="3" s="1"/>
  <c r="AJ107" i="3"/>
  <c r="AL107" i="3" s="1"/>
  <c r="AJ77" i="3"/>
  <c r="AM77" i="3" s="1"/>
  <c r="AJ122" i="3"/>
  <c r="AM122" i="3" s="1"/>
  <c r="AJ75" i="3"/>
  <c r="AM75" i="3" s="1"/>
  <c r="D75" i="18" s="1"/>
  <c r="AJ73" i="3"/>
  <c r="AK73" i="3" s="1"/>
  <c r="AJ97" i="3"/>
  <c r="AK97" i="3" s="1"/>
  <c r="AJ119" i="3"/>
  <c r="AK119" i="3" s="1"/>
  <c r="AJ78" i="3"/>
  <c r="AL78" i="3" s="1"/>
  <c r="AJ93" i="3"/>
  <c r="AM93" i="3" s="1"/>
  <c r="AJ86" i="3"/>
  <c r="AK86" i="3" s="1"/>
  <c r="AJ74" i="3"/>
  <c r="AJ121" i="3"/>
  <c r="AJ105" i="3"/>
  <c r="AJ115" i="3"/>
  <c r="AM115" i="3" s="1"/>
  <c r="AJ90" i="3"/>
  <c r="AK90" i="3" s="1"/>
  <c r="AJ69" i="3"/>
  <c r="AM69" i="3" s="1"/>
  <c r="D69" i="18" s="1"/>
  <c r="AJ72" i="3"/>
  <c r="AK72" i="3" s="1"/>
  <c r="AJ70" i="3"/>
  <c r="AL70" i="3" s="1"/>
  <c r="C70" i="18" s="1"/>
  <c r="AM36" i="3"/>
  <c r="D36" i="18" s="1"/>
  <c r="AK36" i="3"/>
  <c r="AL36" i="3"/>
  <c r="C36" i="18" s="1"/>
  <c r="A36" i="18"/>
  <c r="AM7" i="3"/>
  <c r="AK7" i="3"/>
  <c r="AL7" i="3"/>
  <c r="C7" i="18" s="1"/>
  <c r="A7" i="18"/>
  <c r="AK9" i="3"/>
  <c r="AM9" i="3"/>
  <c r="D9" i="18" s="1"/>
  <c r="AL9" i="3"/>
  <c r="C9" i="18" s="1"/>
  <c r="A9" i="18"/>
  <c r="AL22" i="3"/>
  <c r="C22" i="18" s="1"/>
  <c r="AM22" i="3"/>
  <c r="D22" i="18" s="1"/>
  <c r="AK22" i="3"/>
  <c r="A22" i="18"/>
  <c r="AL31" i="3"/>
  <c r="C31" i="18" s="1"/>
  <c r="AK31" i="3"/>
  <c r="B31" i="18" s="1"/>
  <c r="AM31" i="3"/>
  <c r="D31" i="18" s="1"/>
  <c r="A31" i="18"/>
  <c r="AK13" i="3"/>
  <c r="B13" i="18" s="1"/>
  <c r="AM13" i="3"/>
  <c r="D13" i="18" s="1"/>
  <c r="AL13" i="3"/>
  <c r="C13" i="18" s="1"/>
  <c r="AM64" i="3"/>
  <c r="D64" i="18" s="1"/>
  <c r="AL64" i="3"/>
  <c r="C64" i="18" s="1"/>
  <c r="AK64" i="3"/>
  <c r="AK8" i="3"/>
  <c r="AM8" i="3"/>
  <c r="D8" i="18" s="1"/>
  <c r="AL8" i="3"/>
  <c r="C8" i="18" s="1"/>
  <c r="AJ102" i="3"/>
  <c r="AL102" i="3" s="1"/>
  <c r="AJ80" i="3"/>
  <c r="AL80" i="3" s="1"/>
  <c r="AJ91" i="3"/>
  <c r="AL91" i="3" s="1"/>
  <c r="C91" i="18" s="1"/>
  <c r="AJ82" i="3"/>
  <c r="AK82" i="3" s="1"/>
  <c r="AJ96" i="3"/>
  <c r="AL96" i="3" s="1"/>
  <c r="AJ53" i="3"/>
  <c r="AJ65" i="3"/>
  <c r="AJ55" i="3"/>
  <c r="AJ41" i="3"/>
  <c r="AJ42" i="3"/>
  <c r="AL35" i="3"/>
  <c r="C35" i="18" s="1"/>
  <c r="AK35" i="3"/>
  <c r="AN35" i="3" s="1"/>
  <c r="AM35" i="3"/>
  <c r="D35" i="18" s="1"/>
  <c r="AL29" i="3"/>
  <c r="C29" i="18" s="1"/>
  <c r="AK29" i="3"/>
  <c r="AM29" i="3"/>
  <c r="D29" i="18" s="1"/>
  <c r="AM10" i="3"/>
  <c r="D10" i="18" s="1"/>
  <c r="AK10" i="3"/>
  <c r="AN10" i="3" s="1"/>
  <c r="AL10" i="3"/>
  <c r="C10" i="18" s="1"/>
  <c r="AM20" i="3"/>
  <c r="D20" i="18" s="1"/>
  <c r="AK20" i="3"/>
  <c r="AL20" i="3"/>
  <c r="C20" i="18" s="1"/>
  <c r="AK12" i="3"/>
  <c r="AL12" i="3"/>
  <c r="C12" i="18" s="1"/>
  <c r="AM12" i="3"/>
  <c r="D12" i="18" s="1"/>
  <c r="AM34" i="3"/>
  <c r="D34" i="18" s="1"/>
  <c r="AL34" i="3"/>
  <c r="C34" i="18" s="1"/>
  <c r="AK34" i="3"/>
  <c r="AN34" i="3" s="1"/>
  <c r="A64" i="18"/>
  <c r="AJ95" i="3"/>
  <c r="AL95" i="3" s="1"/>
  <c r="AJ124" i="3"/>
  <c r="AK124" i="3" s="1"/>
  <c r="AJ113" i="3"/>
  <c r="AL113" i="3" s="1"/>
  <c r="AJ112" i="3"/>
  <c r="AL112" i="3" s="1"/>
  <c r="AJ100" i="3"/>
  <c r="AL100" i="3" s="1"/>
  <c r="AJ63" i="3"/>
  <c r="AJ39" i="3"/>
  <c r="AJ17" i="3"/>
  <c r="AJ68" i="3"/>
  <c r="A68" i="18" s="1"/>
  <c r="AJ30" i="3"/>
  <c r="AK66" i="3"/>
  <c r="B66" i="18" s="1"/>
  <c r="AL66" i="3"/>
  <c r="C66" i="18" s="1"/>
  <c r="AM66" i="3"/>
  <c r="D66" i="18" s="1"/>
  <c r="AK54" i="3"/>
  <c r="AN54" i="3" s="1"/>
  <c r="AM54" i="3"/>
  <c r="D54" i="18" s="1"/>
  <c r="AL54" i="3"/>
  <c r="C54" i="18" s="1"/>
  <c r="A35" i="18"/>
  <c r="AL37" i="3"/>
  <c r="C37" i="18" s="1"/>
  <c r="AK37" i="3"/>
  <c r="B37" i="18" s="1"/>
  <c r="AM37" i="3"/>
  <c r="D37" i="18" s="1"/>
  <c r="A13" i="18"/>
  <c r="AM16" i="3"/>
  <c r="D16" i="18" s="1"/>
  <c r="AL16" i="3"/>
  <c r="C16" i="18" s="1"/>
  <c r="AK16" i="3"/>
  <c r="AK43" i="3"/>
  <c r="AL43" i="3"/>
  <c r="C43" i="18" s="1"/>
  <c r="AM43" i="3"/>
  <c r="D43" i="18" s="1"/>
  <c r="AL15" i="3"/>
  <c r="C15" i="18" s="1"/>
  <c r="AK15" i="3"/>
  <c r="AM15" i="3"/>
  <c r="D15" i="18" s="1"/>
  <c r="A10" i="18"/>
  <c r="A12" i="18"/>
  <c r="AL50" i="3"/>
  <c r="C50" i="18" s="1"/>
  <c r="AM50" i="3"/>
  <c r="D50" i="18" s="1"/>
  <c r="AK50" i="3"/>
  <c r="B50" i="18" s="1"/>
  <c r="A54" i="18"/>
  <c r="AJ83" i="3"/>
  <c r="AK83" i="3" s="1"/>
  <c r="AJ14" i="3"/>
  <c r="AJ52" i="3"/>
  <c r="AJ46" i="3"/>
  <c r="A50" i="18"/>
  <c r="AJ71" i="3"/>
  <c r="AM71" i="3" s="1"/>
  <c r="AJ76" i="3"/>
  <c r="AK76" i="3" s="1"/>
  <c r="AJ81" i="3"/>
  <c r="AK81" i="3" s="1"/>
  <c r="AJ106" i="3"/>
  <c r="AL106" i="3" s="1"/>
  <c r="AJ33" i="3"/>
  <c r="AJ62" i="3"/>
  <c r="AJ28" i="3"/>
  <c r="A28" i="18" s="1"/>
  <c r="AJ45" i="3"/>
  <c r="A45" i="18" s="1"/>
  <c r="AJ58" i="3"/>
  <c r="AJ51" i="3"/>
  <c r="AL40" i="3"/>
  <c r="C40" i="18" s="1"/>
  <c r="AM40" i="3"/>
  <c r="D40" i="18" s="1"/>
  <c r="AK40" i="3"/>
  <c r="AM48" i="3"/>
  <c r="D48" i="18" s="1"/>
  <c r="AL48" i="3"/>
  <c r="C48" i="18" s="1"/>
  <c r="AK48" i="3"/>
  <c r="AL49" i="3"/>
  <c r="C49" i="18" s="1"/>
  <c r="AM49" i="3"/>
  <c r="D49" i="18" s="1"/>
  <c r="AK49" i="3"/>
  <c r="B49" i="18" s="1"/>
  <c r="I49" i="18" s="1"/>
  <c r="AM21" i="3"/>
  <c r="D21" i="18" s="1"/>
  <c r="AL21" i="3"/>
  <c r="C21" i="18" s="1"/>
  <c r="AK21" i="3"/>
  <c r="AL56" i="3"/>
  <c r="C56" i="18" s="1"/>
  <c r="AM56" i="3"/>
  <c r="D56" i="18" s="1"/>
  <c r="AK56" i="3"/>
  <c r="B56" i="18" s="1"/>
  <c r="I56" i="18" s="1"/>
  <c r="AL47" i="3"/>
  <c r="C47" i="18" s="1"/>
  <c r="AM47" i="3"/>
  <c r="D47" i="18" s="1"/>
  <c r="AK47" i="3"/>
  <c r="B47" i="18" s="1"/>
  <c r="I47" i="18" s="1"/>
  <c r="AL19" i="3"/>
  <c r="C19" i="18" s="1"/>
  <c r="AK19" i="3"/>
  <c r="AM19" i="3"/>
  <c r="D19" i="18" s="1"/>
  <c r="AL38" i="3"/>
  <c r="C38" i="18" s="1"/>
  <c r="AM38" i="3"/>
  <c r="D38" i="18" s="1"/>
  <c r="AK38" i="3"/>
  <c r="AK67" i="3"/>
  <c r="AN67" i="3" s="1"/>
  <c r="AL61" i="3"/>
  <c r="C61" i="18" s="1"/>
  <c r="AK61" i="3"/>
  <c r="B61" i="18" s="1"/>
  <c r="AM61" i="3"/>
  <c r="D61" i="18" s="1"/>
  <c r="A20" i="18"/>
  <c r="AM60" i="3"/>
  <c r="D60" i="18" s="1"/>
  <c r="AK60" i="3"/>
  <c r="B60" i="18" s="1"/>
  <c r="AL60" i="3"/>
  <c r="C60" i="18" s="1"/>
  <c r="AL23" i="3"/>
  <c r="C23" i="18" s="1"/>
  <c r="AK23" i="3"/>
  <c r="B23" i="18" s="1"/>
  <c r="AM23" i="3"/>
  <c r="D23" i="18" s="1"/>
  <c r="AL57" i="3"/>
  <c r="C57" i="18" s="1"/>
  <c r="AM57" i="3"/>
  <c r="D57" i="18" s="1"/>
  <c r="AK57" i="3"/>
  <c r="AL25" i="3"/>
  <c r="C25" i="18" s="1"/>
  <c r="AK25" i="3"/>
  <c r="AM25" i="3"/>
  <c r="D25" i="18" s="1"/>
  <c r="AJ26" i="3"/>
  <c r="A26" i="18" s="1"/>
  <c r="AJ18" i="3"/>
  <c r="AJ98" i="3"/>
  <c r="A98" i="18" s="1"/>
  <c r="AJ87" i="3"/>
  <c r="AK87" i="3" s="1"/>
  <c r="AN87" i="3" s="1"/>
  <c r="AJ110" i="3"/>
  <c r="AK110" i="3" s="1"/>
  <c r="AN110" i="3" s="1"/>
  <c r="AJ123" i="3"/>
  <c r="AL123" i="3" s="1"/>
  <c r="AJ59" i="3"/>
  <c r="AJ32" i="3"/>
  <c r="AJ24" i="3"/>
  <c r="AJ27" i="3"/>
  <c r="AJ44" i="3"/>
  <c r="AJ11" i="3"/>
  <c r="A11" i="18" s="1"/>
  <c r="AJ120" i="3"/>
  <c r="AK120" i="3" s="1"/>
  <c r="AJ94" i="3"/>
  <c r="AL94" i="3" s="1"/>
  <c r="AJ92" i="3"/>
  <c r="AK92" i="3" s="1"/>
  <c r="AJ79" i="3"/>
  <c r="AK79" i="3" s="1"/>
  <c r="AJ111" i="3"/>
  <c r="AL111" i="3" s="1"/>
  <c r="AJ101" i="3"/>
  <c r="AK101" i="3" s="1"/>
  <c r="AK117" i="3"/>
  <c r="AL117" i="3"/>
  <c r="AK102" i="3"/>
  <c r="AN102" i="3" s="1"/>
  <c r="AM102" i="3"/>
  <c r="AL105" i="3"/>
  <c r="AK105" i="3"/>
  <c r="AM105" i="3"/>
  <c r="AK115" i="3"/>
  <c r="AL115" i="3"/>
  <c r="AK74" i="3"/>
  <c r="AL74" i="3"/>
  <c r="AM74" i="3"/>
  <c r="AK114" i="3"/>
  <c r="AN114" i="3" s="1"/>
  <c r="AL114" i="3"/>
  <c r="AM114" i="3"/>
  <c r="AM76" i="3"/>
  <c r="AK121" i="3"/>
  <c r="AL121" i="3"/>
  <c r="AM121" i="3"/>
  <c r="AK89" i="3"/>
  <c r="AM84" i="3"/>
  <c r="AK77" i="3"/>
  <c r="B77" i="18" s="1"/>
  <c r="I77" i="18" s="1"/>
  <c r="AK113" i="3"/>
  <c r="AN113" i="3" s="1"/>
  <c r="AL81" i="3"/>
  <c r="C81" i="18" s="1"/>
  <c r="AM81" i="3"/>
  <c r="AL118" i="3"/>
  <c r="AK109" i="3"/>
  <c r="AL109" i="3"/>
  <c r="AM109" i="3"/>
  <c r="Z123" i="3"/>
  <c r="I14" i="9"/>
  <c r="AN37" i="3"/>
  <c r="AN31" i="3"/>
  <c r="A66" i="18"/>
  <c r="A60" i="18"/>
  <c r="A25" i="18"/>
  <c r="A29" i="18"/>
  <c r="A8" i="18"/>
  <c r="D7" i="18"/>
  <c r="T369" i="9"/>
  <c r="P13" i="9"/>
  <c r="C373" i="6"/>
  <c r="Y374" i="6"/>
  <c r="B374" i="6"/>
  <c r="I373" i="6"/>
  <c r="J373" i="6" s="1"/>
  <c r="K373" i="6" s="1"/>
  <c r="L373" i="6"/>
  <c r="P373" i="6" s="1"/>
  <c r="D373" i="6"/>
  <c r="H373" i="6"/>
  <c r="V1771" i="6"/>
  <c r="A1773" i="6"/>
  <c r="T1772" i="6"/>
  <c r="U1772" i="6"/>
  <c r="X371" i="6"/>
  <c r="S372" i="6"/>
  <c r="H370" i="9"/>
  <c r="C370" i="9"/>
  <c r="D370" i="9"/>
  <c r="F370" i="9"/>
  <c r="E370" i="9"/>
  <c r="B371" i="9"/>
  <c r="G370" i="9"/>
  <c r="I370" i="9"/>
  <c r="AL77" i="3" l="1"/>
  <c r="AK84" i="3"/>
  <c r="AL67" i="3"/>
  <c r="C67" i="18" s="1"/>
  <c r="AK108" i="3"/>
  <c r="AN108" i="3" s="1"/>
  <c r="AM89" i="3"/>
  <c r="AM67" i="3"/>
  <c r="D67" i="18" s="1"/>
  <c r="AM88" i="3"/>
  <c r="AM85" i="3"/>
  <c r="AL103" i="3"/>
  <c r="AM118" i="3"/>
  <c r="AM97" i="3"/>
  <c r="D97" i="18" s="1"/>
  <c r="AL122" i="3"/>
  <c r="AK75" i="3"/>
  <c r="AK69" i="3"/>
  <c r="AK122" i="3"/>
  <c r="AN122" i="3" s="1"/>
  <c r="AL75" i="3"/>
  <c r="C75" i="18" s="1"/>
  <c r="AM90" i="3"/>
  <c r="AM72" i="3"/>
  <c r="D72" i="18" s="1"/>
  <c r="AL90" i="3"/>
  <c r="AL73" i="3"/>
  <c r="AL72" i="3"/>
  <c r="C72" i="18" s="1"/>
  <c r="AM73" i="3"/>
  <c r="A97" i="18"/>
  <c r="AL108" i="3"/>
  <c r="AL85" i="3"/>
  <c r="A69" i="18"/>
  <c r="AL97" i="3"/>
  <c r="C97" i="18" s="1"/>
  <c r="AM107" i="3"/>
  <c r="AK107" i="3"/>
  <c r="AM104" i="3"/>
  <c r="A75" i="18"/>
  <c r="AK104" i="3"/>
  <c r="AM103" i="3"/>
  <c r="AL69" i="3"/>
  <c r="C69" i="18" s="1"/>
  <c r="B67" i="18"/>
  <c r="AM94" i="3"/>
  <c r="AK93" i="3"/>
  <c r="AL93" i="3"/>
  <c r="AN23" i="3"/>
  <c r="AK123" i="3"/>
  <c r="AM78" i="3"/>
  <c r="AM70" i="3"/>
  <c r="D70" i="18" s="1"/>
  <c r="AK99" i="3"/>
  <c r="AN99" i="3" s="1"/>
  <c r="AM119" i="3"/>
  <c r="AK70" i="3"/>
  <c r="B70" i="18" s="1"/>
  <c r="AK78" i="3"/>
  <c r="AK71" i="3"/>
  <c r="AL119" i="3"/>
  <c r="AK91" i="3"/>
  <c r="B91" i="18" s="1"/>
  <c r="AM99" i="3"/>
  <c r="AM112" i="3"/>
  <c r="G56" i="18"/>
  <c r="AM123" i="3"/>
  <c r="AM110" i="3"/>
  <c r="AL88" i="3"/>
  <c r="AK100" i="3"/>
  <c r="AL110" i="3"/>
  <c r="AK112" i="3"/>
  <c r="AM116" i="3"/>
  <c r="AM100" i="3"/>
  <c r="AM125" i="3"/>
  <c r="AM86" i="3"/>
  <c r="D86" i="18" s="1"/>
  <c r="AL116" i="3"/>
  <c r="AL125" i="3"/>
  <c r="AL86" i="3"/>
  <c r="C86" i="18" s="1"/>
  <c r="AM113" i="3"/>
  <c r="G47" i="18"/>
  <c r="E56" i="18"/>
  <c r="F56" i="18" s="1"/>
  <c r="E47" i="18"/>
  <c r="F47" i="18" s="1"/>
  <c r="AM91" i="3"/>
  <c r="D91" i="18" s="1"/>
  <c r="AM120" i="3"/>
  <c r="AN61" i="3"/>
  <c r="AL120" i="3"/>
  <c r="A95" i="18"/>
  <c r="A83" i="18"/>
  <c r="AL76" i="3"/>
  <c r="AM18" i="3"/>
  <c r="D18" i="18" s="1"/>
  <c r="AK18" i="3"/>
  <c r="AL18" i="3"/>
  <c r="C18" i="18" s="1"/>
  <c r="A18" i="18"/>
  <c r="AM124" i="3"/>
  <c r="AL124" i="3"/>
  <c r="AL30" i="3"/>
  <c r="C30" i="18" s="1"/>
  <c r="AK30" i="3"/>
  <c r="B30" i="18" s="1"/>
  <c r="I30" i="18" s="1"/>
  <c r="AM30" i="3"/>
  <c r="D30" i="18" s="1"/>
  <c r="A30" i="18"/>
  <c r="B48" i="18"/>
  <c r="AN48" i="3"/>
  <c r="AK68" i="3"/>
  <c r="AL68" i="3"/>
  <c r="C68" i="18" s="1"/>
  <c r="AM68" i="3"/>
  <c r="D68" i="18" s="1"/>
  <c r="B54" i="18"/>
  <c r="I54" i="18" s="1"/>
  <c r="AM80" i="3"/>
  <c r="D80" i="18" s="1"/>
  <c r="AM106" i="3"/>
  <c r="AM82" i="3"/>
  <c r="AM95" i="3"/>
  <c r="D95" i="18" s="1"/>
  <c r="AL27" i="3"/>
  <c r="C27" i="18" s="1"/>
  <c r="AM27" i="3"/>
  <c r="D27" i="18" s="1"/>
  <c r="AK27" i="3"/>
  <c r="A27" i="18"/>
  <c r="AM17" i="3"/>
  <c r="D17" i="18" s="1"/>
  <c r="AL17" i="3"/>
  <c r="C17" i="18" s="1"/>
  <c r="AK17" i="3"/>
  <c r="A17" i="18"/>
  <c r="AL14" i="3"/>
  <c r="C14" i="18" s="1"/>
  <c r="AK14" i="3"/>
  <c r="AN14" i="3" s="1"/>
  <c r="AM14" i="3"/>
  <c r="D14" i="18" s="1"/>
  <c r="A14" i="18"/>
  <c r="AM65" i="3"/>
  <c r="D65" i="18" s="1"/>
  <c r="AL65" i="3"/>
  <c r="C65" i="18" s="1"/>
  <c r="AK65" i="3"/>
  <c r="A65" i="18"/>
  <c r="AN43" i="3"/>
  <c r="B43" i="18"/>
  <c r="AL53" i="3"/>
  <c r="C53" i="18" s="1"/>
  <c r="AK53" i="3"/>
  <c r="AM53" i="3"/>
  <c r="D53" i="18" s="1"/>
  <c r="A53" i="18"/>
  <c r="A87" i="18"/>
  <c r="AN50" i="3"/>
  <c r="AN49" i="3"/>
  <c r="AL87" i="3"/>
  <c r="C87" i="18" s="1"/>
  <c r="AK80" i="3"/>
  <c r="AN80" i="3" s="1"/>
  <c r="AK106" i="3"/>
  <c r="AL82" i="3"/>
  <c r="AK95" i="3"/>
  <c r="AN95" i="3" s="1"/>
  <c r="AM98" i="3"/>
  <c r="D98" i="18" s="1"/>
  <c r="AM24" i="3"/>
  <c r="D24" i="18" s="1"/>
  <c r="AL24" i="3"/>
  <c r="C24" i="18" s="1"/>
  <c r="AK24" i="3"/>
  <c r="AN24" i="3" s="1"/>
  <c r="A24" i="18"/>
  <c r="AM39" i="3"/>
  <c r="D39" i="18" s="1"/>
  <c r="AL39" i="3"/>
  <c r="C39" i="18" s="1"/>
  <c r="AK39" i="3"/>
  <c r="A39" i="18"/>
  <c r="AL62" i="3"/>
  <c r="C62" i="18" s="1"/>
  <c r="AK62" i="3"/>
  <c r="AM62" i="3"/>
  <c r="D62" i="18" s="1"/>
  <c r="A62" i="18"/>
  <c r="B9" i="18"/>
  <c r="AN9" i="3"/>
  <c r="AN13" i="3"/>
  <c r="AK11" i="3"/>
  <c r="AN11" i="3" s="1"/>
  <c r="AM11" i="3"/>
  <c r="D11" i="18" s="1"/>
  <c r="AL11" i="3"/>
  <c r="C11" i="18" s="1"/>
  <c r="AL33" i="3"/>
  <c r="C33" i="18" s="1"/>
  <c r="AK33" i="3"/>
  <c r="AM33" i="3"/>
  <c r="D33" i="18" s="1"/>
  <c r="A33" i="18"/>
  <c r="AL44" i="3"/>
  <c r="C44" i="18" s="1"/>
  <c r="AK44" i="3"/>
  <c r="AM44" i="3"/>
  <c r="D44" i="18" s="1"/>
  <c r="A44" i="18"/>
  <c r="AL98" i="3"/>
  <c r="C98" i="18" s="1"/>
  <c r="AK63" i="3"/>
  <c r="AM63" i="3"/>
  <c r="D63" i="18" s="1"/>
  <c r="AL63" i="3"/>
  <c r="C63" i="18" s="1"/>
  <c r="A63" i="18"/>
  <c r="E49" i="18"/>
  <c r="F49" i="18" s="1"/>
  <c r="AN47" i="3"/>
  <c r="AM83" i="3"/>
  <c r="D83" i="18" s="1"/>
  <c r="AK98" i="3"/>
  <c r="AN98" i="3" s="1"/>
  <c r="AM59" i="3"/>
  <c r="D59" i="18" s="1"/>
  <c r="AL59" i="3"/>
  <c r="C59" i="18" s="1"/>
  <c r="AK59" i="3"/>
  <c r="A59" i="18"/>
  <c r="AM42" i="3"/>
  <c r="D42" i="18" s="1"/>
  <c r="AL42" i="3"/>
  <c r="C42" i="18" s="1"/>
  <c r="AK42" i="3"/>
  <c r="B42" i="18" s="1"/>
  <c r="A42" i="18"/>
  <c r="AN56" i="3"/>
  <c r="AL83" i="3"/>
  <c r="C83" i="18" s="1"/>
  <c r="AK96" i="3"/>
  <c r="AN96" i="3" s="1"/>
  <c r="AL71" i="3"/>
  <c r="AK46" i="3"/>
  <c r="AL46" i="3"/>
  <c r="C46" i="18" s="1"/>
  <c r="AM46" i="3"/>
  <c r="D46" i="18" s="1"/>
  <c r="A46" i="18"/>
  <c r="AL41" i="3"/>
  <c r="C41" i="18" s="1"/>
  <c r="AK41" i="3"/>
  <c r="B41" i="18" s="1"/>
  <c r="AM41" i="3"/>
  <c r="D41" i="18" s="1"/>
  <c r="A41" i="18"/>
  <c r="AN64" i="3"/>
  <c r="B64" i="18"/>
  <c r="AL58" i="3"/>
  <c r="C58" i="18" s="1"/>
  <c r="AK58" i="3"/>
  <c r="AM58" i="3"/>
  <c r="D58" i="18" s="1"/>
  <c r="A58" i="18"/>
  <c r="AL45" i="3"/>
  <c r="C45" i="18" s="1"/>
  <c r="AK45" i="3"/>
  <c r="B45" i="18" s="1"/>
  <c r="AM45" i="3"/>
  <c r="D45" i="18" s="1"/>
  <c r="AM28" i="3"/>
  <c r="D28" i="18" s="1"/>
  <c r="AL28" i="3"/>
  <c r="C28" i="18" s="1"/>
  <c r="AK28" i="3"/>
  <c r="AN28" i="3" s="1"/>
  <c r="AM87" i="3"/>
  <c r="D87" i="18" s="1"/>
  <c r="AL26" i="3"/>
  <c r="C26" i="18" s="1"/>
  <c r="AK26" i="3"/>
  <c r="B26" i="18" s="1"/>
  <c r="AM26" i="3"/>
  <c r="D26" i="18" s="1"/>
  <c r="AN19" i="3"/>
  <c r="B19" i="18"/>
  <c r="G49" i="18"/>
  <c r="B34" i="18"/>
  <c r="E34" i="18" s="1"/>
  <c r="F34" i="18" s="1"/>
  <c r="AL32" i="3"/>
  <c r="C32" i="18" s="1"/>
  <c r="AK32" i="3"/>
  <c r="B32" i="18" s="1"/>
  <c r="AM32" i="3"/>
  <c r="D32" i="18" s="1"/>
  <c r="A32" i="18"/>
  <c r="B40" i="18"/>
  <c r="AN40" i="3"/>
  <c r="B12" i="18"/>
  <c r="AN12" i="3"/>
  <c r="B10" i="18"/>
  <c r="AM96" i="3"/>
  <c r="D96" i="18" s="1"/>
  <c r="AM79" i="3"/>
  <c r="AN15" i="3"/>
  <c r="B15" i="18"/>
  <c r="AL79" i="3"/>
  <c r="AN60" i="3"/>
  <c r="B35" i="18"/>
  <c r="I35" i="18" s="1"/>
  <c r="A96" i="18"/>
  <c r="AN21" i="3"/>
  <c r="B21" i="18"/>
  <c r="I21" i="18" s="1"/>
  <c r="AM51" i="3"/>
  <c r="D51" i="18" s="1"/>
  <c r="AK51" i="3"/>
  <c r="AL51" i="3"/>
  <c r="C51" i="18" s="1"/>
  <c r="A51" i="18"/>
  <c r="AM52" i="3"/>
  <c r="D52" i="18" s="1"/>
  <c r="AL52" i="3"/>
  <c r="C52" i="18" s="1"/>
  <c r="AK52" i="3"/>
  <c r="B52" i="18" s="1"/>
  <c r="A52" i="18"/>
  <c r="AL55" i="3"/>
  <c r="C55" i="18" s="1"/>
  <c r="AM55" i="3"/>
  <c r="D55" i="18" s="1"/>
  <c r="AK55" i="3"/>
  <c r="A55" i="18"/>
  <c r="AM92" i="3"/>
  <c r="AL92" i="3"/>
  <c r="AK94" i="3"/>
  <c r="AM101" i="3"/>
  <c r="AL101" i="3"/>
  <c r="AM111" i="3"/>
  <c r="AK111" i="3"/>
  <c r="AN77" i="3"/>
  <c r="A72" i="18"/>
  <c r="AN105" i="3"/>
  <c r="A86" i="18"/>
  <c r="C96" i="18"/>
  <c r="A77" i="18"/>
  <c r="AN100" i="3"/>
  <c r="A81" i="18"/>
  <c r="D77" i="18"/>
  <c r="G77" i="18"/>
  <c r="AN91" i="3"/>
  <c r="A70" i="18"/>
  <c r="AN86" i="3"/>
  <c r="C77" i="18"/>
  <c r="C80" i="18"/>
  <c r="A88" i="18"/>
  <c r="C88" i="18"/>
  <c r="D88" i="18"/>
  <c r="AN117" i="3"/>
  <c r="A91" i="18"/>
  <c r="E77" i="18"/>
  <c r="C95" i="18"/>
  <c r="A80" i="18"/>
  <c r="D81" i="18"/>
  <c r="B86" i="18"/>
  <c r="I86" i="18" s="1"/>
  <c r="AN72" i="3"/>
  <c r="I15" i="9"/>
  <c r="P14" i="9"/>
  <c r="B87" i="18"/>
  <c r="I87" i="18" s="1"/>
  <c r="AN66" i="3"/>
  <c r="AN69" i="3"/>
  <c r="B69" i="18"/>
  <c r="AN81" i="3"/>
  <c r="B81" i="18"/>
  <c r="B75" i="18"/>
  <c r="AN75" i="3"/>
  <c r="AN97" i="3"/>
  <c r="B97" i="18"/>
  <c r="B57" i="18"/>
  <c r="AN57" i="3"/>
  <c r="AN25" i="3"/>
  <c r="B25" i="18"/>
  <c r="I25" i="18" s="1"/>
  <c r="AN8" i="3"/>
  <c r="B8" i="18"/>
  <c r="E8" i="18" s="1"/>
  <c r="B22" i="18"/>
  <c r="AN22" i="3"/>
  <c r="AN16" i="3"/>
  <c r="B16" i="18"/>
  <c r="AN36" i="3"/>
  <c r="B36" i="18"/>
  <c r="AN29" i="3"/>
  <c r="B29" i="18"/>
  <c r="AN38" i="3"/>
  <c r="B38" i="18"/>
  <c r="B72" i="18"/>
  <c r="AN42" i="3"/>
  <c r="AN83" i="3"/>
  <c r="B83" i="18"/>
  <c r="AN7" i="3"/>
  <c r="B7" i="18"/>
  <c r="T370" i="9"/>
  <c r="C374" i="6"/>
  <c r="I374" i="6"/>
  <c r="J374" i="6" s="1"/>
  <c r="K374" i="6" s="1"/>
  <c r="H374" i="6"/>
  <c r="B375" i="6"/>
  <c r="D374" i="6"/>
  <c r="Y375" i="6"/>
  <c r="L374" i="6"/>
  <c r="V1772" i="6"/>
  <c r="A1774" i="6"/>
  <c r="U1773" i="6"/>
  <c r="T1773" i="6"/>
  <c r="E371" i="9"/>
  <c r="C371" i="9"/>
  <c r="D371" i="9"/>
  <c r="H371" i="9"/>
  <c r="F371" i="9"/>
  <c r="I371" i="9"/>
  <c r="B372" i="9"/>
  <c r="G371" i="9"/>
  <c r="P370" i="9"/>
  <c r="X372" i="6"/>
  <c r="S373" i="6"/>
  <c r="AN26" i="3" l="1"/>
  <c r="AN32" i="3"/>
  <c r="H47" i="18"/>
  <c r="H56" i="18"/>
  <c r="AN41" i="3"/>
  <c r="AN70" i="3"/>
  <c r="H49" i="18"/>
  <c r="B24" i="18"/>
  <c r="I24" i="18" s="1"/>
  <c r="B11" i="18"/>
  <c r="I11" i="18" s="1"/>
  <c r="B14" i="18"/>
  <c r="E14" i="18" s="1"/>
  <c r="F14" i="18" s="1"/>
  <c r="AN45" i="3"/>
  <c r="B96" i="18"/>
  <c r="E96" i="18" s="1"/>
  <c r="F96" i="18" s="1"/>
  <c r="H96" i="18" s="1"/>
  <c r="I34" i="18"/>
  <c r="B95" i="18"/>
  <c r="E95" i="18" s="1"/>
  <c r="F95" i="18" s="1"/>
  <c r="B63" i="18"/>
  <c r="AN63" i="3"/>
  <c r="E35" i="18"/>
  <c r="F35" i="18" s="1"/>
  <c r="B59" i="18"/>
  <c r="AN59" i="3"/>
  <c r="B55" i="18"/>
  <c r="AN55" i="3"/>
  <c r="I64" i="18"/>
  <c r="E64" i="18"/>
  <c r="F64" i="18" s="1"/>
  <c r="G64" i="18"/>
  <c r="AN33" i="3"/>
  <c r="B33" i="18"/>
  <c r="B65" i="18"/>
  <c r="AN65" i="3"/>
  <c r="I48" i="18"/>
  <c r="E48" i="18"/>
  <c r="F48" i="18" s="1"/>
  <c r="G48" i="18"/>
  <c r="AN39" i="3"/>
  <c r="B39" i="18"/>
  <c r="AN30" i="3"/>
  <c r="B28" i="18"/>
  <c r="AN44" i="3"/>
  <c r="B44" i="18"/>
  <c r="B80" i="18"/>
  <c r="I80" i="18" s="1"/>
  <c r="B58" i="18"/>
  <c r="AN58" i="3"/>
  <c r="I43" i="18"/>
  <c r="E43" i="18"/>
  <c r="F43" i="18" s="1"/>
  <c r="G43" i="18"/>
  <c r="AN18" i="3"/>
  <c r="B18" i="18"/>
  <c r="I40" i="18"/>
  <c r="G40" i="18"/>
  <c r="E40" i="18"/>
  <c r="F40" i="18" s="1"/>
  <c r="AN27" i="3"/>
  <c r="B27" i="18"/>
  <c r="I27" i="18" s="1"/>
  <c r="G35" i="18"/>
  <c r="E9" i="18"/>
  <c r="F9" i="18" s="1"/>
  <c r="G9" i="18"/>
  <c r="I9" i="18"/>
  <c r="B53" i="18"/>
  <c r="AN53" i="3"/>
  <c r="AN52" i="3"/>
  <c r="AN51" i="3"/>
  <c r="B51" i="18"/>
  <c r="AN46" i="3"/>
  <c r="B46" i="18"/>
  <c r="B17" i="18"/>
  <c r="I17" i="18" s="1"/>
  <c r="AN17" i="3"/>
  <c r="E54" i="18"/>
  <c r="F54" i="18" s="1"/>
  <c r="G34" i="18"/>
  <c r="H34" i="18" s="1"/>
  <c r="G54" i="18"/>
  <c r="G12" i="18"/>
  <c r="I12" i="18"/>
  <c r="E12" i="18"/>
  <c r="F12" i="18" s="1"/>
  <c r="B62" i="18"/>
  <c r="AN62" i="3"/>
  <c r="AN68" i="3"/>
  <c r="B68" i="18"/>
  <c r="F77" i="18"/>
  <c r="H77" i="18" s="1"/>
  <c r="B98" i="18"/>
  <c r="I98" i="18" s="1"/>
  <c r="AN88" i="3"/>
  <c r="B88" i="18"/>
  <c r="AN118" i="3"/>
  <c r="A90" i="18"/>
  <c r="C90" i="18"/>
  <c r="D90" i="18"/>
  <c r="AN101" i="3"/>
  <c r="E86" i="18"/>
  <c r="F86" i="18" s="1"/>
  <c r="AN123" i="3"/>
  <c r="AN106" i="3"/>
  <c r="AN111" i="3"/>
  <c r="AN125" i="3"/>
  <c r="A93" i="18"/>
  <c r="C93" i="18"/>
  <c r="D93" i="18"/>
  <c r="A79" i="18"/>
  <c r="C79" i="18"/>
  <c r="D79" i="18"/>
  <c r="AN104" i="3"/>
  <c r="D89" i="18"/>
  <c r="C89" i="18"/>
  <c r="A89" i="18"/>
  <c r="AN119" i="3"/>
  <c r="C84" i="18"/>
  <c r="D84" i="18"/>
  <c r="A84" i="18"/>
  <c r="D82" i="18"/>
  <c r="C82" i="18"/>
  <c r="A82" i="18"/>
  <c r="AN103" i="3"/>
  <c r="AN107" i="3"/>
  <c r="AN124" i="3"/>
  <c r="A74" i="18"/>
  <c r="C74" i="18"/>
  <c r="D74" i="18"/>
  <c r="D78" i="18"/>
  <c r="A78" i="18"/>
  <c r="C78" i="18"/>
  <c r="AN121" i="3"/>
  <c r="C71" i="18"/>
  <c r="D71" i="18"/>
  <c r="A71" i="18"/>
  <c r="AN109" i="3"/>
  <c r="AN120" i="3"/>
  <c r="AN115" i="3"/>
  <c r="A92" i="18"/>
  <c r="D92" i="18"/>
  <c r="C92" i="18"/>
  <c r="A73" i="18"/>
  <c r="D73" i="18"/>
  <c r="C73" i="18"/>
  <c r="C85" i="18"/>
  <c r="A85" i="18"/>
  <c r="D85" i="18"/>
  <c r="C76" i="18"/>
  <c r="A76" i="18"/>
  <c r="D76" i="18"/>
  <c r="AN112" i="3"/>
  <c r="A94" i="18"/>
  <c r="C94" i="18"/>
  <c r="D94" i="18"/>
  <c r="G86" i="18"/>
  <c r="I16" i="9"/>
  <c r="P15" i="9"/>
  <c r="G87" i="18"/>
  <c r="E87" i="18"/>
  <c r="F87" i="18" s="1"/>
  <c r="H87" i="18" s="1"/>
  <c r="I81" i="18"/>
  <c r="G81" i="18"/>
  <c r="E81" i="18"/>
  <c r="F81" i="18" s="1"/>
  <c r="H81" i="18" s="1"/>
  <c r="I70" i="18"/>
  <c r="E70" i="18"/>
  <c r="F70" i="18" s="1"/>
  <c r="G70" i="18"/>
  <c r="I91" i="18"/>
  <c r="G91" i="18"/>
  <c r="E91" i="18"/>
  <c r="F91" i="18" s="1"/>
  <c r="I97" i="18"/>
  <c r="G97" i="18"/>
  <c r="E97" i="18"/>
  <c r="F97" i="18" s="1"/>
  <c r="I95" i="18"/>
  <c r="I75" i="18"/>
  <c r="G75" i="18"/>
  <c r="E75" i="18"/>
  <c r="F75" i="18" s="1"/>
  <c r="G16" i="18"/>
  <c r="E16" i="18"/>
  <c r="F16" i="18" s="1"/>
  <c r="I16" i="18"/>
  <c r="I26" i="18"/>
  <c r="G26" i="18"/>
  <c r="E26" i="18"/>
  <c r="F26" i="18" s="1"/>
  <c r="I36" i="18"/>
  <c r="G36" i="18"/>
  <c r="E36" i="18"/>
  <c r="F36" i="18" s="1"/>
  <c r="I45" i="18"/>
  <c r="G45" i="18"/>
  <c r="E45" i="18"/>
  <c r="F45" i="18" s="1"/>
  <c r="I52" i="18"/>
  <c r="G52" i="18"/>
  <c r="E52" i="18"/>
  <c r="F52" i="18" s="1"/>
  <c r="F8" i="18"/>
  <c r="I8" i="18"/>
  <c r="G8" i="18"/>
  <c r="I32" i="18"/>
  <c r="G32" i="18"/>
  <c r="E32" i="18"/>
  <c r="F32" i="18" s="1"/>
  <c r="E42" i="18"/>
  <c r="F42" i="18" s="1"/>
  <c r="I42" i="18"/>
  <c r="E7" i="18"/>
  <c r="F7" i="18" s="1"/>
  <c r="G7" i="18"/>
  <c r="O7" i="18" s="1"/>
  <c r="P7" i="18"/>
  <c r="I83" i="18"/>
  <c r="G83" i="18"/>
  <c r="E83" i="18"/>
  <c r="F83" i="18" s="1"/>
  <c r="I38" i="18"/>
  <c r="G38" i="18"/>
  <c r="E38" i="18"/>
  <c r="F38" i="18" s="1"/>
  <c r="I10" i="18"/>
  <c r="E10" i="18"/>
  <c r="T371" i="9"/>
  <c r="P374" i="6"/>
  <c r="H375" i="6"/>
  <c r="D375" i="6"/>
  <c r="C375" i="6"/>
  <c r="L375" i="6"/>
  <c r="I375" i="6"/>
  <c r="J375" i="6" s="1"/>
  <c r="K375" i="6" s="1"/>
  <c r="B376" i="6"/>
  <c r="Y376" i="6"/>
  <c r="V1773" i="6"/>
  <c r="F372" i="9"/>
  <c r="I372" i="9"/>
  <c r="E372" i="9"/>
  <c r="D372" i="9"/>
  <c r="C372" i="9"/>
  <c r="G372" i="9"/>
  <c r="H372" i="9"/>
  <c r="B373" i="9"/>
  <c r="X373" i="6"/>
  <c r="S374" i="6"/>
  <c r="P371" i="9"/>
  <c r="U1774" i="6"/>
  <c r="T1774" i="6"/>
  <c r="A1775" i="6"/>
  <c r="H35" i="18" l="1"/>
  <c r="G96" i="18"/>
  <c r="I96" i="18"/>
  <c r="G11" i="18"/>
  <c r="E11" i="18"/>
  <c r="F11" i="18" s="1"/>
  <c r="G14" i="18"/>
  <c r="G95" i="18"/>
  <c r="H40" i="18"/>
  <c r="I14" i="18"/>
  <c r="H43" i="18"/>
  <c r="H48" i="18"/>
  <c r="H54" i="18"/>
  <c r="H64" i="18"/>
  <c r="H12" i="18"/>
  <c r="G98" i="18"/>
  <c r="I46" i="18"/>
  <c r="E46" i="18"/>
  <c r="F46" i="18" s="1"/>
  <c r="G46" i="18"/>
  <c r="E98" i="18"/>
  <c r="F98" i="18" s="1"/>
  <c r="H98" i="18" s="1"/>
  <c r="I44" i="18"/>
  <c r="E44" i="18"/>
  <c r="F44" i="18" s="1"/>
  <c r="G44" i="18"/>
  <c r="I39" i="18"/>
  <c r="G39" i="18"/>
  <c r="E39" i="18"/>
  <c r="F39" i="18" s="1"/>
  <c r="I53" i="18"/>
  <c r="G53" i="18"/>
  <c r="E53" i="18"/>
  <c r="F53" i="18" s="1"/>
  <c r="H53" i="18" s="1"/>
  <c r="I68" i="18"/>
  <c r="G68" i="18"/>
  <c r="E68" i="18"/>
  <c r="F68" i="18" s="1"/>
  <c r="E17" i="18"/>
  <c r="F17" i="18" s="1"/>
  <c r="I62" i="18"/>
  <c r="G62" i="18"/>
  <c r="E62" i="18"/>
  <c r="F62" i="18" s="1"/>
  <c r="H62" i="18" s="1"/>
  <c r="E80" i="18"/>
  <c r="F80" i="18" s="1"/>
  <c r="H80" i="18" s="1"/>
  <c r="G80" i="18"/>
  <c r="H9" i="18"/>
  <c r="G17" i="18"/>
  <c r="I59" i="18"/>
  <c r="G59" i="18"/>
  <c r="E59" i="18"/>
  <c r="F59" i="18" s="1"/>
  <c r="H59" i="18" s="1"/>
  <c r="I65" i="18"/>
  <c r="E65" i="18"/>
  <c r="F65" i="18" s="1"/>
  <c r="G65" i="18"/>
  <c r="I63" i="18"/>
  <c r="E63" i="18"/>
  <c r="F63" i="18" s="1"/>
  <c r="H63" i="18" s="1"/>
  <c r="G63" i="18"/>
  <c r="H86" i="18"/>
  <c r="H70" i="18"/>
  <c r="B73" i="18"/>
  <c r="AN73" i="3"/>
  <c r="AN82" i="3"/>
  <c r="B82" i="18"/>
  <c r="B78" i="18"/>
  <c r="AN78" i="3"/>
  <c r="AN79" i="3"/>
  <c r="B79" i="18"/>
  <c r="B90" i="18"/>
  <c r="AN90" i="3"/>
  <c r="AN94" i="3"/>
  <c r="B94" i="18"/>
  <c r="AN84" i="3"/>
  <c r="B84" i="18"/>
  <c r="AN76" i="3"/>
  <c r="B76" i="18"/>
  <c r="B74" i="18"/>
  <c r="AN74" i="3"/>
  <c r="AN93" i="3"/>
  <c r="B93" i="18"/>
  <c r="AN92" i="3"/>
  <c r="B92" i="18"/>
  <c r="B89" i="18"/>
  <c r="AN89" i="3"/>
  <c r="I88" i="18"/>
  <c r="G88" i="18"/>
  <c r="E88" i="18"/>
  <c r="F88" i="18" s="1"/>
  <c r="H88" i="18" s="1"/>
  <c r="AN85" i="3"/>
  <c r="B85" i="18"/>
  <c r="AN71" i="3"/>
  <c r="B71" i="18"/>
  <c r="D101" i="18"/>
  <c r="I17" i="9"/>
  <c r="P18" i="9" s="1"/>
  <c r="P16" i="9"/>
  <c r="H45" i="18"/>
  <c r="H26" i="18"/>
  <c r="H8" i="18"/>
  <c r="H16" i="18"/>
  <c r="P8" i="18"/>
  <c r="P9" i="18" s="1"/>
  <c r="P10" i="18" s="1"/>
  <c r="P11" i="18" s="1"/>
  <c r="P12" i="18" s="1"/>
  <c r="H75" i="18"/>
  <c r="H91" i="18"/>
  <c r="H7" i="18"/>
  <c r="H95" i="18"/>
  <c r="H83" i="18"/>
  <c r="H52" i="18"/>
  <c r="H14" i="18"/>
  <c r="H32" i="18"/>
  <c r="H36" i="18"/>
  <c r="H97" i="18"/>
  <c r="L7" i="18"/>
  <c r="L8" i="18" s="1"/>
  <c r="L9" i="18" s="1"/>
  <c r="L10" i="18" s="1"/>
  <c r="O8" i="18"/>
  <c r="O9" i="18" s="1"/>
  <c r="G10" i="18" s="1"/>
  <c r="H38" i="18"/>
  <c r="H11" i="18"/>
  <c r="I15" i="18"/>
  <c r="F10" i="18"/>
  <c r="E15" i="18"/>
  <c r="G15" i="18"/>
  <c r="T372" i="9"/>
  <c r="I376" i="6"/>
  <c r="J376" i="6" s="1"/>
  <c r="K376" i="6" s="1"/>
  <c r="B377" i="6"/>
  <c r="C376" i="6"/>
  <c r="Y377" i="6"/>
  <c r="L376" i="6"/>
  <c r="P376" i="6" s="1"/>
  <c r="D376" i="6"/>
  <c r="H376" i="6"/>
  <c r="P375" i="6"/>
  <c r="V1774" i="6"/>
  <c r="A1776" i="6"/>
  <c r="T1775" i="6"/>
  <c r="U1775" i="6"/>
  <c r="C373" i="9"/>
  <c r="B374" i="9"/>
  <c r="H373" i="9"/>
  <c r="G373" i="9"/>
  <c r="I373" i="9"/>
  <c r="P373" i="9" s="1"/>
  <c r="F373" i="9"/>
  <c r="E373" i="9"/>
  <c r="D373" i="9"/>
  <c r="P372" i="9"/>
  <c r="X374" i="6"/>
  <c r="S375" i="6"/>
  <c r="L11" i="18" l="1"/>
  <c r="L12" i="18" s="1"/>
  <c r="H39" i="18"/>
  <c r="H44" i="18"/>
  <c r="H46" i="18"/>
  <c r="H65" i="18"/>
  <c r="H17" i="18"/>
  <c r="H68" i="18"/>
  <c r="I90" i="18"/>
  <c r="G90" i="18"/>
  <c r="E90" i="18"/>
  <c r="F90" i="18" s="1"/>
  <c r="G93" i="18"/>
  <c r="I93" i="18"/>
  <c r="E93" i="18"/>
  <c r="F93" i="18" s="1"/>
  <c r="H93" i="18" s="1"/>
  <c r="E78" i="18"/>
  <c r="F78" i="18" s="1"/>
  <c r="I78" i="18"/>
  <c r="G78" i="18"/>
  <c r="I94" i="18"/>
  <c r="E94" i="18"/>
  <c r="F94" i="18" s="1"/>
  <c r="G94" i="18"/>
  <c r="I82" i="18"/>
  <c r="E82" i="18"/>
  <c r="F82" i="18" s="1"/>
  <c r="G82" i="18"/>
  <c r="I71" i="18"/>
  <c r="E71" i="18"/>
  <c r="F71" i="18" s="1"/>
  <c r="G71" i="18"/>
  <c r="I89" i="18"/>
  <c r="E89" i="18"/>
  <c r="F89" i="18" s="1"/>
  <c r="G89" i="18"/>
  <c r="G92" i="18"/>
  <c r="E92" i="18"/>
  <c r="F92" i="18" s="1"/>
  <c r="H92" i="18" s="1"/>
  <c r="I92" i="18"/>
  <c r="I79" i="18"/>
  <c r="G79" i="18"/>
  <c r="E79" i="18"/>
  <c r="F79" i="18" s="1"/>
  <c r="G85" i="18"/>
  <c r="I85" i="18"/>
  <c r="E85" i="18"/>
  <c r="F85" i="18" s="1"/>
  <c r="H85" i="18" s="1"/>
  <c r="G74" i="18"/>
  <c r="E74" i="18"/>
  <c r="F74" i="18" s="1"/>
  <c r="H74" i="18" s="1"/>
  <c r="I74" i="18"/>
  <c r="I76" i="18"/>
  <c r="G76" i="18"/>
  <c r="E76" i="18"/>
  <c r="F76" i="18" s="1"/>
  <c r="H76" i="18" s="1"/>
  <c r="I84" i="18"/>
  <c r="G84" i="18"/>
  <c r="E84" i="18"/>
  <c r="F84" i="18" s="1"/>
  <c r="G73" i="18"/>
  <c r="E73" i="18"/>
  <c r="F73" i="18" s="1"/>
  <c r="H73" i="18" s="1"/>
  <c r="I73" i="18"/>
  <c r="P17" i="9"/>
  <c r="H10" i="18"/>
  <c r="O10" i="18"/>
  <c r="O11" i="18" s="1"/>
  <c r="O12" i="18" s="1"/>
  <c r="I13" i="18"/>
  <c r="P13" i="18" s="1"/>
  <c r="P14" i="18" s="1"/>
  <c r="P15" i="18" s="1"/>
  <c r="P16" i="18" s="1"/>
  <c r="P17" i="18" s="1"/>
  <c r="G13" i="18"/>
  <c r="E13" i="18"/>
  <c r="I19" i="18"/>
  <c r="F15" i="18"/>
  <c r="H15" i="18" s="1"/>
  <c r="T373" i="9"/>
  <c r="I377" i="6"/>
  <c r="J377" i="6" s="1"/>
  <c r="K377" i="6" s="1"/>
  <c r="H377" i="6"/>
  <c r="D377" i="6"/>
  <c r="Y378" i="6"/>
  <c r="C377" i="6"/>
  <c r="L377" i="6"/>
  <c r="B378" i="6"/>
  <c r="V1775" i="6"/>
  <c r="D374" i="9"/>
  <c r="F374" i="9"/>
  <c r="H374" i="9"/>
  <c r="C374" i="9"/>
  <c r="B375" i="9"/>
  <c r="G374" i="9"/>
  <c r="E374" i="9"/>
  <c r="I374" i="9"/>
  <c r="A1777" i="6"/>
  <c r="U1776" i="6"/>
  <c r="T1776" i="6"/>
  <c r="X375" i="6"/>
  <c r="S376" i="6"/>
  <c r="H84" i="18" l="1"/>
  <c r="H79" i="18"/>
  <c r="H90" i="18"/>
  <c r="H94" i="18"/>
  <c r="H89" i="18"/>
  <c r="H78" i="18"/>
  <c r="H82" i="18"/>
  <c r="H71" i="18"/>
  <c r="O13" i="18"/>
  <c r="O14" i="18" s="1"/>
  <c r="O15" i="18" s="1"/>
  <c r="O16" i="18" s="1"/>
  <c r="O17" i="18" s="1"/>
  <c r="F13" i="18"/>
  <c r="H13" i="18" s="1"/>
  <c r="G18" i="18"/>
  <c r="L13" i="18"/>
  <c r="L14" i="18" s="1"/>
  <c r="L15" i="18" s="1"/>
  <c r="L16" i="18" s="1"/>
  <c r="L17" i="18" s="1"/>
  <c r="I18" i="18"/>
  <c r="P18" i="18" s="1"/>
  <c r="P19" i="18" s="1"/>
  <c r="G19" i="18"/>
  <c r="E19" i="18"/>
  <c r="T374" i="9"/>
  <c r="D378" i="6"/>
  <c r="B379" i="6"/>
  <c r="I378" i="6"/>
  <c r="J378" i="6" s="1"/>
  <c r="K378" i="6" s="1"/>
  <c r="H378" i="6"/>
  <c r="L378" i="6"/>
  <c r="P378" i="6" s="1"/>
  <c r="Y379" i="6"/>
  <c r="C378" i="6"/>
  <c r="P377" i="6"/>
  <c r="V1776" i="6"/>
  <c r="X376" i="6"/>
  <c r="S377" i="6"/>
  <c r="P374" i="9"/>
  <c r="I375" i="9"/>
  <c r="E375" i="9"/>
  <c r="G375" i="9"/>
  <c r="F375" i="9"/>
  <c r="C375" i="9"/>
  <c r="B376" i="9"/>
  <c r="D375" i="9"/>
  <c r="H375" i="9"/>
  <c r="A1778" i="6"/>
  <c r="T1777" i="6"/>
  <c r="U1777" i="6"/>
  <c r="O18" i="18" l="1"/>
  <c r="O19" i="18" s="1"/>
  <c r="E18" i="18"/>
  <c r="F19" i="18"/>
  <c r="H19" i="18" s="1"/>
  <c r="T375" i="9"/>
  <c r="D379" i="6"/>
  <c r="B380" i="6"/>
  <c r="Y380" i="6"/>
  <c r="I379" i="6"/>
  <c r="J379" i="6" s="1"/>
  <c r="K379" i="6" s="1"/>
  <c r="L379" i="6"/>
  <c r="P379" i="6" s="1"/>
  <c r="C379" i="6"/>
  <c r="H379" i="6"/>
  <c r="V1777" i="6"/>
  <c r="A1779" i="6"/>
  <c r="U1778" i="6"/>
  <c r="T1778" i="6"/>
  <c r="H376" i="9"/>
  <c r="B377" i="9"/>
  <c r="E376" i="9"/>
  <c r="D376" i="9"/>
  <c r="F376" i="9"/>
  <c r="G376" i="9"/>
  <c r="C376" i="9"/>
  <c r="I376" i="9"/>
  <c r="P376" i="9" s="1"/>
  <c r="X377" i="6"/>
  <c r="S378" i="6"/>
  <c r="P375" i="9"/>
  <c r="F18" i="18" l="1"/>
  <c r="H18" i="18" s="1"/>
  <c r="L18" i="18"/>
  <c r="L19" i="18" s="1"/>
  <c r="T376" i="9"/>
  <c r="I380" i="6"/>
  <c r="J380" i="6" s="1"/>
  <c r="K380" i="6" s="1"/>
  <c r="H380" i="6"/>
  <c r="L380" i="6"/>
  <c r="P380" i="6" s="1"/>
  <c r="Y381" i="6"/>
  <c r="D380" i="6"/>
  <c r="B381" i="6"/>
  <c r="C380" i="6"/>
  <c r="V1778" i="6"/>
  <c r="X378" i="6"/>
  <c r="S379" i="6"/>
  <c r="C377" i="9"/>
  <c r="G377" i="9"/>
  <c r="E377" i="9"/>
  <c r="H377" i="9"/>
  <c r="I377" i="9"/>
  <c r="P377" i="9" s="1"/>
  <c r="B378" i="9"/>
  <c r="D377" i="9"/>
  <c r="F377" i="9"/>
  <c r="A1780" i="6"/>
  <c r="U1779" i="6"/>
  <c r="T1779" i="6"/>
  <c r="T377" i="9" l="1"/>
  <c r="V1779" i="6"/>
  <c r="H381" i="6"/>
  <c r="L381" i="6"/>
  <c r="P381" i="6" s="1"/>
  <c r="C381" i="6"/>
  <c r="D381" i="6"/>
  <c r="I381" i="6"/>
  <c r="J381" i="6" s="1"/>
  <c r="K381" i="6" s="1"/>
  <c r="B382" i="6"/>
  <c r="Y382" i="6"/>
  <c r="B379" i="9"/>
  <c r="D378" i="9"/>
  <c r="F378" i="9"/>
  <c r="C378" i="9"/>
  <c r="E378" i="9"/>
  <c r="H378" i="9"/>
  <c r="I378" i="9"/>
  <c r="G378" i="9"/>
  <c r="X379" i="6"/>
  <c r="S380" i="6"/>
  <c r="A1781" i="6"/>
  <c r="U1780" i="6"/>
  <c r="T1780" i="6"/>
  <c r="T378" i="9" l="1"/>
  <c r="Y383" i="6"/>
  <c r="B383" i="6"/>
  <c r="C382" i="6"/>
  <c r="D382" i="6"/>
  <c r="H382" i="6"/>
  <c r="I382" i="6"/>
  <c r="J382" i="6" s="1"/>
  <c r="K382" i="6" s="1"/>
  <c r="L382" i="6"/>
  <c r="P382" i="6" s="1"/>
  <c r="V1780" i="6"/>
  <c r="A1782" i="6"/>
  <c r="T1781" i="6"/>
  <c r="U1781" i="6"/>
  <c r="P378" i="9"/>
  <c r="X380" i="6"/>
  <c r="S381" i="6"/>
  <c r="B380" i="9"/>
  <c r="C379" i="9"/>
  <c r="F379" i="9"/>
  <c r="E379" i="9"/>
  <c r="G379" i="9"/>
  <c r="I379" i="9"/>
  <c r="H379" i="9"/>
  <c r="D379" i="9"/>
  <c r="T379" i="9" l="1"/>
  <c r="B384" i="6"/>
  <c r="Y384" i="6"/>
  <c r="D383" i="6"/>
  <c r="H383" i="6"/>
  <c r="I383" i="6"/>
  <c r="J383" i="6" s="1"/>
  <c r="K383" i="6" s="1"/>
  <c r="L383" i="6"/>
  <c r="P383" i="6" s="1"/>
  <c r="C383" i="6"/>
  <c r="V1781" i="6"/>
  <c r="P379" i="9"/>
  <c r="X381" i="6"/>
  <c r="S382" i="6"/>
  <c r="T1782" i="6"/>
  <c r="A1783" i="6"/>
  <c r="U1782" i="6"/>
  <c r="H380" i="9"/>
  <c r="E380" i="9"/>
  <c r="G380" i="9"/>
  <c r="F380" i="9"/>
  <c r="I380" i="9"/>
  <c r="P380" i="9" s="1"/>
  <c r="D380" i="9"/>
  <c r="B381" i="9"/>
  <c r="C380" i="9"/>
  <c r="T380" i="9" l="1"/>
  <c r="L384" i="6"/>
  <c r="P384" i="6" s="1"/>
  <c r="C384" i="6"/>
  <c r="Y385" i="6"/>
  <c r="H384" i="6"/>
  <c r="I384" i="6"/>
  <c r="J384" i="6" s="1"/>
  <c r="K384" i="6" s="1"/>
  <c r="D384" i="6"/>
  <c r="B385" i="6"/>
  <c r="V1782" i="6"/>
  <c r="C381" i="9"/>
  <c r="E381" i="9"/>
  <c r="H381" i="9"/>
  <c r="G381" i="9"/>
  <c r="D381" i="9"/>
  <c r="F381" i="9"/>
  <c r="B382" i="9"/>
  <c r="I381" i="9"/>
  <c r="P381" i="9" s="1"/>
  <c r="U1783" i="6"/>
  <c r="A1784" i="6"/>
  <c r="T1783" i="6"/>
  <c r="X382" i="6"/>
  <c r="S383" i="6"/>
  <c r="T381" i="9" l="1"/>
  <c r="C385" i="6"/>
  <c r="L385" i="6"/>
  <c r="P385" i="6" s="1"/>
  <c r="H385" i="6"/>
  <c r="D385" i="6"/>
  <c r="B386" i="6"/>
  <c r="Y386" i="6"/>
  <c r="I385" i="6"/>
  <c r="J385" i="6" s="1"/>
  <c r="K385" i="6" s="1"/>
  <c r="V1783" i="6"/>
  <c r="D382" i="9"/>
  <c r="C382" i="9"/>
  <c r="G382" i="9"/>
  <c r="I382" i="9"/>
  <c r="P382" i="9" s="1"/>
  <c r="B383" i="9"/>
  <c r="F382" i="9"/>
  <c r="H382" i="9"/>
  <c r="E382" i="9"/>
  <c r="X383" i="6"/>
  <c r="S384" i="6"/>
  <c r="A1785" i="6"/>
  <c r="T1784" i="6"/>
  <c r="U1784" i="6"/>
  <c r="T382" i="9" l="1"/>
  <c r="B387" i="6"/>
  <c r="I386" i="6"/>
  <c r="J386" i="6" s="1"/>
  <c r="K386" i="6" s="1"/>
  <c r="Y387" i="6"/>
  <c r="C386" i="6"/>
  <c r="H386" i="6"/>
  <c r="L386" i="6"/>
  <c r="P386" i="6" s="1"/>
  <c r="D386" i="6"/>
  <c r="V1784" i="6"/>
  <c r="D383" i="9"/>
  <c r="H383" i="9"/>
  <c r="B384" i="9"/>
  <c r="F383" i="9"/>
  <c r="E383" i="9"/>
  <c r="C383" i="9"/>
  <c r="G383" i="9"/>
  <c r="I383" i="9"/>
  <c r="P383" i="9" s="1"/>
  <c r="X384" i="6"/>
  <c r="S385" i="6"/>
  <c r="A1786" i="6"/>
  <c r="U1785" i="6"/>
  <c r="T1785" i="6"/>
  <c r="T383" i="9" l="1"/>
  <c r="D387" i="6"/>
  <c r="H387" i="6"/>
  <c r="C387" i="6"/>
  <c r="B388" i="6"/>
  <c r="L387" i="6"/>
  <c r="P387" i="6" s="1"/>
  <c r="Y388" i="6"/>
  <c r="I387" i="6"/>
  <c r="J387" i="6" s="1"/>
  <c r="K387" i="6" s="1"/>
  <c r="V1785" i="6"/>
  <c r="X385" i="6"/>
  <c r="S386" i="6"/>
  <c r="D384" i="9"/>
  <c r="I384" i="9"/>
  <c r="B385" i="9"/>
  <c r="E384" i="9"/>
  <c r="F384" i="9"/>
  <c r="H384" i="9"/>
  <c r="C384" i="9"/>
  <c r="G384" i="9"/>
  <c r="T1786" i="6"/>
  <c r="U1786" i="6"/>
  <c r="A1787" i="6"/>
  <c r="T384" i="9" l="1"/>
  <c r="I388" i="6"/>
  <c r="J388" i="6" s="1"/>
  <c r="K388" i="6" s="1"/>
  <c r="B389" i="6"/>
  <c r="Y389" i="6"/>
  <c r="H388" i="6"/>
  <c r="L388" i="6"/>
  <c r="D388" i="6"/>
  <c r="C388" i="6"/>
  <c r="V1786" i="6"/>
  <c r="H385" i="9"/>
  <c r="G385" i="9"/>
  <c r="E385" i="9"/>
  <c r="F385" i="9"/>
  <c r="C385" i="9"/>
  <c r="D385" i="9"/>
  <c r="B386" i="9"/>
  <c r="I385" i="9"/>
  <c r="P384" i="9"/>
  <c r="X386" i="6"/>
  <c r="S387" i="6"/>
  <c r="A1788" i="6"/>
  <c r="U1787" i="6"/>
  <c r="T1787" i="6"/>
  <c r="T385" i="9" l="1"/>
  <c r="L389" i="6"/>
  <c r="P389" i="6" s="1"/>
  <c r="Y390" i="6"/>
  <c r="C389" i="6"/>
  <c r="H389" i="6"/>
  <c r="B390" i="6"/>
  <c r="I389" i="6"/>
  <c r="J389" i="6" s="1"/>
  <c r="K389" i="6" s="1"/>
  <c r="D389" i="6"/>
  <c r="P388" i="6"/>
  <c r="V1787" i="6"/>
  <c r="I386" i="9"/>
  <c r="H386" i="9"/>
  <c r="C386" i="9"/>
  <c r="E386" i="9"/>
  <c r="B387" i="9"/>
  <c r="D386" i="9"/>
  <c r="F386" i="9"/>
  <c r="G386" i="9"/>
  <c r="X387" i="6"/>
  <c r="S388" i="6"/>
  <c r="U1788" i="6"/>
  <c r="A1789" i="6"/>
  <c r="T1788" i="6"/>
  <c r="P385" i="9"/>
  <c r="T386" i="9" l="1"/>
  <c r="Y391" i="6"/>
  <c r="C390" i="6"/>
  <c r="H390" i="6"/>
  <c r="L390" i="6"/>
  <c r="P390" i="6" s="1"/>
  <c r="D390" i="6"/>
  <c r="B391" i="6"/>
  <c r="I390" i="6"/>
  <c r="J390" i="6" s="1"/>
  <c r="K390" i="6" s="1"/>
  <c r="V1788" i="6"/>
  <c r="B388" i="9"/>
  <c r="H387" i="9"/>
  <c r="C387" i="9"/>
  <c r="E387" i="9"/>
  <c r="I387" i="9"/>
  <c r="P387" i="9" s="1"/>
  <c r="D387" i="9"/>
  <c r="F387" i="9"/>
  <c r="G387" i="9"/>
  <c r="X388" i="6"/>
  <c r="S389" i="6"/>
  <c r="A1790" i="6"/>
  <c r="T1789" i="6"/>
  <c r="U1789" i="6"/>
  <c r="P386" i="9"/>
  <c r="T387" i="9" l="1"/>
  <c r="C391" i="6"/>
  <c r="I391" i="6"/>
  <c r="J391" i="6" s="1"/>
  <c r="K391" i="6" s="1"/>
  <c r="D391" i="6"/>
  <c r="L391" i="6"/>
  <c r="B392" i="6"/>
  <c r="Y392" i="6"/>
  <c r="H391" i="6"/>
  <c r="V1789" i="6"/>
  <c r="A1791" i="6"/>
  <c r="T1790" i="6"/>
  <c r="U1790" i="6"/>
  <c r="I388" i="9"/>
  <c r="P388" i="9" s="1"/>
  <c r="F388" i="9"/>
  <c r="G388" i="9"/>
  <c r="B389" i="9"/>
  <c r="D388" i="9"/>
  <c r="C388" i="9"/>
  <c r="H388" i="9"/>
  <c r="E388" i="9"/>
  <c r="X389" i="6"/>
  <c r="S390" i="6"/>
  <c r="T388" i="9" l="1"/>
  <c r="I392" i="6"/>
  <c r="J392" i="6" s="1"/>
  <c r="K392" i="6" s="1"/>
  <c r="H392" i="6"/>
  <c r="B393" i="6"/>
  <c r="D392" i="6"/>
  <c r="L392" i="6"/>
  <c r="P392" i="6" s="1"/>
  <c r="C392" i="6"/>
  <c r="Y393" i="6"/>
  <c r="P391" i="6"/>
  <c r="V1790" i="6"/>
  <c r="C389" i="9"/>
  <c r="I389" i="9"/>
  <c r="P389" i="9" s="1"/>
  <c r="E389" i="9"/>
  <c r="G389" i="9"/>
  <c r="H389" i="9"/>
  <c r="D389" i="9"/>
  <c r="B390" i="9"/>
  <c r="F389" i="9"/>
  <c r="A1792" i="6"/>
  <c r="U1791" i="6"/>
  <c r="T1791" i="6"/>
  <c r="X390" i="6"/>
  <c r="S391" i="6"/>
  <c r="T389" i="9" l="1"/>
  <c r="L393" i="6"/>
  <c r="C393" i="6"/>
  <c r="B394" i="6"/>
  <c r="H393" i="6"/>
  <c r="Y394" i="6"/>
  <c r="D393" i="6"/>
  <c r="I393" i="6"/>
  <c r="J393" i="6" s="1"/>
  <c r="K393" i="6" s="1"/>
  <c r="V1791" i="6"/>
  <c r="A1793" i="6"/>
  <c r="T1792" i="6"/>
  <c r="U1792" i="6"/>
  <c r="E390" i="9"/>
  <c r="D390" i="9"/>
  <c r="I390" i="9"/>
  <c r="P390" i="9" s="1"/>
  <c r="H390" i="9"/>
  <c r="B391" i="9"/>
  <c r="G390" i="9"/>
  <c r="C390" i="9"/>
  <c r="F390" i="9"/>
  <c r="X391" i="6"/>
  <c r="S392" i="6"/>
  <c r="T390" i="9" l="1"/>
  <c r="B395" i="6"/>
  <c r="Y395" i="6"/>
  <c r="D394" i="6"/>
  <c r="L394" i="6"/>
  <c r="P394" i="6" s="1"/>
  <c r="I394" i="6"/>
  <c r="J394" i="6" s="1"/>
  <c r="K394" i="6" s="1"/>
  <c r="H394" i="6"/>
  <c r="C394" i="6"/>
  <c r="P393" i="6"/>
  <c r="V1792" i="6"/>
  <c r="I391" i="9"/>
  <c r="P391" i="9" s="1"/>
  <c r="G391" i="9"/>
  <c r="F391" i="9"/>
  <c r="B392" i="9"/>
  <c r="D391" i="9"/>
  <c r="E391" i="9"/>
  <c r="C391" i="9"/>
  <c r="H391" i="9"/>
  <c r="X392" i="6"/>
  <c r="S393" i="6"/>
  <c r="A1794" i="6"/>
  <c r="T1793" i="6"/>
  <c r="U1793" i="6"/>
  <c r="T391" i="9" l="1"/>
  <c r="C395" i="6"/>
  <c r="I395" i="6"/>
  <c r="J395" i="6" s="1"/>
  <c r="K395" i="6" s="1"/>
  <c r="B396" i="6"/>
  <c r="D395" i="6"/>
  <c r="Y396" i="6"/>
  <c r="H395" i="6"/>
  <c r="L395" i="6"/>
  <c r="P395" i="6" s="1"/>
  <c r="V1793" i="6"/>
  <c r="D392" i="9"/>
  <c r="C392" i="9"/>
  <c r="H392" i="9"/>
  <c r="G392" i="9"/>
  <c r="B393" i="9"/>
  <c r="E392" i="9"/>
  <c r="I392" i="9"/>
  <c r="P392" i="9" s="1"/>
  <c r="F392" i="9"/>
  <c r="A1795" i="6"/>
  <c r="U1794" i="6"/>
  <c r="T1794" i="6"/>
  <c r="X393" i="6"/>
  <c r="S394" i="6"/>
  <c r="T392" i="9" l="1"/>
  <c r="C396" i="6"/>
  <c r="Y397" i="6"/>
  <c r="I396" i="6"/>
  <c r="J396" i="6" s="1"/>
  <c r="K396" i="6" s="1"/>
  <c r="B397" i="6"/>
  <c r="H396" i="6"/>
  <c r="L396" i="6"/>
  <c r="P396" i="6" s="1"/>
  <c r="D396" i="6"/>
  <c r="V1794" i="6"/>
  <c r="G393" i="9"/>
  <c r="E393" i="9"/>
  <c r="C393" i="9"/>
  <c r="I393" i="9"/>
  <c r="P393" i="9" s="1"/>
  <c r="D393" i="9"/>
  <c r="H393" i="9"/>
  <c r="B394" i="9"/>
  <c r="F393" i="9"/>
  <c r="X394" i="6"/>
  <c r="S395" i="6"/>
  <c r="A1796" i="6"/>
  <c r="T1795" i="6"/>
  <c r="U1795" i="6"/>
  <c r="T393" i="9" l="1"/>
  <c r="Y398" i="6"/>
  <c r="C397" i="6"/>
  <c r="D397" i="6"/>
  <c r="I397" i="6"/>
  <c r="J397" i="6" s="1"/>
  <c r="K397" i="6" s="1"/>
  <c r="H397" i="6"/>
  <c r="L397" i="6"/>
  <c r="P397" i="6" s="1"/>
  <c r="B398" i="6"/>
  <c r="V1795" i="6"/>
  <c r="X395" i="6"/>
  <c r="S396" i="6"/>
  <c r="A1797" i="6"/>
  <c r="U1796" i="6"/>
  <c r="T1796" i="6"/>
  <c r="F394" i="9"/>
  <c r="C394" i="9"/>
  <c r="G394" i="9"/>
  <c r="H394" i="9"/>
  <c r="E394" i="9"/>
  <c r="B395" i="9"/>
  <c r="D394" i="9"/>
  <c r="I394" i="9"/>
  <c r="T394" i="9" l="1"/>
  <c r="C398" i="6"/>
  <c r="B399" i="6"/>
  <c r="H398" i="6"/>
  <c r="L398" i="6"/>
  <c r="I398" i="6"/>
  <c r="J398" i="6" s="1"/>
  <c r="K398" i="6" s="1"/>
  <c r="D398" i="6"/>
  <c r="Y399" i="6"/>
  <c r="V1796" i="6"/>
  <c r="A1798" i="6"/>
  <c r="U1797" i="6"/>
  <c r="T1797" i="6"/>
  <c r="B396" i="9"/>
  <c r="H395" i="9"/>
  <c r="D395" i="9"/>
  <c r="E395" i="9"/>
  <c r="C395" i="9"/>
  <c r="I395" i="9"/>
  <c r="G395" i="9"/>
  <c r="F395" i="9"/>
  <c r="X396" i="6"/>
  <c r="S397" i="6"/>
  <c r="P394" i="9"/>
  <c r="T395" i="9" l="1"/>
  <c r="P398" i="6"/>
  <c r="Y400" i="6"/>
  <c r="C399" i="6"/>
  <c r="D399" i="6"/>
  <c r="H399" i="6"/>
  <c r="B400" i="6"/>
  <c r="L399" i="6"/>
  <c r="P399" i="6" s="1"/>
  <c r="I399" i="6"/>
  <c r="J399" i="6" s="1"/>
  <c r="K399" i="6" s="1"/>
  <c r="V1797" i="6"/>
  <c r="T1798" i="6"/>
  <c r="A1799" i="6"/>
  <c r="U1798" i="6"/>
  <c r="I396" i="9"/>
  <c r="D396" i="9"/>
  <c r="B397" i="9"/>
  <c r="C396" i="9"/>
  <c r="E396" i="9"/>
  <c r="G396" i="9"/>
  <c r="H396" i="9"/>
  <c r="F396" i="9"/>
  <c r="P395" i="9"/>
  <c r="X397" i="6"/>
  <c r="S398" i="6"/>
  <c r="T396" i="9" l="1"/>
  <c r="Y401" i="6"/>
  <c r="H400" i="6"/>
  <c r="I400" i="6"/>
  <c r="J400" i="6" s="1"/>
  <c r="K400" i="6" s="1"/>
  <c r="D400" i="6"/>
  <c r="L400" i="6"/>
  <c r="P400" i="6" s="1"/>
  <c r="B401" i="6"/>
  <c r="C400" i="6"/>
  <c r="V1798" i="6"/>
  <c r="X398" i="6"/>
  <c r="S399" i="6"/>
  <c r="F397" i="9"/>
  <c r="C397" i="9"/>
  <c r="E397" i="9"/>
  <c r="B398" i="9"/>
  <c r="H397" i="9"/>
  <c r="D397" i="9"/>
  <c r="G397" i="9"/>
  <c r="I397" i="9"/>
  <c r="P396" i="9"/>
  <c r="U1799" i="6"/>
  <c r="A1800" i="6"/>
  <c r="T1799" i="6"/>
  <c r="T397" i="9" l="1"/>
  <c r="Y402" i="6"/>
  <c r="B402" i="6"/>
  <c r="L401" i="6"/>
  <c r="P401" i="6" s="1"/>
  <c r="I401" i="6"/>
  <c r="J401" i="6" s="1"/>
  <c r="K401" i="6" s="1"/>
  <c r="H401" i="6"/>
  <c r="D401" i="6"/>
  <c r="C401" i="6"/>
  <c r="V1799" i="6"/>
  <c r="C398" i="9"/>
  <c r="D398" i="9"/>
  <c r="E398" i="9"/>
  <c r="G398" i="9"/>
  <c r="F398" i="9"/>
  <c r="H398" i="9"/>
  <c r="I398" i="9"/>
  <c r="B399" i="9"/>
  <c r="P397" i="9"/>
  <c r="T1800" i="6"/>
  <c r="U1800" i="6"/>
  <c r="A1801" i="6"/>
  <c r="X399" i="6"/>
  <c r="S400" i="6"/>
  <c r="T398" i="9" l="1"/>
  <c r="I402" i="6"/>
  <c r="J402" i="6" s="1"/>
  <c r="K402" i="6" s="1"/>
  <c r="H402" i="6"/>
  <c r="C402" i="6"/>
  <c r="D402" i="6"/>
  <c r="L402" i="6"/>
  <c r="P402" i="6" s="1"/>
  <c r="B403" i="6"/>
  <c r="Y403" i="6"/>
  <c r="V1800" i="6"/>
  <c r="D399" i="9"/>
  <c r="F399" i="9"/>
  <c r="E399" i="9"/>
  <c r="C399" i="9"/>
  <c r="B400" i="9"/>
  <c r="I399" i="9"/>
  <c r="H399" i="9"/>
  <c r="G399" i="9"/>
  <c r="X400" i="6"/>
  <c r="S401" i="6"/>
  <c r="P398" i="9"/>
  <c r="U1801" i="6"/>
  <c r="A1802" i="6"/>
  <c r="T1801" i="6"/>
  <c r="T399" i="9" l="1"/>
  <c r="V1801" i="6"/>
  <c r="Y404" i="6"/>
  <c r="H403" i="6"/>
  <c r="D403" i="6"/>
  <c r="L403" i="6"/>
  <c r="P403" i="6" s="1"/>
  <c r="B404" i="6"/>
  <c r="C403" i="6"/>
  <c r="I403" i="6"/>
  <c r="J403" i="6" s="1"/>
  <c r="K403" i="6" s="1"/>
  <c r="F400" i="9"/>
  <c r="B401" i="9"/>
  <c r="E400" i="9"/>
  <c r="I400" i="9"/>
  <c r="D400" i="9"/>
  <c r="G400" i="9"/>
  <c r="H400" i="9"/>
  <c r="C400" i="9"/>
  <c r="U1802" i="6"/>
  <c r="A1803" i="6"/>
  <c r="T1802" i="6"/>
  <c r="P399" i="9"/>
  <c r="X401" i="6"/>
  <c r="S402" i="6"/>
  <c r="T400" i="9" l="1"/>
  <c r="I404" i="6"/>
  <c r="J404" i="6" s="1"/>
  <c r="K404" i="6" s="1"/>
  <c r="C404" i="6"/>
  <c r="B405" i="6"/>
  <c r="H404" i="6"/>
  <c r="Y405" i="6"/>
  <c r="L404" i="6"/>
  <c r="D404" i="6"/>
  <c r="V1802" i="6"/>
  <c r="A1804" i="6"/>
  <c r="U1803" i="6"/>
  <c r="T1803" i="6"/>
  <c r="X402" i="6"/>
  <c r="S403" i="6"/>
  <c r="I401" i="9"/>
  <c r="P401" i="9" s="1"/>
  <c r="C401" i="9"/>
  <c r="B402" i="9"/>
  <c r="F401" i="9"/>
  <c r="D401" i="9"/>
  <c r="G401" i="9"/>
  <c r="E401" i="9"/>
  <c r="H401" i="9"/>
  <c r="P400" i="9"/>
  <c r="T401" i="9" l="1"/>
  <c r="V1803" i="6"/>
  <c r="P404" i="6"/>
  <c r="I405" i="6"/>
  <c r="J405" i="6" s="1"/>
  <c r="K405" i="6" s="1"/>
  <c r="L405" i="6"/>
  <c r="P405" i="6" s="1"/>
  <c r="H405" i="6"/>
  <c r="B406" i="6"/>
  <c r="D405" i="6"/>
  <c r="Y406" i="6"/>
  <c r="C405" i="6"/>
  <c r="X403" i="6"/>
  <c r="S404" i="6"/>
  <c r="B403" i="9"/>
  <c r="E402" i="9"/>
  <c r="C402" i="9"/>
  <c r="H402" i="9"/>
  <c r="F402" i="9"/>
  <c r="D402" i="9"/>
  <c r="G402" i="9"/>
  <c r="I402" i="9"/>
  <c r="P402" i="9" s="1"/>
  <c r="U1804" i="6"/>
  <c r="A1805" i="6"/>
  <c r="T1804" i="6"/>
  <c r="T402" i="9" l="1"/>
  <c r="C406" i="6"/>
  <c r="B407" i="6"/>
  <c r="D406" i="6"/>
  <c r="H406" i="6"/>
  <c r="I406" i="6"/>
  <c r="J406" i="6" s="1"/>
  <c r="K406" i="6" s="1"/>
  <c r="L406" i="6"/>
  <c r="Y407" i="6"/>
  <c r="V1804" i="6"/>
  <c r="X404" i="6"/>
  <c r="S405" i="6"/>
  <c r="C403" i="9"/>
  <c r="I403" i="9"/>
  <c r="P403" i="9" s="1"/>
  <c r="F403" i="9"/>
  <c r="G403" i="9"/>
  <c r="E403" i="9"/>
  <c r="B404" i="9"/>
  <c r="H403" i="9"/>
  <c r="D403" i="9"/>
  <c r="A1806" i="6"/>
  <c r="T1805" i="6"/>
  <c r="U1805" i="6"/>
  <c r="T403" i="9" l="1"/>
  <c r="P406" i="6"/>
  <c r="C407" i="6"/>
  <c r="B408" i="6"/>
  <c r="Y408" i="6"/>
  <c r="D407" i="6"/>
  <c r="L407" i="6"/>
  <c r="H407" i="6"/>
  <c r="I407" i="6"/>
  <c r="J407" i="6" s="1"/>
  <c r="K407" i="6" s="1"/>
  <c r="V1805" i="6"/>
  <c r="F404" i="9"/>
  <c r="B405" i="9"/>
  <c r="C404" i="9"/>
  <c r="G404" i="9"/>
  <c r="H404" i="9"/>
  <c r="D404" i="9"/>
  <c r="I404" i="9"/>
  <c r="P404" i="9" s="1"/>
  <c r="E404" i="9"/>
  <c r="X405" i="6"/>
  <c r="S406" i="6"/>
  <c r="U1806" i="6"/>
  <c r="A1807" i="6"/>
  <c r="T1806" i="6"/>
  <c r="T404" i="9" l="1"/>
  <c r="D408" i="6"/>
  <c r="Y409" i="6"/>
  <c r="C408" i="6"/>
  <c r="I408" i="6"/>
  <c r="J408" i="6" s="1"/>
  <c r="K408" i="6" s="1"/>
  <c r="H408" i="6"/>
  <c r="L408" i="6"/>
  <c r="P408" i="6" s="1"/>
  <c r="B409" i="6"/>
  <c r="P407" i="6"/>
  <c r="V1806" i="6"/>
  <c r="A1808" i="6"/>
  <c r="T1807" i="6"/>
  <c r="U1807" i="6"/>
  <c r="X406" i="6"/>
  <c r="S407" i="6"/>
  <c r="F405" i="9"/>
  <c r="E405" i="9"/>
  <c r="D405" i="9"/>
  <c r="I405" i="9"/>
  <c r="P405" i="9" s="1"/>
  <c r="H405" i="9"/>
  <c r="C405" i="9"/>
  <c r="G405" i="9"/>
  <c r="B406" i="9"/>
  <c r="T405" i="9" l="1"/>
  <c r="H409" i="6"/>
  <c r="D409" i="6"/>
  <c r="C409" i="6"/>
  <c r="Y410" i="6"/>
  <c r="B410" i="6"/>
  <c r="I409" i="6"/>
  <c r="J409" i="6" s="1"/>
  <c r="K409" i="6" s="1"/>
  <c r="L409" i="6"/>
  <c r="P409" i="6" s="1"/>
  <c r="V1807" i="6"/>
  <c r="X407" i="6"/>
  <c r="S408" i="6"/>
  <c r="I406" i="9"/>
  <c r="C406" i="9"/>
  <c r="H406" i="9"/>
  <c r="D406" i="9"/>
  <c r="F406" i="9"/>
  <c r="G406" i="9"/>
  <c r="E406" i="9"/>
  <c r="B407" i="9"/>
  <c r="T1808" i="6"/>
  <c r="U1808" i="6"/>
  <c r="A1809" i="6"/>
  <c r="T406" i="9" l="1"/>
  <c r="I410" i="6"/>
  <c r="J410" i="6" s="1"/>
  <c r="K410" i="6" s="1"/>
  <c r="C410" i="6"/>
  <c r="D410" i="6"/>
  <c r="H410" i="6"/>
  <c r="L410" i="6"/>
  <c r="Y411" i="6"/>
  <c r="B411" i="6"/>
  <c r="V1808" i="6"/>
  <c r="U1809" i="6"/>
  <c r="T1809" i="6"/>
  <c r="A1810" i="6"/>
  <c r="H407" i="9"/>
  <c r="D407" i="9"/>
  <c r="C407" i="9"/>
  <c r="F407" i="9"/>
  <c r="B408" i="9"/>
  <c r="I407" i="9"/>
  <c r="G407" i="9"/>
  <c r="E407" i="9"/>
  <c r="X408" i="6"/>
  <c r="S409" i="6"/>
  <c r="P406" i="9"/>
  <c r="T407" i="9" l="1"/>
  <c r="D411" i="6"/>
  <c r="C411" i="6"/>
  <c r="L411" i="6"/>
  <c r="P411" i="6" s="1"/>
  <c r="I411" i="6"/>
  <c r="J411" i="6" s="1"/>
  <c r="K411" i="6" s="1"/>
  <c r="Y412" i="6"/>
  <c r="H411" i="6"/>
  <c r="B412" i="6"/>
  <c r="P410" i="6"/>
  <c r="V1809" i="6"/>
  <c r="D408" i="9"/>
  <c r="F408" i="9"/>
  <c r="B409" i="9"/>
  <c r="G408" i="9"/>
  <c r="I408" i="9"/>
  <c r="E408" i="9"/>
  <c r="C408" i="9"/>
  <c r="H408" i="9"/>
  <c r="X409" i="6"/>
  <c r="S410" i="6"/>
  <c r="A1811" i="6"/>
  <c r="U1810" i="6"/>
  <c r="T1810" i="6"/>
  <c r="P407" i="9"/>
  <c r="T408" i="9" l="1"/>
  <c r="L412" i="6"/>
  <c r="P412" i="6" s="1"/>
  <c r="H412" i="6"/>
  <c r="B413" i="6"/>
  <c r="C412" i="6"/>
  <c r="I412" i="6"/>
  <c r="J412" i="6" s="1"/>
  <c r="K412" i="6" s="1"/>
  <c r="D412" i="6"/>
  <c r="Y413" i="6"/>
  <c r="V1810" i="6"/>
  <c r="X410" i="6"/>
  <c r="S411" i="6"/>
  <c r="H409" i="9"/>
  <c r="E409" i="9"/>
  <c r="F409" i="9"/>
  <c r="G409" i="9"/>
  <c r="D409" i="9"/>
  <c r="B410" i="9"/>
  <c r="C409" i="9"/>
  <c r="I409" i="9"/>
  <c r="P409" i="9" s="1"/>
  <c r="T1811" i="6"/>
  <c r="A1812" i="6"/>
  <c r="U1811" i="6"/>
  <c r="P408" i="9"/>
  <c r="T409" i="9" l="1"/>
  <c r="Y414" i="6"/>
  <c r="B414" i="6"/>
  <c r="D413" i="6"/>
  <c r="C413" i="6"/>
  <c r="I413" i="6"/>
  <c r="J413" i="6" s="1"/>
  <c r="K413" i="6" s="1"/>
  <c r="L413" i="6"/>
  <c r="P413" i="6" s="1"/>
  <c r="H413" i="6"/>
  <c r="V1811" i="6"/>
  <c r="A1813" i="6"/>
  <c r="T1812" i="6"/>
  <c r="U1812" i="6"/>
  <c r="X411" i="6"/>
  <c r="S412" i="6"/>
  <c r="D410" i="9"/>
  <c r="F410" i="9"/>
  <c r="E410" i="9"/>
  <c r="B411" i="9"/>
  <c r="G410" i="9"/>
  <c r="I410" i="9"/>
  <c r="H410" i="9"/>
  <c r="C410" i="9"/>
  <c r="T410" i="9" l="1"/>
  <c r="D414" i="6"/>
  <c r="I414" i="6"/>
  <c r="J414" i="6" s="1"/>
  <c r="K414" i="6" s="1"/>
  <c r="C414" i="6"/>
  <c r="Y415" i="6"/>
  <c r="L414" i="6"/>
  <c r="P414" i="6" s="1"/>
  <c r="H414" i="6"/>
  <c r="B415" i="6"/>
  <c r="V1812" i="6"/>
  <c r="A1814" i="6"/>
  <c r="T1813" i="6"/>
  <c r="U1813" i="6"/>
  <c r="P410" i="9"/>
  <c r="B412" i="9"/>
  <c r="H411" i="9"/>
  <c r="E411" i="9"/>
  <c r="F411" i="9"/>
  <c r="D411" i="9"/>
  <c r="G411" i="9"/>
  <c r="I411" i="9"/>
  <c r="P411" i="9" s="1"/>
  <c r="C411" i="9"/>
  <c r="X412" i="6"/>
  <c r="S413" i="6"/>
  <c r="T411" i="9" l="1"/>
  <c r="C415" i="6"/>
  <c r="L415" i="6"/>
  <c r="D415" i="6"/>
  <c r="I415" i="6"/>
  <c r="J415" i="6" s="1"/>
  <c r="K415" i="6" s="1"/>
  <c r="B416" i="6"/>
  <c r="Y416" i="6"/>
  <c r="H415" i="6"/>
  <c r="V1813" i="6"/>
  <c r="X413" i="6"/>
  <c r="S414" i="6"/>
  <c r="T1814" i="6"/>
  <c r="A1815" i="6"/>
  <c r="U1814" i="6"/>
  <c r="C412" i="9"/>
  <c r="G412" i="9"/>
  <c r="E412" i="9"/>
  <c r="D412" i="9"/>
  <c r="B413" i="9"/>
  <c r="I412" i="9"/>
  <c r="P412" i="9" s="1"/>
  <c r="H412" i="9"/>
  <c r="F412" i="9"/>
  <c r="T412" i="9" l="1"/>
  <c r="Y417" i="6"/>
  <c r="D416" i="6"/>
  <c r="H416" i="6"/>
  <c r="B417" i="6"/>
  <c r="L416" i="6"/>
  <c r="P416" i="6" s="1"/>
  <c r="C416" i="6"/>
  <c r="I416" i="6"/>
  <c r="J416" i="6" s="1"/>
  <c r="K416" i="6" s="1"/>
  <c r="P415" i="6"/>
  <c r="V1814" i="6"/>
  <c r="T1815" i="6"/>
  <c r="U1815" i="6"/>
  <c r="A1816" i="6"/>
  <c r="X414" i="6"/>
  <c r="S415" i="6"/>
  <c r="E413" i="9"/>
  <c r="H413" i="9"/>
  <c r="G413" i="9"/>
  <c r="B414" i="9"/>
  <c r="C413" i="9"/>
  <c r="F413" i="9"/>
  <c r="I413" i="9"/>
  <c r="P413" i="9" s="1"/>
  <c r="D413" i="9"/>
  <c r="T413" i="9" l="1"/>
  <c r="Y418" i="6"/>
  <c r="C417" i="6"/>
  <c r="D417" i="6"/>
  <c r="I417" i="6"/>
  <c r="J417" i="6" s="1"/>
  <c r="K417" i="6" s="1"/>
  <c r="B418" i="6"/>
  <c r="H417" i="6"/>
  <c r="L417" i="6"/>
  <c r="P417" i="6" s="1"/>
  <c r="V1815" i="6"/>
  <c r="X415" i="6"/>
  <c r="S416" i="6"/>
  <c r="U1816" i="6"/>
  <c r="A1817" i="6"/>
  <c r="T1816" i="6"/>
  <c r="H414" i="9"/>
  <c r="B415" i="9"/>
  <c r="C414" i="9"/>
  <c r="E414" i="9"/>
  <c r="I414" i="9"/>
  <c r="P414" i="9" s="1"/>
  <c r="G414" i="9"/>
  <c r="D414" i="9"/>
  <c r="F414" i="9"/>
  <c r="T414" i="9" l="1"/>
  <c r="C418" i="6"/>
  <c r="B419" i="6"/>
  <c r="H418" i="6"/>
  <c r="Y419" i="6"/>
  <c r="D418" i="6"/>
  <c r="I418" i="6"/>
  <c r="J418" i="6" s="1"/>
  <c r="K418" i="6" s="1"/>
  <c r="L418" i="6"/>
  <c r="P418" i="6" s="1"/>
  <c r="V1816" i="6"/>
  <c r="A1818" i="6"/>
  <c r="T1817" i="6"/>
  <c r="U1817" i="6"/>
  <c r="X416" i="6"/>
  <c r="S417" i="6"/>
  <c r="B416" i="9"/>
  <c r="I415" i="9"/>
  <c r="P415" i="9" s="1"/>
  <c r="H415" i="9"/>
  <c r="C415" i="9"/>
  <c r="D415" i="9"/>
  <c r="E415" i="9"/>
  <c r="G415" i="9"/>
  <c r="F415" i="9"/>
  <c r="T415" i="9" l="1"/>
  <c r="D419" i="6"/>
  <c r="H419" i="6"/>
  <c r="B420" i="6"/>
  <c r="I419" i="6"/>
  <c r="J419" i="6" s="1"/>
  <c r="K419" i="6" s="1"/>
  <c r="Y420" i="6"/>
  <c r="C419" i="6"/>
  <c r="L419" i="6"/>
  <c r="V1817" i="6"/>
  <c r="X417" i="6"/>
  <c r="S418" i="6"/>
  <c r="A1819" i="6"/>
  <c r="U1818" i="6"/>
  <c r="T1818" i="6"/>
  <c r="D416" i="9"/>
  <c r="B417" i="9"/>
  <c r="F416" i="9"/>
  <c r="C416" i="9"/>
  <c r="I416" i="9"/>
  <c r="P416" i="9" s="1"/>
  <c r="H416" i="9"/>
  <c r="G416" i="9"/>
  <c r="E416" i="9"/>
  <c r="T416" i="9" l="1"/>
  <c r="P419" i="6"/>
  <c r="C420" i="6"/>
  <c r="H420" i="6"/>
  <c r="I420" i="6"/>
  <c r="J420" i="6" s="1"/>
  <c r="K420" i="6" s="1"/>
  <c r="L420" i="6"/>
  <c r="P420" i="6" s="1"/>
  <c r="Y421" i="6"/>
  <c r="B421" i="6"/>
  <c r="D420" i="6"/>
  <c r="V1818" i="6"/>
  <c r="U1819" i="6"/>
  <c r="T1819" i="6"/>
  <c r="A1820" i="6"/>
  <c r="X418" i="6"/>
  <c r="S419" i="6"/>
  <c r="C417" i="9"/>
  <c r="I417" i="9"/>
  <c r="E417" i="9"/>
  <c r="D417" i="9"/>
  <c r="H417" i="9"/>
  <c r="G417" i="9"/>
  <c r="B418" i="9"/>
  <c r="F417" i="9"/>
  <c r="T417" i="9" l="1"/>
  <c r="L421" i="6"/>
  <c r="B422" i="6"/>
  <c r="C421" i="6"/>
  <c r="H421" i="6"/>
  <c r="I421" i="6"/>
  <c r="J421" i="6" s="1"/>
  <c r="K421" i="6" s="1"/>
  <c r="D421" i="6"/>
  <c r="Y422" i="6"/>
  <c r="V1819" i="6"/>
  <c r="X419" i="6"/>
  <c r="S420" i="6"/>
  <c r="I418" i="9"/>
  <c r="P418" i="9" s="1"/>
  <c r="F418" i="9"/>
  <c r="C418" i="9"/>
  <c r="B419" i="9"/>
  <c r="G418" i="9"/>
  <c r="E418" i="9"/>
  <c r="D418" i="9"/>
  <c r="H418" i="9"/>
  <c r="A1821" i="6"/>
  <c r="U1820" i="6"/>
  <c r="T1820" i="6"/>
  <c r="P417" i="9"/>
  <c r="T418" i="9" l="1"/>
  <c r="C422" i="6"/>
  <c r="D422" i="6"/>
  <c r="B423" i="6"/>
  <c r="Y423" i="6"/>
  <c r="H422" i="6"/>
  <c r="L422" i="6"/>
  <c r="P422" i="6" s="1"/>
  <c r="I422" i="6"/>
  <c r="J422" i="6" s="1"/>
  <c r="K422" i="6" s="1"/>
  <c r="P421" i="6"/>
  <c r="V1820" i="6"/>
  <c r="U1821" i="6"/>
  <c r="A1822" i="6"/>
  <c r="T1821" i="6"/>
  <c r="G419" i="9"/>
  <c r="F419" i="9"/>
  <c r="D419" i="9"/>
  <c r="E419" i="9"/>
  <c r="B420" i="9"/>
  <c r="H419" i="9"/>
  <c r="I419" i="9"/>
  <c r="C419" i="9"/>
  <c r="X420" i="6"/>
  <c r="S421" i="6"/>
  <c r="T419" i="9" l="1"/>
  <c r="C423" i="6"/>
  <c r="H423" i="6"/>
  <c r="L423" i="6"/>
  <c r="P423" i="6" s="1"/>
  <c r="I423" i="6"/>
  <c r="J423" i="6" s="1"/>
  <c r="K423" i="6" s="1"/>
  <c r="B424" i="6"/>
  <c r="Y424" i="6"/>
  <c r="D423" i="6"/>
  <c r="V1821" i="6"/>
  <c r="I420" i="9"/>
  <c r="P420" i="9" s="1"/>
  <c r="H420" i="9"/>
  <c r="D420" i="9"/>
  <c r="B421" i="9"/>
  <c r="F420" i="9"/>
  <c r="G420" i="9"/>
  <c r="C420" i="9"/>
  <c r="E420" i="9"/>
  <c r="A1823" i="6"/>
  <c r="T1822" i="6"/>
  <c r="U1822" i="6"/>
  <c r="X421" i="6"/>
  <c r="S422" i="6"/>
  <c r="P419" i="9"/>
  <c r="T420" i="9" l="1"/>
  <c r="Y425" i="6"/>
  <c r="B425" i="6"/>
  <c r="D424" i="6"/>
  <c r="C424" i="6"/>
  <c r="I424" i="6"/>
  <c r="J424" i="6" s="1"/>
  <c r="K424" i="6" s="1"/>
  <c r="L424" i="6"/>
  <c r="P424" i="6" s="1"/>
  <c r="H424" i="6"/>
  <c r="V1822" i="6"/>
  <c r="G421" i="9"/>
  <c r="D421" i="9"/>
  <c r="F421" i="9"/>
  <c r="C421" i="9"/>
  <c r="E421" i="9"/>
  <c r="B422" i="9"/>
  <c r="I421" i="9"/>
  <c r="P421" i="9" s="1"/>
  <c r="H421" i="9"/>
  <c r="T1823" i="6"/>
  <c r="A1824" i="6"/>
  <c r="U1823" i="6"/>
  <c r="X422" i="6"/>
  <c r="S423" i="6"/>
  <c r="T421" i="9" l="1"/>
  <c r="Y426" i="6"/>
  <c r="I425" i="6"/>
  <c r="J425" i="6" s="1"/>
  <c r="K425" i="6" s="1"/>
  <c r="D425" i="6"/>
  <c r="H425" i="6"/>
  <c r="C425" i="6"/>
  <c r="L425" i="6"/>
  <c r="B426" i="6"/>
  <c r="V1823" i="6"/>
  <c r="X423" i="6"/>
  <c r="S424" i="6"/>
  <c r="H422" i="9"/>
  <c r="D422" i="9"/>
  <c r="I422" i="9"/>
  <c r="F422" i="9"/>
  <c r="C422" i="9"/>
  <c r="B423" i="9"/>
  <c r="E422" i="9"/>
  <c r="G422" i="9"/>
  <c r="A1825" i="6"/>
  <c r="T1824" i="6"/>
  <c r="U1824" i="6"/>
  <c r="T422" i="9" l="1"/>
  <c r="D426" i="6"/>
  <c r="I426" i="6"/>
  <c r="J426" i="6" s="1"/>
  <c r="K426" i="6" s="1"/>
  <c r="B427" i="6"/>
  <c r="H426" i="6"/>
  <c r="L426" i="6"/>
  <c r="P426" i="6" s="1"/>
  <c r="C426" i="6"/>
  <c r="Y427" i="6"/>
  <c r="P425" i="6"/>
  <c r="V1824" i="6"/>
  <c r="H423" i="9"/>
  <c r="B424" i="9"/>
  <c r="E423" i="9"/>
  <c r="D423" i="9"/>
  <c r="C423" i="9"/>
  <c r="G423" i="9"/>
  <c r="F423" i="9"/>
  <c r="I423" i="9"/>
  <c r="P422" i="9"/>
  <c r="X424" i="6"/>
  <c r="S425" i="6"/>
  <c r="U1825" i="6"/>
  <c r="T1825" i="6"/>
  <c r="A1826" i="6"/>
  <c r="T423" i="9" l="1"/>
  <c r="D427" i="6"/>
  <c r="Y428" i="6"/>
  <c r="L427" i="6"/>
  <c r="I427" i="6"/>
  <c r="J427" i="6" s="1"/>
  <c r="K427" i="6" s="1"/>
  <c r="B428" i="6"/>
  <c r="C427" i="6"/>
  <c r="H427" i="6"/>
  <c r="V1825" i="6"/>
  <c r="D424" i="9"/>
  <c r="C424" i="9"/>
  <c r="E424" i="9"/>
  <c r="H424" i="9"/>
  <c r="B425" i="9"/>
  <c r="I424" i="9"/>
  <c r="F424" i="9"/>
  <c r="G424" i="9"/>
  <c r="A1827" i="6"/>
  <c r="U1826" i="6"/>
  <c r="T1826" i="6"/>
  <c r="P423" i="9"/>
  <c r="X425" i="6"/>
  <c r="S426" i="6"/>
  <c r="T424" i="9" l="1"/>
  <c r="H428" i="6"/>
  <c r="L428" i="6"/>
  <c r="P428" i="6" s="1"/>
  <c r="Y429" i="6"/>
  <c r="I428" i="6"/>
  <c r="J428" i="6" s="1"/>
  <c r="K428" i="6" s="1"/>
  <c r="C428" i="6"/>
  <c r="D428" i="6"/>
  <c r="B429" i="6"/>
  <c r="P427" i="6"/>
  <c r="V1826" i="6"/>
  <c r="D425" i="9"/>
  <c r="I425" i="9"/>
  <c r="H425" i="9"/>
  <c r="E425" i="9"/>
  <c r="F425" i="9"/>
  <c r="G425" i="9"/>
  <c r="B426" i="9"/>
  <c r="C425" i="9"/>
  <c r="A1828" i="6"/>
  <c r="T1827" i="6"/>
  <c r="U1827" i="6"/>
  <c r="P424" i="9"/>
  <c r="X426" i="6"/>
  <c r="S427" i="6"/>
  <c r="T425" i="9" l="1"/>
  <c r="Y430" i="6"/>
  <c r="I429" i="6"/>
  <c r="J429" i="6" s="1"/>
  <c r="K429" i="6" s="1"/>
  <c r="L429" i="6"/>
  <c r="B430" i="6"/>
  <c r="H429" i="6"/>
  <c r="D429" i="6"/>
  <c r="C429" i="6"/>
  <c r="V1827" i="6"/>
  <c r="I426" i="9"/>
  <c r="P426" i="9" s="1"/>
  <c r="B427" i="9"/>
  <c r="E426" i="9"/>
  <c r="F426" i="9"/>
  <c r="D426" i="9"/>
  <c r="C426" i="9"/>
  <c r="H426" i="9"/>
  <c r="G426" i="9"/>
  <c r="X427" i="6"/>
  <c r="S428" i="6"/>
  <c r="P425" i="9"/>
  <c r="A1829" i="6"/>
  <c r="T1828" i="6"/>
  <c r="U1828" i="6"/>
  <c r="T426" i="9" l="1"/>
  <c r="B431" i="6"/>
  <c r="C430" i="6"/>
  <c r="Y431" i="6"/>
  <c r="L430" i="6"/>
  <c r="P430" i="6" s="1"/>
  <c r="H430" i="6"/>
  <c r="I430" i="6"/>
  <c r="J430" i="6" s="1"/>
  <c r="K430" i="6" s="1"/>
  <c r="D430" i="6"/>
  <c r="P429" i="6"/>
  <c r="V1828" i="6"/>
  <c r="A1830" i="6"/>
  <c r="T1829" i="6"/>
  <c r="U1829" i="6"/>
  <c r="C427" i="9"/>
  <c r="B428" i="9"/>
  <c r="E427" i="9"/>
  <c r="G427" i="9"/>
  <c r="H427" i="9"/>
  <c r="F427" i="9"/>
  <c r="D427" i="9"/>
  <c r="I427" i="9"/>
  <c r="P427" i="9" s="1"/>
  <c r="X428" i="6"/>
  <c r="S429" i="6"/>
  <c r="T427" i="9" l="1"/>
  <c r="L431" i="6"/>
  <c r="H431" i="6"/>
  <c r="Y432" i="6"/>
  <c r="C431" i="6"/>
  <c r="D431" i="6"/>
  <c r="B432" i="6"/>
  <c r="I431" i="6"/>
  <c r="J431" i="6" s="1"/>
  <c r="K431" i="6" s="1"/>
  <c r="V1829" i="6"/>
  <c r="X429" i="6"/>
  <c r="S430" i="6"/>
  <c r="F428" i="9"/>
  <c r="I428" i="9"/>
  <c r="P428" i="9" s="1"/>
  <c r="B429" i="9"/>
  <c r="H428" i="9"/>
  <c r="C428" i="9"/>
  <c r="D428" i="9"/>
  <c r="E428" i="9"/>
  <c r="G428" i="9"/>
  <c r="A1831" i="6"/>
  <c r="U1830" i="6"/>
  <c r="T1830" i="6"/>
  <c r="T428" i="9" l="1"/>
  <c r="I432" i="6"/>
  <c r="J432" i="6" s="1"/>
  <c r="K432" i="6" s="1"/>
  <c r="C432" i="6"/>
  <c r="D432" i="6"/>
  <c r="H432" i="6"/>
  <c r="L432" i="6"/>
  <c r="P432" i="6" s="1"/>
  <c r="B433" i="6"/>
  <c r="Y433" i="6"/>
  <c r="P431" i="6"/>
  <c r="V1830" i="6"/>
  <c r="X430" i="6"/>
  <c r="S431" i="6"/>
  <c r="E429" i="9"/>
  <c r="I429" i="9"/>
  <c r="P429" i="9" s="1"/>
  <c r="D429" i="9"/>
  <c r="B430" i="9"/>
  <c r="H429" i="9"/>
  <c r="C429" i="9"/>
  <c r="F429" i="9"/>
  <c r="G429" i="9"/>
  <c r="A1832" i="6"/>
  <c r="T1831" i="6"/>
  <c r="U1831" i="6"/>
  <c r="T429" i="9" l="1"/>
  <c r="L433" i="6"/>
  <c r="H433" i="6"/>
  <c r="C433" i="6"/>
  <c r="D433" i="6"/>
  <c r="I433" i="6"/>
  <c r="J433" i="6" s="1"/>
  <c r="K433" i="6" s="1"/>
  <c r="B434" i="6"/>
  <c r="Y434" i="6"/>
  <c r="V1831" i="6"/>
  <c r="X431" i="6"/>
  <c r="S432" i="6"/>
  <c r="A1833" i="6"/>
  <c r="U1832" i="6"/>
  <c r="T1832" i="6"/>
  <c r="E430" i="9"/>
  <c r="D430" i="9"/>
  <c r="B431" i="9"/>
  <c r="C430" i="9"/>
  <c r="F430" i="9"/>
  <c r="I430" i="9"/>
  <c r="P430" i="9" s="1"/>
  <c r="H430" i="9"/>
  <c r="G430" i="9"/>
  <c r="T430" i="9" l="1"/>
  <c r="B435" i="6"/>
  <c r="I434" i="6"/>
  <c r="J434" i="6" s="1"/>
  <c r="K434" i="6" s="1"/>
  <c r="C434" i="6"/>
  <c r="L434" i="6"/>
  <c r="P434" i="6" s="1"/>
  <c r="Y435" i="6"/>
  <c r="D434" i="6"/>
  <c r="H434" i="6"/>
  <c r="P433" i="6"/>
  <c r="V1832" i="6"/>
  <c r="A1834" i="6"/>
  <c r="U1833" i="6"/>
  <c r="T1833" i="6"/>
  <c r="C431" i="9"/>
  <c r="D431" i="9"/>
  <c r="F431" i="9"/>
  <c r="I431" i="9"/>
  <c r="B432" i="9"/>
  <c r="H431" i="9"/>
  <c r="E431" i="9"/>
  <c r="G431" i="9"/>
  <c r="X432" i="6"/>
  <c r="S433" i="6"/>
  <c r="T431" i="9" l="1"/>
  <c r="L435" i="6"/>
  <c r="P435" i="6" s="1"/>
  <c r="I435" i="6"/>
  <c r="J435" i="6" s="1"/>
  <c r="K435" i="6" s="1"/>
  <c r="Y436" i="6"/>
  <c r="B436" i="6"/>
  <c r="H435" i="6"/>
  <c r="C435" i="6"/>
  <c r="D435" i="6"/>
  <c r="V1833" i="6"/>
  <c r="H432" i="9"/>
  <c r="C432" i="9"/>
  <c r="E432" i="9"/>
  <c r="F432" i="9"/>
  <c r="D432" i="9"/>
  <c r="I432" i="9"/>
  <c r="G432" i="9"/>
  <c r="B433" i="9"/>
  <c r="X433" i="6"/>
  <c r="S434" i="6"/>
  <c r="P431" i="9"/>
  <c r="T1834" i="6"/>
  <c r="A1835" i="6"/>
  <c r="U1834" i="6"/>
  <c r="T432" i="9" l="1"/>
  <c r="B437" i="6"/>
  <c r="Y437" i="6"/>
  <c r="I436" i="6"/>
  <c r="J436" i="6" s="1"/>
  <c r="K436" i="6" s="1"/>
  <c r="L436" i="6"/>
  <c r="P436" i="6" s="1"/>
  <c r="C436" i="6"/>
  <c r="H436" i="6"/>
  <c r="D436" i="6"/>
  <c r="V1834" i="6"/>
  <c r="A1836" i="6"/>
  <c r="T1835" i="6"/>
  <c r="U1835" i="6"/>
  <c r="E433" i="9"/>
  <c r="I433" i="9"/>
  <c r="C433" i="9"/>
  <c r="F433" i="9"/>
  <c r="H433" i="9"/>
  <c r="D433" i="9"/>
  <c r="G433" i="9"/>
  <c r="B434" i="9"/>
  <c r="X434" i="6"/>
  <c r="S435" i="6"/>
  <c r="P432" i="9"/>
  <c r="T433" i="9" l="1"/>
  <c r="Y438" i="6"/>
  <c r="I437" i="6"/>
  <c r="J437" i="6" s="1"/>
  <c r="K437" i="6" s="1"/>
  <c r="H437" i="6"/>
  <c r="D437" i="6"/>
  <c r="L437" i="6"/>
  <c r="P437" i="6" s="1"/>
  <c r="C437" i="6"/>
  <c r="B438" i="6"/>
  <c r="V1835" i="6"/>
  <c r="P433" i="9"/>
  <c r="X435" i="6"/>
  <c r="S436" i="6"/>
  <c r="U1836" i="6"/>
  <c r="A1837" i="6"/>
  <c r="T1836" i="6"/>
  <c r="D434" i="9"/>
  <c r="G434" i="9"/>
  <c r="B435" i="9"/>
  <c r="E434" i="9"/>
  <c r="H434" i="9"/>
  <c r="I434" i="9"/>
  <c r="C434" i="9"/>
  <c r="F434" i="9"/>
  <c r="T434" i="9" l="1"/>
  <c r="B439" i="6"/>
  <c r="L438" i="6"/>
  <c r="Y439" i="6"/>
  <c r="D438" i="6"/>
  <c r="C438" i="6"/>
  <c r="H438" i="6"/>
  <c r="I438" i="6"/>
  <c r="J438" i="6" s="1"/>
  <c r="K438" i="6" s="1"/>
  <c r="V1836" i="6"/>
  <c r="X436" i="6"/>
  <c r="S437" i="6"/>
  <c r="A1838" i="6"/>
  <c r="T1837" i="6"/>
  <c r="U1837" i="6"/>
  <c r="P434" i="9"/>
  <c r="B436" i="9"/>
  <c r="F435" i="9"/>
  <c r="C435" i="9"/>
  <c r="H435" i="9"/>
  <c r="D435" i="9"/>
  <c r="E435" i="9"/>
  <c r="G435" i="9"/>
  <c r="I435" i="9"/>
  <c r="P435" i="9" s="1"/>
  <c r="T435" i="9" l="1"/>
  <c r="P438" i="6"/>
  <c r="D439" i="6"/>
  <c r="Y440" i="6"/>
  <c r="B440" i="6"/>
  <c r="L439" i="6"/>
  <c r="P439" i="6" s="1"/>
  <c r="C439" i="6"/>
  <c r="H439" i="6"/>
  <c r="I439" i="6"/>
  <c r="J439" i="6" s="1"/>
  <c r="K439" i="6" s="1"/>
  <c r="V1837" i="6"/>
  <c r="X437" i="6"/>
  <c r="S438" i="6"/>
  <c r="H436" i="9"/>
  <c r="E436" i="9"/>
  <c r="B437" i="9"/>
  <c r="C436" i="9"/>
  <c r="I436" i="9"/>
  <c r="P436" i="9" s="1"/>
  <c r="G436" i="9"/>
  <c r="D436" i="9"/>
  <c r="F436" i="9"/>
  <c r="U1838" i="6"/>
  <c r="T1838" i="6"/>
  <c r="A1839" i="6"/>
  <c r="T436" i="9" l="1"/>
  <c r="B441" i="6"/>
  <c r="I440" i="6"/>
  <c r="J440" i="6" s="1"/>
  <c r="K440" i="6" s="1"/>
  <c r="H440" i="6"/>
  <c r="D440" i="6"/>
  <c r="C440" i="6"/>
  <c r="Y441" i="6"/>
  <c r="L440" i="6"/>
  <c r="V1838" i="6"/>
  <c r="I437" i="9"/>
  <c r="P437" i="9" s="1"/>
  <c r="F437" i="9"/>
  <c r="E437" i="9"/>
  <c r="B438" i="9"/>
  <c r="G437" i="9"/>
  <c r="H437" i="9"/>
  <c r="C437" i="9"/>
  <c r="D437" i="9"/>
  <c r="X438" i="6"/>
  <c r="S439" i="6"/>
  <c r="A1840" i="6"/>
  <c r="U1839" i="6"/>
  <c r="T1839" i="6"/>
  <c r="T437" i="9" l="1"/>
  <c r="P440" i="6"/>
  <c r="I441" i="6"/>
  <c r="J441" i="6" s="1"/>
  <c r="K441" i="6" s="1"/>
  <c r="D441" i="6"/>
  <c r="H441" i="6"/>
  <c r="L441" i="6"/>
  <c r="P441" i="6" s="1"/>
  <c r="B442" i="6"/>
  <c r="C441" i="6"/>
  <c r="Y442" i="6"/>
  <c r="V1839" i="6"/>
  <c r="X439" i="6"/>
  <c r="S440" i="6"/>
  <c r="H438" i="9"/>
  <c r="G438" i="9"/>
  <c r="B439" i="9"/>
  <c r="I438" i="9"/>
  <c r="E438" i="9"/>
  <c r="D438" i="9"/>
  <c r="C438" i="9"/>
  <c r="F438" i="9"/>
  <c r="A1841" i="6"/>
  <c r="U1840" i="6"/>
  <c r="T1840" i="6"/>
  <c r="T438" i="9" l="1"/>
  <c r="L442" i="6"/>
  <c r="B443" i="6"/>
  <c r="D442" i="6"/>
  <c r="I442" i="6"/>
  <c r="J442" i="6" s="1"/>
  <c r="K442" i="6" s="1"/>
  <c r="H442" i="6"/>
  <c r="C442" i="6"/>
  <c r="Y443" i="6"/>
  <c r="V1840" i="6"/>
  <c r="H439" i="9"/>
  <c r="I439" i="9"/>
  <c r="P439" i="9" s="1"/>
  <c r="B440" i="9"/>
  <c r="C439" i="9"/>
  <c r="F439" i="9"/>
  <c r="D439" i="9"/>
  <c r="G439" i="9"/>
  <c r="E439" i="9"/>
  <c r="X440" i="6"/>
  <c r="S441" i="6"/>
  <c r="A1842" i="6"/>
  <c r="T1841" i="6"/>
  <c r="U1841" i="6"/>
  <c r="P438" i="9"/>
  <c r="T439" i="9" l="1"/>
  <c r="I443" i="6"/>
  <c r="J443" i="6" s="1"/>
  <c r="K443" i="6" s="1"/>
  <c r="H443" i="6"/>
  <c r="Y444" i="6"/>
  <c r="L443" i="6"/>
  <c r="P443" i="6" s="1"/>
  <c r="D443" i="6"/>
  <c r="C443" i="6"/>
  <c r="B444" i="6"/>
  <c r="P442" i="6"/>
  <c r="V1841" i="6"/>
  <c r="X441" i="6"/>
  <c r="S442" i="6"/>
  <c r="B441" i="9"/>
  <c r="G440" i="9"/>
  <c r="H440" i="9"/>
  <c r="C440" i="9"/>
  <c r="F440" i="9"/>
  <c r="E440" i="9"/>
  <c r="I440" i="9"/>
  <c r="P440" i="9" s="1"/>
  <c r="D440" i="9"/>
  <c r="A1843" i="6"/>
  <c r="U1842" i="6"/>
  <c r="T1842" i="6"/>
  <c r="T440" i="9" l="1"/>
  <c r="Y445" i="6"/>
  <c r="H444" i="6"/>
  <c r="B445" i="6"/>
  <c r="D444" i="6"/>
  <c r="C444" i="6"/>
  <c r="L444" i="6"/>
  <c r="P444" i="6" s="1"/>
  <c r="I444" i="6"/>
  <c r="J444" i="6" s="1"/>
  <c r="K444" i="6" s="1"/>
  <c r="V1842" i="6"/>
  <c r="D441" i="9"/>
  <c r="F441" i="9"/>
  <c r="H441" i="9"/>
  <c r="C441" i="9"/>
  <c r="E441" i="9"/>
  <c r="B442" i="9"/>
  <c r="G441" i="9"/>
  <c r="I441" i="9"/>
  <c r="P441" i="9" s="1"/>
  <c r="X442" i="6"/>
  <c r="S443" i="6"/>
  <c r="A1844" i="6"/>
  <c r="T1843" i="6"/>
  <c r="U1843" i="6"/>
  <c r="T441" i="9" l="1"/>
  <c r="B446" i="6"/>
  <c r="H445" i="6"/>
  <c r="L445" i="6"/>
  <c r="C445" i="6"/>
  <c r="D445" i="6"/>
  <c r="Y446" i="6"/>
  <c r="I445" i="6"/>
  <c r="J445" i="6" s="1"/>
  <c r="K445" i="6" s="1"/>
  <c r="V1843" i="6"/>
  <c r="H442" i="9"/>
  <c r="C442" i="9"/>
  <c r="I442" i="9"/>
  <c r="P442" i="9" s="1"/>
  <c r="D442" i="9"/>
  <c r="E442" i="9"/>
  <c r="B443" i="9"/>
  <c r="F442" i="9"/>
  <c r="G442" i="9"/>
  <c r="A1845" i="6"/>
  <c r="U1844" i="6"/>
  <c r="T1844" i="6"/>
  <c r="X443" i="6"/>
  <c r="S444" i="6"/>
  <c r="T442" i="9" l="1"/>
  <c r="Y447" i="6"/>
  <c r="D446" i="6"/>
  <c r="I446" i="6"/>
  <c r="J446" i="6" s="1"/>
  <c r="K446" i="6" s="1"/>
  <c r="B447" i="6"/>
  <c r="H446" i="6"/>
  <c r="C446" i="6"/>
  <c r="L446" i="6"/>
  <c r="P445" i="6"/>
  <c r="V1844" i="6"/>
  <c r="A1846" i="6"/>
  <c r="T1845" i="6"/>
  <c r="U1845" i="6"/>
  <c r="E443" i="9"/>
  <c r="C443" i="9"/>
  <c r="G443" i="9"/>
  <c r="H443" i="9"/>
  <c r="I443" i="9"/>
  <c r="D443" i="9"/>
  <c r="F443" i="9"/>
  <c r="B444" i="9"/>
  <c r="X444" i="6"/>
  <c r="S445" i="6"/>
  <c r="T443" i="9" l="1"/>
  <c r="C447" i="6"/>
  <c r="B448" i="6"/>
  <c r="Y448" i="6"/>
  <c r="D447" i="6"/>
  <c r="I447" i="6"/>
  <c r="J447" i="6" s="1"/>
  <c r="K447" i="6" s="1"/>
  <c r="H447" i="6"/>
  <c r="L447" i="6"/>
  <c r="P447" i="6" s="1"/>
  <c r="P446" i="6"/>
  <c r="V1845" i="6"/>
  <c r="X445" i="6"/>
  <c r="S446" i="6"/>
  <c r="D444" i="9"/>
  <c r="F444" i="9"/>
  <c r="B445" i="9"/>
  <c r="C444" i="9"/>
  <c r="I444" i="9"/>
  <c r="G444" i="9"/>
  <c r="E444" i="9"/>
  <c r="H444" i="9"/>
  <c r="P443" i="9"/>
  <c r="A1847" i="6"/>
  <c r="U1846" i="6"/>
  <c r="T1846" i="6"/>
  <c r="T444" i="9" l="1"/>
  <c r="L448" i="6"/>
  <c r="H448" i="6"/>
  <c r="I448" i="6"/>
  <c r="J448" i="6" s="1"/>
  <c r="K448" i="6" s="1"/>
  <c r="Y449" i="6"/>
  <c r="C448" i="6"/>
  <c r="D448" i="6"/>
  <c r="B449" i="6"/>
  <c r="V1846" i="6"/>
  <c r="X446" i="6"/>
  <c r="S447" i="6"/>
  <c r="H445" i="9"/>
  <c r="B446" i="9"/>
  <c r="G445" i="9"/>
  <c r="C445" i="9"/>
  <c r="D445" i="9"/>
  <c r="F445" i="9"/>
  <c r="E445" i="9"/>
  <c r="I445" i="9"/>
  <c r="P445" i="9" s="1"/>
  <c r="T1847" i="6"/>
  <c r="U1847" i="6"/>
  <c r="A1848" i="6"/>
  <c r="P444" i="9"/>
  <c r="T445" i="9" l="1"/>
  <c r="H449" i="6"/>
  <c r="C449" i="6"/>
  <c r="B450" i="6"/>
  <c r="Y450" i="6"/>
  <c r="L449" i="6"/>
  <c r="P449" i="6" s="1"/>
  <c r="D449" i="6"/>
  <c r="I449" i="6"/>
  <c r="J449" i="6" s="1"/>
  <c r="K449" i="6" s="1"/>
  <c r="P448" i="6"/>
  <c r="V1847" i="6"/>
  <c r="E446" i="9"/>
  <c r="I446" i="9"/>
  <c r="P446" i="9" s="1"/>
  <c r="C446" i="9"/>
  <c r="H446" i="9"/>
  <c r="G446" i="9"/>
  <c r="D446" i="9"/>
  <c r="B447" i="9"/>
  <c r="F446" i="9"/>
  <c r="A1849" i="6"/>
  <c r="T1848" i="6"/>
  <c r="U1848" i="6"/>
  <c r="X447" i="6"/>
  <c r="S448" i="6"/>
  <c r="T446" i="9" l="1"/>
  <c r="I450" i="6"/>
  <c r="J450" i="6" s="1"/>
  <c r="K450" i="6" s="1"/>
  <c r="H450" i="6"/>
  <c r="B451" i="6"/>
  <c r="Y451" i="6"/>
  <c r="D450" i="6"/>
  <c r="L450" i="6"/>
  <c r="P450" i="6" s="1"/>
  <c r="C450" i="6"/>
  <c r="V1848" i="6"/>
  <c r="C447" i="9"/>
  <c r="G447" i="9"/>
  <c r="H447" i="9"/>
  <c r="D447" i="9"/>
  <c r="B448" i="9"/>
  <c r="F447" i="9"/>
  <c r="E447" i="9"/>
  <c r="I447" i="9"/>
  <c r="A1850" i="6"/>
  <c r="T1849" i="6"/>
  <c r="U1849" i="6"/>
  <c r="X448" i="6"/>
  <c r="S449" i="6"/>
  <c r="T447" i="9" l="1"/>
  <c r="C451" i="6"/>
  <c r="I451" i="6"/>
  <c r="J451" i="6" s="1"/>
  <c r="K451" i="6" s="1"/>
  <c r="D451" i="6"/>
  <c r="H451" i="6"/>
  <c r="B452" i="6"/>
  <c r="Y452" i="6"/>
  <c r="L451" i="6"/>
  <c r="P451" i="6" s="1"/>
  <c r="V1849" i="6"/>
  <c r="U1850" i="6"/>
  <c r="A1851" i="6"/>
  <c r="T1850" i="6"/>
  <c r="H448" i="9"/>
  <c r="E448" i="9"/>
  <c r="G448" i="9"/>
  <c r="F448" i="9"/>
  <c r="C448" i="9"/>
  <c r="D448" i="9"/>
  <c r="I448" i="9"/>
  <c r="P448" i="9" s="1"/>
  <c r="B449" i="9"/>
  <c r="X449" i="6"/>
  <c r="S450" i="6"/>
  <c r="P447" i="9"/>
  <c r="T448" i="9" l="1"/>
  <c r="C452" i="6"/>
  <c r="L452" i="6"/>
  <c r="P452" i="6" s="1"/>
  <c r="B453" i="6"/>
  <c r="D452" i="6"/>
  <c r="Y453" i="6"/>
  <c r="H452" i="6"/>
  <c r="I452" i="6"/>
  <c r="J452" i="6" s="1"/>
  <c r="K452" i="6" s="1"/>
  <c r="V1850" i="6"/>
  <c r="G449" i="9"/>
  <c r="E449" i="9"/>
  <c r="C449" i="9"/>
  <c r="I449" i="9"/>
  <c r="H449" i="9"/>
  <c r="B450" i="9"/>
  <c r="D449" i="9"/>
  <c r="F449" i="9"/>
  <c r="X450" i="6"/>
  <c r="S451" i="6"/>
  <c r="A1852" i="6"/>
  <c r="U1851" i="6"/>
  <c r="T1851" i="6"/>
  <c r="T449" i="9" l="1"/>
  <c r="H453" i="6"/>
  <c r="L453" i="6"/>
  <c r="Y454" i="6"/>
  <c r="I453" i="6"/>
  <c r="J453" i="6" s="1"/>
  <c r="K453" i="6" s="1"/>
  <c r="B454" i="6"/>
  <c r="D453" i="6"/>
  <c r="C453" i="6"/>
  <c r="V1851" i="6"/>
  <c r="E450" i="9"/>
  <c r="B451" i="9"/>
  <c r="H450" i="9"/>
  <c r="I450" i="9"/>
  <c r="P450" i="9" s="1"/>
  <c r="G450" i="9"/>
  <c r="D450" i="9"/>
  <c r="F450" i="9"/>
  <c r="C450" i="9"/>
  <c r="X451" i="6"/>
  <c r="S452" i="6"/>
  <c r="P449" i="9"/>
  <c r="A1853" i="6"/>
  <c r="T1852" i="6"/>
  <c r="U1852" i="6"/>
  <c r="T450" i="9" l="1"/>
  <c r="L454" i="6"/>
  <c r="P454" i="6" s="1"/>
  <c r="Y455" i="6"/>
  <c r="H454" i="6"/>
  <c r="I454" i="6"/>
  <c r="J454" i="6" s="1"/>
  <c r="K454" i="6" s="1"/>
  <c r="D454" i="6"/>
  <c r="C454" i="6"/>
  <c r="B455" i="6"/>
  <c r="P453" i="6"/>
  <c r="V1852" i="6"/>
  <c r="X452" i="6"/>
  <c r="S453" i="6"/>
  <c r="E451" i="9"/>
  <c r="H451" i="9"/>
  <c r="B452" i="9"/>
  <c r="C451" i="9"/>
  <c r="I451" i="9"/>
  <c r="F451" i="9"/>
  <c r="D451" i="9"/>
  <c r="G451" i="9"/>
  <c r="A1854" i="6"/>
  <c r="U1853" i="6"/>
  <c r="T1853" i="6"/>
  <c r="T451" i="9" l="1"/>
  <c r="H455" i="6"/>
  <c r="B456" i="6"/>
  <c r="Y456" i="6"/>
  <c r="C455" i="6"/>
  <c r="I455" i="6"/>
  <c r="J455" i="6" s="1"/>
  <c r="K455" i="6" s="1"/>
  <c r="D455" i="6"/>
  <c r="L455" i="6"/>
  <c r="P455" i="6" s="1"/>
  <c r="V1853" i="6"/>
  <c r="A1855" i="6"/>
  <c r="U1854" i="6"/>
  <c r="T1854" i="6"/>
  <c r="X453" i="6"/>
  <c r="S454" i="6"/>
  <c r="P451" i="9"/>
  <c r="C452" i="9"/>
  <c r="E452" i="9"/>
  <c r="I452" i="9"/>
  <c r="P452" i="9" s="1"/>
  <c r="F452" i="9"/>
  <c r="G452" i="9"/>
  <c r="D452" i="9"/>
  <c r="B453" i="9"/>
  <c r="H452" i="9"/>
  <c r="T452" i="9" l="1"/>
  <c r="I456" i="6"/>
  <c r="J456" i="6" s="1"/>
  <c r="K456" i="6" s="1"/>
  <c r="D456" i="6"/>
  <c r="Y457" i="6"/>
  <c r="B457" i="6"/>
  <c r="C456" i="6"/>
  <c r="H456" i="6"/>
  <c r="L456" i="6"/>
  <c r="P456" i="6" s="1"/>
  <c r="V1854" i="6"/>
  <c r="X454" i="6"/>
  <c r="S455" i="6"/>
  <c r="B454" i="9"/>
  <c r="C453" i="9"/>
  <c r="G453" i="9"/>
  <c r="D453" i="9"/>
  <c r="I453" i="9"/>
  <c r="P453" i="9" s="1"/>
  <c r="H453" i="9"/>
  <c r="E453" i="9"/>
  <c r="F453" i="9"/>
  <c r="A1856" i="6"/>
  <c r="T1855" i="6"/>
  <c r="U1855" i="6"/>
  <c r="T453" i="9" l="1"/>
  <c r="L457" i="6"/>
  <c r="C457" i="6"/>
  <c r="I457" i="6"/>
  <c r="J457" i="6" s="1"/>
  <c r="K457" i="6" s="1"/>
  <c r="Y458" i="6"/>
  <c r="B458" i="6"/>
  <c r="D457" i="6"/>
  <c r="H457" i="6"/>
  <c r="V1855" i="6"/>
  <c r="D454" i="9"/>
  <c r="G454" i="9"/>
  <c r="C454" i="9"/>
  <c r="F454" i="9"/>
  <c r="E454" i="9"/>
  <c r="B455" i="9"/>
  <c r="I454" i="9"/>
  <c r="H454" i="9"/>
  <c r="X455" i="6"/>
  <c r="S456" i="6"/>
  <c r="T454" i="9" l="1"/>
  <c r="Y459" i="6"/>
  <c r="D458" i="6"/>
  <c r="B459" i="6"/>
  <c r="L458" i="6"/>
  <c r="P458" i="6" s="1"/>
  <c r="C458" i="6"/>
  <c r="H458" i="6"/>
  <c r="I458" i="6"/>
  <c r="J458" i="6" s="1"/>
  <c r="K458" i="6" s="1"/>
  <c r="P457" i="6"/>
  <c r="I455" i="9"/>
  <c r="E455" i="9"/>
  <c r="C455" i="9"/>
  <c r="F455" i="9"/>
  <c r="B456" i="9"/>
  <c r="G455" i="9"/>
  <c r="D455" i="9"/>
  <c r="H455" i="9"/>
  <c r="P454" i="9"/>
  <c r="X456" i="6"/>
  <c r="S457" i="6"/>
  <c r="T455" i="9" l="1"/>
  <c r="H459" i="6"/>
  <c r="B460" i="6"/>
  <c r="C459" i="6"/>
  <c r="I459" i="6"/>
  <c r="J459" i="6" s="1"/>
  <c r="K459" i="6" s="1"/>
  <c r="Y460" i="6"/>
  <c r="L459" i="6"/>
  <c r="D459" i="6"/>
  <c r="E456" i="9"/>
  <c r="H456" i="9"/>
  <c r="G456" i="9"/>
  <c r="B457" i="9"/>
  <c r="C456" i="9"/>
  <c r="D456" i="9"/>
  <c r="I456" i="9"/>
  <c r="P456" i="9" s="1"/>
  <c r="F456" i="9"/>
  <c r="P455" i="9"/>
  <c r="X457" i="6"/>
  <c r="S458" i="6"/>
  <c r="T456" i="9" l="1"/>
  <c r="Y461" i="6"/>
  <c r="H460" i="6"/>
  <c r="D460" i="6"/>
  <c r="B461" i="6"/>
  <c r="C460" i="6"/>
  <c r="I460" i="6"/>
  <c r="J460" i="6" s="1"/>
  <c r="K460" i="6" s="1"/>
  <c r="L460" i="6"/>
  <c r="P459" i="6"/>
  <c r="C457" i="9"/>
  <c r="I457" i="9"/>
  <c r="D457" i="9"/>
  <c r="G457" i="9"/>
  <c r="H457" i="9"/>
  <c r="F457" i="9"/>
  <c r="E457" i="9"/>
  <c r="B458" i="9"/>
  <c r="X458" i="6"/>
  <c r="S459" i="6"/>
  <c r="T457" i="9" l="1"/>
  <c r="C461" i="6"/>
  <c r="L461" i="6"/>
  <c r="B462" i="6"/>
  <c r="H461" i="6"/>
  <c r="Y462" i="6"/>
  <c r="D461" i="6"/>
  <c r="I461" i="6"/>
  <c r="J461" i="6" s="1"/>
  <c r="K461" i="6" s="1"/>
  <c r="P460" i="6"/>
  <c r="X459" i="6"/>
  <c r="S460" i="6"/>
  <c r="B459" i="9"/>
  <c r="H458" i="9"/>
  <c r="C458" i="9"/>
  <c r="D458" i="9"/>
  <c r="F458" i="9"/>
  <c r="G458" i="9"/>
  <c r="I458" i="9"/>
  <c r="P458" i="9" s="1"/>
  <c r="E458" i="9"/>
  <c r="P457" i="9"/>
  <c r="T458" i="9" l="1"/>
  <c r="B463" i="6"/>
  <c r="I462" i="6"/>
  <c r="J462" i="6" s="1"/>
  <c r="K462" i="6" s="1"/>
  <c r="C462" i="6"/>
  <c r="H462" i="6"/>
  <c r="D462" i="6"/>
  <c r="L462" i="6"/>
  <c r="P462" i="6" s="1"/>
  <c r="Y463" i="6"/>
  <c r="P461" i="6"/>
  <c r="E459" i="9"/>
  <c r="F459" i="9"/>
  <c r="D459" i="9"/>
  <c r="H459" i="9"/>
  <c r="G459" i="9"/>
  <c r="I459" i="9"/>
  <c r="C459" i="9"/>
  <c r="B460" i="9"/>
  <c r="X460" i="6"/>
  <c r="S461" i="6"/>
  <c r="T459" i="9" l="1"/>
  <c r="I463" i="6"/>
  <c r="J463" i="6" s="1"/>
  <c r="K463" i="6" s="1"/>
  <c r="B464" i="6"/>
  <c r="D463" i="6"/>
  <c r="L463" i="6"/>
  <c r="P463" i="6" s="1"/>
  <c r="C463" i="6"/>
  <c r="H463" i="6"/>
  <c r="Y464" i="6"/>
  <c r="X461" i="6"/>
  <c r="S462" i="6"/>
  <c r="B461" i="9"/>
  <c r="I460" i="9"/>
  <c r="G460" i="9"/>
  <c r="D460" i="9"/>
  <c r="F460" i="9"/>
  <c r="E460" i="9"/>
  <c r="H460" i="9"/>
  <c r="C460" i="9"/>
  <c r="P459" i="9"/>
  <c r="T460" i="9" l="1"/>
  <c r="B465" i="6"/>
  <c r="Y465" i="6"/>
  <c r="L464" i="6"/>
  <c r="P464" i="6" s="1"/>
  <c r="I464" i="6"/>
  <c r="J464" i="6" s="1"/>
  <c r="K464" i="6" s="1"/>
  <c r="H464" i="6"/>
  <c r="C464" i="6"/>
  <c r="D464" i="6"/>
  <c r="I461" i="9"/>
  <c r="P461" i="9" s="1"/>
  <c r="C461" i="9"/>
  <c r="F461" i="9"/>
  <c r="E461" i="9"/>
  <c r="B462" i="9"/>
  <c r="H461" i="9"/>
  <c r="D461" i="9"/>
  <c r="G461" i="9"/>
  <c r="X462" i="6"/>
  <c r="S463" i="6"/>
  <c r="P460" i="9"/>
  <c r="T461" i="9" l="1"/>
  <c r="D465" i="6"/>
  <c r="H465" i="6"/>
  <c r="I465" i="6"/>
  <c r="J465" i="6" s="1"/>
  <c r="K465" i="6" s="1"/>
  <c r="B466" i="6"/>
  <c r="C465" i="6"/>
  <c r="Y466" i="6"/>
  <c r="L465" i="6"/>
  <c r="D462" i="9"/>
  <c r="C462" i="9"/>
  <c r="I462" i="9"/>
  <c r="P462" i="9" s="1"/>
  <c r="B463" i="9"/>
  <c r="F462" i="9"/>
  <c r="H462" i="9"/>
  <c r="G462" i="9"/>
  <c r="E462" i="9"/>
  <c r="X463" i="6"/>
  <c r="S464" i="6"/>
  <c r="T462" i="9" l="1"/>
  <c r="Y467" i="6"/>
  <c r="C466" i="6"/>
  <c r="I466" i="6"/>
  <c r="J466" i="6" s="1"/>
  <c r="K466" i="6" s="1"/>
  <c r="H466" i="6"/>
  <c r="D466" i="6"/>
  <c r="B467" i="6"/>
  <c r="L466" i="6"/>
  <c r="P466" i="6" s="1"/>
  <c r="P465" i="6"/>
  <c r="G463" i="9"/>
  <c r="C463" i="9"/>
  <c r="E463" i="9"/>
  <c r="F463" i="9"/>
  <c r="I463" i="9"/>
  <c r="D463" i="9"/>
  <c r="H463" i="9"/>
  <c r="B464" i="9"/>
  <c r="X464" i="6"/>
  <c r="S465" i="6"/>
  <c r="T463" i="9" l="1"/>
  <c r="D467" i="6"/>
  <c r="I467" i="6"/>
  <c r="J467" i="6" s="1"/>
  <c r="K467" i="6" s="1"/>
  <c r="L467" i="6"/>
  <c r="B468" i="6"/>
  <c r="Y468" i="6"/>
  <c r="C467" i="6"/>
  <c r="H467" i="6"/>
  <c r="G464" i="9"/>
  <c r="E464" i="9"/>
  <c r="C464" i="9"/>
  <c r="B465" i="9"/>
  <c r="D464" i="9"/>
  <c r="F464" i="9"/>
  <c r="I464" i="9"/>
  <c r="H464" i="9"/>
  <c r="X465" i="6"/>
  <c r="S466" i="6"/>
  <c r="P463" i="9"/>
  <c r="T464" i="9" l="1"/>
  <c r="H468" i="6"/>
  <c r="B469" i="6"/>
  <c r="L468" i="6"/>
  <c r="P468" i="6" s="1"/>
  <c r="Y469" i="6"/>
  <c r="D468" i="6"/>
  <c r="I468" i="6"/>
  <c r="J468" i="6" s="1"/>
  <c r="K468" i="6" s="1"/>
  <c r="C468" i="6"/>
  <c r="P467" i="6"/>
  <c r="B466" i="9"/>
  <c r="F465" i="9"/>
  <c r="C465" i="9"/>
  <c r="E465" i="9"/>
  <c r="H465" i="9"/>
  <c r="D465" i="9"/>
  <c r="I465" i="9"/>
  <c r="P465" i="9" s="1"/>
  <c r="G465" i="9"/>
  <c r="X466" i="6"/>
  <c r="S467" i="6"/>
  <c r="P464" i="9"/>
  <c r="T465" i="9" l="1"/>
  <c r="I469" i="6"/>
  <c r="J469" i="6" s="1"/>
  <c r="K469" i="6" s="1"/>
  <c r="C469" i="6"/>
  <c r="Y470" i="6"/>
  <c r="D469" i="6"/>
  <c r="B470" i="6"/>
  <c r="L469" i="6"/>
  <c r="H469" i="6"/>
  <c r="F466" i="9"/>
  <c r="H466" i="9"/>
  <c r="D466" i="9"/>
  <c r="I466" i="9"/>
  <c r="B467" i="9"/>
  <c r="E466" i="9"/>
  <c r="C466" i="9"/>
  <c r="G466" i="9"/>
  <c r="X467" i="6"/>
  <c r="S468" i="6"/>
  <c r="T466" i="9" l="1"/>
  <c r="L470" i="6"/>
  <c r="C470" i="6"/>
  <c r="D470" i="6"/>
  <c r="H470" i="6"/>
  <c r="B471" i="6"/>
  <c r="I470" i="6"/>
  <c r="J470" i="6" s="1"/>
  <c r="K470" i="6" s="1"/>
  <c r="Y471" i="6"/>
  <c r="P469" i="6"/>
  <c r="E467" i="9"/>
  <c r="C467" i="9"/>
  <c r="I467" i="9"/>
  <c r="P467" i="9" s="1"/>
  <c r="B468" i="9"/>
  <c r="G467" i="9"/>
  <c r="F467" i="9"/>
  <c r="D467" i="9"/>
  <c r="H467" i="9"/>
  <c r="P466" i="9"/>
  <c r="X468" i="6"/>
  <c r="S469" i="6"/>
  <c r="T467" i="9" l="1"/>
  <c r="B472" i="6"/>
  <c r="L471" i="6"/>
  <c r="P471" i="6" s="1"/>
  <c r="C471" i="6"/>
  <c r="D471" i="6"/>
  <c r="I471" i="6"/>
  <c r="J471" i="6" s="1"/>
  <c r="K471" i="6" s="1"/>
  <c r="H471" i="6"/>
  <c r="Y472" i="6"/>
  <c r="P470" i="6"/>
  <c r="B469" i="9"/>
  <c r="F468" i="9"/>
  <c r="C468" i="9"/>
  <c r="I468" i="9"/>
  <c r="P468" i="9" s="1"/>
  <c r="E468" i="9"/>
  <c r="H468" i="9"/>
  <c r="D468" i="9"/>
  <c r="G468" i="9"/>
  <c r="X469" i="6"/>
  <c r="S470" i="6"/>
  <c r="T468" i="9" l="1"/>
  <c r="Y473" i="6"/>
  <c r="H472" i="6"/>
  <c r="C472" i="6"/>
  <c r="D472" i="6"/>
  <c r="I472" i="6"/>
  <c r="J472" i="6" s="1"/>
  <c r="K472" i="6" s="1"/>
  <c r="B473" i="6"/>
  <c r="L472" i="6"/>
  <c r="X470" i="6"/>
  <c r="S471" i="6"/>
  <c r="I469" i="9"/>
  <c r="H469" i="9"/>
  <c r="C469" i="9"/>
  <c r="D469" i="9"/>
  <c r="F469" i="9"/>
  <c r="B470" i="9"/>
  <c r="G469" i="9"/>
  <c r="E469" i="9"/>
  <c r="T469" i="9" l="1"/>
  <c r="Y474" i="6"/>
  <c r="H473" i="6"/>
  <c r="C473" i="6"/>
  <c r="B474" i="6"/>
  <c r="L473" i="6"/>
  <c r="P473" i="6" s="1"/>
  <c r="I473" i="6"/>
  <c r="J473" i="6" s="1"/>
  <c r="K473" i="6" s="1"/>
  <c r="D473" i="6"/>
  <c r="P472" i="6"/>
  <c r="F470" i="9"/>
  <c r="G470" i="9"/>
  <c r="B471" i="9"/>
  <c r="H470" i="9"/>
  <c r="D470" i="9"/>
  <c r="C470" i="9"/>
  <c r="I470" i="9"/>
  <c r="E470" i="9"/>
  <c r="X471" i="6"/>
  <c r="S472" i="6"/>
  <c r="P469" i="9"/>
  <c r="T470" i="9" l="1"/>
  <c r="C474" i="6"/>
  <c r="H474" i="6"/>
  <c r="B475" i="6"/>
  <c r="D474" i="6"/>
  <c r="L474" i="6"/>
  <c r="P474" i="6" s="1"/>
  <c r="I474" i="6"/>
  <c r="J474" i="6" s="1"/>
  <c r="K474" i="6" s="1"/>
  <c r="Y475" i="6"/>
  <c r="P470" i="9"/>
  <c r="D471" i="9"/>
  <c r="I471" i="9"/>
  <c r="P471" i="9" s="1"/>
  <c r="H471" i="9"/>
  <c r="B472" i="9"/>
  <c r="C471" i="9"/>
  <c r="G471" i="9"/>
  <c r="F471" i="9"/>
  <c r="E471" i="9"/>
  <c r="X472" i="6"/>
  <c r="S473" i="6"/>
  <c r="T471" i="9" l="1"/>
  <c r="D475" i="6"/>
  <c r="C475" i="6"/>
  <c r="I475" i="6"/>
  <c r="J475" i="6" s="1"/>
  <c r="K475" i="6" s="1"/>
  <c r="H475" i="6"/>
  <c r="B476" i="6"/>
  <c r="Y476" i="6"/>
  <c r="L475" i="6"/>
  <c r="P475" i="6" s="1"/>
  <c r="X473" i="6"/>
  <c r="S474" i="6"/>
  <c r="E472" i="9"/>
  <c r="F472" i="9"/>
  <c r="C472" i="9"/>
  <c r="D472" i="9"/>
  <c r="B473" i="9"/>
  <c r="I472" i="9"/>
  <c r="G472" i="9"/>
  <c r="H472" i="9"/>
  <c r="T472" i="9" l="1"/>
  <c r="H476" i="6"/>
  <c r="C476" i="6"/>
  <c r="B477" i="6"/>
  <c r="Y477" i="6"/>
  <c r="L476" i="6"/>
  <c r="D476" i="6"/>
  <c r="I476" i="6"/>
  <c r="J476" i="6" s="1"/>
  <c r="K476" i="6" s="1"/>
  <c r="B474" i="9"/>
  <c r="D473" i="9"/>
  <c r="G473" i="9"/>
  <c r="C473" i="9"/>
  <c r="I473" i="9"/>
  <c r="P473" i="9" s="1"/>
  <c r="E473" i="9"/>
  <c r="F473" i="9"/>
  <c r="H473" i="9"/>
  <c r="P472" i="9"/>
  <c r="X474" i="6"/>
  <c r="S475" i="6"/>
  <c r="T473" i="9" l="1"/>
  <c r="P476" i="6"/>
  <c r="I477" i="6"/>
  <c r="J477" i="6" s="1"/>
  <c r="K477" i="6" s="1"/>
  <c r="D477" i="6"/>
  <c r="H477" i="6"/>
  <c r="L477" i="6"/>
  <c r="C477" i="6"/>
  <c r="Y478" i="6"/>
  <c r="B478" i="6"/>
  <c r="X475" i="6"/>
  <c r="S476" i="6"/>
  <c r="G474" i="9"/>
  <c r="C474" i="9"/>
  <c r="D474" i="9"/>
  <c r="I474" i="9"/>
  <c r="P474" i="9" s="1"/>
  <c r="H474" i="9"/>
  <c r="B475" i="9"/>
  <c r="F474" i="9"/>
  <c r="E474" i="9"/>
  <c r="T474" i="9" l="1"/>
  <c r="D478" i="6"/>
  <c r="H478" i="6"/>
  <c r="I478" i="6"/>
  <c r="J478" i="6" s="1"/>
  <c r="K478" i="6" s="1"/>
  <c r="Y479" i="6"/>
  <c r="L478" i="6"/>
  <c r="B479" i="6"/>
  <c r="C478" i="6"/>
  <c r="P477" i="6"/>
  <c r="E475" i="9"/>
  <c r="B476" i="9"/>
  <c r="H475" i="9"/>
  <c r="I475" i="9"/>
  <c r="P475" i="9" s="1"/>
  <c r="D475" i="9"/>
  <c r="C475" i="9"/>
  <c r="F475" i="9"/>
  <c r="G475" i="9"/>
  <c r="X476" i="6"/>
  <c r="S477" i="6"/>
  <c r="T475" i="9" l="1"/>
  <c r="P478" i="6"/>
  <c r="Y480" i="6"/>
  <c r="L479" i="6"/>
  <c r="P479" i="6" s="1"/>
  <c r="D479" i="6"/>
  <c r="H479" i="6"/>
  <c r="I479" i="6"/>
  <c r="J479" i="6" s="1"/>
  <c r="K479" i="6" s="1"/>
  <c r="C479" i="6"/>
  <c r="B480" i="6"/>
  <c r="C476" i="9"/>
  <c r="H476" i="9"/>
  <c r="D476" i="9"/>
  <c r="I476" i="9"/>
  <c r="G476" i="9"/>
  <c r="F476" i="9"/>
  <c r="E476" i="9"/>
  <c r="B477" i="9"/>
  <c r="X477" i="6"/>
  <c r="S478" i="6"/>
  <c r="T476" i="9" l="1"/>
  <c r="H480" i="6"/>
  <c r="D480" i="6"/>
  <c r="Y481" i="6"/>
  <c r="I480" i="6"/>
  <c r="J480" i="6" s="1"/>
  <c r="K480" i="6" s="1"/>
  <c r="B481" i="6"/>
  <c r="C480" i="6"/>
  <c r="L480" i="6"/>
  <c r="P480" i="6" s="1"/>
  <c r="F477" i="9"/>
  <c r="D477" i="9"/>
  <c r="B478" i="9"/>
  <c r="I477" i="9"/>
  <c r="P477" i="9" s="1"/>
  <c r="C477" i="9"/>
  <c r="H477" i="9"/>
  <c r="E477" i="9"/>
  <c r="G477" i="9"/>
  <c r="X478" i="6"/>
  <c r="S479" i="6"/>
  <c r="P476" i="9"/>
  <c r="T477" i="9" l="1"/>
  <c r="L481" i="6"/>
  <c r="D481" i="6"/>
  <c r="Y482" i="6"/>
  <c r="C481" i="6"/>
  <c r="H481" i="6"/>
  <c r="B482" i="6"/>
  <c r="I481" i="6"/>
  <c r="J481" i="6" s="1"/>
  <c r="K481" i="6" s="1"/>
  <c r="X479" i="6"/>
  <c r="S480" i="6"/>
  <c r="E478" i="9"/>
  <c r="F478" i="9"/>
  <c r="I478" i="9"/>
  <c r="H478" i="9"/>
  <c r="C478" i="9"/>
  <c r="G478" i="9"/>
  <c r="D478" i="9"/>
  <c r="B479" i="9"/>
  <c r="T478" i="9" l="1"/>
  <c r="D482" i="6"/>
  <c r="B483" i="6"/>
  <c r="I482" i="6"/>
  <c r="J482" i="6" s="1"/>
  <c r="K482" i="6" s="1"/>
  <c r="H482" i="6"/>
  <c r="Y483" i="6"/>
  <c r="L482" i="6"/>
  <c r="P482" i="6" s="1"/>
  <c r="C482" i="6"/>
  <c r="P481" i="6"/>
  <c r="X480" i="6"/>
  <c r="S481" i="6"/>
  <c r="I479" i="9"/>
  <c r="B480" i="9"/>
  <c r="E479" i="9"/>
  <c r="C479" i="9"/>
  <c r="F479" i="9"/>
  <c r="H479" i="9"/>
  <c r="D479" i="9"/>
  <c r="G479" i="9"/>
  <c r="P478" i="9"/>
  <c r="T479" i="9" l="1"/>
  <c r="D483" i="6"/>
  <c r="C483" i="6"/>
  <c r="L483" i="6"/>
  <c r="P483" i="6" s="1"/>
  <c r="B484" i="6"/>
  <c r="H483" i="6"/>
  <c r="I483" i="6"/>
  <c r="J483" i="6" s="1"/>
  <c r="K483" i="6" s="1"/>
  <c r="Y484" i="6"/>
  <c r="X481" i="6"/>
  <c r="S482" i="6"/>
  <c r="B481" i="9"/>
  <c r="C480" i="9"/>
  <c r="D480" i="9"/>
  <c r="I480" i="9"/>
  <c r="P480" i="9" s="1"/>
  <c r="E480" i="9"/>
  <c r="F480" i="9"/>
  <c r="H480" i="9"/>
  <c r="G480" i="9"/>
  <c r="P479" i="9"/>
  <c r="T480" i="9" l="1"/>
  <c r="H484" i="6"/>
  <c r="Y485" i="6"/>
  <c r="L484" i="6"/>
  <c r="P484" i="6" s="1"/>
  <c r="B485" i="6"/>
  <c r="D484" i="6"/>
  <c r="I484" i="6"/>
  <c r="J484" i="6" s="1"/>
  <c r="K484" i="6" s="1"/>
  <c r="C484" i="6"/>
  <c r="X482" i="6"/>
  <c r="S483" i="6"/>
  <c r="C481" i="9"/>
  <c r="D481" i="9"/>
  <c r="G481" i="9"/>
  <c r="I481" i="9"/>
  <c r="P481" i="9" s="1"/>
  <c r="E481" i="9"/>
  <c r="B482" i="9"/>
  <c r="F481" i="9"/>
  <c r="H481" i="9"/>
  <c r="T481" i="9" l="1"/>
  <c r="L485" i="6"/>
  <c r="P485" i="6" s="1"/>
  <c r="B486" i="6"/>
  <c r="Y486" i="6"/>
  <c r="C485" i="6"/>
  <c r="I485" i="6"/>
  <c r="J485" i="6" s="1"/>
  <c r="K485" i="6" s="1"/>
  <c r="D485" i="6"/>
  <c r="H485" i="6"/>
  <c r="X483" i="6"/>
  <c r="S484" i="6"/>
  <c r="D482" i="9"/>
  <c r="E482" i="9"/>
  <c r="I482" i="9"/>
  <c r="P482" i="9" s="1"/>
  <c r="F482" i="9"/>
  <c r="G482" i="9"/>
  <c r="H482" i="9"/>
  <c r="B483" i="9"/>
  <c r="C482" i="9"/>
  <c r="T482" i="9" l="1"/>
  <c r="B487" i="6"/>
  <c r="I486" i="6"/>
  <c r="J486" i="6" s="1"/>
  <c r="K486" i="6" s="1"/>
  <c r="C486" i="6"/>
  <c r="H486" i="6"/>
  <c r="Y487" i="6"/>
  <c r="L486" i="6"/>
  <c r="P486" i="6" s="1"/>
  <c r="D486" i="6"/>
  <c r="G483" i="9"/>
  <c r="F483" i="9"/>
  <c r="H483" i="9"/>
  <c r="B484" i="9"/>
  <c r="E483" i="9"/>
  <c r="I483" i="9"/>
  <c r="P483" i="9" s="1"/>
  <c r="D483" i="9"/>
  <c r="C483" i="9"/>
  <c r="X484" i="6"/>
  <c r="S485" i="6"/>
  <c r="T483" i="9" l="1"/>
  <c r="C487" i="6"/>
  <c r="B488" i="6"/>
  <c r="Y488" i="6"/>
  <c r="D487" i="6"/>
  <c r="L487" i="6"/>
  <c r="H487" i="6"/>
  <c r="I487" i="6"/>
  <c r="J487" i="6" s="1"/>
  <c r="K487" i="6" s="1"/>
  <c r="B485" i="9"/>
  <c r="G484" i="9"/>
  <c r="D484" i="9"/>
  <c r="C484" i="9"/>
  <c r="H484" i="9"/>
  <c r="I484" i="9"/>
  <c r="P484" i="9" s="1"/>
  <c r="E484" i="9"/>
  <c r="F484" i="9"/>
  <c r="X485" i="6"/>
  <c r="S486" i="6"/>
  <c r="T484" i="9" l="1"/>
  <c r="P487" i="6"/>
  <c r="L488" i="6"/>
  <c r="D488" i="6"/>
  <c r="H488" i="6"/>
  <c r="C488" i="6"/>
  <c r="B489" i="6"/>
  <c r="Y489" i="6"/>
  <c r="I488" i="6"/>
  <c r="J488" i="6" s="1"/>
  <c r="K488" i="6" s="1"/>
  <c r="X486" i="6"/>
  <c r="S487" i="6"/>
  <c r="H485" i="9"/>
  <c r="F485" i="9"/>
  <c r="G485" i="9"/>
  <c r="D485" i="9"/>
  <c r="B486" i="9"/>
  <c r="I485" i="9"/>
  <c r="P485" i="9" s="1"/>
  <c r="C485" i="9"/>
  <c r="E485" i="9"/>
  <c r="T485" i="9" l="1"/>
  <c r="C489" i="6"/>
  <c r="H489" i="6"/>
  <c r="B490" i="6"/>
  <c r="D489" i="6"/>
  <c r="Y490" i="6"/>
  <c r="I489" i="6"/>
  <c r="J489" i="6" s="1"/>
  <c r="K489" i="6" s="1"/>
  <c r="L489" i="6"/>
  <c r="P489" i="6" s="1"/>
  <c r="P488" i="6"/>
  <c r="X487" i="6"/>
  <c r="S488" i="6"/>
  <c r="B487" i="9"/>
  <c r="H486" i="9"/>
  <c r="F486" i="9"/>
  <c r="E486" i="9"/>
  <c r="G486" i="9"/>
  <c r="C486" i="9"/>
  <c r="I486" i="9"/>
  <c r="P486" i="9" s="1"/>
  <c r="D486" i="9"/>
  <c r="T486" i="9" l="1"/>
  <c r="H490" i="6"/>
  <c r="L490" i="6"/>
  <c r="P490" i="6" s="1"/>
  <c r="D490" i="6"/>
  <c r="B491" i="6"/>
  <c r="I490" i="6"/>
  <c r="J490" i="6" s="1"/>
  <c r="K490" i="6" s="1"/>
  <c r="Y491" i="6"/>
  <c r="C490" i="6"/>
  <c r="G487" i="9"/>
  <c r="B488" i="9"/>
  <c r="C487" i="9"/>
  <c r="H487" i="9"/>
  <c r="E487" i="9"/>
  <c r="I487" i="9"/>
  <c r="D487" i="9"/>
  <c r="F487" i="9"/>
  <c r="X488" i="6"/>
  <c r="S489" i="6"/>
  <c r="T487" i="9" l="1"/>
  <c r="B492" i="6"/>
  <c r="L491" i="6"/>
  <c r="P491" i="6" s="1"/>
  <c r="I491" i="6"/>
  <c r="J491" i="6" s="1"/>
  <c r="K491" i="6" s="1"/>
  <c r="Y492" i="6"/>
  <c r="H491" i="6"/>
  <c r="D491" i="6"/>
  <c r="C491" i="6"/>
  <c r="X489" i="6"/>
  <c r="S490" i="6"/>
  <c r="P487" i="9"/>
  <c r="I488" i="9"/>
  <c r="D488" i="9"/>
  <c r="F488" i="9"/>
  <c r="H488" i="9"/>
  <c r="B489" i="9"/>
  <c r="G488" i="9"/>
  <c r="C488" i="9"/>
  <c r="E488" i="9"/>
  <c r="T488" i="9" l="1"/>
  <c r="H492" i="6"/>
  <c r="L492" i="6"/>
  <c r="P492" i="6" s="1"/>
  <c r="C492" i="6"/>
  <c r="D492" i="6"/>
  <c r="I492" i="6"/>
  <c r="J492" i="6" s="1"/>
  <c r="K492" i="6" s="1"/>
  <c r="B493" i="6"/>
  <c r="Y493" i="6"/>
  <c r="X490" i="6"/>
  <c r="S491" i="6"/>
  <c r="P488" i="9"/>
  <c r="H489" i="9"/>
  <c r="C489" i="9"/>
  <c r="E489" i="9"/>
  <c r="D489" i="9"/>
  <c r="F489" i="9"/>
  <c r="B490" i="9"/>
  <c r="I489" i="9"/>
  <c r="G489" i="9"/>
  <c r="T489" i="9" l="1"/>
  <c r="L493" i="6"/>
  <c r="P493" i="6" s="1"/>
  <c r="I493" i="6"/>
  <c r="J493" i="6" s="1"/>
  <c r="K493" i="6" s="1"/>
  <c r="Y494" i="6"/>
  <c r="D493" i="6"/>
  <c r="H493" i="6"/>
  <c r="B494" i="6"/>
  <c r="C493" i="6"/>
  <c r="X491" i="6"/>
  <c r="S492" i="6"/>
  <c r="I490" i="9"/>
  <c r="P490" i="9" s="1"/>
  <c r="E490" i="9"/>
  <c r="H490" i="9"/>
  <c r="F490" i="9"/>
  <c r="G490" i="9"/>
  <c r="C490" i="9"/>
  <c r="D490" i="9"/>
  <c r="B491" i="9"/>
  <c r="P489" i="9"/>
  <c r="T490" i="9" l="1"/>
  <c r="I494" i="6"/>
  <c r="J494" i="6" s="1"/>
  <c r="K494" i="6" s="1"/>
  <c r="D494" i="6"/>
  <c r="C494" i="6"/>
  <c r="H494" i="6"/>
  <c r="B495" i="6"/>
  <c r="Y495" i="6"/>
  <c r="L494" i="6"/>
  <c r="P494" i="6" s="1"/>
  <c r="G491" i="9"/>
  <c r="B492" i="9"/>
  <c r="E491" i="9"/>
  <c r="C491" i="9"/>
  <c r="H491" i="9"/>
  <c r="F491" i="9"/>
  <c r="I491" i="9"/>
  <c r="D491" i="9"/>
  <c r="X492" i="6"/>
  <c r="S493" i="6"/>
  <c r="T491" i="9" l="1"/>
  <c r="D495" i="6"/>
  <c r="B496" i="6"/>
  <c r="H495" i="6"/>
  <c r="L495" i="6"/>
  <c r="P495" i="6" s="1"/>
  <c r="I495" i="6"/>
  <c r="J495" i="6" s="1"/>
  <c r="K495" i="6" s="1"/>
  <c r="C495" i="6"/>
  <c r="Y496" i="6"/>
  <c r="X493" i="6"/>
  <c r="S494" i="6"/>
  <c r="P491" i="9"/>
  <c r="H492" i="9"/>
  <c r="F492" i="9"/>
  <c r="C492" i="9"/>
  <c r="E492" i="9"/>
  <c r="D492" i="9"/>
  <c r="G492" i="9"/>
  <c r="I492" i="9"/>
  <c r="P492" i="9" s="1"/>
  <c r="B493" i="9"/>
  <c r="T492" i="9" l="1"/>
  <c r="H496" i="6"/>
  <c r="Y497" i="6"/>
  <c r="D496" i="6"/>
  <c r="C496" i="6"/>
  <c r="L496" i="6"/>
  <c r="P496" i="6" s="1"/>
  <c r="B497" i="6"/>
  <c r="I496" i="6"/>
  <c r="J496" i="6" s="1"/>
  <c r="K496" i="6" s="1"/>
  <c r="B494" i="9"/>
  <c r="E493" i="9"/>
  <c r="F493" i="9"/>
  <c r="I493" i="9"/>
  <c r="P493" i="9" s="1"/>
  <c r="G493" i="9"/>
  <c r="H493" i="9"/>
  <c r="D493" i="9"/>
  <c r="C493" i="9"/>
  <c r="X494" i="6"/>
  <c r="S495" i="6"/>
  <c r="T493" i="9" l="1"/>
  <c r="Y498" i="6"/>
  <c r="L497" i="6"/>
  <c r="D497" i="6"/>
  <c r="C497" i="6"/>
  <c r="B498" i="6"/>
  <c r="H497" i="6"/>
  <c r="I497" i="6"/>
  <c r="J497" i="6" s="1"/>
  <c r="K497" i="6" s="1"/>
  <c r="X495" i="6"/>
  <c r="S496" i="6"/>
  <c r="D494" i="9"/>
  <c r="C494" i="9"/>
  <c r="G494" i="9"/>
  <c r="H494" i="9"/>
  <c r="F494" i="9"/>
  <c r="B495" i="9"/>
  <c r="I494" i="9"/>
  <c r="E494" i="9"/>
  <c r="T494" i="9" l="1"/>
  <c r="H498" i="6"/>
  <c r="I498" i="6"/>
  <c r="J498" i="6" s="1"/>
  <c r="K498" i="6" s="1"/>
  <c r="D498" i="6"/>
  <c r="B499" i="6"/>
  <c r="C498" i="6"/>
  <c r="L498" i="6"/>
  <c r="P498" i="6" s="1"/>
  <c r="Y499" i="6"/>
  <c r="P497" i="6"/>
  <c r="X496" i="6"/>
  <c r="S497" i="6"/>
  <c r="B496" i="9"/>
  <c r="E495" i="9"/>
  <c r="H495" i="9"/>
  <c r="D495" i="9"/>
  <c r="G495" i="9"/>
  <c r="F495" i="9"/>
  <c r="C495" i="9"/>
  <c r="I495" i="9"/>
  <c r="P495" i="9" s="1"/>
  <c r="P494" i="9"/>
  <c r="T495" i="9" l="1"/>
  <c r="B500" i="6"/>
  <c r="C499" i="6"/>
  <c r="I499" i="6"/>
  <c r="J499" i="6" s="1"/>
  <c r="K499" i="6" s="1"/>
  <c r="L499" i="6"/>
  <c r="P499" i="6" s="1"/>
  <c r="H499" i="6"/>
  <c r="Y500" i="6"/>
  <c r="D499" i="6"/>
  <c r="E496" i="9"/>
  <c r="H496" i="9"/>
  <c r="B497" i="9"/>
  <c r="F496" i="9"/>
  <c r="C496" i="9"/>
  <c r="I496" i="9"/>
  <c r="P496" i="9" s="1"/>
  <c r="D496" i="9"/>
  <c r="G496" i="9"/>
  <c r="X497" i="6"/>
  <c r="S498" i="6"/>
  <c r="T496" i="9" l="1"/>
  <c r="B501" i="6"/>
  <c r="C500" i="6"/>
  <c r="D500" i="6"/>
  <c r="H500" i="6"/>
  <c r="I500" i="6"/>
  <c r="J500" i="6" s="1"/>
  <c r="K500" i="6" s="1"/>
  <c r="L500" i="6"/>
  <c r="P500" i="6" s="1"/>
  <c r="Y501" i="6"/>
  <c r="D497" i="9"/>
  <c r="C497" i="9"/>
  <c r="H497" i="9"/>
  <c r="F497" i="9"/>
  <c r="B498" i="9"/>
  <c r="E497" i="9"/>
  <c r="I497" i="9"/>
  <c r="G497" i="9"/>
  <c r="X498" i="6"/>
  <c r="S499" i="6"/>
  <c r="T497" i="9" l="1"/>
  <c r="H501" i="6"/>
  <c r="D501" i="6"/>
  <c r="I501" i="6"/>
  <c r="J501" i="6" s="1"/>
  <c r="K501" i="6" s="1"/>
  <c r="B502" i="6"/>
  <c r="C501" i="6"/>
  <c r="L501" i="6"/>
  <c r="P501" i="6" s="1"/>
  <c r="Y502" i="6"/>
  <c r="X499" i="6"/>
  <c r="S500" i="6"/>
  <c r="P497" i="9"/>
  <c r="H498" i="9"/>
  <c r="I498" i="9"/>
  <c r="E498" i="9"/>
  <c r="C498" i="9"/>
  <c r="D498" i="9"/>
  <c r="G498" i="9"/>
  <c r="F498" i="9"/>
  <c r="B499" i="9"/>
  <c r="T498" i="9" l="1"/>
  <c r="D502" i="6"/>
  <c r="B503" i="6"/>
  <c r="Y503" i="6"/>
  <c r="I502" i="6"/>
  <c r="J502" i="6" s="1"/>
  <c r="K502" i="6" s="1"/>
  <c r="L502" i="6"/>
  <c r="P502" i="6" s="1"/>
  <c r="C502" i="6"/>
  <c r="H502" i="6"/>
  <c r="F499" i="9"/>
  <c r="H499" i="9"/>
  <c r="B500" i="9"/>
  <c r="G499" i="9"/>
  <c r="E499" i="9"/>
  <c r="C499" i="9"/>
  <c r="I499" i="9"/>
  <c r="D499" i="9"/>
  <c r="P498" i="9"/>
  <c r="X500" i="6"/>
  <c r="S501" i="6"/>
  <c r="T499" i="9" l="1"/>
  <c r="L503" i="6"/>
  <c r="P503" i="6" s="1"/>
  <c r="H503" i="6"/>
  <c r="B504" i="6"/>
  <c r="C503" i="6"/>
  <c r="D503" i="6"/>
  <c r="Y504" i="6"/>
  <c r="I503" i="6"/>
  <c r="J503" i="6" s="1"/>
  <c r="K503" i="6" s="1"/>
  <c r="D500" i="9"/>
  <c r="G500" i="9"/>
  <c r="C500" i="9"/>
  <c r="B501" i="9"/>
  <c r="E500" i="9"/>
  <c r="I500" i="9"/>
  <c r="P500" i="9" s="1"/>
  <c r="F500" i="9"/>
  <c r="H500" i="9"/>
  <c r="X501" i="6"/>
  <c r="S502" i="6"/>
  <c r="P499" i="9"/>
  <c r="T500" i="9" l="1"/>
  <c r="I504" i="6"/>
  <c r="J504" i="6" s="1"/>
  <c r="K504" i="6" s="1"/>
  <c r="D504" i="6"/>
  <c r="C504" i="6"/>
  <c r="Y505" i="6"/>
  <c r="B505" i="6"/>
  <c r="L504" i="6"/>
  <c r="P504" i="6" s="1"/>
  <c r="H504" i="6"/>
  <c r="X502" i="6"/>
  <c r="S503" i="6"/>
  <c r="H501" i="9"/>
  <c r="B502" i="9"/>
  <c r="D501" i="9"/>
  <c r="I501" i="9"/>
  <c r="G501" i="9"/>
  <c r="F501" i="9"/>
  <c r="C501" i="9"/>
  <c r="E501" i="9"/>
  <c r="T501" i="9" l="1"/>
  <c r="H505" i="6"/>
  <c r="B506" i="6"/>
  <c r="C505" i="6"/>
  <c r="D505" i="6"/>
  <c r="I505" i="6"/>
  <c r="J505" i="6" s="1"/>
  <c r="K505" i="6" s="1"/>
  <c r="Y506" i="6"/>
  <c r="L505" i="6"/>
  <c r="P505" i="6" s="1"/>
  <c r="H502" i="9"/>
  <c r="I502" i="9"/>
  <c r="D502" i="9"/>
  <c r="C502" i="9"/>
  <c r="E502" i="9"/>
  <c r="F502" i="9"/>
  <c r="B503" i="9"/>
  <c r="G502" i="9"/>
  <c r="P501" i="9"/>
  <c r="X503" i="6"/>
  <c r="S504" i="6"/>
  <c r="T502" i="9" l="1"/>
  <c r="Y507" i="6"/>
  <c r="H506" i="6"/>
  <c r="I506" i="6"/>
  <c r="J506" i="6" s="1"/>
  <c r="K506" i="6" s="1"/>
  <c r="C506" i="6"/>
  <c r="B507" i="6"/>
  <c r="L506" i="6"/>
  <c r="P506" i="6" s="1"/>
  <c r="D506" i="6"/>
  <c r="I503" i="9"/>
  <c r="P503" i="9" s="1"/>
  <c r="F503" i="9"/>
  <c r="B504" i="9"/>
  <c r="E503" i="9"/>
  <c r="H503" i="9"/>
  <c r="D503" i="9"/>
  <c r="C503" i="9"/>
  <c r="G503" i="9"/>
  <c r="X504" i="6"/>
  <c r="S505" i="6"/>
  <c r="P502" i="9"/>
  <c r="T503" i="9" l="1"/>
  <c r="B508" i="6"/>
  <c r="H507" i="6"/>
  <c r="Y508" i="6"/>
  <c r="D507" i="6"/>
  <c r="I507" i="6"/>
  <c r="J507" i="6" s="1"/>
  <c r="K507" i="6" s="1"/>
  <c r="C507" i="6"/>
  <c r="L507" i="6"/>
  <c r="P507" i="6" s="1"/>
  <c r="X505" i="6"/>
  <c r="S506" i="6"/>
  <c r="D504" i="9"/>
  <c r="E504" i="9"/>
  <c r="F504" i="9"/>
  <c r="C504" i="9"/>
  <c r="I504" i="9"/>
  <c r="G504" i="9"/>
  <c r="H504" i="9"/>
  <c r="B505" i="9"/>
  <c r="T504" i="9" l="1"/>
  <c r="I508" i="6"/>
  <c r="J508" i="6" s="1"/>
  <c r="K508" i="6" s="1"/>
  <c r="B509" i="6"/>
  <c r="H508" i="6"/>
  <c r="Y509" i="6"/>
  <c r="L508" i="6"/>
  <c r="P508" i="6" s="1"/>
  <c r="D508" i="6"/>
  <c r="C508" i="6"/>
  <c r="P504" i="9"/>
  <c r="E505" i="9"/>
  <c r="B506" i="9"/>
  <c r="G505" i="9"/>
  <c r="F505" i="9"/>
  <c r="C505" i="9"/>
  <c r="H505" i="9"/>
  <c r="D505" i="9"/>
  <c r="I505" i="9"/>
  <c r="X506" i="6"/>
  <c r="S507" i="6"/>
  <c r="T505" i="9" l="1"/>
  <c r="Y510" i="6"/>
  <c r="B510" i="6"/>
  <c r="D509" i="6"/>
  <c r="L509" i="6"/>
  <c r="C509" i="6"/>
  <c r="H509" i="6"/>
  <c r="I509" i="6"/>
  <c r="J509" i="6" s="1"/>
  <c r="K509" i="6" s="1"/>
  <c r="F506" i="9"/>
  <c r="G506" i="9"/>
  <c r="C506" i="9"/>
  <c r="B507" i="9"/>
  <c r="D506" i="9"/>
  <c r="H506" i="9"/>
  <c r="I506" i="9"/>
  <c r="P506" i="9" s="1"/>
  <c r="E506" i="9"/>
  <c r="X507" i="6"/>
  <c r="S508" i="6"/>
  <c r="P505" i="9"/>
  <c r="T506" i="9" l="1"/>
  <c r="P509" i="6"/>
  <c r="H510" i="6"/>
  <c r="I510" i="6"/>
  <c r="J510" i="6" s="1"/>
  <c r="K510" i="6" s="1"/>
  <c r="L510" i="6"/>
  <c r="D510" i="6"/>
  <c r="C510" i="6"/>
  <c r="B511" i="6"/>
  <c r="Y511" i="6"/>
  <c r="X508" i="6"/>
  <c r="S509" i="6"/>
  <c r="D507" i="9"/>
  <c r="E507" i="9"/>
  <c r="C507" i="9"/>
  <c r="H507" i="9"/>
  <c r="F507" i="9"/>
  <c r="G507" i="9"/>
  <c r="B508" i="9"/>
  <c r="I507" i="9"/>
  <c r="P507" i="9" s="1"/>
  <c r="T507" i="9" l="1"/>
  <c r="C511" i="6"/>
  <c r="B512" i="6"/>
  <c r="L511" i="6"/>
  <c r="P511" i="6" s="1"/>
  <c r="D511" i="6"/>
  <c r="Y512" i="6"/>
  <c r="I511" i="6"/>
  <c r="J511" i="6" s="1"/>
  <c r="K511" i="6" s="1"/>
  <c r="H511" i="6"/>
  <c r="P510" i="6"/>
  <c r="X509" i="6"/>
  <c r="S510" i="6"/>
  <c r="F508" i="9"/>
  <c r="I508" i="9"/>
  <c r="P508" i="9" s="1"/>
  <c r="H508" i="9"/>
  <c r="B509" i="9"/>
  <c r="G508" i="9"/>
  <c r="E508" i="9"/>
  <c r="C508" i="9"/>
  <c r="D508" i="9"/>
  <c r="T508" i="9" l="1"/>
  <c r="H512" i="6"/>
  <c r="B513" i="6"/>
  <c r="L512" i="6"/>
  <c r="P512" i="6" s="1"/>
  <c r="C512" i="6"/>
  <c r="Y513" i="6"/>
  <c r="I512" i="6"/>
  <c r="J512" i="6" s="1"/>
  <c r="K512" i="6" s="1"/>
  <c r="D512" i="6"/>
  <c r="X510" i="6"/>
  <c r="S511" i="6"/>
  <c r="C509" i="9"/>
  <c r="H509" i="9"/>
  <c r="B510" i="9"/>
  <c r="G509" i="9"/>
  <c r="E509" i="9"/>
  <c r="I509" i="9"/>
  <c r="P509" i="9" s="1"/>
  <c r="D509" i="9"/>
  <c r="F509" i="9"/>
  <c r="T509" i="9" l="1"/>
  <c r="H513" i="6"/>
  <c r="D513" i="6"/>
  <c r="Y514" i="6"/>
  <c r="L513" i="6"/>
  <c r="I513" i="6"/>
  <c r="J513" i="6" s="1"/>
  <c r="K513" i="6" s="1"/>
  <c r="C513" i="6"/>
  <c r="B514" i="6"/>
  <c r="I510" i="9"/>
  <c r="P510" i="9" s="1"/>
  <c r="D510" i="9"/>
  <c r="E510" i="9"/>
  <c r="F510" i="9"/>
  <c r="B511" i="9"/>
  <c r="G510" i="9"/>
  <c r="C510" i="9"/>
  <c r="H510" i="9"/>
  <c r="X511" i="6"/>
  <c r="S512" i="6"/>
  <c r="T510" i="9" l="1"/>
  <c r="Y515" i="6"/>
  <c r="I514" i="6"/>
  <c r="J514" i="6" s="1"/>
  <c r="K514" i="6" s="1"/>
  <c r="B515" i="6"/>
  <c r="L514" i="6"/>
  <c r="P514" i="6" s="1"/>
  <c r="C514" i="6"/>
  <c r="D514" i="6"/>
  <c r="H514" i="6"/>
  <c r="P513" i="6"/>
  <c r="X512" i="6"/>
  <c r="S513" i="6"/>
  <c r="G511" i="9"/>
  <c r="H511" i="9"/>
  <c r="E511" i="9"/>
  <c r="D511" i="9"/>
  <c r="F511" i="9"/>
  <c r="I511" i="9"/>
  <c r="P511" i="9" s="1"/>
  <c r="B512" i="9"/>
  <c r="C511" i="9"/>
  <c r="T511" i="9" l="1"/>
  <c r="I515" i="6"/>
  <c r="J515" i="6" s="1"/>
  <c r="K515" i="6" s="1"/>
  <c r="H515" i="6"/>
  <c r="D515" i="6"/>
  <c r="L515" i="6"/>
  <c r="P515" i="6" s="1"/>
  <c r="C515" i="6"/>
  <c r="B516" i="6"/>
  <c r="Y516" i="6"/>
  <c r="D512" i="9"/>
  <c r="E512" i="9"/>
  <c r="H512" i="9"/>
  <c r="F512" i="9"/>
  <c r="G512" i="9"/>
  <c r="C512" i="9"/>
  <c r="B513" i="9"/>
  <c r="I512" i="9"/>
  <c r="X513" i="6"/>
  <c r="S514" i="6"/>
  <c r="T512" i="9" l="1"/>
  <c r="C516" i="6"/>
  <c r="Y517" i="6"/>
  <c r="L516" i="6"/>
  <c r="D516" i="6"/>
  <c r="H516" i="6"/>
  <c r="I516" i="6"/>
  <c r="J516" i="6" s="1"/>
  <c r="K516" i="6" s="1"/>
  <c r="B517" i="6"/>
  <c r="E513" i="9"/>
  <c r="H513" i="9"/>
  <c r="I513" i="9"/>
  <c r="C513" i="9"/>
  <c r="F513" i="9"/>
  <c r="D513" i="9"/>
  <c r="G513" i="9"/>
  <c r="B514" i="9"/>
  <c r="X514" i="6"/>
  <c r="S515" i="6"/>
  <c r="P512" i="9"/>
  <c r="T513" i="9" l="1"/>
  <c r="H517" i="6"/>
  <c r="L517" i="6"/>
  <c r="P517" i="6" s="1"/>
  <c r="C517" i="6"/>
  <c r="Y518" i="6"/>
  <c r="B518" i="6"/>
  <c r="D517" i="6"/>
  <c r="I517" i="6"/>
  <c r="J517" i="6" s="1"/>
  <c r="K517" i="6" s="1"/>
  <c r="P516" i="6"/>
  <c r="X515" i="6"/>
  <c r="S516" i="6"/>
  <c r="B515" i="9"/>
  <c r="F514" i="9"/>
  <c r="H514" i="9"/>
  <c r="C514" i="9"/>
  <c r="E514" i="9"/>
  <c r="D514" i="9"/>
  <c r="G514" i="9"/>
  <c r="I514" i="9"/>
  <c r="P513" i="9"/>
  <c r="T514" i="9" l="1"/>
  <c r="C518" i="6"/>
  <c r="D518" i="6"/>
  <c r="L518" i="6"/>
  <c r="P518" i="6" s="1"/>
  <c r="B519" i="6"/>
  <c r="I518" i="6"/>
  <c r="J518" i="6" s="1"/>
  <c r="K518" i="6" s="1"/>
  <c r="H518" i="6"/>
  <c r="Y519" i="6"/>
  <c r="H515" i="9"/>
  <c r="E515" i="9"/>
  <c r="B516" i="9"/>
  <c r="G515" i="9"/>
  <c r="I515" i="9"/>
  <c r="P515" i="9" s="1"/>
  <c r="D515" i="9"/>
  <c r="F515" i="9"/>
  <c r="C515" i="9"/>
  <c r="X516" i="6"/>
  <c r="S517" i="6"/>
  <c r="P514" i="9"/>
  <c r="T515" i="9" l="1"/>
  <c r="D519" i="6"/>
  <c r="I519" i="6"/>
  <c r="J519" i="6" s="1"/>
  <c r="K519" i="6" s="1"/>
  <c r="C519" i="6"/>
  <c r="H519" i="6"/>
  <c r="B520" i="6"/>
  <c r="L519" i="6"/>
  <c r="P519" i="6" s="1"/>
  <c r="Y520" i="6"/>
  <c r="X517" i="6"/>
  <c r="S518" i="6"/>
  <c r="E516" i="9"/>
  <c r="D516" i="9"/>
  <c r="I516" i="9"/>
  <c r="P516" i="9" s="1"/>
  <c r="H516" i="9"/>
  <c r="C516" i="9"/>
  <c r="G516" i="9"/>
  <c r="F516" i="9"/>
  <c r="B517" i="9"/>
  <c r="T516" i="9" l="1"/>
  <c r="B521" i="6"/>
  <c r="L520" i="6"/>
  <c r="Y521" i="6"/>
  <c r="H520" i="6"/>
  <c r="D520" i="6"/>
  <c r="C520" i="6"/>
  <c r="I520" i="6"/>
  <c r="J520" i="6" s="1"/>
  <c r="K520" i="6" s="1"/>
  <c r="H517" i="9"/>
  <c r="B518" i="9"/>
  <c r="G517" i="9"/>
  <c r="F517" i="9"/>
  <c r="C517" i="9"/>
  <c r="D517" i="9"/>
  <c r="I517" i="9"/>
  <c r="E517" i="9"/>
  <c r="X518" i="6"/>
  <c r="S519" i="6"/>
  <c r="T517" i="9" l="1"/>
  <c r="P520" i="6"/>
  <c r="I521" i="6"/>
  <c r="J521" i="6" s="1"/>
  <c r="K521" i="6" s="1"/>
  <c r="D521" i="6"/>
  <c r="B522" i="6"/>
  <c r="H521" i="6"/>
  <c r="C521" i="6"/>
  <c r="Y522" i="6"/>
  <c r="L521" i="6"/>
  <c r="P521" i="6" s="1"/>
  <c r="I518" i="9"/>
  <c r="P518" i="9" s="1"/>
  <c r="D518" i="9"/>
  <c r="E518" i="9"/>
  <c r="H518" i="9"/>
  <c r="C518" i="9"/>
  <c r="F518" i="9"/>
  <c r="G518" i="9"/>
  <c r="B519" i="9"/>
  <c r="X519" i="6"/>
  <c r="S520" i="6"/>
  <c r="P517" i="9"/>
  <c r="T518" i="9" l="1"/>
  <c r="I522" i="6"/>
  <c r="J522" i="6" s="1"/>
  <c r="K522" i="6" s="1"/>
  <c r="H522" i="6"/>
  <c r="Y523" i="6"/>
  <c r="B523" i="6"/>
  <c r="D522" i="6"/>
  <c r="L522" i="6"/>
  <c r="C522" i="6"/>
  <c r="X520" i="6"/>
  <c r="S521" i="6"/>
  <c r="F519" i="9"/>
  <c r="E519" i="9"/>
  <c r="G519" i="9"/>
  <c r="H519" i="9"/>
  <c r="C519" i="9"/>
  <c r="I519" i="9"/>
  <c r="D519" i="9"/>
  <c r="B520" i="9"/>
  <c r="T519" i="9" l="1"/>
  <c r="P522" i="6"/>
  <c r="B524" i="6"/>
  <c r="Y524" i="6"/>
  <c r="I523" i="6"/>
  <c r="J523" i="6" s="1"/>
  <c r="K523" i="6" s="1"/>
  <c r="D523" i="6"/>
  <c r="C523" i="6"/>
  <c r="H523" i="6"/>
  <c r="L523" i="6"/>
  <c r="X521" i="6"/>
  <c r="S522" i="6"/>
  <c r="C520" i="9"/>
  <c r="G520" i="9"/>
  <c r="H520" i="9"/>
  <c r="D520" i="9"/>
  <c r="B521" i="9"/>
  <c r="E520" i="9"/>
  <c r="I520" i="9"/>
  <c r="F520" i="9"/>
  <c r="P519" i="9"/>
  <c r="T520" i="9" l="1"/>
  <c r="L524" i="6"/>
  <c r="C524" i="6"/>
  <c r="B525" i="6"/>
  <c r="Y525" i="6"/>
  <c r="I524" i="6"/>
  <c r="J524" i="6" s="1"/>
  <c r="K524" i="6" s="1"/>
  <c r="H524" i="6"/>
  <c r="D524" i="6"/>
  <c r="P523" i="6"/>
  <c r="I521" i="9"/>
  <c r="C521" i="9"/>
  <c r="H521" i="9"/>
  <c r="D521" i="9"/>
  <c r="G521" i="9"/>
  <c r="F521" i="9"/>
  <c r="E521" i="9"/>
  <c r="B522" i="9"/>
  <c r="X522" i="6"/>
  <c r="S523" i="6"/>
  <c r="P520" i="9"/>
  <c r="T521" i="9" l="1"/>
  <c r="D525" i="6"/>
  <c r="L525" i="6"/>
  <c r="P525" i="6" s="1"/>
  <c r="H525" i="6"/>
  <c r="Y526" i="6"/>
  <c r="B526" i="6"/>
  <c r="C525" i="6"/>
  <c r="I525" i="6"/>
  <c r="J525" i="6" s="1"/>
  <c r="K525" i="6" s="1"/>
  <c r="P524" i="6"/>
  <c r="P521" i="9"/>
  <c r="X523" i="6"/>
  <c r="S524" i="6"/>
  <c r="E522" i="9"/>
  <c r="C522" i="9"/>
  <c r="I522" i="9"/>
  <c r="B523" i="9"/>
  <c r="H522" i="9"/>
  <c r="F522" i="9"/>
  <c r="G522" i="9"/>
  <c r="D522" i="9"/>
  <c r="T522" i="9" l="1"/>
  <c r="C526" i="6"/>
  <c r="I526" i="6"/>
  <c r="J526" i="6" s="1"/>
  <c r="K526" i="6" s="1"/>
  <c r="H526" i="6"/>
  <c r="D526" i="6"/>
  <c r="Y527" i="6"/>
  <c r="L526" i="6"/>
  <c r="P526" i="6" s="1"/>
  <c r="B527" i="6"/>
  <c r="X524" i="6"/>
  <c r="S525" i="6"/>
  <c r="I523" i="9"/>
  <c r="P523" i="9" s="1"/>
  <c r="B524" i="9"/>
  <c r="C523" i="9"/>
  <c r="G523" i="9"/>
  <c r="E523" i="9"/>
  <c r="H523" i="9"/>
  <c r="F523" i="9"/>
  <c r="D523" i="9"/>
  <c r="P522" i="9"/>
  <c r="T523" i="9" l="1"/>
  <c r="I527" i="6"/>
  <c r="J527" i="6" s="1"/>
  <c r="K527" i="6" s="1"/>
  <c r="C527" i="6"/>
  <c r="Y528" i="6"/>
  <c r="L527" i="6"/>
  <c r="P527" i="6" s="1"/>
  <c r="D527" i="6"/>
  <c r="B528" i="6"/>
  <c r="H527" i="6"/>
  <c r="B525" i="9"/>
  <c r="G524" i="9"/>
  <c r="F524" i="9"/>
  <c r="C524" i="9"/>
  <c r="E524" i="9"/>
  <c r="D524" i="9"/>
  <c r="I524" i="9"/>
  <c r="P524" i="9" s="1"/>
  <c r="H524" i="9"/>
  <c r="X525" i="6"/>
  <c r="S526" i="6"/>
  <c r="T524" i="9" l="1"/>
  <c r="D528" i="6"/>
  <c r="C528" i="6"/>
  <c r="L528" i="6"/>
  <c r="Y529" i="6"/>
  <c r="I528" i="6"/>
  <c r="J528" i="6" s="1"/>
  <c r="K528" i="6" s="1"/>
  <c r="H528" i="6"/>
  <c r="B529" i="6"/>
  <c r="X526" i="6"/>
  <c r="S527" i="6"/>
  <c r="F525" i="9"/>
  <c r="G525" i="9"/>
  <c r="D525" i="9"/>
  <c r="B526" i="9"/>
  <c r="E525" i="9"/>
  <c r="C525" i="9"/>
  <c r="I525" i="9"/>
  <c r="H525" i="9"/>
  <c r="T525" i="9" l="1"/>
  <c r="L529" i="6"/>
  <c r="P529" i="6" s="1"/>
  <c r="D529" i="6"/>
  <c r="I529" i="6"/>
  <c r="J529" i="6" s="1"/>
  <c r="K529" i="6" s="1"/>
  <c r="Y530" i="6"/>
  <c r="H529" i="6"/>
  <c r="B530" i="6"/>
  <c r="C529" i="6"/>
  <c r="P528" i="6"/>
  <c r="G526" i="9"/>
  <c r="B527" i="9"/>
  <c r="E526" i="9"/>
  <c r="I526" i="9"/>
  <c r="F526" i="9"/>
  <c r="C526" i="9"/>
  <c r="D526" i="9"/>
  <c r="H526" i="9"/>
  <c r="X527" i="6"/>
  <c r="S528" i="6"/>
  <c r="P525" i="9"/>
  <c r="T526" i="9" l="1"/>
  <c r="Y531" i="6"/>
  <c r="B531" i="6"/>
  <c r="I530" i="6"/>
  <c r="J530" i="6" s="1"/>
  <c r="K530" i="6" s="1"/>
  <c r="C530" i="6"/>
  <c r="L530" i="6"/>
  <c r="P530" i="6" s="1"/>
  <c r="D530" i="6"/>
  <c r="H530" i="6"/>
  <c r="X528" i="6"/>
  <c r="S529" i="6"/>
  <c r="I527" i="9"/>
  <c r="G527" i="9"/>
  <c r="D527" i="9"/>
  <c r="E527" i="9"/>
  <c r="B528" i="9"/>
  <c r="H527" i="9"/>
  <c r="F527" i="9"/>
  <c r="C527" i="9"/>
  <c r="P526" i="9"/>
  <c r="T527" i="9" l="1"/>
  <c r="C531" i="6"/>
  <c r="Y532" i="6"/>
  <c r="D531" i="6"/>
  <c r="I531" i="6"/>
  <c r="J531" i="6" s="1"/>
  <c r="K531" i="6" s="1"/>
  <c r="B532" i="6"/>
  <c r="H531" i="6"/>
  <c r="L531" i="6"/>
  <c r="G528" i="9"/>
  <c r="E528" i="9"/>
  <c r="F528" i="9"/>
  <c r="I528" i="9"/>
  <c r="P528" i="9" s="1"/>
  <c r="D528" i="9"/>
  <c r="C528" i="9"/>
  <c r="B529" i="9"/>
  <c r="H528" i="9"/>
  <c r="P527" i="9"/>
  <c r="X529" i="6"/>
  <c r="S530" i="6"/>
  <c r="T528" i="9" l="1"/>
  <c r="P531" i="6"/>
  <c r="L532" i="6"/>
  <c r="D532" i="6"/>
  <c r="Y533" i="6"/>
  <c r="B533" i="6"/>
  <c r="H532" i="6"/>
  <c r="C532" i="6"/>
  <c r="I532" i="6"/>
  <c r="J532" i="6" s="1"/>
  <c r="K532" i="6" s="1"/>
  <c r="G529" i="9"/>
  <c r="E529" i="9"/>
  <c r="F529" i="9"/>
  <c r="C529" i="9"/>
  <c r="H529" i="9"/>
  <c r="I529" i="9"/>
  <c r="P529" i="9" s="1"/>
  <c r="B530" i="9"/>
  <c r="D529" i="9"/>
  <c r="X530" i="6"/>
  <c r="S531" i="6"/>
  <c r="T529" i="9" l="1"/>
  <c r="B534" i="6"/>
  <c r="Y534" i="6"/>
  <c r="I533" i="6"/>
  <c r="J533" i="6" s="1"/>
  <c r="K533" i="6" s="1"/>
  <c r="H533" i="6"/>
  <c r="C533" i="6"/>
  <c r="D533" i="6"/>
  <c r="L533" i="6"/>
  <c r="P533" i="6" s="1"/>
  <c r="P532" i="6"/>
  <c r="H530" i="9"/>
  <c r="B531" i="9"/>
  <c r="E530" i="9"/>
  <c r="G530" i="9"/>
  <c r="D530" i="9"/>
  <c r="F530" i="9"/>
  <c r="C530" i="9"/>
  <c r="I530" i="9"/>
  <c r="X531" i="6"/>
  <c r="S532" i="6"/>
  <c r="T530" i="9" l="1"/>
  <c r="B535" i="6"/>
  <c r="L534" i="6"/>
  <c r="Y535" i="6"/>
  <c r="D534" i="6"/>
  <c r="I534" i="6"/>
  <c r="J534" i="6" s="1"/>
  <c r="K534" i="6" s="1"/>
  <c r="H534" i="6"/>
  <c r="C534" i="6"/>
  <c r="X532" i="6"/>
  <c r="S533" i="6"/>
  <c r="P530" i="9"/>
  <c r="E531" i="9"/>
  <c r="F531" i="9"/>
  <c r="C531" i="9"/>
  <c r="G531" i="9"/>
  <c r="D531" i="9"/>
  <c r="H531" i="9"/>
  <c r="I531" i="9"/>
  <c r="B532" i="9"/>
  <c r="T531" i="9" l="1"/>
  <c r="D535" i="6"/>
  <c r="B536" i="6"/>
  <c r="L535" i="6"/>
  <c r="P535" i="6" s="1"/>
  <c r="Y536" i="6"/>
  <c r="C535" i="6"/>
  <c r="I535" i="6"/>
  <c r="J535" i="6" s="1"/>
  <c r="K535" i="6" s="1"/>
  <c r="H535" i="6"/>
  <c r="P534" i="6"/>
  <c r="P531" i="9"/>
  <c r="X533" i="6"/>
  <c r="S534" i="6"/>
  <c r="I532" i="9"/>
  <c r="P532" i="9" s="1"/>
  <c r="H532" i="9"/>
  <c r="D532" i="9"/>
  <c r="B533" i="9"/>
  <c r="F532" i="9"/>
  <c r="C532" i="9"/>
  <c r="E532" i="9"/>
  <c r="G532" i="9"/>
  <c r="T532" i="9" l="1"/>
  <c r="H536" i="6"/>
  <c r="I536" i="6"/>
  <c r="J536" i="6" s="1"/>
  <c r="K536" i="6" s="1"/>
  <c r="D536" i="6"/>
  <c r="L536" i="6"/>
  <c r="P536" i="6" s="1"/>
  <c r="B537" i="6"/>
  <c r="C536" i="6"/>
  <c r="Y537" i="6"/>
  <c r="H533" i="9"/>
  <c r="D533" i="9"/>
  <c r="E533" i="9"/>
  <c r="I533" i="9"/>
  <c r="F533" i="9"/>
  <c r="C533" i="9"/>
  <c r="B534" i="9"/>
  <c r="G533" i="9"/>
  <c r="X534" i="6"/>
  <c r="S535" i="6"/>
  <c r="T533" i="9" l="1"/>
  <c r="H537" i="6"/>
  <c r="Y538" i="6"/>
  <c r="B538" i="6"/>
  <c r="L537" i="6"/>
  <c r="C537" i="6"/>
  <c r="I537" i="6"/>
  <c r="J537" i="6" s="1"/>
  <c r="K537" i="6" s="1"/>
  <c r="D537" i="6"/>
  <c r="H534" i="9"/>
  <c r="G534" i="9"/>
  <c r="B535" i="9"/>
  <c r="C534" i="9"/>
  <c r="F534" i="9"/>
  <c r="E534" i="9"/>
  <c r="I534" i="9"/>
  <c r="D534" i="9"/>
  <c r="X535" i="6"/>
  <c r="S536" i="6"/>
  <c r="P533" i="9"/>
  <c r="T534" i="9" l="1"/>
  <c r="P537" i="6"/>
  <c r="Y539" i="6"/>
  <c r="I538" i="6"/>
  <c r="J538" i="6" s="1"/>
  <c r="K538" i="6" s="1"/>
  <c r="L538" i="6"/>
  <c r="P538" i="6" s="1"/>
  <c r="C538" i="6"/>
  <c r="H538" i="6"/>
  <c r="B539" i="6"/>
  <c r="D538" i="6"/>
  <c r="X536" i="6"/>
  <c r="S537" i="6"/>
  <c r="H535" i="9"/>
  <c r="G535" i="9"/>
  <c r="E535" i="9"/>
  <c r="F535" i="9"/>
  <c r="I535" i="9"/>
  <c r="P535" i="9" s="1"/>
  <c r="B536" i="9"/>
  <c r="C535" i="9"/>
  <c r="D535" i="9"/>
  <c r="P534" i="9"/>
  <c r="T535" i="9" l="1"/>
  <c r="I539" i="6"/>
  <c r="J539" i="6" s="1"/>
  <c r="K539" i="6" s="1"/>
  <c r="C539" i="6"/>
  <c r="Y540" i="6"/>
  <c r="D539" i="6"/>
  <c r="H539" i="6"/>
  <c r="B540" i="6"/>
  <c r="L539" i="6"/>
  <c r="P539" i="6" s="1"/>
  <c r="D536" i="9"/>
  <c r="C536" i="9"/>
  <c r="H536" i="9"/>
  <c r="I536" i="9"/>
  <c r="G536" i="9"/>
  <c r="F536" i="9"/>
  <c r="E536" i="9"/>
  <c r="B537" i="9"/>
  <c r="X537" i="6"/>
  <c r="S538" i="6"/>
  <c r="T536" i="9" l="1"/>
  <c r="L540" i="6"/>
  <c r="P540" i="6" s="1"/>
  <c r="D540" i="6"/>
  <c r="C540" i="6"/>
  <c r="I540" i="6"/>
  <c r="J540" i="6" s="1"/>
  <c r="K540" i="6" s="1"/>
  <c r="B541" i="6"/>
  <c r="H540" i="6"/>
  <c r="Y541" i="6"/>
  <c r="P536" i="9"/>
  <c r="X538" i="6"/>
  <c r="S539" i="6"/>
  <c r="B538" i="9"/>
  <c r="H537" i="9"/>
  <c r="F537" i="9"/>
  <c r="D537" i="9"/>
  <c r="E537" i="9"/>
  <c r="I537" i="9"/>
  <c r="C537" i="9"/>
  <c r="G537" i="9"/>
  <c r="T537" i="9" l="1"/>
  <c r="B542" i="6"/>
  <c r="L541" i="6"/>
  <c r="I541" i="6"/>
  <c r="J541" i="6" s="1"/>
  <c r="K541" i="6" s="1"/>
  <c r="D541" i="6"/>
  <c r="Y542" i="6"/>
  <c r="C541" i="6"/>
  <c r="H541" i="6"/>
  <c r="E538" i="9"/>
  <c r="G538" i="9"/>
  <c r="C538" i="9"/>
  <c r="B539" i="9"/>
  <c r="I538" i="9"/>
  <c r="H538" i="9"/>
  <c r="F538" i="9"/>
  <c r="D538" i="9"/>
  <c r="X539" i="6"/>
  <c r="S540" i="6"/>
  <c r="P537" i="9"/>
  <c r="T538" i="9" l="1"/>
  <c r="P541" i="6"/>
  <c r="I542" i="6"/>
  <c r="J542" i="6" s="1"/>
  <c r="K542" i="6" s="1"/>
  <c r="H542" i="6"/>
  <c r="D542" i="6"/>
  <c r="L542" i="6"/>
  <c r="B543" i="6"/>
  <c r="Y543" i="6"/>
  <c r="C542" i="6"/>
  <c r="X540" i="6"/>
  <c r="S541" i="6"/>
  <c r="I539" i="9"/>
  <c r="C539" i="9"/>
  <c r="H539" i="9"/>
  <c r="F539" i="9"/>
  <c r="D539" i="9"/>
  <c r="B540" i="9"/>
  <c r="G539" i="9"/>
  <c r="E539" i="9"/>
  <c r="P538" i="9"/>
  <c r="T539" i="9" l="1"/>
  <c r="H543" i="6"/>
  <c r="B544" i="6"/>
  <c r="I543" i="6"/>
  <c r="J543" i="6" s="1"/>
  <c r="K543" i="6" s="1"/>
  <c r="Y544" i="6"/>
  <c r="D543" i="6"/>
  <c r="L543" i="6"/>
  <c r="C543" i="6"/>
  <c r="P542" i="6"/>
  <c r="X541" i="6"/>
  <c r="S542" i="6"/>
  <c r="P539" i="9"/>
  <c r="H540" i="9"/>
  <c r="G540" i="9"/>
  <c r="F540" i="9"/>
  <c r="I540" i="9"/>
  <c r="P540" i="9" s="1"/>
  <c r="B541" i="9"/>
  <c r="D540" i="9"/>
  <c r="C540" i="9"/>
  <c r="E540" i="9"/>
  <c r="T540" i="9" l="1"/>
  <c r="P543" i="6"/>
  <c r="Y545" i="6"/>
  <c r="C544" i="6"/>
  <c r="H544" i="6"/>
  <c r="D544" i="6"/>
  <c r="I544" i="6"/>
  <c r="J544" i="6" s="1"/>
  <c r="K544" i="6" s="1"/>
  <c r="L544" i="6"/>
  <c r="P544" i="6" s="1"/>
  <c r="B545" i="6"/>
  <c r="X542" i="6"/>
  <c r="S543" i="6"/>
  <c r="G541" i="9"/>
  <c r="B542" i="9"/>
  <c r="C541" i="9"/>
  <c r="H541" i="9"/>
  <c r="F541" i="9"/>
  <c r="E541" i="9"/>
  <c r="D541" i="9"/>
  <c r="I541" i="9"/>
  <c r="P541" i="9" s="1"/>
  <c r="T541" i="9" l="1"/>
  <c r="D545" i="6"/>
  <c r="L545" i="6"/>
  <c r="P545" i="6" s="1"/>
  <c r="C545" i="6"/>
  <c r="Y546" i="6"/>
  <c r="B546" i="6"/>
  <c r="H545" i="6"/>
  <c r="I545" i="6"/>
  <c r="J545" i="6" s="1"/>
  <c r="K545" i="6" s="1"/>
  <c r="H542" i="9"/>
  <c r="C542" i="9"/>
  <c r="D542" i="9"/>
  <c r="F542" i="9"/>
  <c r="G542" i="9"/>
  <c r="B543" i="9"/>
  <c r="E542" i="9"/>
  <c r="I542" i="9"/>
  <c r="X543" i="6"/>
  <c r="S544" i="6"/>
  <c r="T542" i="9" l="1"/>
  <c r="I546" i="6"/>
  <c r="J546" i="6" s="1"/>
  <c r="K546" i="6" s="1"/>
  <c r="L546" i="6"/>
  <c r="P546" i="6" s="1"/>
  <c r="H546" i="6"/>
  <c r="B547" i="6"/>
  <c r="Y547" i="6"/>
  <c r="C546" i="6"/>
  <c r="D546" i="6"/>
  <c r="E543" i="9"/>
  <c r="I543" i="9"/>
  <c r="P543" i="9" s="1"/>
  <c r="G543" i="9"/>
  <c r="C543" i="9"/>
  <c r="H543" i="9"/>
  <c r="D543" i="9"/>
  <c r="F543" i="9"/>
  <c r="B544" i="9"/>
  <c r="X544" i="6"/>
  <c r="S545" i="6"/>
  <c r="P542" i="9"/>
  <c r="T543" i="9" l="1"/>
  <c r="I547" i="6"/>
  <c r="J547" i="6" s="1"/>
  <c r="K547" i="6" s="1"/>
  <c r="H547" i="6"/>
  <c r="B548" i="6"/>
  <c r="Y548" i="6"/>
  <c r="C547" i="6"/>
  <c r="D547" i="6"/>
  <c r="L547" i="6"/>
  <c r="X545" i="6"/>
  <c r="S546" i="6"/>
  <c r="B545" i="9"/>
  <c r="I544" i="9"/>
  <c r="P544" i="9" s="1"/>
  <c r="G544" i="9"/>
  <c r="H544" i="9"/>
  <c r="D544" i="9"/>
  <c r="C544" i="9"/>
  <c r="F544" i="9"/>
  <c r="E544" i="9"/>
  <c r="T544" i="9" l="1"/>
  <c r="P547" i="6"/>
  <c r="D548" i="6"/>
  <c r="L548" i="6"/>
  <c r="B549" i="6"/>
  <c r="C548" i="6"/>
  <c r="I548" i="6"/>
  <c r="J548" i="6" s="1"/>
  <c r="K548" i="6" s="1"/>
  <c r="Y549" i="6"/>
  <c r="H548" i="6"/>
  <c r="B546" i="9"/>
  <c r="H545" i="9"/>
  <c r="I545" i="9"/>
  <c r="P545" i="9" s="1"/>
  <c r="D545" i="9"/>
  <c r="C545" i="9"/>
  <c r="E545" i="9"/>
  <c r="G545" i="9"/>
  <c r="F545" i="9"/>
  <c r="X546" i="6"/>
  <c r="S547" i="6"/>
  <c r="T545" i="9" l="1"/>
  <c r="B550" i="6"/>
  <c r="L549" i="6"/>
  <c r="P549" i="6" s="1"/>
  <c r="H549" i="6"/>
  <c r="D549" i="6"/>
  <c r="Y550" i="6"/>
  <c r="C549" i="6"/>
  <c r="I549" i="6"/>
  <c r="J549" i="6" s="1"/>
  <c r="K549" i="6" s="1"/>
  <c r="P548" i="6"/>
  <c r="G546" i="9"/>
  <c r="D546" i="9"/>
  <c r="I546" i="9"/>
  <c r="H546" i="9"/>
  <c r="C546" i="9"/>
  <c r="E546" i="9"/>
  <c r="F546" i="9"/>
  <c r="B547" i="9"/>
  <c r="X547" i="6"/>
  <c r="S548" i="6"/>
  <c r="T546" i="9" l="1"/>
  <c r="H550" i="6"/>
  <c r="B551" i="6"/>
  <c r="Y551" i="6"/>
  <c r="D550" i="6"/>
  <c r="I550" i="6"/>
  <c r="J550" i="6" s="1"/>
  <c r="K550" i="6" s="1"/>
  <c r="L550" i="6"/>
  <c r="P550" i="6" s="1"/>
  <c r="C550" i="6"/>
  <c r="B548" i="9"/>
  <c r="G547" i="9"/>
  <c r="E547" i="9"/>
  <c r="I547" i="9"/>
  <c r="P547" i="9" s="1"/>
  <c r="C547" i="9"/>
  <c r="H547" i="9"/>
  <c r="D547" i="9"/>
  <c r="F547" i="9"/>
  <c r="X548" i="6"/>
  <c r="S549" i="6"/>
  <c r="P546" i="9"/>
  <c r="T547" i="9" l="1"/>
  <c r="C551" i="6"/>
  <c r="I551" i="6"/>
  <c r="J551" i="6" s="1"/>
  <c r="K551" i="6" s="1"/>
  <c r="B552" i="6"/>
  <c r="D551" i="6"/>
  <c r="H551" i="6"/>
  <c r="L551" i="6"/>
  <c r="Y552" i="6"/>
  <c r="D548" i="9"/>
  <c r="B549" i="9"/>
  <c r="G548" i="9"/>
  <c r="I548" i="9"/>
  <c r="P548" i="9" s="1"/>
  <c r="F548" i="9"/>
  <c r="C548" i="9"/>
  <c r="E548" i="9"/>
  <c r="H548" i="9"/>
  <c r="X549" i="6"/>
  <c r="S550" i="6"/>
  <c r="T548" i="9" l="1"/>
  <c r="P551" i="6"/>
  <c r="L552" i="6"/>
  <c r="Y553" i="6"/>
  <c r="H552" i="6"/>
  <c r="B553" i="6"/>
  <c r="C552" i="6"/>
  <c r="I552" i="6"/>
  <c r="J552" i="6" s="1"/>
  <c r="K552" i="6" s="1"/>
  <c r="D552" i="6"/>
  <c r="I549" i="9"/>
  <c r="P549" i="9" s="1"/>
  <c r="G549" i="9"/>
  <c r="D549" i="9"/>
  <c r="F549" i="9"/>
  <c r="C549" i="9"/>
  <c r="H549" i="9"/>
  <c r="E549" i="9"/>
  <c r="B550" i="9"/>
  <c r="X550" i="6"/>
  <c r="S551" i="6"/>
  <c r="T549" i="9" l="1"/>
  <c r="C553" i="6"/>
  <c r="H553" i="6"/>
  <c r="L553" i="6"/>
  <c r="P553" i="6" s="1"/>
  <c r="Y554" i="6"/>
  <c r="D553" i="6"/>
  <c r="B554" i="6"/>
  <c r="I553" i="6"/>
  <c r="J553" i="6" s="1"/>
  <c r="K553" i="6" s="1"/>
  <c r="P552" i="6"/>
  <c r="X551" i="6"/>
  <c r="S552" i="6"/>
  <c r="D550" i="9"/>
  <c r="F550" i="9"/>
  <c r="C550" i="9"/>
  <c r="E550" i="9"/>
  <c r="H550" i="9"/>
  <c r="B551" i="9"/>
  <c r="G550" i="9"/>
  <c r="I550" i="9"/>
  <c r="P550" i="9" s="1"/>
  <c r="T550" i="9" l="1"/>
  <c r="C554" i="6"/>
  <c r="L554" i="6"/>
  <c r="P554" i="6" s="1"/>
  <c r="H554" i="6"/>
  <c r="Y555" i="6"/>
  <c r="I554" i="6"/>
  <c r="J554" i="6" s="1"/>
  <c r="K554" i="6" s="1"/>
  <c r="D554" i="6"/>
  <c r="B555" i="6"/>
  <c r="X552" i="6"/>
  <c r="S553" i="6"/>
  <c r="E551" i="9"/>
  <c r="D551" i="9"/>
  <c r="F551" i="9"/>
  <c r="C551" i="9"/>
  <c r="I551" i="9"/>
  <c r="B552" i="9"/>
  <c r="G551" i="9"/>
  <c r="H551" i="9"/>
  <c r="T551" i="9" l="1"/>
  <c r="L555" i="6"/>
  <c r="P555" i="6" s="1"/>
  <c r="C555" i="6"/>
  <c r="D555" i="6"/>
  <c r="H555" i="6"/>
  <c r="I555" i="6"/>
  <c r="J555" i="6" s="1"/>
  <c r="K555" i="6" s="1"/>
  <c r="Y556" i="6"/>
  <c r="B556" i="6"/>
  <c r="X553" i="6"/>
  <c r="S554" i="6"/>
  <c r="P551" i="9"/>
  <c r="D552" i="9"/>
  <c r="F552" i="9"/>
  <c r="I552" i="9"/>
  <c r="C552" i="9"/>
  <c r="E552" i="9"/>
  <c r="G552" i="9"/>
  <c r="H552" i="9"/>
  <c r="B553" i="9"/>
  <c r="T552" i="9" l="1"/>
  <c r="B557" i="6"/>
  <c r="I556" i="6"/>
  <c r="J556" i="6" s="1"/>
  <c r="K556" i="6" s="1"/>
  <c r="H556" i="6"/>
  <c r="Y557" i="6"/>
  <c r="D556" i="6"/>
  <c r="C556" i="6"/>
  <c r="L556" i="6"/>
  <c r="P556" i="6" s="1"/>
  <c r="I553" i="9"/>
  <c r="C553" i="9"/>
  <c r="D553" i="9"/>
  <c r="E553" i="9"/>
  <c r="F553" i="9"/>
  <c r="B554" i="9"/>
  <c r="H553" i="9"/>
  <c r="G553" i="9"/>
  <c r="X554" i="6"/>
  <c r="S555" i="6"/>
  <c r="P552" i="9"/>
  <c r="T553" i="9" l="1"/>
  <c r="L557" i="6"/>
  <c r="P557" i="6" s="1"/>
  <c r="B558" i="6"/>
  <c r="Y558" i="6"/>
  <c r="C557" i="6"/>
  <c r="H557" i="6"/>
  <c r="D557" i="6"/>
  <c r="I557" i="6"/>
  <c r="J557" i="6" s="1"/>
  <c r="K557" i="6" s="1"/>
  <c r="D554" i="9"/>
  <c r="F554" i="9"/>
  <c r="H554" i="9"/>
  <c r="G554" i="9"/>
  <c r="B555" i="9"/>
  <c r="E554" i="9"/>
  <c r="C554" i="9"/>
  <c r="I554" i="9"/>
  <c r="P554" i="9" s="1"/>
  <c r="P553" i="9"/>
  <c r="X555" i="6"/>
  <c r="S556" i="6"/>
  <c r="T554" i="9" l="1"/>
  <c r="I558" i="6"/>
  <c r="J558" i="6" s="1"/>
  <c r="K558" i="6" s="1"/>
  <c r="D558" i="6"/>
  <c r="C558" i="6"/>
  <c r="H558" i="6"/>
  <c r="Y559" i="6"/>
  <c r="L558" i="6"/>
  <c r="B559" i="6"/>
  <c r="X556" i="6"/>
  <c r="S557" i="6"/>
  <c r="D555" i="9"/>
  <c r="B556" i="9"/>
  <c r="G555" i="9"/>
  <c r="F555" i="9"/>
  <c r="I555" i="9"/>
  <c r="P555" i="9" s="1"/>
  <c r="H555" i="9"/>
  <c r="E555" i="9"/>
  <c r="C555" i="9"/>
  <c r="T555" i="9" l="1"/>
  <c r="P558" i="6"/>
  <c r="Y560" i="6"/>
  <c r="C559" i="6"/>
  <c r="D559" i="6"/>
  <c r="L559" i="6"/>
  <c r="B560" i="6"/>
  <c r="H559" i="6"/>
  <c r="I559" i="6"/>
  <c r="J559" i="6" s="1"/>
  <c r="K559" i="6" s="1"/>
  <c r="E556" i="9"/>
  <c r="I556" i="9"/>
  <c r="P556" i="9" s="1"/>
  <c r="F556" i="9"/>
  <c r="H556" i="9"/>
  <c r="B557" i="9"/>
  <c r="G556" i="9"/>
  <c r="D556" i="9"/>
  <c r="C556" i="9"/>
  <c r="X557" i="6"/>
  <c r="S558" i="6"/>
  <c r="T556" i="9" l="1"/>
  <c r="L560" i="6"/>
  <c r="P560" i="6" s="1"/>
  <c r="C560" i="6"/>
  <c r="B561" i="6"/>
  <c r="D560" i="6"/>
  <c r="I560" i="6"/>
  <c r="J560" i="6" s="1"/>
  <c r="K560" i="6" s="1"/>
  <c r="Y561" i="6"/>
  <c r="H560" i="6"/>
  <c r="P559" i="6"/>
  <c r="D557" i="9"/>
  <c r="F557" i="9"/>
  <c r="E557" i="9"/>
  <c r="G557" i="9"/>
  <c r="B558" i="9"/>
  <c r="C557" i="9"/>
  <c r="H557" i="9"/>
  <c r="I557" i="9"/>
  <c r="P557" i="9" s="1"/>
  <c r="X558" i="6"/>
  <c r="S559" i="6"/>
  <c r="T557" i="9" l="1"/>
  <c r="C561" i="6"/>
  <c r="B562" i="6"/>
  <c r="Y562" i="6"/>
  <c r="H561" i="6"/>
  <c r="D561" i="6"/>
  <c r="L561" i="6"/>
  <c r="P561" i="6" s="1"/>
  <c r="I561" i="6"/>
  <c r="J561" i="6" s="1"/>
  <c r="K561" i="6" s="1"/>
  <c r="E558" i="9"/>
  <c r="D558" i="9"/>
  <c r="F558" i="9"/>
  <c r="G558" i="9"/>
  <c r="H558" i="9"/>
  <c r="C558" i="9"/>
  <c r="I558" i="9"/>
  <c r="P558" i="9" s="1"/>
  <c r="B559" i="9"/>
  <c r="X559" i="6"/>
  <c r="S560" i="6"/>
  <c r="T558" i="9" l="1"/>
  <c r="I562" i="6"/>
  <c r="J562" i="6" s="1"/>
  <c r="K562" i="6" s="1"/>
  <c r="B563" i="6"/>
  <c r="L562" i="6"/>
  <c r="C562" i="6"/>
  <c r="D562" i="6"/>
  <c r="H562" i="6"/>
  <c r="Y563" i="6"/>
  <c r="G559" i="9"/>
  <c r="D559" i="9"/>
  <c r="H559" i="9"/>
  <c r="C559" i="9"/>
  <c r="I559" i="9"/>
  <c r="P559" i="9" s="1"/>
  <c r="B560" i="9"/>
  <c r="F559" i="9"/>
  <c r="E559" i="9"/>
  <c r="X560" i="6"/>
  <c r="S561" i="6"/>
  <c r="T559" i="9" l="1"/>
  <c r="P562" i="6"/>
  <c r="H563" i="6"/>
  <c r="C563" i="6"/>
  <c r="B564" i="6"/>
  <c r="L563" i="6"/>
  <c r="D563" i="6"/>
  <c r="Y564" i="6"/>
  <c r="I563" i="6"/>
  <c r="J563" i="6" s="1"/>
  <c r="K563" i="6" s="1"/>
  <c r="I560" i="9"/>
  <c r="P560" i="9" s="1"/>
  <c r="G560" i="9"/>
  <c r="B561" i="9"/>
  <c r="F560" i="9"/>
  <c r="H560" i="9"/>
  <c r="C560" i="9"/>
  <c r="D560" i="9"/>
  <c r="E560" i="9"/>
  <c r="X561" i="6"/>
  <c r="S562" i="6"/>
  <c r="T560" i="9" l="1"/>
  <c r="I564" i="6"/>
  <c r="J564" i="6" s="1"/>
  <c r="K564" i="6" s="1"/>
  <c r="Y565" i="6"/>
  <c r="B565" i="6"/>
  <c r="C564" i="6"/>
  <c r="H564" i="6"/>
  <c r="L564" i="6"/>
  <c r="D564" i="6"/>
  <c r="P563" i="6"/>
  <c r="I561" i="9"/>
  <c r="P561" i="9" s="1"/>
  <c r="C561" i="9"/>
  <c r="B562" i="9"/>
  <c r="H561" i="9"/>
  <c r="D561" i="9"/>
  <c r="F561" i="9"/>
  <c r="G561" i="9"/>
  <c r="E561" i="9"/>
  <c r="X562" i="6"/>
  <c r="S563" i="6"/>
  <c r="T561" i="9" l="1"/>
  <c r="I565" i="6"/>
  <c r="J565" i="6" s="1"/>
  <c r="K565" i="6" s="1"/>
  <c r="D565" i="6"/>
  <c r="Y566" i="6"/>
  <c r="C565" i="6"/>
  <c r="L565" i="6"/>
  <c r="H565" i="6"/>
  <c r="B566" i="6"/>
  <c r="P564" i="6"/>
  <c r="I562" i="9"/>
  <c r="H562" i="9"/>
  <c r="E562" i="9"/>
  <c r="G562" i="9"/>
  <c r="F562" i="9"/>
  <c r="B563" i="9"/>
  <c r="C562" i="9"/>
  <c r="D562" i="9"/>
  <c r="X563" i="6"/>
  <c r="S564" i="6"/>
  <c r="T562" i="9" l="1"/>
  <c r="I566" i="6"/>
  <c r="J566" i="6" s="1"/>
  <c r="K566" i="6" s="1"/>
  <c r="H566" i="6"/>
  <c r="Y567" i="6"/>
  <c r="C566" i="6"/>
  <c r="D566" i="6"/>
  <c r="L566" i="6"/>
  <c r="P566" i="6" s="1"/>
  <c r="B567" i="6"/>
  <c r="P565" i="6"/>
  <c r="E563" i="9"/>
  <c r="B564" i="9"/>
  <c r="C563" i="9"/>
  <c r="G563" i="9"/>
  <c r="F563" i="9"/>
  <c r="D563" i="9"/>
  <c r="H563" i="9"/>
  <c r="I563" i="9"/>
  <c r="P563" i="9" s="1"/>
  <c r="P562" i="9"/>
  <c r="X564" i="6"/>
  <c r="S565" i="6"/>
  <c r="T563" i="9" l="1"/>
  <c r="H567" i="6"/>
  <c r="I567" i="6"/>
  <c r="J567" i="6" s="1"/>
  <c r="K567" i="6" s="1"/>
  <c r="D567" i="6"/>
  <c r="B568" i="6"/>
  <c r="Y568" i="6"/>
  <c r="L567" i="6"/>
  <c r="C567" i="6"/>
  <c r="X565" i="6"/>
  <c r="S566" i="6"/>
  <c r="F564" i="9"/>
  <c r="H564" i="9"/>
  <c r="B565" i="9"/>
  <c r="G564" i="9"/>
  <c r="E564" i="9"/>
  <c r="I564" i="9"/>
  <c r="D564" i="9"/>
  <c r="C564" i="9"/>
  <c r="T564" i="9" l="1"/>
  <c r="P567" i="6"/>
  <c r="I568" i="6"/>
  <c r="J568" i="6" s="1"/>
  <c r="K568" i="6" s="1"/>
  <c r="H568" i="6"/>
  <c r="D568" i="6"/>
  <c r="L568" i="6"/>
  <c r="B569" i="6"/>
  <c r="C568" i="6"/>
  <c r="Y569" i="6"/>
  <c r="P564" i="9"/>
  <c r="H565" i="9"/>
  <c r="F565" i="9"/>
  <c r="D565" i="9"/>
  <c r="I565" i="9"/>
  <c r="P565" i="9" s="1"/>
  <c r="E565" i="9"/>
  <c r="B566" i="9"/>
  <c r="C565" i="9"/>
  <c r="G565" i="9"/>
  <c r="X566" i="6"/>
  <c r="S567" i="6"/>
  <c r="T565" i="9" l="1"/>
  <c r="B570" i="6"/>
  <c r="D569" i="6"/>
  <c r="H569" i="6"/>
  <c r="I569" i="6"/>
  <c r="J569" i="6" s="1"/>
  <c r="K569" i="6" s="1"/>
  <c r="L569" i="6"/>
  <c r="P569" i="6" s="1"/>
  <c r="C569" i="6"/>
  <c r="Y570" i="6"/>
  <c r="P568" i="6"/>
  <c r="G566" i="9"/>
  <c r="D566" i="9"/>
  <c r="C566" i="9"/>
  <c r="E566" i="9"/>
  <c r="F566" i="9"/>
  <c r="H566" i="9"/>
  <c r="B567" i="9"/>
  <c r="I566" i="9"/>
  <c r="P566" i="9" s="1"/>
  <c r="X567" i="6"/>
  <c r="S568" i="6"/>
  <c r="T566" i="9" l="1"/>
  <c r="I570" i="6"/>
  <c r="J570" i="6" s="1"/>
  <c r="K570" i="6" s="1"/>
  <c r="B571" i="6"/>
  <c r="Y571" i="6"/>
  <c r="D570" i="6"/>
  <c r="C570" i="6"/>
  <c r="H570" i="6"/>
  <c r="L570" i="6"/>
  <c r="X568" i="6"/>
  <c r="S569" i="6"/>
  <c r="E567" i="9"/>
  <c r="H567" i="9"/>
  <c r="G567" i="9"/>
  <c r="F567" i="9"/>
  <c r="D567" i="9"/>
  <c r="B568" i="9"/>
  <c r="I567" i="9"/>
  <c r="P567" i="9" s="1"/>
  <c r="C567" i="9"/>
  <c r="T567" i="9" l="1"/>
  <c r="P570" i="6"/>
  <c r="Y572" i="6"/>
  <c r="L571" i="6"/>
  <c r="C571" i="6"/>
  <c r="I571" i="6"/>
  <c r="J571" i="6" s="1"/>
  <c r="K571" i="6" s="1"/>
  <c r="H571" i="6"/>
  <c r="D571" i="6"/>
  <c r="B572" i="6"/>
  <c r="F568" i="9"/>
  <c r="G568" i="9"/>
  <c r="E568" i="9"/>
  <c r="H568" i="9"/>
  <c r="I568" i="9"/>
  <c r="D568" i="9"/>
  <c r="C568" i="9"/>
  <c r="B569" i="9"/>
  <c r="X569" i="6"/>
  <c r="S570" i="6"/>
  <c r="T568" i="9" l="1"/>
  <c r="I572" i="6"/>
  <c r="J572" i="6" s="1"/>
  <c r="K572" i="6" s="1"/>
  <c r="L572" i="6"/>
  <c r="P572" i="6" s="1"/>
  <c r="B573" i="6"/>
  <c r="Y573" i="6"/>
  <c r="D572" i="6"/>
  <c r="H572" i="6"/>
  <c r="C572" i="6"/>
  <c r="P571" i="6"/>
  <c r="X570" i="6"/>
  <c r="S571" i="6"/>
  <c r="P568" i="9"/>
  <c r="B570" i="9"/>
  <c r="I569" i="9"/>
  <c r="G569" i="9"/>
  <c r="D569" i="9"/>
  <c r="F569" i="9"/>
  <c r="E569" i="9"/>
  <c r="C569" i="9"/>
  <c r="H569" i="9"/>
  <c r="T569" i="9" l="1"/>
  <c r="B574" i="6"/>
  <c r="D573" i="6"/>
  <c r="Y574" i="6"/>
  <c r="H573" i="6"/>
  <c r="C573" i="6"/>
  <c r="L573" i="6"/>
  <c r="I573" i="6"/>
  <c r="J573" i="6" s="1"/>
  <c r="K573" i="6" s="1"/>
  <c r="C570" i="9"/>
  <c r="I570" i="9"/>
  <c r="P570" i="9" s="1"/>
  <c r="D570" i="9"/>
  <c r="G570" i="9"/>
  <c r="H570" i="9"/>
  <c r="B571" i="9"/>
  <c r="E570" i="9"/>
  <c r="F570" i="9"/>
  <c r="X571" i="6"/>
  <c r="S572" i="6"/>
  <c r="P569" i="9"/>
  <c r="T570" i="9" l="1"/>
  <c r="P573" i="6"/>
  <c r="B575" i="6"/>
  <c r="H574" i="6"/>
  <c r="I574" i="6"/>
  <c r="J574" i="6" s="1"/>
  <c r="K574" i="6" s="1"/>
  <c r="D574" i="6"/>
  <c r="C574" i="6"/>
  <c r="Y575" i="6"/>
  <c r="L574" i="6"/>
  <c r="F571" i="9"/>
  <c r="D571" i="9"/>
  <c r="C571" i="9"/>
  <c r="I571" i="9"/>
  <c r="G571" i="9"/>
  <c r="E571" i="9"/>
  <c r="B572" i="9"/>
  <c r="H571" i="9"/>
  <c r="X572" i="6"/>
  <c r="S573" i="6"/>
  <c r="T571" i="9" l="1"/>
  <c r="B576" i="6"/>
  <c r="C575" i="6"/>
  <c r="H575" i="6"/>
  <c r="L575" i="6"/>
  <c r="Y576" i="6"/>
  <c r="I575" i="6"/>
  <c r="J575" i="6" s="1"/>
  <c r="K575" i="6" s="1"/>
  <c r="D575" i="6"/>
  <c r="P574" i="6"/>
  <c r="X573" i="6"/>
  <c r="S574" i="6"/>
  <c r="I572" i="9"/>
  <c r="E572" i="9"/>
  <c r="D572" i="9"/>
  <c r="G572" i="9"/>
  <c r="H572" i="9"/>
  <c r="C572" i="9"/>
  <c r="F572" i="9"/>
  <c r="B573" i="9"/>
  <c r="P571" i="9"/>
  <c r="T572" i="9" l="1"/>
  <c r="B577" i="6"/>
  <c r="Y577" i="6"/>
  <c r="D576" i="6"/>
  <c r="H576" i="6"/>
  <c r="L576" i="6"/>
  <c r="C576" i="6"/>
  <c r="I576" i="6"/>
  <c r="J576" i="6" s="1"/>
  <c r="K576" i="6" s="1"/>
  <c r="P575" i="6"/>
  <c r="B574" i="9"/>
  <c r="E573" i="9"/>
  <c r="F573" i="9"/>
  <c r="H573" i="9"/>
  <c r="C573" i="9"/>
  <c r="I573" i="9"/>
  <c r="D573" i="9"/>
  <c r="G573" i="9"/>
  <c r="P572" i="9"/>
  <c r="X574" i="6"/>
  <c r="S575" i="6"/>
  <c r="T573" i="9" l="1"/>
  <c r="D577" i="6"/>
  <c r="C577" i="6"/>
  <c r="Y578" i="6"/>
  <c r="B578" i="6"/>
  <c r="L577" i="6"/>
  <c r="H577" i="6"/>
  <c r="I577" i="6"/>
  <c r="J577" i="6" s="1"/>
  <c r="K577" i="6" s="1"/>
  <c r="P576" i="6"/>
  <c r="H574" i="9"/>
  <c r="F574" i="9"/>
  <c r="C574" i="9"/>
  <c r="B575" i="9"/>
  <c r="E574" i="9"/>
  <c r="I574" i="9"/>
  <c r="G574" i="9"/>
  <c r="D574" i="9"/>
  <c r="P573" i="9"/>
  <c r="X575" i="6"/>
  <c r="S576" i="6"/>
  <c r="T574" i="9" l="1"/>
  <c r="I578" i="6"/>
  <c r="J578" i="6" s="1"/>
  <c r="K578" i="6" s="1"/>
  <c r="Y579" i="6"/>
  <c r="C578" i="6"/>
  <c r="H578" i="6"/>
  <c r="B579" i="6"/>
  <c r="L578" i="6"/>
  <c r="P578" i="6" s="1"/>
  <c r="D578" i="6"/>
  <c r="P577" i="6"/>
  <c r="X576" i="6"/>
  <c r="S577" i="6"/>
  <c r="E575" i="9"/>
  <c r="C575" i="9"/>
  <c r="I575" i="9"/>
  <c r="P575" i="9" s="1"/>
  <c r="B576" i="9"/>
  <c r="D575" i="9"/>
  <c r="F575" i="9"/>
  <c r="G575" i="9"/>
  <c r="H575" i="9"/>
  <c r="P574" i="9"/>
  <c r="T575" i="9" l="1"/>
  <c r="H579" i="6"/>
  <c r="L579" i="6"/>
  <c r="P579" i="6" s="1"/>
  <c r="I579" i="6"/>
  <c r="J579" i="6" s="1"/>
  <c r="K579" i="6" s="1"/>
  <c r="C579" i="6"/>
  <c r="D579" i="6"/>
  <c r="B580" i="6"/>
  <c r="Y580" i="6"/>
  <c r="H576" i="9"/>
  <c r="B577" i="9"/>
  <c r="I576" i="9"/>
  <c r="D576" i="9"/>
  <c r="F576" i="9"/>
  <c r="G576" i="9"/>
  <c r="C576" i="9"/>
  <c r="E576" i="9"/>
  <c r="X577" i="6"/>
  <c r="S578" i="6"/>
  <c r="T576" i="9" l="1"/>
  <c r="Y581" i="6"/>
  <c r="H580" i="6"/>
  <c r="L580" i="6"/>
  <c r="P580" i="6" s="1"/>
  <c r="I580" i="6"/>
  <c r="J580" i="6" s="1"/>
  <c r="K580" i="6" s="1"/>
  <c r="C580" i="6"/>
  <c r="B581" i="6"/>
  <c r="D580" i="6"/>
  <c r="X578" i="6"/>
  <c r="S579" i="6"/>
  <c r="P576" i="9"/>
  <c r="D577" i="9"/>
  <c r="C577" i="9"/>
  <c r="E577" i="9"/>
  <c r="F577" i="9"/>
  <c r="B578" i="9"/>
  <c r="H577" i="9"/>
  <c r="I577" i="9"/>
  <c r="P577" i="9" s="1"/>
  <c r="G577" i="9"/>
  <c r="T577" i="9" l="1"/>
  <c r="D581" i="6"/>
  <c r="Y582" i="6"/>
  <c r="C581" i="6"/>
  <c r="H581" i="6"/>
  <c r="L581" i="6"/>
  <c r="B582" i="6"/>
  <c r="I581" i="6"/>
  <c r="J581" i="6" s="1"/>
  <c r="K581" i="6" s="1"/>
  <c r="H578" i="9"/>
  <c r="G578" i="9"/>
  <c r="I578" i="9"/>
  <c r="P578" i="9" s="1"/>
  <c r="D578" i="9"/>
  <c r="E578" i="9"/>
  <c r="B579" i="9"/>
  <c r="F578" i="9"/>
  <c r="C578" i="9"/>
  <c r="X579" i="6"/>
  <c r="S580" i="6"/>
  <c r="T578" i="9" l="1"/>
  <c r="D582" i="6"/>
  <c r="C582" i="6"/>
  <c r="B583" i="6"/>
  <c r="H582" i="6"/>
  <c r="I582" i="6"/>
  <c r="J582" i="6" s="1"/>
  <c r="K582" i="6" s="1"/>
  <c r="L582" i="6"/>
  <c r="P582" i="6" s="1"/>
  <c r="Y583" i="6"/>
  <c r="P581" i="6"/>
  <c r="D579" i="9"/>
  <c r="B580" i="9"/>
  <c r="H579" i="9"/>
  <c r="G579" i="9"/>
  <c r="C579" i="9"/>
  <c r="E579" i="9"/>
  <c r="I579" i="9"/>
  <c r="F579" i="9"/>
  <c r="X580" i="6"/>
  <c r="S581" i="6"/>
  <c r="T579" i="9" l="1"/>
  <c r="C583" i="6"/>
  <c r="D583" i="6"/>
  <c r="H583" i="6"/>
  <c r="Y584" i="6"/>
  <c r="L583" i="6"/>
  <c r="P583" i="6" s="1"/>
  <c r="I583" i="6"/>
  <c r="J583" i="6" s="1"/>
  <c r="K583" i="6" s="1"/>
  <c r="B584" i="6"/>
  <c r="X581" i="6"/>
  <c r="S582" i="6"/>
  <c r="B581" i="9"/>
  <c r="F580" i="9"/>
  <c r="I580" i="9"/>
  <c r="D580" i="9"/>
  <c r="G580" i="9"/>
  <c r="C580" i="9"/>
  <c r="H580" i="9"/>
  <c r="E580" i="9"/>
  <c r="P579" i="9"/>
  <c r="T580" i="9" l="1"/>
  <c r="B585" i="6"/>
  <c r="Y585" i="6"/>
  <c r="I584" i="6"/>
  <c r="J584" i="6" s="1"/>
  <c r="K584" i="6" s="1"/>
  <c r="C584" i="6"/>
  <c r="D584" i="6"/>
  <c r="L584" i="6"/>
  <c r="H584" i="6"/>
  <c r="E581" i="9"/>
  <c r="I581" i="9"/>
  <c r="C581" i="9"/>
  <c r="F581" i="9"/>
  <c r="H581" i="9"/>
  <c r="D581" i="9"/>
  <c r="B582" i="9"/>
  <c r="G581" i="9"/>
  <c r="P580" i="9"/>
  <c r="X582" i="6"/>
  <c r="S583" i="6"/>
  <c r="T581" i="9" l="1"/>
  <c r="P584" i="6"/>
  <c r="H585" i="6"/>
  <c r="Y586" i="6"/>
  <c r="D585" i="6"/>
  <c r="B586" i="6"/>
  <c r="I585" i="6"/>
  <c r="J585" i="6" s="1"/>
  <c r="K585" i="6" s="1"/>
  <c r="L585" i="6"/>
  <c r="P585" i="6" s="1"/>
  <c r="C585" i="6"/>
  <c r="I582" i="9"/>
  <c r="P582" i="9" s="1"/>
  <c r="D582" i="9"/>
  <c r="H582" i="9"/>
  <c r="E582" i="9"/>
  <c r="C582" i="9"/>
  <c r="F582" i="9"/>
  <c r="G582" i="9"/>
  <c r="B583" i="9"/>
  <c r="X583" i="6"/>
  <c r="S584" i="6"/>
  <c r="P581" i="9"/>
  <c r="T582" i="9" l="1"/>
  <c r="C586" i="6"/>
  <c r="L586" i="6"/>
  <c r="D586" i="6"/>
  <c r="Y587" i="6"/>
  <c r="I586" i="6"/>
  <c r="J586" i="6" s="1"/>
  <c r="K586" i="6" s="1"/>
  <c r="H586" i="6"/>
  <c r="B587" i="6"/>
  <c r="B584" i="9"/>
  <c r="G583" i="9"/>
  <c r="E583" i="9"/>
  <c r="C583" i="9"/>
  <c r="F583" i="9"/>
  <c r="D583" i="9"/>
  <c r="I583" i="9"/>
  <c r="H583" i="9"/>
  <c r="X584" i="6"/>
  <c r="S585" i="6"/>
  <c r="T583" i="9" l="1"/>
  <c r="I587" i="6"/>
  <c r="J587" i="6" s="1"/>
  <c r="K587" i="6" s="1"/>
  <c r="Y588" i="6"/>
  <c r="C587" i="6"/>
  <c r="L587" i="6"/>
  <c r="P587" i="6" s="1"/>
  <c r="B588" i="6"/>
  <c r="D587" i="6"/>
  <c r="H587" i="6"/>
  <c r="P586" i="6"/>
  <c r="X585" i="6"/>
  <c r="S586" i="6"/>
  <c r="P583" i="9"/>
  <c r="G584" i="9"/>
  <c r="B585" i="9"/>
  <c r="I584" i="9"/>
  <c r="P584" i="9" s="1"/>
  <c r="E584" i="9"/>
  <c r="H584" i="9"/>
  <c r="F584" i="9"/>
  <c r="C584" i="9"/>
  <c r="D584" i="9"/>
  <c r="T584" i="9" l="1"/>
  <c r="C588" i="6"/>
  <c r="I588" i="6"/>
  <c r="J588" i="6" s="1"/>
  <c r="K588" i="6" s="1"/>
  <c r="D588" i="6"/>
  <c r="B589" i="6"/>
  <c r="Y589" i="6"/>
  <c r="H588" i="6"/>
  <c r="L588" i="6"/>
  <c r="P588" i="6" s="1"/>
  <c r="D585" i="9"/>
  <c r="I585" i="9"/>
  <c r="P585" i="9" s="1"/>
  <c r="G585" i="9"/>
  <c r="E585" i="9"/>
  <c r="B586" i="9"/>
  <c r="C585" i="9"/>
  <c r="F585" i="9"/>
  <c r="H585" i="9"/>
  <c r="X586" i="6"/>
  <c r="S587" i="6"/>
  <c r="T585" i="9" l="1"/>
  <c r="C589" i="6"/>
  <c r="D589" i="6"/>
  <c r="H589" i="6"/>
  <c r="I589" i="6"/>
  <c r="J589" i="6" s="1"/>
  <c r="K589" i="6" s="1"/>
  <c r="Y590" i="6"/>
  <c r="L589" i="6"/>
  <c r="B590" i="6"/>
  <c r="H586" i="9"/>
  <c r="D586" i="9"/>
  <c r="B587" i="9"/>
  <c r="G586" i="9"/>
  <c r="E586" i="9"/>
  <c r="C586" i="9"/>
  <c r="F586" i="9"/>
  <c r="I586" i="9"/>
  <c r="X587" i="6"/>
  <c r="S588" i="6"/>
  <c r="T586" i="9" l="1"/>
  <c r="B591" i="6"/>
  <c r="I590" i="6"/>
  <c r="J590" i="6" s="1"/>
  <c r="K590" i="6" s="1"/>
  <c r="D590" i="6"/>
  <c r="L590" i="6"/>
  <c r="P590" i="6" s="1"/>
  <c r="Y591" i="6"/>
  <c r="C590" i="6"/>
  <c r="H590" i="6"/>
  <c r="P589" i="6"/>
  <c r="C587" i="9"/>
  <c r="G587" i="9"/>
  <c r="H587" i="9"/>
  <c r="D587" i="9"/>
  <c r="B588" i="9"/>
  <c r="I587" i="9"/>
  <c r="E587" i="9"/>
  <c r="F587" i="9"/>
  <c r="P586" i="9"/>
  <c r="X588" i="6"/>
  <c r="S589" i="6"/>
  <c r="T587" i="9" l="1"/>
  <c r="L591" i="6"/>
  <c r="P591" i="6" s="1"/>
  <c r="B592" i="6"/>
  <c r="I591" i="6"/>
  <c r="J591" i="6" s="1"/>
  <c r="K591" i="6" s="1"/>
  <c r="D591" i="6"/>
  <c r="H591" i="6"/>
  <c r="C591" i="6"/>
  <c r="Y592" i="6"/>
  <c r="X589" i="6"/>
  <c r="S590" i="6"/>
  <c r="C588" i="9"/>
  <c r="F588" i="9"/>
  <c r="H588" i="9"/>
  <c r="D588" i="9"/>
  <c r="E588" i="9"/>
  <c r="I588" i="9"/>
  <c r="G588" i="9"/>
  <c r="B589" i="9"/>
  <c r="P587" i="9"/>
  <c r="T588" i="9" l="1"/>
  <c r="Y593" i="6"/>
  <c r="B593" i="6"/>
  <c r="C592" i="6"/>
  <c r="L592" i="6"/>
  <c r="I592" i="6"/>
  <c r="J592" i="6" s="1"/>
  <c r="K592" i="6" s="1"/>
  <c r="H592" i="6"/>
  <c r="D592" i="6"/>
  <c r="F589" i="9"/>
  <c r="E589" i="9"/>
  <c r="H589" i="9"/>
  <c r="I589" i="9"/>
  <c r="P589" i="9" s="1"/>
  <c r="C589" i="9"/>
  <c r="B590" i="9"/>
  <c r="G589" i="9"/>
  <c r="D589" i="9"/>
  <c r="X590" i="6"/>
  <c r="S591" i="6"/>
  <c r="P588" i="9"/>
  <c r="T589" i="9" l="1"/>
  <c r="P592" i="6"/>
  <c r="B594" i="6"/>
  <c r="C593" i="6"/>
  <c r="Y594" i="6"/>
  <c r="H593" i="6"/>
  <c r="I593" i="6"/>
  <c r="J593" i="6" s="1"/>
  <c r="K593" i="6" s="1"/>
  <c r="D593" i="6"/>
  <c r="L593" i="6"/>
  <c r="H590" i="9"/>
  <c r="E590" i="9"/>
  <c r="C590" i="9"/>
  <c r="B591" i="9"/>
  <c r="I590" i="9"/>
  <c r="P590" i="9" s="1"/>
  <c r="D590" i="9"/>
  <c r="G590" i="9"/>
  <c r="F590" i="9"/>
  <c r="X591" i="6"/>
  <c r="S592" i="6"/>
  <c r="T590" i="9" l="1"/>
  <c r="I594" i="6"/>
  <c r="J594" i="6" s="1"/>
  <c r="K594" i="6" s="1"/>
  <c r="H594" i="6"/>
  <c r="C594" i="6"/>
  <c r="Y595" i="6"/>
  <c r="L594" i="6"/>
  <c r="P594" i="6" s="1"/>
  <c r="B595" i="6"/>
  <c r="D594" i="6"/>
  <c r="P593" i="6"/>
  <c r="C591" i="9"/>
  <c r="F591" i="9"/>
  <c r="D591" i="9"/>
  <c r="B592" i="9"/>
  <c r="I591" i="9"/>
  <c r="H591" i="9"/>
  <c r="E591" i="9"/>
  <c r="G591" i="9"/>
  <c r="X592" i="6"/>
  <c r="S593" i="6"/>
  <c r="T591" i="9" l="1"/>
  <c r="L595" i="6"/>
  <c r="Y596" i="6"/>
  <c r="D595" i="6"/>
  <c r="B596" i="6"/>
  <c r="C595" i="6"/>
  <c r="I595" i="6"/>
  <c r="J595" i="6" s="1"/>
  <c r="K595" i="6" s="1"/>
  <c r="H595" i="6"/>
  <c r="X593" i="6"/>
  <c r="S594" i="6"/>
  <c r="D592" i="9"/>
  <c r="G592" i="9"/>
  <c r="C592" i="9"/>
  <c r="H592" i="9"/>
  <c r="I592" i="9"/>
  <c r="P592" i="9" s="1"/>
  <c r="F592" i="9"/>
  <c r="B593" i="9"/>
  <c r="E592" i="9"/>
  <c r="P591" i="9"/>
  <c r="T592" i="9" l="1"/>
  <c r="Y597" i="6"/>
  <c r="B597" i="6"/>
  <c r="D596" i="6"/>
  <c r="I596" i="6"/>
  <c r="J596" i="6" s="1"/>
  <c r="K596" i="6" s="1"/>
  <c r="C596" i="6"/>
  <c r="H596" i="6"/>
  <c r="L596" i="6"/>
  <c r="P595" i="6"/>
  <c r="X594" i="6"/>
  <c r="S595" i="6"/>
  <c r="C593" i="9"/>
  <c r="G593" i="9"/>
  <c r="E593" i="9"/>
  <c r="I593" i="9"/>
  <c r="D593" i="9"/>
  <c r="B594" i="9"/>
  <c r="F593" i="9"/>
  <c r="H593" i="9"/>
  <c r="T593" i="9" l="1"/>
  <c r="P596" i="6"/>
  <c r="B598" i="6"/>
  <c r="I597" i="6"/>
  <c r="J597" i="6" s="1"/>
  <c r="K597" i="6" s="1"/>
  <c r="H597" i="6"/>
  <c r="D597" i="6"/>
  <c r="L597" i="6"/>
  <c r="P597" i="6" s="1"/>
  <c r="Y598" i="6"/>
  <c r="C597" i="6"/>
  <c r="B595" i="9"/>
  <c r="C594" i="9"/>
  <c r="I594" i="9"/>
  <c r="G594" i="9"/>
  <c r="E594" i="9"/>
  <c r="D594" i="9"/>
  <c r="F594" i="9"/>
  <c r="H594" i="9"/>
  <c r="P593" i="9"/>
  <c r="X595" i="6"/>
  <c r="S596" i="6"/>
  <c r="T594" i="9" l="1"/>
  <c r="C598" i="6"/>
  <c r="D598" i="6"/>
  <c r="Y599" i="6"/>
  <c r="B599" i="6"/>
  <c r="I598" i="6"/>
  <c r="J598" i="6" s="1"/>
  <c r="K598" i="6" s="1"/>
  <c r="H598" i="6"/>
  <c r="L598" i="6"/>
  <c r="X596" i="6"/>
  <c r="S597" i="6"/>
  <c r="D595" i="9"/>
  <c r="B596" i="9"/>
  <c r="E595" i="9"/>
  <c r="C595" i="9"/>
  <c r="G595" i="9"/>
  <c r="H595" i="9"/>
  <c r="I595" i="9"/>
  <c r="P595" i="9" s="1"/>
  <c r="F595" i="9"/>
  <c r="P594" i="9"/>
  <c r="T595" i="9" l="1"/>
  <c r="P598" i="6"/>
  <c r="H599" i="6"/>
  <c r="I599" i="6"/>
  <c r="J599" i="6" s="1"/>
  <c r="K599" i="6" s="1"/>
  <c r="D599" i="6"/>
  <c r="C599" i="6"/>
  <c r="L599" i="6"/>
  <c r="P599" i="6" s="1"/>
  <c r="Y600" i="6"/>
  <c r="B600" i="6"/>
  <c r="I596" i="9"/>
  <c r="P596" i="9" s="1"/>
  <c r="D596" i="9"/>
  <c r="G596" i="9"/>
  <c r="H596" i="9"/>
  <c r="E596" i="9"/>
  <c r="C596" i="9"/>
  <c r="B597" i="9"/>
  <c r="F596" i="9"/>
  <c r="X597" i="6"/>
  <c r="S598" i="6"/>
  <c r="T596" i="9" l="1"/>
  <c r="D600" i="6"/>
  <c r="B601" i="6"/>
  <c r="L600" i="6"/>
  <c r="H600" i="6"/>
  <c r="I600" i="6"/>
  <c r="J600" i="6" s="1"/>
  <c r="K600" i="6" s="1"/>
  <c r="Y601" i="6"/>
  <c r="C600" i="6"/>
  <c r="X598" i="6"/>
  <c r="S599" i="6"/>
  <c r="B598" i="9"/>
  <c r="D597" i="9"/>
  <c r="G597" i="9"/>
  <c r="I597" i="9"/>
  <c r="H597" i="9"/>
  <c r="E597" i="9"/>
  <c r="F597" i="9"/>
  <c r="C597" i="9"/>
  <c r="T597" i="9" l="1"/>
  <c r="P600" i="6"/>
  <c r="L601" i="6"/>
  <c r="P601" i="6" s="1"/>
  <c r="I601" i="6"/>
  <c r="J601" i="6" s="1"/>
  <c r="K601" i="6" s="1"/>
  <c r="C601" i="6"/>
  <c r="Y602" i="6"/>
  <c r="D601" i="6"/>
  <c r="B602" i="6"/>
  <c r="H601" i="6"/>
  <c r="X599" i="6"/>
  <c r="S600" i="6"/>
  <c r="I598" i="9"/>
  <c r="P598" i="9" s="1"/>
  <c r="H598" i="9"/>
  <c r="D598" i="9"/>
  <c r="G598" i="9"/>
  <c r="B599" i="9"/>
  <c r="E598" i="9"/>
  <c r="F598" i="9"/>
  <c r="C598" i="9"/>
  <c r="P597" i="9"/>
  <c r="T598" i="9" l="1"/>
  <c r="Y603" i="6"/>
  <c r="B603" i="6"/>
  <c r="C602" i="6"/>
  <c r="H602" i="6"/>
  <c r="D602" i="6"/>
  <c r="L602" i="6"/>
  <c r="P602" i="6" s="1"/>
  <c r="I602" i="6"/>
  <c r="J602" i="6" s="1"/>
  <c r="K602" i="6" s="1"/>
  <c r="X600" i="6"/>
  <c r="S601" i="6"/>
  <c r="H599" i="9"/>
  <c r="E599" i="9"/>
  <c r="C599" i="9"/>
  <c r="G599" i="9"/>
  <c r="D599" i="9"/>
  <c r="B600" i="9"/>
  <c r="I599" i="9"/>
  <c r="P599" i="9" s="1"/>
  <c r="F599" i="9"/>
  <c r="T599" i="9" l="1"/>
  <c r="B604" i="6"/>
  <c r="D603" i="6"/>
  <c r="H603" i="6"/>
  <c r="I603" i="6"/>
  <c r="J603" i="6" s="1"/>
  <c r="K603" i="6" s="1"/>
  <c r="L603" i="6"/>
  <c r="P603" i="6" s="1"/>
  <c r="Y604" i="6"/>
  <c r="C603" i="6"/>
  <c r="E600" i="9"/>
  <c r="I600" i="9"/>
  <c r="P600" i="9" s="1"/>
  <c r="D600" i="9"/>
  <c r="H600" i="9"/>
  <c r="G600" i="9"/>
  <c r="C600" i="9"/>
  <c r="F600" i="9"/>
  <c r="B601" i="9"/>
  <c r="X601" i="6"/>
  <c r="S602" i="6"/>
  <c r="T600" i="9" l="1"/>
  <c r="D604" i="6"/>
  <c r="L604" i="6"/>
  <c r="P604" i="6" s="1"/>
  <c r="I604" i="6"/>
  <c r="J604" i="6" s="1"/>
  <c r="K604" i="6" s="1"/>
  <c r="H604" i="6"/>
  <c r="Y605" i="6"/>
  <c r="C604" i="6"/>
  <c r="B605" i="6"/>
  <c r="X602" i="6"/>
  <c r="S603" i="6"/>
  <c r="C601" i="9"/>
  <c r="H601" i="9"/>
  <c r="E601" i="9"/>
  <c r="I601" i="9"/>
  <c r="F601" i="9"/>
  <c r="G601" i="9"/>
  <c r="D601" i="9"/>
  <c r="B602" i="9"/>
  <c r="T601" i="9" l="1"/>
  <c r="C605" i="6"/>
  <c r="B606" i="6"/>
  <c r="L605" i="6"/>
  <c r="I605" i="6"/>
  <c r="J605" i="6" s="1"/>
  <c r="K605" i="6" s="1"/>
  <c r="D605" i="6"/>
  <c r="H605" i="6"/>
  <c r="Y606" i="6"/>
  <c r="B603" i="9"/>
  <c r="I602" i="9"/>
  <c r="F602" i="9"/>
  <c r="D602" i="9"/>
  <c r="E602" i="9"/>
  <c r="G602" i="9"/>
  <c r="C602" i="9"/>
  <c r="H602" i="9"/>
  <c r="X603" i="6"/>
  <c r="S604" i="6"/>
  <c r="P601" i="9"/>
  <c r="T602" i="9" l="1"/>
  <c r="P605" i="6"/>
  <c r="B607" i="6"/>
  <c r="H606" i="6"/>
  <c r="C606" i="6"/>
  <c r="D606" i="6"/>
  <c r="L606" i="6"/>
  <c r="Y607" i="6"/>
  <c r="I606" i="6"/>
  <c r="J606" i="6" s="1"/>
  <c r="K606" i="6" s="1"/>
  <c r="H603" i="9"/>
  <c r="I603" i="9"/>
  <c r="P603" i="9" s="1"/>
  <c r="E603" i="9"/>
  <c r="D603" i="9"/>
  <c r="C603" i="9"/>
  <c r="F603" i="9"/>
  <c r="G603" i="9"/>
  <c r="B604" i="9"/>
  <c r="X604" i="6"/>
  <c r="S605" i="6"/>
  <c r="P602" i="9"/>
  <c r="T603" i="9" l="1"/>
  <c r="I607" i="6"/>
  <c r="J607" i="6" s="1"/>
  <c r="K607" i="6" s="1"/>
  <c r="D607" i="6"/>
  <c r="B608" i="6"/>
  <c r="Y608" i="6"/>
  <c r="L607" i="6"/>
  <c r="C607" i="6"/>
  <c r="H607" i="6"/>
  <c r="P606" i="6"/>
  <c r="X605" i="6"/>
  <c r="S606" i="6"/>
  <c r="E604" i="9"/>
  <c r="B605" i="9"/>
  <c r="F604" i="9"/>
  <c r="I604" i="9"/>
  <c r="H604" i="9"/>
  <c r="G604" i="9"/>
  <c r="C604" i="9"/>
  <c r="D604" i="9"/>
  <c r="T604" i="9" l="1"/>
  <c r="H608" i="6"/>
  <c r="Y609" i="6"/>
  <c r="I608" i="6"/>
  <c r="J608" i="6" s="1"/>
  <c r="K608" i="6" s="1"/>
  <c r="C608" i="6"/>
  <c r="L608" i="6"/>
  <c r="D608" i="6"/>
  <c r="B609" i="6"/>
  <c r="P607" i="6"/>
  <c r="B606" i="9"/>
  <c r="H605" i="9"/>
  <c r="G605" i="9"/>
  <c r="I605" i="9"/>
  <c r="D605" i="9"/>
  <c r="F605" i="9"/>
  <c r="C605" i="9"/>
  <c r="E605" i="9"/>
  <c r="X606" i="6"/>
  <c r="S607" i="6"/>
  <c r="P604" i="9"/>
  <c r="T605" i="9" l="1"/>
  <c r="D609" i="6"/>
  <c r="C609" i="6"/>
  <c r="I609" i="6"/>
  <c r="J609" i="6" s="1"/>
  <c r="K609" i="6" s="1"/>
  <c r="H609" i="6"/>
  <c r="L609" i="6"/>
  <c r="P609" i="6" s="1"/>
  <c r="B610" i="6"/>
  <c r="Y610" i="6"/>
  <c r="P608" i="6"/>
  <c r="X607" i="6"/>
  <c r="S608" i="6"/>
  <c r="P605" i="9"/>
  <c r="H606" i="9"/>
  <c r="B607" i="9"/>
  <c r="G606" i="9"/>
  <c r="F606" i="9"/>
  <c r="D606" i="9"/>
  <c r="I606" i="9"/>
  <c r="P606" i="9" s="1"/>
  <c r="E606" i="9"/>
  <c r="C606" i="9"/>
  <c r="T606" i="9" l="1"/>
  <c r="I610" i="6"/>
  <c r="J610" i="6" s="1"/>
  <c r="K610" i="6" s="1"/>
  <c r="C610" i="6"/>
  <c r="B611" i="6"/>
  <c r="Y611" i="6"/>
  <c r="D610" i="6"/>
  <c r="L610" i="6"/>
  <c r="H610" i="6"/>
  <c r="X608" i="6"/>
  <c r="S609" i="6"/>
  <c r="B608" i="9"/>
  <c r="D607" i="9"/>
  <c r="H607" i="9"/>
  <c r="G607" i="9"/>
  <c r="C607" i="9"/>
  <c r="E607" i="9"/>
  <c r="I607" i="9"/>
  <c r="P607" i="9" s="1"/>
  <c r="F607" i="9"/>
  <c r="T607" i="9" l="1"/>
  <c r="P610" i="6"/>
  <c r="L611" i="6"/>
  <c r="B612" i="6"/>
  <c r="D611" i="6"/>
  <c r="I611" i="6"/>
  <c r="J611" i="6" s="1"/>
  <c r="K611" i="6" s="1"/>
  <c r="C611" i="6"/>
  <c r="H611" i="6"/>
  <c r="Y612" i="6"/>
  <c r="E608" i="9"/>
  <c r="D608" i="9"/>
  <c r="B609" i="9"/>
  <c r="G608" i="9"/>
  <c r="C608" i="9"/>
  <c r="F608" i="9"/>
  <c r="I608" i="9"/>
  <c r="P608" i="9" s="1"/>
  <c r="H608" i="9"/>
  <c r="X609" i="6"/>
  <c r="S610" i="6"/>
  <c r="T608" i="9" l="1"/>
  <c r="Y613" i="6"/>
  <c r="I612" i="6"/>
  <c r="J612" i="6" s="1"/>
  <c r="K612" i="6" s="1"/>
  <c r="H612" i="6"/>
  <c r="L612" i="6"/>
  <c r="P612" i="6" s="1"/>
  <c r="D612" i="6"/>
  <c r="C612" i="6"/>
  <c r="B613" i="6"/>
  <c r="P611" i="6"/>
  <c r="X610" i="6"/>
  <c r="S611" i="6"/>
  <c r="D609" i="9"/>
  <c r="B610" i="9"/>
  <c r="F609" i="9"/>
  <c r="H609" i="9"/>
  <c r="G609" i="9"/>
  <c r="C609" i="9"/>
  <c r="E609" i="9"/>
  <c r="I609" i="9"/>
  <c r="P609" i="9" s="1"/>
  <c r="T609" i="9" l="1"/>
  <c r="B614" i="6"/>
  <c r="Y614" i="6"/>
  <c r="D613" i="6"/>
  <c r="C613" i="6"/>
  <c r="L613" i="6"/>
  <c r="P613" i="6" s="1"/>
  <c r="I613" i="6"/>
  <c r="J613" i="6" s="1"/>
  <c r="K613" i="6" s="1"/>
  <c r="H613" i="6"/>
  <c r="I610" i="9"/>
  <c r="P610" i="9" s="1"/>
  <c r="G610" i="9"/>
  <c r="F610" i="9"/>
  <c r="C610" i="9"/>
  <c r="E610" i="9"/>
  <c r="D610" i="9"/>
  <c r="H610" i="9"/>
  <c r="B611" i="9"/>
  <c r="X611" i="6"/>
  <c r="S612" i="6"/>
  <c r="T610" i="9" l="1"/>
  <c r="C614" i="6"/>
  <c r="H614" i="6"/>
  <c r="I614" i="6"/>
  <c r="J614" i="6" s="1"/>
  <c r="K614" i="6" s="1"/>
  <c r="B615" i="6"/>
  <c r="D614" i="6"/>
  <c r="Y615" i="6"/>
  <c r="L614" i="6"/>
  <c r="P614" i="6" s="1"/>
  <c r="G611" i="9"/>
  <c r="E611" i="9"/>
  <c r="I611" i="9"/>
  <c r="P611" i="9" s="1"/>
  <c r="B612" i="9"/>
  <c r="C611" i="9"/>
  <c r="H611" i="9"/>
  <c r="D611" i="9"/>
  <c r="F611" i="9"/>
  <c r="X612" i="6"/>
  <c r="S613" i="6"/>
  <c r="T611" i="9" l="1"/>
  <c r="D615" i="6"/>
  <c r="Y616" i="6"/>
  <c r="B616" i="6"/>
  <c r="I615" i="6"/>
  <c r="J615" i="6" s="1"/>
  <c r="K615" i="6" s="1"/>
  <c r="L615" i="6"/>
  <c r="H615" i="6"/>
  <c r="C615" i="6"/>
  <c r="F612" i="9"/>
  <c r="B613" i="9"/>
  <c r="I612" i="9"/>
  <c r="P612" i="9" s="1"/>
  <c r="D612" i="9"/>
  <c r="H612" i="9"/>
  <c r="G612" i="9"/>
  <c r="E612" i="9"/>
  <c r="C612" i="9"/>
  <c r="X613" i="6"/>
  <c r="S614" i="6"/>
  <c r="T612" i="9" l="1"/>
  <c r="P615" i="6"/>
  <c r="H616" i="6"/>
  <c r="B617" i="6"/>
  <c r="I616" i="6"/>
  <c r="J616" i="6" s="1"/>
  <c r="K616" i="6" s="1"/>
  <c r="C616" i="6"/>
  <c r="L616" i="6"/>
  <c r="Y617" i="6"/>
  <c r="D616" i="6"/>
  <c r="C613" i="9"/>
  <c r="G613" i="9"/>
  <c r="H613" i="9"/>
  <c r="F613" i="9"/>
  <c r="E613" i="9"/>
  <c r="I613" i="9"/>
  <c r="B614" i="9"/>
  <c r="D613" i="9"/>
  <c r="X614" i="6"/>
  <c r="S615" i="6"/>
  <c r="T613" i="9" l="1"/>
  <c r="Y618" i="6"/>
  <c r="C617" i="6"/>
  <c r="D617" i="6"/>
  <c r="L617" i="6"/>
  <c r="B618" i="6"/>
  <c r="H617" i="6"/>
  <c r="I617" i="6"/>
  <c r="J617" i="6" s="1"/>
  <c r="K617" i="6" s="1"/>
  <c r="P616" i="6"/>
  <c r="I614" i="9"/>
  <c r="G614" i="9"/>
  <c r="E614" i="9"/>
  <c r="C614" i="9"/>
  <c r="D614" i="9"/>
  <c r="H614" i="9"/>
  <c r="F614" i="9"/>
  <c r="B615" i="9"/>
  <c r="X615" i="6"/>
  <c r="S616" i="6"/>
  <c r="P613" i="9"/>
  <c r="T614" i="9" l="1"/>
  <c r="D618" i="6"/>
  <c r="L618" i="6"/>
  <c r="P618" i="6" s="1"/>
  <c r="C618" i="6"/>
  <c r="I618" i="6"/>
  <c r="J618" i="6" s="1"/>
  <c r="K618" i="6" s="1"/>
  <c r="H618" i="6"/>
  <c r="Y619" i="6"/>
  <c r="B619" i="6"/>
  <c r="P617" i="6"/>
  <c r="X616" i="6"/>
  <c r="S617" i="6"/>
  <c r="P614" i="9"/>
  <c r="F615" i="9"/>
  <c r="H615" i="9"/>
  <c r="B616" i="9"/>
  <c r="C615" i="9"/>
  <c r="G615" i="9"/>
  <c r="D615" i="9"/>
  <c r="E615" i="9"/>
  <c r="I615" i="9"/>
  <c r="T615" i="9" l="1"/>
  <c r="H619" i="6"/>
  <c r="L619" i="6"/>
  <c r="P619" i="6" s="1"/>
  <c r="B620" i="6"/>
  <c r="I619" i="6"/>
  <c r="J619" i="6" s="1"/>
  <c r="K619" i="6" s="1"/>
  <c r="D619" i="6"/>
  <c r="C619" i="6"/>
  <c r="Y620" i="6"/>
  <c r="X617" i="6"/>
  <c r="S618" i="6"/>
  <c r="P615" i="9"/>
  <c r="E616" i="9"/>
  <c r="B617" i="9"/>
  <c r="D616" i="9"/>
  <c r="G616" i="9"/>
  <c r="H616" i="9"/>
  <c r="C616" i="9"/>
  <c r="F616" i="9"/>
  <c r="I616" i="9"/>
  <c r="T616" i="9" l="1"/>
  <c r="B621" i="6"/>
  <c r="H620" i="6"/>
  <c r="D620" i="6"/>
  <c r="C620" i="6"/>
  <c r="L620" i="6"/>
  <c r="Y621" i="6"/>
  <c r="I620" i="6"/>
  <c r="J620" i="6" s="1"/>
  <c r="K620" i="6" s="1"/>
  <c r="P616" i="9"/>
  <c r="X618" i="6"/>
  <c r="S619" i="6"/>
  <c r="I617" i="9"/>
  <c r="E617" i="9"/>
  <c r="G617" i="9"/>
  <c r="H617" i="9"/>
  <c r="C617" i="9"/>
  <c r="F617" i="9"/>
  <c r="B618" i="9"/>
  <c r="D617" i="9"/>
  <c r="T617" i="9" l="1"/>
  <c r="P620" i="6"/>
  <c r="I621" i="6"/>
  <c r="J621" i="6" s="1"/>
  <c r="K621" i="6" s="1"/>
  <c r="B622" i="6"/>
  <c r="D621" i="6"/>
  <c r="C621" i="6"/>
  <c r="H621" i="6"/>
  <c r="L621" i="6"/>
  <c r="Y622" i="6"/>
  <c r="D618" i="9"/>
  <c r="H618" i="9"/>
  <c r="I618" i="9"/>
  <c r="P618" i="9" s="1"/>
  <c r="C618" i="9"/>
  <c r="E618" i="9"/>
  <c r="B619" i="9"/>
  <c r="G618" i="9"/>
  <c r="F618" i="9"/>
  <c r="P617" i="9"/>
  <c r="X619" i="6"/>
  <c r="S620" i="6"/>
  <c r="T618" i="9" l="1"/>
  <c r="Y623" i="6"/>
  <c r="C622" i="6"/>
  <c r="B623" i="6"/>
  <c r="I622" i="6"/>
  <c r="J622" i="6" s="1"/>
  <c r="K622" i="6" s="1"/>
  <c r="H622" i="6"/>
  <c r="L622" i="6"/>
  <c r="D622" i="6"/>
  <c r="P621" i="6"/>
  <c r="B620" i="9"/>
  <c r="H619" i="9"/>
  <c r="E619" i="9"/>
  <c r="G619" i="9"/>
  <c r="F619" i="9"/>
  <c r="I619" i="9"/>
  <c r="C619" i="9"/>
  <c r="D619" i="9"/>
  <c r="X620" i="6"/>
  <c r="S621" i="6"/>
  <c r="T619" i="9" l="1"/>
  <c r="B624" i="6"/>
  <c r="L623" i="6"/>
  <c r="P623" i="6" s="1"/>
  <c r="D623" i="6"/>
  <c r="Y624" i="6"/>
  <c r="C623" i="6"/>
  <c r="I623" i="6"/>
  <c r="J623" i="6" s="1"/>
  <c r="K623" i="6" s="1"/>
  <c r="H623" i="6"/>
  <c r="P622" i="6"/>
  <c r="H620" i="9"/>
  <c r="F620" i="9"/>
  <c r="B621" i="9"/>
  <c r="G620" i="9"/>
  <c r="I620" i="9"/>
  <c r="P620" i="9" s="1"/>
  <c r="C620" i="9"/>
  <c r="D620" i="9"/>
  <c r="E620" i="9"/>
  <c r="X621" i="6"/>
  <c r="S622" i="6"/>
  <c r="P619" i="9"/>
  <c r="T620" i="9" l="1"/>
  <c r="C624" i="6"/>
  <c r="Y625" i="6"/>
  <c r="D624" i="6"/>
  <c r="B625" i="6"/>
  <c r="L624" i="6"/>
  <c r="H624" i="6"/>
  <c r="I624" i="6"/>
  <c r="J624" i="6" s="1"/>
  <c r="K624" i="6" s="1"/>
  <c r="C621" i="9"/>
  <c r="G621" i="9"/>
  <c r="B622" i="9"/>
  <c r="I621" i="9"/>
  <c r="F621" i="9"/>
  <c r="D621" i="9"/>
  <c r="H621" i="9"/>
  <c r="E621" i="9"/>
  <c r="X622" i="6"/>
  <c r="S623" i="6"/>
  <c r="T621" i="9" l="1"/>
  <c r="P624" i="6"/>
  <c r="D625" i="6"/>
  <c r="L625" i="6"/>
  <c r="P625" i="6" s="1"/>
  <c r="H625" i="6"/>
  <c r="I625" i="6"/>
  <c r="J625" i="6" s="1"/>
  <c r="K625" i="6" s="1"/>
  <c r="B626" i="6"/>
  <c r="C625" i="6"/>
  <c r="Y626" i="6"/>
  <c r="X623" i="6"/>
  <c r="S624" i="6"/>
  <c r="P621" i="9"/>
  <c r="G622" i="9"/>
  <c r="D622" i="9"/>
  <c r="E622" i="9"/>
  <c r="I622" i="9"/>
  <c r="P622" i="9" s="1"/>
  <c r="H622" i="9"/>
  <c r="C622" i="9"/>
  <c r="F622" i="9"/>
  <c r="B623" i="9"/>
  <c r="T622" i="9" l="1"/>
  <c r="C626" i="6"/>
  <c r="Y627" i="6"/>
  <c r="B627" i="6"/>
  <c r="H626" i="6"/>
  <c r="D626" i="6"/>
  <c r="L626" i="6"/>
  <c r="I626" i="6"/>
  <c r="J626" i="6" s="1"/>
  <c r="K626" i="6" s="1"/>
  <c r="X624" i="6"/>
  <c r="S625" i="6"/>
  <c r="G623" i="9"/>
  <c r="H623" i="9"/>
  <c r="C623" i="9"/>
  <c r="B624" i="9"/>
  <c r="F623" i="9"/>
  <c r="E623" i="9"/>
  <c r="I623" i="9"/>
  <c r="D623" i="9"/>
  <c r="T623" i="9" l="1"/>
  <c r="P626" i="6"/>
  <c r="Y628" i="6"/>
  <c r="D627" i="6"/>
  <c r="C627" i="6"/>
  <c r="I627" i="6"/>
  <c r="J627" i="6" s="1"/>
  <c r="K627" i="6" s="1"/>
  <c r="H627" i="6"/>
  <c r="L627" i="6"/>
  <c r="P627" i="6" s="1"/>
  <c r="B628" i="6"/>
  <c r="X625" i="6"/>
  <c r="S626" i="6"/>
  <c r="D624" i="9"/>
  <c r="B625" i="9"/>
  <c r="F624" i="9"/>
  <c r="C624" i="9"/>
  <c r="I624" i="9"/>
  <c r="P624" i="9" s="1"/>
  <c r="H624" i="9"/>
  <c r="G624" i="9"/>
  <c r="E624" i="9"/>
  <c r="P623" i="9"/>
  <c r="T624" i="9" l="1"/>
  <c r="Y629" i="6"/>
  <c r="I628" i="6"/>
  <c r="J628" i="6" s="1"/>
  <c r="K628" i="6" s="1"/>
  <c r="C628" i="6"/>
  <c r="D628" i="6"/>
  <c r="B629" i="6"/>
  <c r="H628" i="6"/>
  <c r="L628" i="6"/>
  <c r="E625" i="9"/>
  <c r="C625" i="9"/>
  <c r="I625" i="9"/>
  <c r="P625" i="9" s="1"/>
  <c r="G625" i="9"/>
  <c r="B626" i="9"/>
  <c r="H625" i="9"/>
  <c r="D625" i="9"/>
  <c r="F625" i="9"/>
  <c r="X626" i="6"/>
  <c r="S627" i="6"/>
  <c r="T625" i="9" l="1"/>
  <c r="P628" i="6"/>
  <c r="Y630" i="6"/>
  <c r="C629" i="6"/>
  <c r="H629" i="6"/>
  <c r="B630" i="6"/>
  <c r="D629" i="6"/>
  <c r="I629" i="6"/>
  <c r="J629" i="6" s="1"/>
  <c r="K629" i="6" s="1"/>
  <c r="L629" i="6"/>
  <c r="P629" i="6" s="1"/>
  <c r="D626" i="9"/>
  <c r="I626" i="9"/>
  <c r="P626" i="9" s="1"/>
  <c r="E626" i="9"/>
  <c r="G626" i="9"/>
  <c r="C626" i="9"/>
  <c r="B627" i="9"/>
  <c r="H626" i="9"/>
  <c r="F626" i="9"/>
  <c r="X627" i="6"/>
  <c r="S628" i="6"/>
  <c r="T626" i="9" l="1"/>
  <c r="D630" i="6"/>
  <c r="L630" i="6"/>
  <c r="H630" i="6"/>
  <c r="Y631" i="6"/>
  <c r="B631" i="6"/>
  <c r="C630" i="6"/>
  <c r="I630" i="6"/>
  <c r="J630" i="6" s="1"/>
  <c r="K630" i="6" s="1"/>
  <c r="C627" i="9"/>
  <c r="B628" i="9"/>
  <c r="D627" i="9"/>
  <c r="E627" i="9"/>
  <c r="I627" i="9"/>
  <c r="G627" i="9"/>
  <c r="H627" i="9"/>
  <c r="F627" i="9"/>
  <c r="X628" i="6"/>
  <c r="S629" i="6"/>
  <c r="T627" i="9" l="1"/>
  <c r="C631" i="6"/>
  <c r="D631" i="6"/>
  <c r="L631" i="6"/>
  <c r="P631" i="6" s="1"/>
  <c r="H631" i="6"/>
  <c r="Y632" i="6"/>
  <c r="I631" i="6"/>
  <c r="J631" i="6" s="1"/>
  <c r="K631" i="6" s="1"/>
  <c r="B632" i="6"/>
  <c r="P630" i="6"/>
  <c r="P627" i="9"/>
  <c r="X629" i="6"/>
  <c r="S630" i="6"/>
  <c r="G628" i="9"/>
  <c r="E628" i="9"/>
  <c r="D628" i="9"/>
  <c r="C628" i="9"/>
  <c r="I628" i="9"/>
  <c r="P628" i="9" s="1"/>
  <c r="B629" i="9"/>
  <c r="H628" i="9"/>
  <c r="F628" i="9"/>
  <c r="T628" i="9" l="1"/>
  <c r="D632" i="6"/>
  <c r="I632" i="6"/>
  <c r="J632" i="6" s="1"/>
  <c r="K632" i="6" s="1"/>
  <c r="C632" i="6"/>
  <c r="L632" i="6"/>
  <c r="P632" i="6" s="1"/>
  <c r="Y633" i="6"/>
  <c r="H632" i="6"/>
  <c r="B633" i="6"/>
  <c r="C629" i="9"/>
  <c r="F629" i="9"/>
  <c r="D629" i="9"/>
  <c r="I629" i="9"/>
  <c r="P629" i="9" s="1"/>
  <c r="B630" i="9"/>
  <c r="H629" i="9"/>
  <c r="E629" i="9"/>
  <c r="G629" i="9"/>
  <c r="X630" i="6"/>
  <c r="S631" i="6"/>
  <c r="T629" i="9" l="1"/>
  <c r="Y634" i="6"/>
  <c r="I633" i="6"/>
  <c r="J633" i="6" s="1"/>
  <c r="K633" i="6" s="1"/>
  <c r="D633" i="6"/>
  <c r="B634" i="6"/>
  <c r="H633" i="6"/>
  <c r="C633" i="6"/>
  <c r="L633" i="6"/>
  <c r="X631" i="6"/>
  <c r="S632" i="6"/>
  <c r="D630" i="9"/>
  <c r="G630" i="9"/>
  <c r="B631" i="9"/>
  <c r="E630" i="9"/>
  <c r="F630" i="9"/>
  <c r="I630" i="9"/>
  <c r="P630" i="9" s="1"/>
  <c r="H630" i="9"/>
  <c r="C630" i="9"/>
  <c r="T630" i="9" l="1"/>
  <c r="P633" i="6"/>
  <c r="I634" i="6"/>
  <c r="J634" i="6" s="1"/>
  <c r="K634" i="6" s="1"/>
  <c r="L634" i="6"/>
  <c r="C634" i="6"/>
  <c r="D634" i="6"/>
  <c r="Y635" i="6"/>
  <c r="B635" i="6"/>
  <c r="H634" i="6"/>
  <c r="G631" i="9"/>
  <c r="E631" i="9"/>
  <c r="B632" i="9"/>
  <c r="F631" i="9"/>
  <c r="H631" i="9"/>
  <c r="I631" i="9"/>
  <c r="P631" i="9" s="1"/>
  <c r="D631" i="9"/>
  <c r="C631" i="9"/>
  <c r="X632" i="6"/>
  <c r="S633" i="6"/>
  <c r="T631" i="9" l="1"/>
  <c r="D635" i="6"/>
  <c r="I635" i="6"/>
  <c r="J635" i="6" s="1"/>
  <c r="K635" i="6" s="1"/>
  <c r="B636" i="6"/>
  <c r="Y636" i="6"/>
  <c r="H635" i="6"/>
  <c r="L635" i="6"/>
  <c r="P635" i="6" s="1"/>
  <c r="C635" i="6"/>
  <c r="P634" i="6"/>
  <c r="X633" i="6"/>
  <c r="S634" i="6"/>
  <c r="D632" i="9"/>
  <c r="C632" i="9"/>
  <c r="I632" i="9"/>
  <c r="E632" i="9"/>
  <c r="G632" i="9"/>
  <c r="B633" i="9"/>
  <c r="H632" i="9"/>
  <c r="F632" i="9"/>
  <c r="T632" i="9" l="1"/>
  <c r="L636" i="6"/>
  <c r="P636" i="6" s="1"/>
  <c r="C636" i="6"/>
  <c r="H636" i="6"/>
  <c r="I636" i="6"/>
  <c r="J636" i="6" s="1"/>
  <c r="K636" i="6" s="1"/>
  <c r="Y637" i="6"/>
  <c r="D636" i="6"/>
  <c r="B637" i="6"/>
  <c r="G633" i="9"/>
  <c r="I633" i="9"/>
  <c r="P633" i="9" s="1"/>
  <c r="E633" i="9"/>
  <c r="C633" i="9"/>
  <c r="H633" i="9"/>
  <c r="D633" i="9"/>
  <c r="B634" i="9"/>
  <c r="F633" i="9"/>
  <c r="X634" i="6"/>
  <c r="S635" i="6"/>
  <c r="P632" i="9"/>
  <c r="T633" i="9" l="1"/>
  <c r="I637" i="6"/>
  <c r="J637" i="6" s="1"/>
  <c r="K637" i="6" s="1"/>
  <c r="H637" i="6"/>
  <c r="B638" i="6"/>
  <c r="Y638" i="6"/>
  <c r="D637" i="6"/>
  <c r="L637" i="6"/>
  <c r="C637" i="6"/>
  <c r="G634" i="9"/>
  <c r="B635" i="9"/>
  <c r="H634" i="9"/>
  <c r="E634" i="9"/>
  <c r="D634" i="9"/>
  <c r="F634" i="9"/>
  <c r="C634" i="9"/>
  <c r="I634" i="9"/>
  <c r="X635" i="6"/>
  <c r="S636" i="6"/>
  <c r="T634" i="9" l="1"/>
  <c r="P637" i="6"/>
  <c r="D638" i="6"/>
  <c r="C638" i="6"/>
  <c r="H638" i="6"/>
  <c r="Y639" i="6"/>
  <c r="L638" i="6"/>
  <c r="I638" i="6"/>
  <c r="J638" i="6" s="1"/>
  <c r="K638" i="6" s="1"/>
  <c r="B639" i="6"/>
  <c r="X636" i="6"/>
  <c r="S637" i="6"/>
  <c r="P634" i="9"/>
  <c r="B636" i="9"/>
  <c r="D635" i="9"/>
  <c r="F635" i="9"/>
  <c r="E635" i="9"/>
  <c r="G635" i="9"/>
  <c r="C635" i="9"/>
  <c r="H635" i="9"/>
  <c r="I635" i="9"/>
  <c r="T635" i="9" l="1"/>
  <c r="B640" i="6"/>
  <c r="L639" i="6"/>
  <c r="P639" i="6" s="1"/>
  <c r="Y640" i="6"/>
  <c r="H639" i="6"/>
  <c r="I639" i="6"/>
  <c r="J639" i="6" s="1"/>
  <c r="K639" i="6" s="1"/>
  <c r="D639" i="6"/>
  <c r="C639" i="6"/>
  <c r="P638" i="6"/>
  <c r="X637" i="6"/>
  <c r="S638" i="6"/>
  <c r="G636" i="9"/>
  <c r="C636" i="9"/>
  <c r="F636" i="9"/>
  <c r="E636" i="9"/>
  <c r="D636" i="9"/>
  <c r="B637" i="9"/>
  <c r="I636" i="9"/>
  <c r="P636" i="9" s="1"/>
  <c r="H636" i="9"/>
  <c r="P635" i="9"/>
  <c r="T636" i="9" l="1"/>
  <c r="B641" i="6"/>
  <c r="I640" i="6"/>
  <c r="J640" i="6" s="1"/>
  <c r="K640" i="6" s="1"/>
  <c r="Y641" i="6"/>
  <c r="D640" i="6"/>
  <c r="L640" i="6"/>
  <c r="C640" i="6"/>
  <c r="H640" i="6"/>
  <c r="I637" i="9"/>
  <c r="D637" i="9"/>
  <c r="B638" i="9"/>
  <c r="E637" i="9"/>
  <c r="F637" i="9"/>
  <c r="C637" i="9"/>
  <c r="H637" i="9"/>
  <c r="G637" i="9"/>
  <c r="X638" i="6"/>
  <c r="S639" i="6"/>
  <c r="T637" i="9" l="1"/>
  <c r="P640" i="6"/>
  <c r="D641" i="6"/>
  <c r="I641" i="6"/>
  <c r="J641" i="6" s="1"/>
  <c r="K641" i="6" s="1"/>
  <c r="L641" i="6"/>
  <c r="Y642" i="6"/>
  <c r="C641" i="6"/>
  <c r="H641" i="6"/>
  <c r="B642" i="6"/>
  <c r="X639" i="6"/>
  <c r="S640" i="6"/>
  <c r="I638" i="9"/>
  <c r="F638" i="9"/>
  <c r="C638" i="9"/>
  <c r="E638" i="9"/>
  <c r="B639" i="9"/>
  <c r="H638" i="9"/>
  <c r="D638" i="9"/>
  <c r="G638" i="9"/>
  <c r="P637" i="9"/>
  <c r="T638" i="9" l="1"/>
  <c r="D642" i="6"/>
  <c r="I642" i="6"/>
  <c r="J642" i="6" s="1"/>
  <c r="K642" i="6" s="1"/>
  <c r="B643" i="6"/>
  <c r="C642" i="6"/>
  <c r="L642" i="6"/>
  <c r="P642" i="6" s="1"/>
  <c r="H642" i="6"/>
  <c r="Y643" i="6"/>
  <c r="P641" i="6"/>
  <c r="I639" i="9"/>
  <c r="P639" i="9" s="1"/>
  <c r="G639" i="9"/>
  <c r="F639" i="9"/>
  <c r="D639" i="9"/>
  <c r="C639" i="9"/>
  <c r="B640" i="9"/>
  <c r="E639" i="9"/>
  <c r="H639" i="9"/>
  <c r="X640" i="6"/>
  <c r="S641" i="6"/>
  <c r="P638" i="9"/>
  <c r="T639" i="9" l="1"/>
  <c r="I643" i="6"/>
  <c r="J643" i="6" s="1"/>
  <c r="K643" i="6" s="1"/>
  <c r="C643" i="6"/>
  <c r="Y644" i="6"/>
  <c r="D643" i="6"/>
  <c r="L643" i="6"/>
  <c r="P643" i="6" s="1"/>
  <c r="B644" i="6"/>
  <c r="H643" i="6"/>
  <c r="G640" i="9"/>
  <c r="D640" i="9"/>
  <c r="B641" i="9"/>
  <c r="I640" i="9"/>
  <c r="P640" i="9" s="1"/>
  <c r="H640" i="9"/>
  <c r="F640" i="9"/>
  <c r="C640" i="9"/>
  <c r="E640" i="9"/>
  <c r="X641" i="6"/>
  <c r="S642" i="6"/>
  <c r="T640" i="9" l="1"/>
  <c r="B645" i="6"/>
  <c r="Y645" i="6"/>
  <c r="L644" i="6"/>
  <c r="P644" i="6" s="1"/>
  <c r="C644" i="6"/>
  <c r="H644" i="6"/>
  <c r="I644" i="6"/>
  <c r="J644" i="6" s="1"/>
  <c r="K644" i="6" s="1"/>
  <c r="D644" i="6"/>
  <c r="X642" i="6"/>
  <c r="S643" i="6"/>
  <c r="I641" i="9"/>
  <c r="B642" i="9"/>
  <c r="G641" i="9"/>
  <c r="C641" i="9"/>
  <c r="D641" i="9"/>
  <c r="E641" i="9"/>
  <c r="F641" i="9"/>
  <c r="H641" i="9"/>
  <c r="T641" i="9" l="1"/>
  <c r="B646" i="6"/>
  <c r="I645" i="6"/>
  <c r="J645" i="6" s="1"/>
  <c r="K645" i="6" s="1"/>
  <c r="C645" i="6"/>
  <c r="L645" i="6"/>
  <c r="Y646" i="6"/>
  <c r="D645" i="6"/>
  <c r="H645" i="6"/>
  <c r="I642" i="9"/>
  <c r="P642" i="9" s="1"/>
  <c r="F642" i="9"/>
  <c r="B643" i="9"/>
  <c r="H642" i="9"/>
  <c r="D642" i="9"/>
  <c r="C642" i="9"/>
  <c r="E642" i="9"/>
  <c r="G642" i="9"/>
  <c r="X643" i="6"/>
  <c r="S644" i="6"/>
  <c r="P641" i="9"/>
  <c r="T642" i="9" l="1"/>
  <c r="P645" i="6"/>
  <c r="B647" i="6"/>
  <c r="D646" i="6"/>
  <c r="Y647" i="6"/>
  <c r="L646" i="6"/>
  <c r="P646" i="6" s="1"/>
  <c r="I646" i="6"/>
  <c r="J646" i="6" s="1"/>
  <c r="K646" i="6" s="1"/>
  <c r="H646" i="6"/>
  <c r="C646" i="6"/>
  <c r="X644" i="6"/>
  <c r="S645" i="6"/>
  <c r="G643" i="9"/>
  <c r="D643" i="9"/>
  <c r="E643" i="9"/>
  <c r="F643" i="9"/>
  <c r="I643" i="9"/>
  <c r="H643" i="9"/>
  <c r="B644" i="9"/>
  <c r="C643" i="9"/>
  <c r="T643" i="9" l="1"/>
  <c r="Y648" i="6"/>
  <c r="C647" i="6"/>
  <c r="H647" i="6"/>
  <c r="L647" i="6"/>
  <c r="P647" i="6" s="1"/>
  <c r="D647" i="6"/>
  <c r="I647" i="6"/>
  <c r="J647" i="6" s="1"/>
  <c r="K647" i="6" s="1"/>
  <c r="B648" i="6"/>
  <c r="D644" i="9"/>
  <c r="H644" i="9"/>
  <c r="C644" i="9"/>
  <c r="G644" i="9"/>
  <c r="B645" i="9"/>
  <c r="E644" i="9"/>
  <c r="F644" i="9"/>
  <c r="I644" i="9"/>
  <c r="P644" i="9" s="1"/>
  <c r="X645" i="6"/>
  <c r="S646" i="6"/>
  <c r="P643" i="9"/>
  <c r="T644" i="9" l="1"/>
  <c r="L648" i="6"/>
  <c r="P648" i="6" s="1"/>
  <c r="D648" i="6"/>
  <c r="H648" i="6"/>
  <c r="Y649" i="6"/>
  <c r="C648" i="6"/>
  <c r="B649" i="6"/>
  <c r="I648" i="6"/>
  <c r="J648" i="6" s="1"/>
  <c r="K648" i="6" s="1"/>
  <c r="F645" i="9"/>
  <c r="I645" i="9"/>
  <c r="P645" i="9" s="1"/>
  <c r="C645" i="9"/>
  <c r="G645" i="9"/>
  <c r="H645" i="9"/>
  <c r="D645" i="9"/>
  <c r="E645" i="9"/>
  <c r="B646" i="9"/>
  <c r="X646" i="6"/>
  <c r="S647" i="6"/>
  <c r="T645" i="9" l="1"/>
  <c r="I649" i="6"/>
  <c r="J649" i="6" s="1"/>
  <c r="K649" i="6" s="1"/>
  <c r="C649" i="6"/>
  <c r="H649" i="6"/>
  <c r="L649" i="6"/>
  <c r="P649" i="6" s="1"/>
  <c r="D649" i="6"/>
  <c r="B650" i="6"/>
  <c r="Y650" i="6"/>
  <c r="X647" i="6"/>
  <c r="S648" i="6"/>
  <c r="F646" i="9"/>
  <c r="D646" i="9"/>
  <c r="C646" i="9"/>
  <c r="G646" i="9"/>
  <c r="B647" i="9"/>
  <c r="H646" i="9"/>
  <c r="I646" i="9"/>
  <c r="P646" i="9" s="1"/>
  <c r="E646" i="9"/>
  <c r="T646" i="9" l="1"/>
  <c r="I650" i="6"/>
  <c r="J650" i="6" s="1"/>
  <c r="K650" i="6" s="1"/>
  <c r="C650" i="6"/>
  <c r="L650" i="6"/>
  <c r="B651" i="6"/>
  <c r="Y651" i="6"/>
  <c r="D650" i="6"/>
  <c r="H650" i="6"/>
  <c r="X648" i="6"/>
  <c r="S649" i="6"/>
  <c r="I647" i="9"/>
  <c r="G647" i="9"/>
  <c r="E647" i="9"/>
  <c r="F647" i="9"/>
  <c r="B648" i="9"/>
  <c r="H647" i="9"/>
  <c r="C647" i="9"/>
  <c r="D647" i="9"/>
  <c r="T647" i="9" l="1"/>
  <c r="L651" i="6"/>
  <c r="P651" i="6" s="1"/>
  <c r="I651" i="6"/>
  <c r="J651" i="6" s="1"/>
  <c r="K651" i="6" s="1"/>
  <c r="B652" i="6"/>
  <c r="H651" i="6"/>
  <c r="C651" i="6"/>
  <c r="Y652" i="6"/>
  <c r="D651" i="6"/>
  <c r="P650" i="6"/>
  <c r="H648" i="9"/>
  <c r="C648" i="9"/>
  <c r="B649" i="9"/>
  <c r="G648" i="9"/>
  <c r="E648" i="9"/>
  <c r="I648" i="9"/>
  <c r="F648" i="9"/>
  <c r="D648" i="9"/>
  <c r="P647" i="9"/>
  <c r="X649" i="6"/>
  <c r="S650" i="6"/>
  <c r="T648" i="9" l="1"/>
  <c r="I652" i="6"/>
  <c r="J652" i="6" s="1"/>
  <c r="K652" i="6" s="1"/>
  <c r="H652" i="6"/>
  <c r="Y653" i="6"/>
  <c r="C652" i="6"/>
  <c r="B653" i="6"/>
  <c r="L652" i="6"/>
  <c r="P652" i="6" s="1"/>
  <c r="D652" i="6"/>
  <c r="G649" i="9"/>
  <c r="D649" i="9"/>
  <c r="H649" i="9"/>
  <c r="C649" i="9"/>
  <c r="F649" i="9"/>
  <c r="I649" i="9"/>
  <c r="E649" i="9"/>
  <c r="B650" i="9"/>
  <c r="P648" i="9"/>
  <c r="X650" i="6"/>
  <c r="S651" i="6"/>
  <c r="T649" i="9" l="1"/>
  <c r="C653" i="6"/>
  <c r="D653" i="6"/>
  <c r="H653" i="6"/>
  <c r="B654" i="6"/>
  <c r="Y654" i="6"/>
  <c r="L653" i="6"/>
  <c r="I653" i="6"/>
  <c r="J653" i="6" s="1"/>
  <c r="K653" i="6" s="1"/>
  <c r="I650" i="9"/>
  <c r="P650" i="9" s="1"/>
  <c r="C650" i="9"/>
  <c r="F650" i="9"/>
  <c r="G650" i="9"/>
  <c r="E650" i="9"/>
  <c r="B651" i="9"/>
  <c r="H650" i="9"/>
  <c r="D650" i="9"/>
  <c r="X651" i="6"/>
  <c r="S652" i="6"/>
  <c r="P649" i="9"/>
  <c r="T650" i="9" l="1"/>
  <c r="P653" i="6"/>
  <c r="D654" i="6"/>
  <c r="L654" i="6"/>
  <c r="I654" i="6"/>
  <c r="J654" i="6" s="1"/>
  <c r="K654" i="6" s="1"/>
  <c r="B655" i="6"/>
  <c r="H654" i="6"/>
  <c r="Y655" i="6"/>
  <c r="C654" i="6"/>
  <c r="E651" i="9"/>
  <c r="H651" i="9"/>
  <c r="F651" i="9"/>
  <c r="C651" i="9"/>
  <c r="B652" i="9"/>
  <c r="D651" i="9"/>
  <c r="I651" i="9"/>
  <c r="G651" i="9"/>
  <c r="X652" i="6"/>
  <c r="S653" i="6"/>
  <c r="T651" i="9" l="1"/>
  <c r="C655" i="6"/>
  <c r="D655" i="6"/>
  <c r="Y656" i="6"/>
  <c r="I655" i="6"/>
  <c r="J655" i="6" s="1"/>
  <c r="K655" i="6" s="1"/>
  <c r="L655" i="6"/>
  <c r="P655" i="6" s="1"/>
  <c r="B656" i="6"/>
  <c r="H655" i="6"/>
  <c r="P654" i="6"/>
  <c r="G652" i="9"/>
  <c r="H652" i="9"/>
  <c r="C652" i="9"/>
  <c r="I652" i="9"/>
  <c r="B653" i="9"/>
  <c r="F652" i="9"/>
  <c r="D652" i="9"/>
  <c r="E652" i="9"/>
  <c r="P651" i="9"/>
  <c r="X653" i="6"/>
  <c r="S654" i="6"/>
  <c r="T652" i="9" l="1"/>
  <c r="H656" i="6"/>
  <c r="Y657" i="6"/>
  <c r="D656" i="6"/>
  <c r="B657" i="6"/>
  <c r="L656" i="6"/>
  <c r="P656" i="6" s="1"/>
  <c r="C656" i="6"/>
  <c r="I656" i="6"/>
  <c r="J656" i="6" s="1"/>
  <c r="K656" i="6" s="1"/>
  <c r="X654" i="6"/>
  <c r="S655" i="6"/>
  <c r="D653" i="9"/>
  <c r="F653" i="9"/>
  <c r="I653" i="9"/>
  <c r="P653" i="9" s="1"/>
  <c r="E653" i="9"/>
  <c r="H653" i="9"/>
  <c r="G653" i="9"/>
  <c r="C653" i="9"/>
  <c r="B654" i="9"/>
  <c r="P652" i="9"/>
  <c r="T653" i="9" l="1"/>
  <c r="D657" i="6"/>
  <c r="C657" i="6"/>
  <c r="I657" i="6"/>
  <c r="J657" i="6" s="1"/>
  <c r="K657" i="6" s="1"/>
  <c r="H657" i="6"/>
  <c r="Y658" i="6"/>
  <c r="B658" i="6"/>
  <c r="L657" i="6"/>
  <c r="B655" i="9"/>
  <c r="H654" i="9"/>
  <c r="F654" i="9"/>
  <c r="C654" i="9"/>
  <c r="D654" i="9"/>
  <c r="G654" i="9"/>
  <c r="E654" i="9"/>
  <c r="I654" i="9"/>
  <c r="X655" i="6"/>
  <c r="S656" i="6"/>
  <c r="T654" i="9" l="1"/>
  <c r="P657" i="6"/>
  <c r="L658" i="6"/>
  <c r="P658" i="6" s="1"/>
  <c r="Y659" i="6"/>
  <c r="B659" i="6"/>
  <c r="H658" i="6"/>
  <c r="D658" i="6"/>
  <c r="I658" i="6"/>
  <c r="J658" i="6" s="1"/>
  <c r="K658" i="6" s="1"/>
  <c r="C658" i="6"/>
  <c r="X656" i="6"/>
  <c r="S657" i="6"/>
  <c r="P654" i="9"/>
  <c r="D655" i="9"/>
  <c r="H655" i="9"/>
  <c r="I655" i="9"/>
  <c r="P655" i="9" s="1"/>
  <c r="E655" i="9"/>
  <c r="F655" i="9"/>
  <c r="B656" i="9"/>
  <c r="G655" i="9"/>
  <c r="C655" i="9"/>
  <c r="T655" i="9" l="1"/>
  <c r="L659" i="6"/>
  <c r="B660" i="6"/>
  <c r="Y660" i="6"/>
  <c r="I659" i="6"/>
  <c r="J659" i="6" s="1"/>
  <c r="K659" i="6" s="1"/>
  <c r="C659" i="6"/>
  <c r="D659" i="6"/>
  <c r="H659" i="6"/>
  <c r="X657" i="6"/>
  <c r="S658" i="6"/>
  <c r="B657" i="9"/>
  <c r="F656" i="9"/>
  <c r="I656" i="9"/>
  <c r="D656" i="9"/>
  <c r="E656" i="9"/>
  <c r="C656" i="9"/>
  <c r="H656" i="9"/>
  <c r="G656" i="9"/>
  <c r="T656" i="9" l="1"/>
  <c r="L660" i="6"/>
  <c r="P660" i="6" s="1"/>
  <c r="D660" i="6"/>
  <c r="B661" i="6"/>
  <c r="C660" i="6"/>
  <c r="H660" i="6"/>
  <c r="Y661" i="6"/>
  <c r="I660" i="6"/>
  <c r="J660" i="6" s="1"/>
  <c r="K660" i="6" s="1"/>
  <c r="P659" i="6"/>
  <c r="F657" i="9"/>
  <c r="D657" i="9"/>
  <c r="E657" i="9"/>
  <c r="H657" i="9"/>
  <c r="C657" i="9"/>
  <c r="B658" i="9"/>
  <c r="G657" i="9"/>
  <c r="I657" i="9"/>
  <c r="X658" i="6"/>
  <c r="S659" i="6"/>
  <c r="P656" i="9"/>
  <c r="T657" i="9" l="1"/>
  <c r="I661" i="6"/>
  <c r="J661" i="6" s="1"/>
  <c r="K661" i="6" s="1"/>
  <c r="C661" i="6"/>
  <c r="Y662" i="6"/>
  <c r="B662" i="6"/>
  <c r="L661" i="6"/>
  <c r="P661" i="6" s="1"/>
  <c r="D661" i="6"/>
  <c r="H661" i="6"/>
  <c r="X659" i="6"/>
  <c r="S660" i="6"/>
  <c r="H658" i="9"/>
  <c r="C658" i="9"/>
  <c r="E658" i="9"/>
  <c r="G658" i="9"/>
  <c r="I658" i="9"/>
  <c r="B659" i="9"/>
  <c r="D658" i="9"/>
  <c r="F658" i="9"/>
  <c r="P657" i="9"/>
  <c r="T658" i="9" l="1"/>
  <c r="C662" i="6"/>
  <c r="H662" i="6"/>
  <c r="D662" i="6"/>
  <c r="B663" i="6"/>
  <c r="Y663" i="6"/>
  <c r="L662" i="6"/>
  <c r="P662" i="6" s="1"/>
  <c r="I662" i="6"/>
  <c r="J662" i="6" s="1"/>
  <c r="K662" i="6" s="1"/>
  <c r="B660" i="9"/>
  <c r="D659" i="9"/>
  <c r="I659" i="9"/>
  <c r="P659" i="9" s="1"/>
  <c r="F659" i="9"/>
  <c r="H659" i="9"/>
  <c r="G659" i="9"/>
  <c r="E659" i="9"/>
  <c r="C659" i="9"/>
  <c r="P658" i="9"/>
  <c r="X660" i="6"/>
  <c r="S661" i="6"/>
  <c r="T659" i="9" l="1"/>
  <c r="Y664" i="6"/>
  <c r="I663" i="6"/>
  <c r="J663" i="6" s="1"/>
  <c r="K663" i="6" s="1"/>
  <c r="D663" i="6"/>
  <c r="H663" i="6"/>
  <c r="L663" i="6"/>
  <c r="P663" i="6" s="1"/>
  <c r="B664" i="6"/>
  <c r="C663" i="6"/>
  <c r="X661" i="6"/>
  <c r="S662" i="6"/>
  <c r="D660" i="9"/>
  <c r="B661" i="9"/>
  <c r="H660" i="9"/>
  <c r="I660" i="9"/>
  <c r="F660" i="9"/>
  <c r="E660" i="9"/>
  <c r="G660" i="9"/>
  <c r="C660" i="9"/>
  <c r="T660" i="9" l="1"/>
  <c r="L664" i="6"/>
  <c r="P664" i="6" s="1"/>
  <c r="Y665" i="6"/>
  <c r="B665" i="6"/>
  <c r="I664" i="6"/>
  <c r="J664" i="6" s="1"/>
  <c r="K664" i="6" s="1"/>
  <c r="C664" i="6"/>
  <c r="D664" i="6"/>
  <c r="H664" i="6"/>
  <c r="X662" i="6"/>
  <c r="S663" i="6"/>
  <c r="B662" i="9"/>
  <c r="E661" i="9"/>
  <c r="G661" i="9"/>
  <c r="D661" i="9"/>
  <c r="H661" i="9"/>
  <c r="F661" i="9"/>
  <c r="C661" i="9"/>
  <c r="I661" i="9"/>
  <c r="P660" i="9"/>
  <c r="T661" i="9" l="1"/>
  <c r="H665" i="6"/>
  <c r="I665" i="6"/>
  <c r="J665" i="6" s="1"/>
  <c r="K665" i="6" s="1"/>
  <c r="C665" i="6"/>
  <c r="D665" i="6"/>
  <c r="Y666" i="6"/>
  <c r="L665" i="6"/>
  <c r="B666" i="6"/>
  <c r="C662" i="9"/>
  <c r="B663" i="9"/>
  <c r="E662" i="9"/>
  <c r="G662" i="9"/>
  <c r="I662" i="9"/>
  <c r="P662" i="9" s="1"/>
  <c r="F662" i="9"/>
  <c r="H662" i="9"/>
  <c r="D662" i="9"/>
  <c r="X663" i="6"/>
  <c r="S664" i="6"/>
  <c r="P661" i="9"/>
  <c r="T662" i="9" l="1"/>
  <c r="B667" i="6"/>
  <c r="L666" i="6"/>
  <c r="P666" i="6" s="1"/>
  <c r="D666" i="6"/>
  <c r="C666" i="6"/>
  <c r="H666" i="6"/>
  <c r="Y667" i="6"/>
  <c r="I666" i="6"/>
  <c r="J666" i="6" s="1"/>
  <c r="K666" i="6" s="1"/>
  <c r="P665" i="6"/>
  <c r="H663" i="9"/>
  <c r="G663" i="9"/>
  <c r="E663" i="9"/>
  <c r="C663" i="9"/>
  <c r="F663" i="9"/>
  <c r="B664" i="9"/>
  <c r="I663" i="9"/>
  <c r="D663" i="9"/>
  <c r="X664" i="6"/>
  <c r="S665" i="6"/>
  <c r="T663" i="9" l="1"/>
  <c r="Y668" i="6"/>
  <c r="C667" i="6"/>
  <c r="L667" i="6"/>
  <c r="H667" i="6"/>
  <c r="B668" i="6"/>
  <c r="I667" i="6"/>
  <c r="J667" i="6" s="1"/>
  <c r="K667" i="6" s="1"/>
  <c r="D667" i="6"/>
  <c r="X665" i="6"/>
  <c r="S666" i="6"/>
  <c r="D664" i="9"/>
  <c r="E664" i="9"/>
  <c r="G664" i="9"/>
  <c r="C664" i="9"/>
  <c r="B665" i="9"/>
  <c r="I664" i="9"/>
  <c r="P664" i="9" s="1"/>
  <c r="H664" i="9"/>
  <c r="F664" i="9"/>
  <c r="P663" i="9"/>
  <c r="T664" i="9" l="1"/>
  <c r="I668" i="6"/>
  <c r="J668" i="6" s="1"/>
  <c r="K668" i="6" s="1"/>
  <c r="L668" i="6"/>
  <c r="P668" i="6" s="1"/>
  <c r="Y669" i="6"/>
  <c r="C668" i="6"/>
  <c r="H668" i="6"/>
  <c r="B669" i="6"/>
  <c r="D668" i="6"/>
  <c r="P667" i="6"/>
  <c r="E665" i="9"/>
  <c r="B666" i="9"/>
  <c r="I665" i="9"/>
  <c r="D665" i="9"/>
  <c r="C665" i="9"/>
  <c r="H665" i="9"/>
  <c r="G665" i="9"/>
  <c r="F665" i="9"/>
  <c r="X666" i="6"/>
  <c r="S667" i="6"/>
  <c r="T665" i="9" l="1"/>
  <c r="I669" i="6"/>
  <c r="J669" i="6" s="1"/>
  <c r="K669" i="6" s="1"/>
  <c r="D669" i="6"/>
  <c r="H669" i="6"/>
  <c r="L669" i="6"/>
  <c r="P669" i="6" s="1"/>
  <c r="C669" i="6"/>
  <c r="B670" i="6"/>
  <c r="Y670" i="6"/>
  <c r="X667" i="6"/>
  <c r="S668" i="6"/>
  <c r="F666" i="9"/>
  <c r="H666" i="9"/>
  <c r="G666" i="9"/>
  <c r="E666" i="9"/>
  <c r="B667" i="9"/>
  <c r="D666" i="9"/>
  <c r="I666" i="9"/>
  <c r="C666" i="9"/>
  <c r="P665" i="9"/>
  <c r="T666" i="9" l="1"/>
  <c r="D670" i="6"/>
  <c r="C670" i="6"/>
  <c r="L670" i="6"/>
  <c r="P670" i="6" s="1"/>
  <c r="H670" i="6"/>
  <c r="I670" i="6"/>
  <c r="J670" i="6" s="1"/>
  <c r="K670" i="6" s="1"/>
  <c r="B671" i="6"/>
  <c r="Y671" i="6"/>
  <c r="X668" i="6"/>
  <c r="S669" i="6"/>
  <c r="H667" i="9"/>
  <c r="G667" i="9"/>
  <c r="C667" i="9"/>
  <c r="E667" i="9"/>
  <c r="D667" i="9"/>
  <c r="B668" i="9"/>
  <c r="F667" i="9"/>
  <c r="I667" i="9"/>
  <c r="P666" i="9"/>
  <c r="T667" i="9" l="1"/>
  <c r="D671" i="6"/>
  <c r="I671" i="6"/>
  <c r="J671" i="6" s="1"/>
  <c r="K671" i="6" s="1"/>
  <c r="L671" i="6"/>
  <c r="P671" i="6" s="1"/>
  <c r="B672" i="6"/>
  <c r="H671" i="6"/>
  <c r="Y672" i="6"/>
  <c r="C671" i="6"/>
  <c r="I668" i="9"/>
  <c r="F668" i="9"/>
  <c r="D668" i="9"/>
  <c r="H668" i="9"/>
  <c r="G668" i="9"/>
  <c r="E668" i="9"/>
  <c r="C668" i="9"/>
  <c r="B669" i="9"/>
  <c r="P667" i="9"/>
  <c r="X669" i="6"/>
  <c r="S670" i="6"/>
  <c r="T668" i="9" l="1"/>
  <c r="C672" i="6"/>
  <c r="B673" i="6"/>
  <c r="I672" i="6"/>
  <c r="J672" i="6" s="1"/>
  <c r="K672" i="6" s="1"/>
  <c r="L672" i="6"/>
  <c r="Y673" i="6"/>
  <c r="D672" i="6"/>
  <c r="H672" i="6"/>
  <c r="D669" i="9"/>
  <c r="C669" i="9"/>
  <c r="G669" i="9"/>
  <c r="E669" i="9"/>
  <c r="I669" i="9"/>
  <c r="B670" i="9"/>
  <c r="H669" i="9"/>
  <c r="F669" i="9"/>
  <c r="X670" i="6"/>
  <c r="S671" i="6"/>
  <c r="P668" i="9"/>
  <c r="T669" i="9" l="1"/>
  <c r="P672" i="6"/>
  <c r="Y674" i="6"/>
  <c r="H673" i="6"/>
  <c r="D673" i="6"/>
  <c r="I673" i="6"/>
  <c r="J673" i="6" s="1"/>
  <c r="K673" i="6" s="1"/>
  <c r="C673" i="6"/>
  <c r="B674" i="6"/>
  <c r="L673" i="6"/>
  <c r="P673" i="6" s="1"/>
  <c r="C670" i="9"/>
  <c r="B671" i="9"/>
  <c r="G670" i="9"/>
  <c r="H670" i="9"/>
  <c r="F670" i="9"/>
  <c r="I670" i="9"/>
  <c r="P670" i="9" s="1"/>
  <c r="E670" i="9"/>
  <c r="D670" i="9"/>
  <c r="X671" i="6"/>
  <c r="S672" i="6"/>
  <c r="P669" i="9"/>
  <c r="T670" i="9" l="1"/>
  <c r="Y675" i="6"/>
  <c r="L674" i="6"/>
  <c r="H674" i="6"/>
  <c r="C674" i="6"/>
  <c r="D674" i="6"/>
  <c r="I674" i="6"/>
  <c r="J674" i="6" s="1"/>
  <c r="K674" i="6" s="1"/>
  <c r="B675" i="6"/>
  <c r="X672" i="6"/>
  <c r="S673" i="6"/>
  <c r="C671" i="9"/>
  <c r="E671" i="9"/>
  <c r="H671" i="9"/>
  <c r="I671" i="9"/>
  <c r="F671" i="9"/>
  <c r="G671" i="9"/>
  <c r="D671" i="9"/>
  <c r="B672" i="9"/>
  <c r="T671" i="9" l="1"/>
  <c r="I675" i="6"/>
  <c r="J675" i="6" s="1"/>
  <c r="K675" i="6" s="1"/>
  <c r="Y676" i="6"/>
  <c r="L675" i="6"/>
  <c r="P675" i="6" s="1"/>
  <c r="H675" i="6"/>
  <c r="D675" i="6"/>
  <c r="B676" i="6"/>
  <c r="C675" i="6"/>
  <c r="P674" i="6"/>
  <c r="I672" i="9"/>
  <c r="P672" i="9" s="1"/>
  <c r="G672" i="9"/>
  <c r="F672" i="9"/>
  <c r="B673" i="9"/>
  <c r="H672" i="9"/>
  <c r="D672" i="9"/>
  <c r="E672" i="9"/>
  <c r="C672" i="9"/>
  <c r="X673" i="6"/>
  <c r="S674" i="6"/>
  <c r="P671" i="9"/>
  <c r="T672" i="9" l="1"/>
  <c r="C676" i="6"/>
  <c r="L676" i="6"/>
  <c r="P676" i="6" s="1"/>
  <c r="D676" i="6"/>
  <c r="I676" i="6"/>
  <c r="J676" i="6" s="1"/>
  <c r="K676" i="6" s="1"/>
  <c r="H676" i="6"/>
  <c r="B677" i="6"/>
  <c r="Y677" i="6"/>
  <c r="X674" i="6"/>
  <c r="S675" i="6"/>
  <c r="C673" i="9"/>
  <c r="E673" i="9"/>
  <c r="D673" i="9"/>
  <c r="G673" i="9"/>
  <c r="F673" i="9"/>
  <c r="B674" i="9"/>
  <c r="H673" i="9"/>
  <c r="I673" i="9"/>
  <c r="P673" i="9" s="1"/>
  <c r="T673" i="9" l="1"/>
  <c r="B678" i="6"/>
  <c r="L677" i="6"/>
  <c r="P677" i="6" s="1"/>
  <c r="Y678" i="6"/>
  <c r="I677" i="6"/>
  <c r="J677" i="6" s="1"/>
  <c r="K677" i="6" s="1"/>
  <c r="D677" i="6"/>
  <c r="H677" i="6"/>
  <c r="C677" i="6"/>
  <c r="X675" i="6"/>
  <c r="S676" i="6"/>
  <c r="C674" i="9"/>
  <c r="F674" i="9"/>
  <c r="G674" i="9"/>
  <c r="E674" i="9"/>
  <c r="D674" i="9"/>
  <c r="H674" i="9"/>
  <c r="I674" i="9"/>
  <c r="P674" i="9" s="1"/>
  <c r="B675" i="9"/>
  <c r="T674" i="9" l="1"/>
  <c r="C678" i="6"/>
  <c r="I678" i="6"/>
  <c r="J678" i="6" s="1"/>
  <c r="K678" i="6" s="1"/>
  <c r="Y679" i="6"/>
  <c r="B679" i="6"/>
  <c r="L678" i="6"/>
  <c r="H678" i="6"/>
  <c r="D678" i="6"/>
  <c r="B676" i="9"/>
  <c r="F675" i="9"/>
  <c r="D675" i="9"/>
  <c r="I675" i="9"/>
  <c r="P675" i="9" s="1"/>
  <c r="C675" i="9"/>
  <c r="H675" i="9"/>
  <c r="G675" i="9"/>
  <c r="E675" i="9"/>
  <c r="X676" i="6"/>
  <c r="S677" i="6"/>
  <c r="T675" i="9" l="1"/>
  <c r="P678" i="6"/>
  <c r="B680" i="6"/>
  <c r="H679" i="6"/>
  <c r="D679" i="6"/>
  <c r="L679" i="6"/>
  <c r="P679" i="6" s="1"/>
  <c r="I679" i="6"/>
  <c r="J679" i="6" s="1"/>
  <c r="K679" i="6" s="1"/>
  <c r="Y680" i="6"/>
  <c r="C679" i="6"/>
  <c r="X677" i="6"/>
  <c r="S678" i="6"/>
  <c r="D676" i="9"/>
  <c r="H676" i="9"/>
  <c r="I676" i="9"/>
  <c r="F676" i="9"/>
  <c r="C676" i="9"/>
  <c r="G676" i="9"/>
  <c r="B677" i="9"/>
  <c r="E676" i="9"/>
  <c r="T676" i="9" l="1"/>
  <c r="L680" i="6"/>
  <c r="P680" i="6" s="1"/>
  <c r="I680" i="6"/>
  <c r="J680" i="6" s="1"/>
  <c r="K680" i="6" s="1"/>
  <c r="C680" i="6"/>
  <c r="H680" i="6"/>
  <c r="D680" i="6"/>
  <c r="B681" i="6"/>
  <c r="Y681" i="6"/>
  <c r="X678" i="6"/>
  <c r="S679" i="6"/>
  <c r="P676" i="9"/>
  <c r="H677" i="9"/>
  <c r="D677" i="9"/>
  <c r="C677" i="9"/>
  <c r="F677" i="9"/>
  <c r="G677" i="9"/>
  <c r="B678" i="9"/>
  <c r="E677" i="9"/>
  <c r="I677" i="9"/>
  <c r="P677" i="9" s="1"/>
  <c r="T677" i="9" l="1"/>
  <c r="L681" i="6"/>
  <c r="P681" i="6" s="1"/>
  <c r="C681" i="6"/>
  <c r="H681" i="6"/>
  <c r="D681" i="6"/>
  <c r="Y682" i="6"/>
  <c r="I681" i="6"/>
  <c r="J681" i="6" s="1"/>
  <c r="K681" i="6" s="1"/>
  <c r="B682" i="6"/>
  <c r="C678" i="9"/>
  <c r="B679" i="9"/>
  <c r="D678" i="9"/>
  <c r="F678" i="9"/>
  <c r="E678" i="9"/>
  <c r="I678" i="9"/>
  <c r="P678" i="9" s="1"/>
  <c r="G678" i="9"/>
  <c r="H678" i="9"/>
  <c r="X679" i="6"/>
  <c r="S680" i="6"/>
  <c r="T678" i="9" l="1"/>
  <c r="C682" i="6"/>
  <c r="Y683" i="6"/>
  <c r="B683" i="6"/>
  <c r="L682" i="6"/>
  <c r="D682" i="6"/>
  <c r="H682" i="6"/>
  <c r="I682" i="6"/>
  <c r="J682" i="6" s="1"/>
  <c r="K682" i="6" s="1"/>
  <c r="G679" i="9"/>
  <c r="H679" i="9"/>
  <c r="C679" i="9"/>
  <c r="E679" i="9"/>
  <c r="B680" i="9"/>
  <c r="F679" i="9"/>
  <c r="D679" i="9"/>
  <c r="I679" i="9"/>
  <c r="X680" i="6"/>
  <c r="S681" i="6"/>
  <c r="T679" i="9" l="1"/>
  <c r="P682" i="6"/>
  <c r="D683" i="6"/>
  <c r="Y684" i="6"/>
  <c r="H683" i="6"/>
  <c r="C683" i="6"/>
  <c r="I683" i="6"/>
  <c r="J683" i="6" s="1"/>
  <c r="K683" i="6" s="1"/>
  <c r="L683" i="6"/>
  <c r="P683" i="6" s="1"/>
  <c r="B684" i="6"/>
  <c r="E680" i="9"/>
  <c r="G680" i="9"/>
  <c r="B681" i="9"/>
  <c r="H680" i="9"/>
  <c r="F680" i="9"/>
  <c r="D680" i="9"/>
  <c r="I680" i="9"/>
  <c r="C680" i="9"/>
  <c r="P679" i="9"/>
  <c r="X681" i="6"/>
  <c r="S682" i="6"/>
  <c r="T680" i="9" l="1"/>
  <c r="B685" i="6"/>
  <c r="Y685" i="6"/>
  <c r="C684" i="6"/>
  <c r="D684" i="6"/>
  <c r="H684" i="6"/>
  <c r="L684" i="6"/>
  <c r="P684" i="6" s="1"/>
  <c r="I684" i="6"/>
  <c r="J684" i="6" s="1"/>
  <c r="K684" i="6" s="1"/>
  <c r="X682" i="6"/>
  <c r="S683" i="6"/>
  <c r="C681" i="9"/>
  <c r="E681" i="9"/>
  <c r="B682" i="9"/>
  <c r="I681" i="9"/>
  <c r="G681" i="9"/>
  <c r="H681" i="9"/>
  <c r="D681" i="9"/>
  <c r="F681" i="9"/>
  <c r="P680" i="9"/>
  <c r="T681" i="9" l="1"/>
  <c r="H685" i="6"/>
  <c r="L685" i="6"/>
  <c r="P685" i="6" s="1"/>
  <c r="C685" i="6"/>
  <c r="B686" i="6"/>
  <c r="I685" i="6"/>
  <c r="J685" i="6" s="1"/>
  <c r="K685" i="6" s="1"/>
  <c r="D685" i="6"/>
  <c r="Y686" i="6"/>
  <c r="F682" i="9"/>
  <c r="D682" i="9"/>
  <c r="B683" i="9"/>
  <c r="C682" i="9"/>
  <c r="E682" i="9"/>
  <c r="G682" i="9"/>
  <c r="H682" i="9"/>
  <c r="I682" i="9"/>
  <c r="P682" i="9" s="1"/>
  <c r="P681" i="9"/>
  <c r="X683" i="6"/>
  <c r="S684" i="6"/>
  <c r="T682" i="9" l="1"/>
  <c r="D686" i="6"/>
  <c r="H686" i="6"/>
  <c r="Y687" i="6"/>
  <c r="L686" i="6"/>
  <c r="I686" i="6"/>
  <c r="J686" i="6" s="1"/>
  <c r="K686" i="6" s="1"/>
  <c r="C686" i="6"/>
  <c r="B687" i="6"/>
  <c r="X684" i="6"/>
  <c r="S685" i="6"/>
  <c r="F683" i="9"/>
  <c r="E683" i="9"/>
  <c r="B684" i="9"/>
  <c r="G683" i="9"/>
  <c r="D683" i="9"/>
  <c r="I683" i="9"/>
  <c r="H683" i="9"/>
  <c r="C683" i="9"/>
  <c r="T683" i="9" l="1"/>
  <c r="H687" i="6"/>
  <c r="Y688" i="6"/>
  <c r="L687" i="6"/>
  <c r="P687" i="6" s="1"/>
  <c r="D687" i="6"/>
  <c r="C687" i="6"/>
  <c r="I687" i="6"/>
  <c r="J687" i="6" s="1"/>
  <c r="K687" i="6" s="1"/>
  <c r="B688" i="6"/>
  <c r="P686" i="6"/>
  <c r="P683" i="9"/>
  <c r="D684" i="9"/>
  <c r="C684" i="9"/>
  <c r="B685" i="9"/>
  <c r="H684" i="9"/>
  <c r="I684" i="9"/>
  <c r="F684" i="9"/>
  <c r="E684" i="9"/>
  <c r="G684" i="9"/>
  <c r="X685" i="6"/>
  <c r="S686" i="6"/>
  <c r="T684" i="9" l="1"/>
  <c r="L688" i="6"/>
  <c r="P688" i="6" s="1"/>
  <c r="C688" i="6"/>
  <c r="H688" i="6"/>
  <c r="B689" i="6"/>
  <c r="D688" i="6"/>
  <c r="I688" i="6"/>
  <c r="J688" i="6" s="1"/>
  <c r="K688" i="6" s="1"/>
  <c r="Y689" i="6"/>
  <c r="C685" i="9"/>
  <c r="B686" i="9"/>
  <c r="I685" i="9"/>
  <c r="D685" i="9"/>
  <c r="G685" i="9"/>
  <c r="E685" i="9"/>
  <c r="H685" i="9"/>
  <c r="F685" i="9"/>
  <c r="X686" i="6"/>
  <c r="S687" i="6"/>
  <c r="P684" i="9"/>
  <c r="T685" i="9" l="1"/>
  <c r="B690" i="6"/>
  <c r="I689" i="6"/>
  <c r="J689" i="6" s="1"/>
  <c r="K689" i="6" s="1"/>
  <c r="C689" i="6"/>
  <c r="H689" i="6"/>
  <c r="Y690" i="6"/>
  <c r="D689" i="6"/>
  <c r="L689" i="6"/>
  <c r="P689" i="6" s="1"/>
  <c r="X687" i="6"/>
  <c r="S688" i="6"/>
  <c r="E686" i="9"/>
  <c r="D686" i="9"/>
  <c r="C686" i="9"/>
  <c r="H686" i="9"/>
  <c r="G686" i="9"/>
  <c r="F686" i="9"/>
  <c r="B687" i="9"/>
  <c r="I686" i="9"/>
  <c r="P685" i="9"/>
  <c r="T686" i="9" l="1"/>
  <c r="L690" i="6"/>
  <c r="Y691" i="6"/>
  <c r="B691" i="6"/>
  <c r="C690" i="6"/>
  <c r="D690" i="6"/>
  <c r="H690" i="6"/>
  <c r="I690" i="6"/>
  <c r="J690" i="6" s="1"/>
  <c r="K690" i="6" s="1"/>
  <c r="C687" i="9"/>
  <c r="G687" i="9"/>
  <c r="I687" i="9"/>
  <c r="P687" i="9" s="1"/>
  <c r="H687" i="9"/>
  <c r="B688" i="9"/>
  <c r="D687" i="9"/>
  <c r="F687" i="9"/>
  <c r="E687" i="9"/>
  <c r="P686" i="9"/>
  <c r="X688" i="6"/>
  <c r="S689" i="6"/>
  <c r="T687" i="9" l="1"/>
  <c r="C691" i="6"/>
  <c r="I691" i="6"/>
  <c r="J691" i="6" s="1"/>
  <c r="K691" i="6" s="1"/>
  <c r="B692" i="6"/>
  <c r="Y692" i="6"/>
  <c r="H691" i="6"/>
  <c r="L691" i="6"/>
  <c r="P691" i="6" s="1"/>
  <c r="D691" i="6"/>
  <c r="P690" i="6"/>
  <c r="X689" i="6"/>
  <c r="S690" i="6"/>
  <c r="F688" i="9"/>
  <c r="C688" i="9"/>
  <c r="D688" i="9"/>
  <c r="B689" i="9"/>
  <c r="G688" i="9"/>
  <c r="E688" i="9"/>
  <c r="H688" i="9"/>
  <c r="I688" i="9"/>
  <c r="P688" i="9" s="1"/>
  <c r="T688" i="9" l="1"/>
  <c r="C692" i="6"/>
  <c r="L692" i="6"/>
  <c r="P692" i="6" s="1"/>
  <c r="D692" i="6"/>
  <c r="H692" i="6"/>
  <c r="Y693" i="6"/>
  <c r="B693" i="6"/>
  <c r="I692" i="6"/>
  <c r="J692" i="6" s="1"/>
  <c r="K692" i="6" s="1"/>
  <c r="G689" i="9"/>
  <c r="C689" i="9"/>
  <c r="I689" i="9"/>
  <c r="H689" i="9"/>
  <c r="B690" i="9"/>
  <c r="D689" i="9"/>
  <c r="E689" i="9"/>
  <c r="F689" i="9"/>
  <c r="X690" i="6"/>
  <c r="S691" i="6"/>
  <c r="T689" i="9" l="1"/>
  <c r="D693" i="6"/>
  <c r="C693" i="6"/>
  <c r="I693" i="6"/>
  <c r="J693" i="6" s="1"/>
  <c r="K693" i="6" s="1"/>
  <c r="H693" i="6"/>
  <c r="B694" i="6"/>
  <c r="Y694" i="6"/>
  <c r="L693" i="6"/>
  <c r="P693" i="6" s="1"/>
  <c r="B691" i="9"/>
  <c r="I690" i="9"/>
  <c r="P690" i="9" s="1"/>
  <c r="D690" i="9"/>
  <c r="F690" i="9"/>
  <c r="E690" i="9"/>
  <c r="H690" i="9"/>
  <c r="C690" i="9"/>
  <c r="G690" i="9"/>
  <c r="X691" i="6"/>
  <c r="S692" i="6"/>
  <c r="P689" i="9"/>
  <c r="T690" i="9" l="1"/>
  <c r="D694" i="6"/>
  <c r="B695" i="6"/>
  <c r="Y695" i="6"/>
  <c r="H694" i="6"/>
  <c r="L694" i="6"/>
  <c r="P694" i="6" s="1"/>
  <c r="C694" i="6"/>
  <c r="I694" i="6"/>
  <c r="J694" i="6" s="1"/>
  <c r="K694" i="6" s="1"/>
  <c r="X692" i="6"/>
  <c r="S693" i="6"/>
  <c r="D691" i="9"/>
  <c r="H691" i="9"/>
  <c r="B692" i="9"/>
  <c r="F691" i="9"/>
  <c r="E691" i="9"/>
  <c r="C691" i="9"/>
  <c r="G691" i="9"/>
  <c r="I691" i="9"/>
  <c r="P691" i="9" s="1"/>
  <c r="T691" i="9" l="1"/>
  <c r="B696" i="6"/>
  <c r="I695" i="6"/>
  <c r="J695" i="6" s="1"/>
  <c r="K695" i="6" s="1"/>
  <c r="D695" i="6"/>
  <c r="C695" i="6"/>
  <c r="H695" i="6"/>
  <c r="Y696" i="6"/>
  <c r="L695" i="6"/>
  <c r="P695" i="6" s="1"/>
  <c r="F692" i="9"/>
  <c r="I692" i="9"/>
  <c r="P692" i="9" s="1"/>
  <c r="E692" i="9"/>
  <c r="C692" i="9"/>
  <c r="D692" i="9"/>
  <c r="G692" i="9"/>
  <c r="B693" i="9"/>
  <c r="H692" i="9"/>
  <c r="X693" i="6"/>
  <c r="S694" i="6"/>
  <c r="T692" i="9" l="1"/>
  <c r="C696" i="6"/>
  <c r="H696" i="6"/>
  <c r="B697" i="6"/>
  <c r="I696" i="6"/>
  <c r="J696" i="6" s="1"/>
  <c r="K696" i="6" s="1"/>
  <c r="L696" i="6"/>
  <c r="D696" i="6"/>
  <c r="Y697" i="6"/>
  <c r="G693" i="9"/>
  <c r="D693" i="9"/>
  <c r="E693" i="9"/>
  <c r="C693" i="9"/>
  <c r="B694" i="9"/>
  <c r="F693" i="9"/>
  <c r="I693" i="9"/>
  <c r="P693" i="9" s="1"/>
  <c r="H693" i="9"/>
  <c r="X694" i="6"/>
  <c r="S695" i="6"/>
  <c r="T693" i="9" l="1"/>
  <c r="P696" i="6"/>
  <c r="C697" i="6"/>
  <c r="D697" i="6"/>
  <c r="I697" i="6"/>
  <c r="J697" i="6" s="1"/>
  <c r="K697" i="6" s="1"/>
  <c r="B698" i="6"/>
  <c r="Y698" i="6"/>
  <c r="L697" i="6"/>
  <c r="P697" i="6" s="1"/>
  <c r="H697" i="6"/>
  <c r="G694" i="9"/>
  <c r="E694" i="9"/>
  <c r="F694" i="9"/>
  <c r="I694" i="9"/>
  <c r="D694" i="9"/>
  <c r="C694" i="9"/>
  <c r="H694" i="9"/>
  <c r="B695" i="9"/>
  <c r="X695" i="6"/>
  <c r="S696" i="6"/>
  <c r="T694" i="9" l="1"/>
  <c r="B699" i="6"/>
  <c r="C698" i="6"/>
  <c r="Y699" i="6"/>
  <c r="H698" i="6"/>
  <c r="I698" i="6"/>
  <c r="J698" i="6" s="1"/>
  <c r="K698" i="6" s="1"/>
  <c r="L698" i="6"/>
  <c r="P698" i="6" s="1"/>
  <c r="D698" i="6"/>
  <c r="B696" i="9"/>
  <c r="I695" i="9"/>
  <c r="F695" i="9"/>
  <c r="D695" i="9"/>
  <c r="E695" i="9"/>
  <c r="G695" i="9"/>
  <c r="C695" i="9"/>
  <c r="H695" i="9"/>
  <c r="X696" i="6"/>
  <c r="S697" i="6"/>
  <c r="P694" i="9"/>
  <c r="T695" i="9" l="1"/>
  <c r="D699" i="6"/>
  <c r="I699" i="6"/>
  <c r="J699" i="6" s="1"/>
  <c r="K699" i="6" s="1"/>
  <c r="B700" i="6"/>
  <c r="L699" i="6"/>
  <c r="H699" i="6"/>
  <c r="Y700" i="6"/>
  <c r="C699" i="6"/>
  <c r="X697" i="6"/>
  <c r="S698" i="6"/>
  <c r="C696" i="9"/>
  <c r="F696" i="9"/>
  <c r="G696" i="9"/>
  <c r="H696" i="9"/>
  <c r="B697" i="9"/>
  <c r="E696" i="9"/>
  <c r="D696" i="9"/>
  <c r="I696" i="9"/>
  <c r="P696" i="9" s="1"/>
  <c r="P695" i="9"/>
  <c r="T696" i="9" l="1"/>
  <c r="P699" i="6"/>
  <c r="Y701" i="6"/>
  <c r="I700" i="6"/>
  <c r="J700" i="6" s="1"/>
  <c r="K700" i="6" s="1"/>
  <c r="L700" i="6"/>
  <c r="P700" i="6" s="1"/>
  <c r="C700" i="6"/>
  <c r="B701" i="6"/>
  <c r="H700" i="6"/>
  <c r="D700" i="6"/>
  <c r="B698" i="9"/>
  <c r="D697" i="9"/>
  <c r="H697" i="9"/>
  <c r="G697" i="9"/>
  <c r="F697" i="9"/>
  <c r="E697" i="9"/>
  <c r="C697" i="9"/>
  <c r="I697" i="9"/>
  <c r="P697" i="9" s="1"/>
  <c r="X698" i="6"/>
  <c r="S699" i="6"/>
  <c r="T697" i="9" l="1"/>
  <c r="Y702" i="6"/>
  <c r="H701" i="6"/>
  <c r="B702" i="6"/>
  <c r="L701" i="6"/>
  <c r="D701" i="6"/>
  <c r="C701" i="6"/>
  <c r="I701" i="6"/>
  <c r="J701" i="6" s="1"/>
  <c r="K701" i="6" s="1"/>
  <c r="X699" i="6"/>
  <c r="S700" i="6"/>
  <c r="G698" i="9"/>
  <c r="B699" i="9"/>
  <c r="C698" i="9"/>
  <c r="F698" i="9"/>
  <c r="I698" i="9"/>
  <c r="D698" i="9"/>
  <c r="H698" i="9"/>
  <c r="E698" i="9"/>
  <c r="T698" i="9" l="1"/>
  <c r="P701" i="6"/>
  <c r="C702" i="6"/>
  <c r="L702" i="6"/>
  <c r="B703" i="6"/>
  <c r="H702" i="6"/>
  <c r="Y703" i="6"/>
  <c r="I702" i="6"/>
  <c r="J702" i="6" s="1"/>
  <c r="K702" i="6" s="1"/>
  <c r="D702" i="6"/>
  <c r="X700" i="6"/>
  <c r="S701" i="6"/>
  <c r="G699" i="9"/>
  <c r="E699" i="9"/>
  <c r="C699" i="9"/>
  <c r="B700" i="9"/>
  <c r="I699" i="9"/>
  <c r="P699" i="9" s="1"/>
  <c r="D699" i="9"/>
  <c r="H699" i="9"/>
  <c r="F699" i="9"/>
  <c r="P698" i="9"/>
  <c r="T699" i="9" l="1"/>
  <c r="D703" i="6"/>
  <c r="Y704" i="6"/>
  <c r="H703" i="6"/>
  <c r="L703" i="6"/>
  <c r="P703" i="6" s="1"/>
  <c r="I703" i="6"/>
  <c r="J703" i="6" s="1"/>
  <c r="K703" i="6" s="1"/>
  <c r="C703" i="6"/>
  <c r="B704" i="6"/>
  <c r="P702" i="6"/>
  <c r="D700" i="9"/>
  <c r="G700" i="9"/>
  <c r="H700" i="9"/>
  <c r="E700" i="9"/>
  <c r="B701" i="9"/>
  <c r="C700" i="9"/>
  <c r="F700" i="9"/>
  <c r="I700" i="9"/>
  <c r="P700" i="9" s="1"/>
  <c r="X701" i="6"/>
  <c r="S702" i="6"/>
  <c r="T700" i="9" l="1"/>
  <c r="L704" i="6"/>
  <c r="P704" i="6" s="1"/>
  <c r="H704" i="6"/>
  <c r="D704" i="6"/>
  <c r="C704" i="6"/>
  <c r="B705" i="6"/>
  <c r="I704" i="6"/>
  <c r="J704" i="6" s="1"/>
  <c r="K704" i="6" s="1"/>
  <c r="Y705" i="6"/>
  <c r="E701" i="9"/>
  <c r="D701" i="9"/>
  <c r="I701" i="9"/>
  <c r="B702" i="9"/>
  <c r="H701" i="9"/>
  <c r="C701" i="9"/>
  <c r="F701" i="9"/>
  <c r="G701" i="9"/>
  <c r="X702" i="6"/>
  <c r="S703" i="6"/>
  <c r="T701" i="9" l="1"/>
  <c r="D705" i="6"/>
  <c r="I705" i="6"/>
  <c r="J705" i="6" s="1"/>
  <c r="K705" i="6" s="1"/>
  <c r="Y706" i="6"/>
  <c r="H705" i="6"/>
  <c r="C705" i="6"/>
  <c r="B706" i="6"/>
  <c r="L705" i="6"/>
  <c r="P705" i="6" s="1"/>
  <c r="I702" i="9"/>
  <c r="G702" i="9"/>
  <c r="E702" i="9"/>
  <c r="C702" i="9"/>
  <c r="H702" i="9"/>
  <c r="F702" i="9"/>
  <c r="D702" i="9"/>
  <c r="B703" i="9"/>
  <c r="P701" i="9"/>
  <c r="X703" i="6"/>
  <c r="S704" i="6"/>
  <c r="T702" i="9" l="1"/>
  <c r="D706" i="6"/>
  <c r="Y707" i="6"/>
  <c r="B707" i="6"/>
  <c r="H706" i="6"/>
  <c r="L706" i="6"/>
  <c r="I706" i="6"/>
  <c r="J706" i="6" s="1"/>
  <c r="K706" i="6" s="1"/>
  <c r="C706" i="6"/>
  <c r="B704" i="9"/>
  <c r="D703" i="9"/>
  <c r="E703" i="9"/>
  <c r="H703" i="9"/>
  <c r="G703" i="9"/>
  <c r="I703" i="9"/>
  <c r="F703" i="9"/>
  <c r="C703" i="9"/>
  <c r="X704" i="6"/>
  <c r="S705" i="6"/>
  <c r="P702" i="9"/>
  <c r="T703" i="9" l="1"/>
  <c r="P706" i="6"/>
  <c r="C707" i="6"/>
  <c r="H707" i="6"/>
  <c r="L707" i="6"/>
  <c r="P707" i="6" s="1"/>
  <c r="Y708" i="6"/>
  <c r="D707" i="6"/>
  <c r="I707" i="6"/>
  <c r="J707" i="6" s="1"/>
  <c r="K707" i="6" s="1"/>
  <c r="B708" i="6"/>
  <c r="X705" i="6"/>
  <c r="S706" i="6"/>
  <c r="B705" i="9"/>
  <c r="D704" i="9"/>
  <c r="C704" i="9"/>
  <c r="I704" i="9"/>
  <c r="E704" i="9"/>
  <c r="G704" i="9"/>
  <c r="H704" i="9"/>
  <c r="F704" i="9"/>
  <c r="P703" i="9"/>
  <c r="T704" i="9" l="1"/>
  <c r="L708" i="6"/>
  <c r="H708" i="6"/>
  <c r="I708" i="6"/>
  <c r="J708" i="6" s="1"/>
  <c r="K708" i="6" s="1"/>
  <c r="B709" i="6"/>
  <c r="C708" i="6"/>
  <c r="Y709" i="6"/>
  <c r="D708" i="6"/>
  <c r="F705" i="9"/>
  <c r="C705" i="9"/>
  <c r="B706" i="9"/>
  <c r="D705" i="9"/>
  <c r="E705" i="9"/>
  <c r="I705" i="9"/>
  <c r="G705" i="9"/>
  <c r="H705" i="9"/>
  <c r="P704" i="9"/>
  <c r="X706" i="6"/>
  <c r="S707" i="6"/>
  <c r="T705" i="9" l="1"/>
  <c r="B710" i="6"/>
  <c r="Y710" i="6"/>
  <c r="H709" i="6"/>
  <c r="C709" i="6"/>
  <c r="I709" i="6"/>
  <c r="J709" i="6" s="1"/>
  <c r="K709" i="6" s="1"/>
  <c r="L709" i="6"/>
  <c r="P709" i="6" s="1"/>
  <c r="D709" i="6"/>
  <c r="P708" i="6"/>
  <c r="B707" i="9"/>
  <c r="G706" i="9"/>
  <c r="F706" i="9"/>
  <c r="E706" i="9"/>
  <c r="I706" i="9"/>
  <c r="C706" i="9"/>
  <c r="D706" i="9"/>
  <c r="H706" i="9"/>
  <c r="X707" i="6"/>
  <c r="S708" i="6"/>
  <c r="P705" i="9"/>
  <c r="T706" i="9" l="1"/>
  <c r="Y711" i="6"/>
  <c r="C710" i="6"/>
  <c r="B711" i="6"/>
  <c r="D710" i="6"/>
  <c r="I710" i="6"/>
  <c r="J710" i="6" s="1"/>
  <c r="K710" i="6" s="1"/>
  <c r="H710" i="6"/>
  <c r="L710" i="6"/>
  <c r="P710" i="6" s="1"/>
  <c r="X708" i="6"/>
  <c r="S709" i="6"/>
  <c r="D707" i="9"/>
  <c r="C707" i="9"/>
  <c r="H707" i="9"/>
  <c r="B708" i="9"/>
  <c r="G707" i="9"/>
  <c r="I707" i="9"/>
  <c r="F707" i="9"/>
  <c r="E707" i="9"/>
  <c r="P706" i="9"/>
  <c r="T707" i="9" l="1"/>
  <c r="L711" i="6"/>
  <c r="P711" i="6" s="1"/>
  <c r="B712" i="6"/>
  <c r="C711" i="6"/>
  <c r="H711" i="6"/>
  <c r="I711" i="6"/>
  <c r="J711" i="6" s="1"/>
  <c r="K711" i="6" s="1"/>
  <c r="D711" i="6"/>
  <c r="Y712" i="6"/>
  <c r="B709" i="9"/>
  <c r="D708" i="9"/>
  <c r="H708" i="9"/>
  <c r="E708" i="9"/>
  <c r="I708" i="9"/>
  <c r="F708" i="9"/>
  <c r="G708" i="9"/>
  <c r="C708" i="9"/>
  <c r="X709" i="6"/>
  <c r="S710" i="6"/>
  <c r="P707" i="9"/>
  <c r="T708" i="9" l="1"/>
  <c r="C712" i="6"/>
  <c r="D712" i="6"/>
  <c r="H712" i="6"/>
  <c r="I712" i="6"/>
  <c r="J712" i="6" s="1"/>
  <c r="K712" i="6" s="1"/>
  <c r="Y713" i="6"/>
  <c r="L712" i="6"/>
  <c r="P712" i="6" s="1"/>
  <c r="B713" i="6"/>
  <c r="X710" i="6"/>
  <c r="S711" i="6"/>
  <c r="B710" i="9"/>
  <c r="F709" i="9"/>
  <c r="E709" i="9"/>
  <c r="H709" i="9"/>
  <c r="G709" i="9"/>
  <c r="D709" i="9"/>
  <c r="I709" i="9"/>
  <c r="C709" i="9"/>
  <c r="P708" i="9"/>
  <c r="T709" i="9" l="1"/>
  <c r="C713" i="6"/>
  <c r="Y714" i="6"/>
  <c r="D713" i="6"/>
  <c r="L713" i="6"/>
  <c r="P713" i="6" s="1"/>
  <c r="I713" i="6"/>
  <c r="J713" i="6" s="1"/>
  <c r="K713" i="6" s="1"/>
  <c r="H713" i="6"/>
  <c r="B714" i="6"/>
  <c r="H710" i="9"/>
  <c r="C710" i="9"/>
  <c r="G710" i="9"/>
  <c r="D710" i="9"/>
  <c r="B711" i="9"/>
  <c r="I710" i="9"/>
  <c r="E710" i="9"/>
  <c r="F710" i="9"/>
  <c r="X711" i="6"/>
  <c r="S712" i="6"/>
  <c r="P709" i="9"/>
  <c r="T710" i="9" l="1"/>
  <c r="H714" i="6"/>
  <c r="D714" i="6"/>
  <c r="B715" i="6"/>
  <c r="C714" i="6"/>
  <c r="Y715" i="6"/>
  <c r="L714" i="6"/>
  <c r="P714" i="6" s="1"/>
  <c r="I714" i="6"/>
  <c r="J714" i="6" s="1"/>
  <c r="K714" i="6" s="1"/>
  <c r="X712" i="6"/>
  <c r="S713" i="6"/>
  <c r="F711" i="9"/>
  <c r="G711" i="9"/>
  <c r="D711" i="9"/>
  <c r="C711" i="9"/>
  <c r="B712" i="9"/>
  <c r="H711" i="9"/>
  <c r="I711" i="9"/>
  <c r="E711" i="9"/>
  <c r="P710" i="9"/>
  <c r="T711" i="9" l="1"/>
  <c r="D715" i="6"/>
  <c r="I715" i="6"/>
  <c r="J715" i="6" s="1"/>
  <c r="K715" i="6" s="1"/>
  <c r="B716" i="6"/>
  <c r="L715" i="6"/>
  <c r="P715" i="6" s="1"/>
  <c r="H715" i="6"/>
  <c r="Y716" i="6"/>
  <c r="C715" i="6"/>
  <c r="C712" i="9"/>
  <c r="D712" i="9"/>
  <c r="B713" i="9"/>
  <c r="I712" i="9"/>
  <c r="P712" i="9" s="1"/>
  <c r="F712" i="9"/>
  <c r="E712" i="9"/>
  <c r="G712" i="9"/>
  <c r="H712" i="9"/>
  <c r="P711" i="9"/>
  <c r="X713" i="6"/>
  <c r="S714" i="6"/>
  <c r="T712" i="9" l="1"/>
  <c r="L716" i="6"/>
  <c r="D716" i="6"/>
  <c r="I716" i="6"/>
  <c r="J716" i="6" s="1"/>
  <c r="K716" i="6" s="1"/>
  <c r="Y717" i="6"/>
  <c r="C716" i="6"/>
  <c r="H716" i="6"/>
  <c r="B717" i="6"/>
  <c r="X714" i="6"/>
  <c r="S715" i="6"/>
  <c r="H713" i="9"/>
  <c r="F713" i="9"/>
  <c r="B714" i="9"/>
  <c r="I713" i="9"/>
  <c r="E713" i="9"/>
  <c r="D713" i="9"/>
  <c r="G713" i="9"/>
  <c r="C713" i="9"/>
  <c r="T713" i="9" l="1"/>
  <c r="B718" i="6"/>
  <c r="I717" i="6"/>
  <c r="J717" i="6" s="1"/>
  <c r="K717" i="6" s="1"/>
  <c r="C717" i="6"/>
  <c r="D717" i="6"/>
  <c r="L717" i="6"/>
  <c r="P717" i="6" s="1"/>
  <c r="H717" i="6"/>
  <c r="Y718" i="6"/>
  <c r="P716" i="6"/>
  <c r="I714" i="9"/>
  <c r="D714" i="9"/>
  <c r="G714" i="9"/>
  <c r="B715" i="9"/>
  <c r="C714" i="9"/>
  <c r="E714" i="9"/>
  <c r="F714" i="9"/>
  <c r="H714" i="9"/>
  <c r="P713" i="9"/>
  <c r="X715" i="6"/>
  <c r="S716" i="6"/>
  <c r="T714" i="9" l="1"/>
  <c r="H718" i="6"/>
  <c r="Y719" i="6"/>
  <c r="B719" i="6"/>
  <c r="L718" i="6"/>
  <c r="I718" i="6"/>
  <c r="J718" i="6" s="1"/>
  <c r="K718" i="6" s="1"/>
  <c r="C718" i="6"/>
  <c r="D718" i="6"/>
  <c r="X716" i="6"/>
  <c r="S717" i="6"/>
  <c r="B716" i="9"/>
  <c r="C715" i="9"/>
  <c r="I715" i="9"/>
  <c r="P715" i="9" s="1"/>
  <c r="G715" i="9"/>
  <c r="H715" i="9"/>
  <c r="D715" i="9"/>
  <c r="F715" i="9"/>
  <c r="E715" i="9"/>
  <c r="P714" i="9"/>
  <c r="T715" i="9" l="1"/>
  <c r="Y720" i="6"/>
  <c r="H719" i="6"/>
  <c r="D719" i="6"/>
  <c r="L719" i="6"/>
  <c r="B720" i="6"/>
  <c r="C719" i="6"/>
  <c r="I719" i="6"/>
  <c r="J719" i="6" s="1"/>
  <c r="K719" i="6" s="1"/>
  <c r="P718" i="6"/>
  <c r="G716" i="9"/>
  <c r="B717" i="9"/>
  <c r="I716" i="9"/>
  <c r="H716" i="9"/>
  <c r="D716" i="9"/>
  <c r="E716" i="9"/>
  <c r="F716" i="9"/>
  <c r="C716" i="9"/>
  <c r="X717" i="6"/>
  <c r="S718" i="6"/>
  <c r="T716" i="9" l="1"/>
  <c r="C720" i="6"/>
  <c r="D720" i="6"/>
  <c r="H720" i="6"/>
  <c r="Y721" i="6"/>
  <c r="L720" i="6"/>
  <c r="I720" i="6"/>
  <c r="J720" i="6" s="1"/>
  <c r="K720" i="6" s="1"/>
  <c r="B721" i="6"/>
  <c r="P719" i="6"/>
  <c r="X718" i="6"/>
  <c r="S719" i="6"/>
  <c r="G717" i="9"/>
  <c r="F717" i="9"/>
  <c r="B718" i="9"/>
  <c r="C717" i="9"/>
  <c r="E717" i="9"/>
  <c r="I717" i="9"/>
  <c r="D717" i="9"/>
  <c r="H717" i="9"/>
  <c r="P716" i="9"/>
  <c r="T717" i="9" l="1"/>
  <c r="B722" i="6"/>
  <c r="I721" i="6"/>
  <c r="J721" i="6" s="1"/>
  <c r="K721" i="6" s="1"/>
  <c r="C721" i="6"/>
  <c r="Y722" i="6"/>
  <c r="D721" i="6"/>
  <c r="L721" i="6"/>
  <c r="P721" i="6" s="1"/>
  <c r="H721" i="6"/>
  <c r="P720" i="6"/>
  <c r="P717" i="9"/>
  <c r="C718" i="9"/>
  <c r="E718" i="9"/>
  <c r="B719" i="9"/>
  <c r="H718" i="9"/>
  <c r="D718" i="9"/>
  <c r="F718" i="9"/>
  <c r="G718" i="9"/>
  <c r="I718" i="9"/>
  <c r="X719" i="6"/>
  <c r="S720" i="6"/>
  <c r="T718" i="9" l="1"/>
  <c r="I722" i="6"/>
  <c r="J722" i="6" s="1"/>
  <c r="K722" i="6" s="1"/>
  <c r="Y723" i="6"/>
  <c r="L722" i="6"/>
  <c r="P722" i="6" s="1"/>
  <c r="C722" i="6"/>
  <c r="D722" i="6"/>
  <c r="H722" i="6"/>
  <c r="B723" i="6"/>
  <c r="X720" i="6"/>
  <c r="S721" i="6"/>
  <c r="B720" i="9"/>
  <c r="G719" i="9"/>
  <c r="C719" i="9"/>
  <c r="I719" i="9"/>
  <c r="P719" i="9" s="1"/>
  <c r="D719" i="9"/>
  <c r="F719" i="9"/>
  <c r="H719" i="9"/>
  <c r="E719" i="9"/>
  <c r="P718" i="9"/>
  <c r="T719" i="9" l="1"/>
  <c r="Y724" i="6"/>
  <c r="C723" i="6"/>
  <c r="H723" i="6"/>
  <c r="I723" i="6"/>
  <c r="J723" i="6" s="1"/>
  <c r="K723" i="6" s="1"/>
  <c r="B724" i="6"/>
  <c r="L723" i="6"/>
  <c r="P723" i="6" s="1"/>
  <c r="D723" i="6"/>
  <c r="G720" i="9"/>
  <c r="E720" i="9"/>
  <c r="H720" i="9"/>
  <c r="C720" i="9"/>
  <c r="B721" i="9"/>
  <c r="D720" i="9"/>
  <c r="F720" i="9"/>
  <c r="I720" i="9"/>
  <c r="X721" i="6"/>
  <c r="S722" i="6"/>
  <c r="T720" i="9" l="1"/>
  <c r="Y725" i="6"/>
  <c r="D724" i="6"/>
  <c r="B725" i="6"/>
  <c r="I724" i="6"/>
  <c r="J724" i="6" s="1"/>
  <c r="K724" i="6" s="1"/>
  <c r="C724" i="6"/>
  <c r="L724" i="6"/>
  <c r="P724" i="6" s="1"/>
  <c r="H724" i="6"/>
  <c r="C721" i="9"/>
  <c r="F721" i="9"/>
  <c r="E721" i="9"/>
  <c r="G721" i="9"/>
  <c r="B722" i="9"/>
  <c r="I721" i="9"/>
  <c r="D721" i="9"/>
  <c r="H721" i="9"/>
  <c r="X722" i="6"/>
  <c r="S723" i="6"/>
  <c r="P720" i="9"/>
  <c r="T721" i="9" l="1"/>
  <c r="I725" i="6"/>
  <c r="J725" i="6" s="1"/>
  <c r="K725" i="6" s="1"/>
  <c r="C725" i="6"/>
  <c r="L725" i="6"/>
  <c r="P725" i="6" s="1"/>
  <c r="Y726" i="6"/>
  <c r="B726" i="6"/>
  <c r="D725" i="6"/>
  <c r="H725" i="6"/>
  <c r="X723" i="6"/>
  <c r="S724" i="6"/>
  <c r="E722" i="9"/>
  <c r="C722" i="9"/>
  <c r="D722" i="9"/>
  <c r="G722" i="9"/>
  <c r="H722" i="9"/>
  <c r="F722" i="9"/>
  <c r="I722" i="9"/>
  <c r="B723" i="9"/>
  <c r="P721" i="9"/>
  <c r="T722" i="9" l="1"/>
  <c r="D726" i="6"/>
  <c r="Y727" i="6"/>
  <c r="B727" i="6"/>
  <c r="H726" i="6"/>
  <c r="C726" i="6"/>
  <c r="L726" i="6"/>
  <c r="P726" i="6" s="1"/>
  <c r="I726" i="6"/>
  <c r="J726" i="6" s="1"/>
  <c r="K726" i="6" s="1"/>
  <c r="B724" i="9"/>
  <c r="G723" i="9"/>
  <c r="F723" i="9"/>
  <c r="D723" i="9"/>
  <c r="I723" i="9"/>
  <c r="C723" i="9"/>
  <c r="H723" i="9"/>
  <c r="E723" i="9"/>
  <c r="P722" i="9"/>
  <c r="X724" i="6"/>
  <c r="S725" i="6"/>
  <c r="T723" i="9" l="1"/>
  <c r="C727" i="6"/>
  <c r="Y728" i="6"/>
  <c r="L727" i="6"/>
  <c r="P727" i="6" s="1"/>
  <c r="I727" i="6"/>
  <c r="J727" i="6" s="1"/>
  <c r="K727" i="6" s="1"/>
  <c r="B728" i="6"/>
  <c r="D727" i="6"/>
  <c r="H727" i="6"/>
  <c r="X725" i="6"/>
  <c r="S726" i="6"/>
  <c r="B725" i="9"/>
  <c r="E724" i="9"/>
  <c r="G724" i="9"/>
  <c r="D724" i="9"/>
  <c r="C724" i="9"/>
  <c r="I724" i="9"/>
  <c r="H724" i="9"/>
  <c r="F724" i="9"/>
  <c r="P723" i="9"/>
  <c r="T724" i="9" l="1"/>
  <c r="C728" i="6"/>
  <c r="D728" i="6"/>
  <c r="L728" i="6"/>
  <c r="P728" i="6" s="1"/>
  <c r="Y729" i="6"/>
  <c r="I728" i="6"/>
  <c r="J728" i="6" s="1"/>
  <c r="K728" i="6" s="1"/>
  <c r="B729" i="6"/>
  <c r="H728" i="6"/>
  <c r="F725" i="9"/>
  <c r="G725" i="9"/>
  <c r="E725" i="9"/>
  <c r="H725" i="9"/>
  <c r="C725" i="9"/>
  <c r="D725" i="9"/>
  <c r="I725" i="9"/>
  <c r="B726" i="9"/>
  <c r="X726" i="6"/>
  <c r="S727" i="6"/>
  <c r="P724" i="9"/>
  <c r="T725" i="9" l="1"/>
  <c r="H729" i="6"/>
  <c r="C729" i="6"/>
  <c r="L729" i="6"/>
  <c r="P729" i="6" s="1"/>
  <c r="I729" i="6"/>
  <c r="J729" i="6" s="1"/>
  <c r="K729" i="6" s="1"/>
  <c r="Y730" i="6"/>
  <c r="B730" i="6"/>
  <c r="D729" i="6"/>
  <c r="C726" i="9"/>
  <c r="F726" i="9"/>
  <c r="E726" i="9"/>
  <c r="G726" i="9"/>
  <c r="B727" i="9"/>
  <c r="I726" i="9"/>
  <c r="D726" i="9"/>
  <c r="H726" i="9"/>
  <c r="X727" i="6"/>
  <c r="S728" i="6"/>
  <c r="P725" i="9"/>
  <c r="T726" i="9" l="1"/>
  <c r="B731" i="6"/>
  <c r="Y731" i="6"/>
  <c r="I730" i="6"/>
  <c r="J730" i="6" s="1"/>
  <c r="K730" i="6" s="1"/>
  <c r="D730" i="6"/>
  <c r="L730" i="6"/>
  <c r="P730" i="6" s="1"/>
  <c r="H730" i="6"/>
  <c r="C730" i="6"/>
  <c r="X728" i="6"/>
  <c r="S729" i="6"/>
  <c r="H727" i="9"/>
  <c r="F727" i="9"/>
  <c r="B728" i="9"/>
  <c r="G727" i="9"/>
  <c r="E727" i="9"/>
  <c r="C727" i="9"/>
  <c r="D727" i="9"/>
  <c r="I727" i="9"/>
  <c r="P726" i="9"/>
  <c r="T727" i="9" l="1"/>
  <c r="H731" i="6"/>
  <c r="I731" i="6"/>
  <c r="J731" i="6" s="1"/>
  <c r="K731" i="6" s="1"/>
  <c r="D731" i="6"/>
  <c r="B732" i="6"/>
  <c r="Y732" i="6"/>
  <c r="C731" i="6"/>
  <c r="L731" i="6"/>
  <c r="P731" i="6" s="1"/>
  <c r="I728" i="9"/>
  <c r="D728" i="9"/>
  <c r="F728" i="9"/>
  <c r="E728" i="9"/>
  <c r="G728" i="9"/>
  <c r="B729" i="9"/>
  <c r="C728" i="9"/>
  <c r="H728" i="9"/>
  <c r="P727" i="9"/>
  <c r="X729" i="6"/>
  <c r="S730" i="6"/>
  <c r="T728" i="9" l="1"/>
  <c r="C732" i="6"/>
  <c r="Y733" i="6"/>
  <c r="H732" i="6"/>
  <c r="D732" i="6"/>
  <c r="I732" i="6"/>
  <c r="J732" i="6" s="1"/>
  <c r="K732" i="6" s="1"/>
  <c r="B733" i="6"/>
  <c r="L732" i="6"/>
  <c r="X730" i="6"/>
  <c r="S731" i="6"/>
  <c r="F729" i="9"/>
  <c r="I729" i="9"/>
  <c r="P729" i="9" s="1"/>
  <c r="C729" i="9"/>
  <c r="B730" i="9"/>
  <c r="G729" i="9"/>
  <c r="H729" i="9"/>
  <c r="E729" i="9"/>
  <c r="D729" i="9"/>
  <c r="P728" i="9"/>
  <c r="T729" i="9" l="1"/>
  <c r="P732" i="6"/>
  <c r="L733" i="6"/>
  <c r="C733" i="6"/>
  <c r="H733" i="6"/>
  <c r="B734" i="6"/>
  <c r="Y734" i="6"/>
  <c r="D733" i="6"/>
  <c r="I733" i="6"/>
  <c r="J733" i="6" s="1"/>
  <c r="K733" i="6" s="1"/>
  <c r="C730" i="9"/>
  <c r="F730" i="9"/>
  <c r="B731" i="9"/>
  <c r="G730" i="9"/>
  <c r="E730" i="9"/>
  <c r="H730" i="9"/>
  <c r="I730" i="9"/>
  <c r="D730" i="9"/>
  <c r="X731" i="6"/>
  <c r="S732" i="6"/>
  <c r="T730" i="9" l="1"/>
  <c r="Y735" i="6"/>
  <c r="L734" i="6"/>
  <c r="P734" i="6" s="1"/>
  <c r="B735" i="6"/>
  <c r="C734" i="6"/>
  <c r="D734" i="6"/>
  <c r="I734" i="6"/>
  <c r="J734" i="6" s="1"/>
  <c r="K734" i="6" s="1"/>
  <c r="H734" i="6"/>
  <c r="P733" i="6"/>
  <c r="C731" i="9"/>
  <c r="E731" i="9"/>
  <c r="G731" i="9"/>
  <c r="H731" i="9"/>
  <c r="I731" i="9"/>
  <c r="P731" i="9" s="1"/>
  <c r="D731" i="9"/>
  <c r="F731" i="9"/>
  <c r="B732" i="9"/>
  <c r="X732" i="6"/>
  <c r="S733" i="6"/>
  <c r="P730" i="9"/>
  <c r="T731" i="9" l="1"/>
  <c r="Y736" i="6"/>
  <c r="H735" i="6"/>
  <c r="I735" i="6"/>
  <c r="J735" i="6" s="1"/>
  <c r="K735" i="6" s="1"/>
  <c r="C735" i="6"/>
  <c r="L735" i="6"/>
  <c r="P735" i="6" s="1"/>
  <c r="D735" i="6"/>
  <c r="B736" i="6"/>
  <c r="F732" i="9"/>
  <c r="E732" i="9"/>
  <c r="B733" i="9"/>
  <c r="D732" i="9"/>
  <c r="C732" i="9"/>
  <c r="H732" i="9"/>
  <c r="I732" i="9"/>
  <c r="P732" i="9" s="1"/>
  <c r="G732" i="9"/>
  <c r="X733" i="6"/>
  <c r="S734" i="6"/>
  <c r="T732" i="9" l="1"/>
  <c r="H736" i="6"/>
  <c r="I736" i="6"/>
  <c r="J736" i="6" s="1"/>
  <c r="K736" i="6" s="1"/>
  <c r="D736" i="6"/>
  <c r="Y737" i="6"/>
  <c r="B737" i="6"/>
  <c r="C736" i="6"/>
  <c r="L736" i="6"/>
  <c r="P736" i="6" s="1"/>
  <c r="F733" i="9"/>
  <c r="C733" i="9"/>
  <c r="I733" i="9"/>
  <c r="P733" i="9" s="1"/>
  <c r="G733" i="9"/>
  <c r="B734" i="9"/>
  <c r="E733" i="9"/>
  <c r="H733" i="9"/>
  <c r="D733" i="9"/>
  <c r="X734" i="6"/>
  <c r="S735" i="6"/>
  <c r="T733" i="9" l="1"/>
  <c r="Y738" i="6"/>
  <c r="H737" i="6"/>
  <c r="B738" i="6"/>
  <c r="D737" i="6"/>
  <c r="C737" i="6"/>
  <c r="L737" i="6"/>
  <c r="I737" i="6"/>
  <c r="J737" i="6" s="1"/>
  <c r="K737" i="6" s="1"/>
  <c r="X735" i="6"/>
  <c r="S736" i="6"/>
  <c r="G734" i="9"/>
  <c r="I734" i="9"/>
  <c r="P734" i="9" s="1"/>
  <c r="C734" i="9"/>
  <c r="D734" i="9"/>
  <c r="H734" i="9"/>
  <c r="F734" i="9"/>
  <c r="B735" i="9"/>
  <c r="E734" i="9"/>
  <c r="T734" i="9" l="1"/>
  <c r="P737" i="6"/>
  <c r="I738" i="6"/>
  <c r="J738" i="6" s="1"/>
  <c r="K738" i="6" s="1"/>
  <c r="B739" i="6"/>
  <c r="H738" i="6"/>
  <c r="C738" i="6"/>
  <c r="L738" i="6"/>
  <c r="P738" i="6" s="1"/>
  <c r="D738" i="6"/>
  <c r="Y739" i="6"/>
  <c r="B736" i="9"/>
  <c r="I735" i="9"/>
  <c r="P735" i="9" s="1"/>
  <c r="C735" i="9"/>
  <c r="D735" i="9"/>
  <c r="F735" i="9"/>
  <c r="H735" i="9"/>
  <c r="G735" i="9"/>
  <c r="E735" i="9"/>
  <c r="X736" i="6"/>
  <c r="S737" i="6"/>
  <c r="T735" i="9" l="1"/>
  <c r="H739" i="6"/>
  <c r="Y740" i="6"/>
  <c r="L739" i="6"/>
  <c r="B740" i="6"/>
  <c r="I739" i="6"/>
  <c r="J739" i="6" s="1"/>
  <c r="K739" i="6" s="1"/>
  <c r="D739" i="6"/>
  <c r="C739" i="6"/>
  <c r="X737" i="6"/>
  <c r="S738" i="6"/>
  <c r="H736" i="9"/>
  <c r="F736" i="9"/>
  <c r="C736" i="9"/>
  <c r="B737" i="9"/>
  <c r="G736" i="9"/>
  <c r="I736" i="9"/>
  <c r="D736" i="9"/>
  <c r="E736" i="9"/>
  <c r="T736" i="9" l="1"/>
  <c r="D740" i="6"/>
  <c r="L740" i="6"/>
  <c r="P740" i="6" s="1"/>
  <c r="C740" i="6"/>
  <c r="I740" i="6"/>
  <c r="J740" i="6" s="1"/>
  <c r="K740" i="6" s="1"/>
  <c r="Y741" i="6"/>
  <c r="H740" i="6"/>
  <c r="B741" i="6"/>
  <c r="P739" i="6"/>
  <c r="C737" i="9"/>
  <c r="E737" i="9"/>
  <c r="G737" i="9"/>
  <c r="I737" i="9"/>
  <c r="P737" i="9" s="1"/>
  <c r="F737" i="9"/>
  <c r="B738" i="9"/>
  <c r="H737" i="9"/>
  <c r="D737" i="9"/>
  <c r="X738" i="6"/>
  <c r="S739" i="6"/>
  <c r="P736" i="9"/>
  <c r="T737" i="9" l="1"/>
  <c r="H741" i="6"/>
  <c r="Y742" i="6"/>
  <c r="D741" i="6"/>
  <c r="B742" i="6"/>
  <c r="I741" i="6"/>
  <c r="J741" i="6" s="1"/>
  <c r="K741" i="6" s="1"/>
  <c r="C741" i="6"/>
  <c r="L741" i="6"/>
  <c r="P741" i="6" s="1"/>
  <c r="X739" i="6"/>
  <c r="S740" i="6"/>
  <c r="B739" i="9"/>
  <c r="F738" i="9"/>
  <c r="G738" i="9"/>
  <c r="E738" i="9"/>
  <c r="H738" i="9"/>
  <c r="D738" i="9"/>
  <c r="C738" i="9"/>
  <c r="I738" i="9"/>
  <c r="P738" i="9" s="1"/>
  <c r="T738" i="9" l="1"/>
  <c r="I742" i="6"/>
  <c r="J742" i="6" s="1"/>
  <c r="K742" i="6" s="1"/>
  <c r="D742" i="6"/>
  <c r="L742" i="6"/>
  <c r="P742" i="6" s="1"/>
  <c r="Y743" i="6"/>
  <c r="C742" i="6"/>
  <c r="H742" i="6"/>
  <c r="B743" i="6"/>
  <c r="H739" i="9"/>
  <c r="C739" i="9"/>
  <c r="I739" i="9"/>
  <c r="E739" i="9"/>
  <c r="F739" i="9"/>
  <c r="B740" i="9"/>
  <c r="D739" i="9"/>
  <c r="G739" i="9"/>
  <c r="X740" i="6"/>
  <c r="S741" i="6"/>
  <c r="T739" i="9" l="1"/>
  <c r="L743" i="6"/>
  <c r="Y744" i="6"/>
  <c r="D743" i="6"/>
  <c r="H743" i="6"/>
  <c r="C743" i="6"/>
  <c r="I743" i="6"/>
  <c r="J743" i="6" s="1"/>
  <c r="K743" i="6" s="1"/>
  <c r="B744" i="6"/>
  <c r="X741" i="6"/>
  <c r="S742" i="6"/>
  <c r="G740" i="9"/>
  <c r="D740" i="9"/>
  <c r="E740" i="9"/>
  <c r="B741" i="9"/>
  <c r="C740" i="9"/>
  <c r="F740" i="9"/>
  <c r="H740" i="9"/>
  <c r="I740" i="9"/>
  <c r="P739" i="9"/>
  <c r="T740" i="9" l="1"/>
  <c r="H744" i="6"/>
  <c r="I744" i="6"/>
  <c r="J744" i="6" s="1"/>
  <c r="K744" i="6" s="1"/>
  <c r="C744" i="6"/>
  <c r="Y745" i="6"/>
  <c r="D744" i="6"/>
  <c r="B745" i="6"/>
  <c r="L744" i="6"/>
  <c r="P744" i="6" s="1"/>
  <c r="P743" i="6"/>
  <c r="P740" i="9"/>
  <c r="F741" i="9"/>
  <c r="C741" i="9"/>
  <c r="I741" i="9"/>
  <c r="P741" i="9" s="1"/>
  <c r="B742" i="9"/>
  <c r="H741" i="9"/>
  <c r="E741" i="9"/>
  <c r="D741" i="9"/>
  <c r="G741" i="9"/>
  <c r="X742" i="6"/>
  <c r="S743" i="6"/>
  <c r="T741" i="9" l="1"/>
  <c r="H745" i="6"/>
  <c r="Y746" i="6"/>
  <c r="B746" i="6"/>
  <c r="D745" i="6"/>
  <c r="I745" i="6"/>
  <c r="J745" i="6" s="1"/>
  <c r="K745" i="6" s="1"/>
  <c r="L745" i="6"/>
  <c r="P745" i="6" s="1"/>
  <c r="C745" i="6"/>
  <c r="D742" i="9"/>
  <c r="I742" i="9"/>
  <c r="P742" i="9" s="1"/>
  <c r="B743" i="9"/>
  <c r="H742" i="9"/>
  <c r="G742" i="9"/>
  <c r="C742" i="9"/>
  <c r="E742" i="9"/>
  <c r="F742" i="9"/>
  <c r="X743" i="6"/>
  <c r="S744" i="6"/>
  <c r="T742" i="9" l="1"/>
  <c r="H746" i="6"/>
  <c r="L746" i="6"/>
  <c r="D746" i="6"/>
  <c r="I746" i="6"/>
  <c r="J746" i="6" s="1"/>
  <c r="K746" i="6" s="1"/>
  <c r="B747" i="6"/>
  <c r="Y747" i="6"/>
  <c r="C746" i="6"/>
  <c r="D743" i="9"/>
  <c r="I743" i="9"/>
  <c r="F743" i="9"/>
  <c r="C743" i="9"/>
  <c r="G743" i="9"/>
  <c r="B744" i="9"/>
  <c r="H743" i="9"/>
  <c r="E743" i="9"/>
  <c r="X744" i="6"/>
  <c r="S745" i="6"/>
  <c r="T743" i="9" l="1"/>
  <c r="B748" i="6"/>
  <c r="I747" i="6"/>
  <c r="J747" i="6" s="1"/>
  <c r="K747" i="6" s="1"/>
  <c r="C747" i="6"/>
  <c r="H747" i="6"/>
  <c r="D747" i="6"/>
  <c r="Y748" i="6"/>
  <c r="L747" i="6"/>
  <c r="P747" i="6" s="1"/>
  <c r="P746" i="6"/>
  <c r="P743" i="9"/>
  <c r="X745" i="6"/>
  <c r="S746" i="6"/>
  <c r="E744" i="9"/>
  <c r="B745" i="9"/>
  <c r="F744" i="9"/>
  <c r="C744" i="9"/>
  <c r="I744" i="9"/>
  <c r="G744" i="9"/>
  <c r="H744" i="9"/>
  <c r="D744" i="9"/>
  <c r="T744" i="9" l="1"/>
  <c r="H748" i="6"/>
  <c r="B749" i="6"/>
  <c r="I748" i="6"/>
  <c r="J748" i="6" s="1"/>
  <c r="K748" i="6" s="1"/>
  <c r="L748" i="6"/>
  <c r="P748" i="6" s="1"/>
  <c r="D748" i="6"/>
  <c r="C748" i="6"/>
  <c r="Y749" i="6"/>
  <c r="G745" i="9"/>
  <c r="H745" i="9"/>
  <c r="F745" i="9"/>
  <c r="I745" i="9"/>
  <c r="P745" i="9" s="1"/>
  <c r="E745" i="9"/>
  <c r="C745" i="9"/>
  <c r="D745" i="9"/>
  <c r="B746" i="9"/>
  <c r="X746" i="6"/>
  <c r="S747" i="6"/>
  <c r="P744" i="9"/>
  <c r="T745" i="9" l="1"/>
  <c r="C749" i="6"/>
  <c r="H749" i="6"/>
  <c r="L749" i="6"/>
  <c r="I749" i="6"/>
  <c r="J749" i="6" s="1"/>
  <c r="K749" i="6" s="1"/>
  <c r="B750" i="6"/>
  <c r="Y750" i="6"/>
  <c r="D749" i="6"/>
  <c r="F746" i="9"/>
  <c r="E746" i="9"/>
  <c r="H746" i="9"/>
  <c r="I746" i="9"/>
  <c r="P746" i="9" s="1"/>
  <c r="G746" i="9"/>
  <c r="C746" i="9"/>
  <c r="B747" i="9"/>
  <c r="D746" i="9"/>
  <c r="X747" i="6"/>
  <c r="S748" i="6"/>
  <c r="T746" i="9" l="1"/>
  <c r="B751" i="6"/>
  <c r="C750" i="6"/>
  <c r="H750" i="6"/>
  <c r="L750" i="6"/>
  <c r="P750" i="6" s="1"/>
  <c r="Y751" i="6"/>
  <c r="D750" i="6"/>
  <c r="I750" i="6"/>
  <c r="J750" i="6" s="1"/>
  <c r="K750" i="6" s="1"/>
  <c r="P749" i="6"/>
  <c r="B748" i="9"/>
  <c r="E747" i="9"/>
  <c r="F747" i="9"/>
  <c r="G747" i="9"/>
  <c r="H747" i="9"/>
  <c r="C747" i="9"/>
  <c r="D747" i="9"/>
  <c r="I747" i="9"/>
  <c r="P747" i="9" s="1"/>
  <c r="X748" i="6"/>
  <c r="S749" i="6"/>
  <c r="T747" i="9" l="1"/>
  <c r="H751" i="6"/>
  <c r="D751" i="6"/>
  <c r="L751" i="6"/>
  <c r="B752" i="6"/>
  <c r="Y752" i="6"/>
  <c r="I751" i="6"/>
  <c r="J751" i="6" s="1"/>
  <c r="K751" i="6" s="1"/>
  <c r="C751" i="6"/>
  <c r="X749" i="6"/>
  <c r="S750" i="6"/>
  <c r="E748" i="9"/>
  <c r="C748" i="9"/>
  <c r="D748" i="9"/>
  <c r="I748" i="9"/>
  <c r="P748" i="9" s="1"/>
  <c r="B749" i="9"/>
  <c r="H748" i="9"/>
  <c r="G748" i="9"/>
  <c r="F748" i="9"/>
  <c r="T748" i="9" l="1"/>
  <c r="Y753" i="6"/>
  <c r="B753" i="6"/>
  <c r="C752" i="6"/>
  <c r="H752" i="6"/>
  <c r="I752" i="6"/>
  <c r="J752" i="6" s="1"/>
  <c r="K752" i="6" s="1"/>
  <c r="L752" i="6"/>
  <c r="P752" i="6" s="1"/>
  <c r="D752" i="6"/>
  <c r="P751" i="6"/>
  <c r="I749" i="9"/>
  <c r="G749" i="9"/>
  <c r="D749" i="9"/>
  <c r="F749" i="9"/>
  <c r="H749" i="9"/>
  <c r="B750" i="9"/>
  <c r="C749" i="9"/>
  <c r="E749" i="9"/>
  <c r="X750" i="6"/>
  <c r="S751" i="6"/>
  <c r="T749" i="9" l="1"/>
  <c r="B754" i="6"/>
  <c r="D753" i="6"/>
  <c r="L753" i="6"/>
  <c r="Y754" i="6"/>
  <c r="H753" i="6"/>
  <c r="I753" i="6"/>
  <c r="J753" i="6" s="1"/>
  <c r="K753" i="6" s="1"/>
  <c r="C753" i="6"/>
  <c r="X751" i="6"/>
  <c r="S752" i="6"/>
  <c r="G750" i="9"/>
  <c r="H750" i="9"/>
  <c r="C750" i="9"/>
  <c r="F750" i="9"/>
  <c r="D750" i="9"/>
  <c r="I750" i="9"/>
  <c r="B751" i="9"/>
  <c r="E750" i="9"/>
  <c r="P749" i="9"/>
  <c r="T750" i="9" l="1"/>
  <c r="P753" i="6"/>
  <c r="B755" i="6"/>
  <c r="I754" i="6"/>
  <c r="J754" i="6" s="1"/>
  <c r="K754" i="6" s="1"/>
  <c r="C754" i="6"/>
  <c r="Y755" i="6"/>
  <c r="D754" i="6"/>
  <c r="H754" i="6"/>
  <c r="L754" i="6"/>
  <c r="C751" i="9"/>
  <c r="D751" i="9"/>
  <c r="F751" i="9"/>
  <c r="I751" i="9"/>
  <c r="P751" i="9" s="1"/>
  <c r="B752" i="9"/>
  <c r="H751" i="9"/>
  <c r="E751" i="9"/>
  <c r="G751" i="9"/>
  <c r="X752" i="6"/>
  <c r="S753" i="6"/>
  <c r="P750" i="9"/>
  <c r="T751" i="9" l="1"/>
  <c r="B756" i="6"/>
  <c r="Y756" i="6"/>
  <c r="H755" i="6"/>
  <c r="C755" i="6"/>
  <c r="L755" i="6"/>
  <c r="P755" i="6" s="1"/>
  <c r="D755" i="6"/>
  <c r="I755" i="6"/>
  <c r="J755" i="6" s="1"/>
  <c r="K755" i="6" s="1"/>
  <c r="P754" i="6"/>
  <c r="X753" i="6"/>
  <c r="S754" i="6"/>
  <c r="I752" i="9"/>
  <c r="P752" i="9" s="1"/>
  <c r="B753" i="9"/>
  <c r="C752" i="9"/>
  <c r="H752" i="9"/>
  <c r="G752" i="9"/>
  <c r="F752" i="9"/>
  <c r="D752" i="9"/>
  <c r="E752" i="9"/>
  <c r="T752" i="9" l="1"/>
  <c r="C756" i="6"/>
  <c r="L756" i="6"/>
  <c r="H756" i="6"/>
  <c r="Y757" i="6"/>
  <c r="B757" i="6"/>
  <c r="D756" i="6"/>
  <c r="I756" i="6"/>
  <c r="J756" i="6" s="1"/>
  <c r="K756" i="6" s="1"/>
  <c r="E753" i="9"/>
  <c r="C753" i="9"/>
  <c r="H753" i="9"/>
  <c r="G753" i="9"/>
  <c r="B754" i="9"/>
  <c r="I753" i="9"/>
  <c r="P753" i="9" s="1"/>
  <c r="D753" i="9"/>
  <c r="F753" i="9"/>
  <c r="X754" i="6"/>
  <c r="S755" i="6"/>
  <c r="T753" i="9" l="1"/>
  <c r="I757" i="6"/>
  <c r="J757" i="6" s="1"/>
  <c r="K757" i="6" s="1"/>
  <c r="C757" i="6"/>
  <c r="D757" i="6"/>
  <c r="B758" i="6"/>
  <c r="Y758" i="6"/>
  <c r="L757" i="6"/>
  <c r="P757" i="6" s="1"/>
  <c r="H757" i="6"/>
  <c r="P756" i="6"/>
  <c r="X755" i="6"/>
  <c r="S756" i="6"/>
  <c r="G754" i="9"/>
  <c r="D754" i="9"/>
  <c r="H754" i="9"/>
  <c r="B755" i="9"/>
  <c r="F754" i="9"/>
  <c r="I754" i="9"/>
  <c r="E754" i="9"/>
  <c r="C754" i="9"/>
  <c r="T754" i="9" l="1"/>
  <c r="H758" i="6"/>
  <c r="D758" i="6"/>
  <c r="L758" i="6"/>
  <c r="P758" i="6" s="1"/>
  <c r="C758" i="6"/>
  <c r="B759" i="6"/>
  <c r="I758" i="6"/>
  <c r="J758" i="6" s="1"/>
  <c r="K758" i="6" s="1"/>
  <c r="Y759" i="6"/>
  <c r="D755" i="9"/>
  <c r="F755" i="9"/>
  <c r="C755" i="9"/>
  <c r="H755" i="9"/>
  <c r="I755" i="9"/>
  <c r="G755" i="9"/>
  <c r="E755" i="9"/>
  <c r="B756" i="9"/>
  <c r="P754" i="9"/>
  <c r="X756" i="6"/>
  <c r="S757" i="6"/>
  <c r="T755" i="9" l="1"/>
  <c r="D759" i="6"/>
  <c r="H759" i="6"/>
  <c r="L759" i="6"/>
  <c r="C759" i="6"/>
  <c r="B760" i="6"/>
  <c r="I759" i="6"/>
  <c r="J759" i="6" s="1"/>
  <c r="K759" i="6" s="1"/>
  <c r="Y760" i="6"/>
  <c r="C756" i="9"/>
  <c r="G756" i="9"/>
  <c r="F756" i="9"/>
  <c r="I756" i="9"/>
  <c r="D756" i="9"/>
  <c r="H756" i="9"/>
  <c r="E756" i="9"/>
  <c r="B757" i="9"/>
  <c r="X757" i="6"/>
  <c r="S758" i="6"/>
  <c r="P755" i="9"/>
  <c r="T756" i="9" l="1"/>
  <c r="H760" i="6"/>
  <c r="B761" i="6"/>
  <c r="C760" i="6"/>
  <c r="D760" i="6"/>
  <c r="I760" i="6"/>
  <c r="J760" i="6" s="1"/>
  <c r="K760" i="6" s="1"/>
  <c r="Y761" i="6"/>
  <c r="L760" i="6"/>
  <c r="P760" i="6" s="1"/>
  <c r="P759" i="6"/>
  <c r="X758" i="6"/>
  <c r="S759" i="6"/>
  <c r="C757" i="9"/>
  <c r="G757" i="9"/>
  <c r="B758" i="9"/>
  <c r="F757" i="9"/>
  <c r="H757" i="9"/>
  <c r="E757" i="9"/>
  <c r="I757" i="9"/>
  <c r="D757" i="9"/>
  <c r="P756" i="9"/>
  <c r="T757" i="9" l="1"/>
  <c r="I761" i="6"/>
  <c r="J761" i="6" s="1"/>
  <c r="K761" i="6" s="1"/>
  <c r="H761" i="6"/>
  <c r="B762" i="6"/>
  <c r="C761" i="6"/>
  <c r="D761" i="6"/>
  <c r="Y762" i="6"/>
  <c r="L761" i="6"/>
  <c r="P761" i="6" s="1"/>
  <c r="E758" i="9"/>
  <c r="I758" i="9"/>
  <c r="F758" i="9"/>
  <c r="D758" i="9"/>
  <c r="C758" i="9"/>
  <c r="H758" i="9"/>
  <c r="G758" i="9"/>
  <c r="B759" i="9"/>
  <c r="P757" i="9"/>
  <c r="X759" i="6"/>
  <c r="S760" i="6"/>
  <c r="T758" i="9" l="1"/>
  <c r="D762" i="6"/>
  <c r="I762" i="6"/>
  <c r="J762" i="6" s="1"/>
  <c r="K762" i="6" s="1"/>
  <c r="Y763" i="6"/>
  <c r="L762" i="6"/>
  <c r="P762" i="6" s="1"/>
  <c r="H762" i="6"/>
  <c r="B763" i="6"/>
  <c r="C762" i="6"/>
  <c r="F759" i="9"/>
  <c r="E759" i="9"/>
  <c r="C759" i="9"/>
  <c r="D759" i="9"/>
  <c r="H759" i="9"/>
  <c r="B760" i="9"/>
  <c r="G759" i="9"/>
  <c r="I759" i="9"/>
  <c r="X760" i="6"/>
  <c r="S761" i="6"/>
  <c r="P758" i="9"/>
  <c r="T759" i="9" l="1"/>
  <c r="C763" i="6"/>
  <c r="L763" i="6"/>
  <c r="P763" i="6" s="1"/>
  <c r="D763" i="6"/>
  <c r="H763" i="6"/>
  <c r="I763" i="6"/>
  <c r="J763" i="6" s="1"/>
  <c r="K763" i="6" s="1"/>
  <c r="B764" i="6"/>
  <c r="Y764" i="6"/>
  <c r="I760" i="9"/>
  <c r="P760" i="9" s="1"/>
  <c r="F760" i="9"/>
  <c r="C760" i="9"/>
  <c r="G760" i="9"/>
  <c r="H760" i="9"/>
  <c r="D760" i="9"/>
  <c r="B761" i="9"/>
  <c r="E760" i="9"/>
  <c r="X761" i="6"/>
  <c r="S762" i="6"/>
  <c r="P759" i="9"/>
  <c r="T760" i="9" l="1"/>
  <c r="I764" i="6"/>
  <c r="J764" i="6" s="1"/>
  <c r="K764" i="6" s="1"/>
  <c r="C764" i="6"/>
  <c r="Y765" i="6"/>
  <c r="H764" i="6"/>
  <c r="B765" i="6"/>
  <c r="D764" i="6"/>
  <c r="L764" i="6"/>
  <c r="G761" i="9"/>
  <c r="B762" i="9"/>
  <c r="H761" i="9"/>
  <c r="D761" i="9"/>
  <c r="C761" i="9"/>
  <c r="I761" i="9"/>
  <c r="P761" i="9" s="1"/>
  <c r="E761" i="9"/>
  <c r="F761" i="9"/>
  <c r="X762" i="6"/>
  <c r="S763" i="6"/>
  <c r="T761" i="9" l="1"/>
  <c r="P764" i="6"/>
  <c r="L765" i="6"/>
  <c r="I765" i="6"/>
  <c r="J765" i="6" s="1"/>
  <c r="K765" i="6" s="1"/>
  <c r="Y766" i="6"/>
  <c r="H765" i="6"/>
  <c r="B766" i="6"/>
  <c r="C765" i="6"/>
  <c r="D765" i="6"/>
  <c r="X763" i="6"/>
  <c r="S764" i="6"/>
  <c r="F762" i="9"/>
  <c r="C762" i="9"/>
  <c r="B763" i="9"/>
  <c r="G762" i="9"/>
  <c r="I762" i="9"/>
  <c r="P762" i="9" s="1"/>
  <c r="D762" i="9"/>
  <c r="E762" i="9"/>
  <c r="H762" i="9"/>
  <c r="T762" i="9" l="1"/>
  <c r="H766" i="6"/>
  <c r="L766" i="6"/>
  <c r="P766" i="6" s="1"/>
  <c r="B767" i="6"/>
  <c r="Y767" i="6"/>
  <c r="I766" i="6"/>
  <c r="J766" i="6" s="1"/>
  <c r="K766" i="6" s="1"/>
  <c r="C766" i="6"/>
  <c r="D766" i="6"/>
  <c r="P765" i="6"/>
  <c r="X764" i="6"/>
  <c r="S765" i="6"/>
  <c r="C763" i="9"/>
  <c r="D763" i="9"/>
  <c r="F763" i="9"/>
  <c r="H763" i="9"/>
  <c r="E763" i="9"/>
  <c r="B764" i="9"/>
  <c r="G763" i="9"/>
  <c r="I763" i="9"/>
  <c r="T763" i="9" l="1"/>
  <c r="H767" i="6"/>
  <c r="L767" i="6"/>
  <c r="P767" i="6" s="1"/>
  <c r="B768" i="6"/>
  <c r="D767" i="6"/>
  <c r="I767" i="6"/>
  <c r="J767" i="6" s="1"/>
  <c r="K767" i="6" s="1"/>
  <c r="Y768" i="6"/>
  <c r="C767" i="6"/>
  <c r="F764" i="9"/>
  <c r="G764" i="9"/>
  <c r="I764" i="9"/>
  <c r="C764" i="9"/>
  <c r="H764" i="9"/>
  <c r="B765" i="9"/>
  <c r="E764" i="9"/>
  <c r="D764" i="9"/>
  <c r="X765" i="6"/>
  <c r="S766" i="6"/>
  <c r="P763" i="9"/>
  <c r="T764" i="9" l="1"/>
  <c r="Y769" i="6"/>
  <c r="L768" i="6"/>
  <c r="P768" i="6" s="1"/>
  <c r="C768" i="6"/>
  <c r="I768" i="6"/>
  <c r="J768" i="6" s="1"/>
  <c r="K768" i="6" s="1"/>
  <c r="H768" i="6"/>
  <c r="D768" i="6"/>
  <c r="B769" i="6"/>
  <c r="X766" i="6"/>
  <c r="S767" i="6"/>
  <c r="D765" i="9"/>
  <c r="F765" i="9"/>
  <c r="E765" i="9"/>
  <c r="G765" i="9"/>
  <c r="I765" i="9"/>
  <c r="P765" i="9" s="1"/>
  <c r="B766" i="9"/>
  <c r="C765" i="9"/>
  <c r="H765" i="9"/>
  <c r="P764" i="9"/>
  <c r="T765" i="9" l="1"/>
  <c r="C769" i="6"/>
  <c r="H769" i="6"/>
  <c r="D769" i="6"/>
  <c r="Y770" i="6"/>
  <c r="L769" i="6"/>
  <c r="P769" i="6" s="1"/>
  <c r="B770" i="6"/>
  <c r="I769" i="6"/>
  <c r="J769" i="6" s="1"/>
  <c r="K769" i="6" s="1"/>
  <c r="I766" i="9"/>
  <c r="P766" i="9" s="1"/>
  <c r="G766" i="9"/>
  <c r="H766" i="9"/>
  <c r="F766" i="9"/>
  <c r="C766" i="9"/>
  <c r="B767" i="9"/>
  <c r="E766" i="9"/>
  <c r="D766" i="9"/>
  <c r="X767" i="6"/>
  <c r="S768" i="6"/>
  <c r="T766" i="9" l="1"/>
  <c r="L770" i="6"/>
  <c r="I770" i="6"/>
  <c r="J770" i="6" s="1"/>
  <c r="K770" i="6" s="1"/>
  <c r="D770" i="6"/>
  <c r="H770" i="6"/>
  <c r="C770" i="6"/>
  <c r="B771" i="6"/>
  <c r="Y771" i="6"/>
  <c r="X768" i="6"/>
  <c r="S769" i="6"/>
  <c r="H767" i="9"/>
  <c r="D767" i="9"/>
  <c r="F767" i="9"/>
  <c r="E767" i="9"/>
  <c r="C767" i="9"/>
  <c r="I767" i="9"/>
  <c r="P767" i="9" s="1"/>
  <c r="B768" i="9"/>
  <c r="G767" i="9"/>
  <c r="T767" i="9" l="1"/>
  <c r="C771" i="6"/>
  <c r="D771" i="6"/>
  <c r="I771" i="6"/>
  <c r="J771" i="6" s="1"/>
  <c r="K771" i="6" s="1"/>
  <c r="H771" i="6"/>
  <c r="Y772" i="6"/>
  <c r="B772" i="6"/>
  <c r="L771" i="6"/>
  <c r="P771" i="6" s="1"/>
  <c r="P770" i="6"/>
  <c r="B769" i="9"/>
  <c r="F768" i="9"/>
  <c r="D768" i="9"/>
  <c r="E768" i="9"/>
  <c r="H768" i="9"/>
  <c r="C768" i="9"/>
  <c r="I768" i="9"/>
  <c r="G768" i="9"/>
  <c r="X769" i="6"/>
  <c r="S770" i="6"/>
  <c r="T768" i="9" l="1"/>
  <c r="Y773" i="6"/>
  <c r="D772" i="6"/>
  <c r="I772" i="6"/>
  <c r="J772" i="6" s="1"/>
  <c r="K772" i="6" s="1"/>
  <c r="L772" i="6"/>
  <c r="P772" i="6" s="1"/>
  <c r="H772" i="6"/>
  <c r="B773" i="6"/>
  <c r="C772" i="6"/>
  <c r="X770" i="6"/>
  <c r="S771" i="6"/>
  <c r="C769" i="9"/>
  <c r="B770" i="9"/>
  <c r="F769" i="9"/>
  <c r="E769" i="9"/>
  <c r="D769" i="9"/>
  <c r="G769" i="9"/>
  <c r="I769" i="9"/>
  <c r="P769" i="9" s="1"/>
  <c r="H769" i="9"/>
  <c r="P768" i="9"/>
  <c r="T769" i="9" l="1"/>
  <c r="B774" i="6"/>
  <c r="I773" i="6"/>
  <c r="J773" i="6" s="1"/>
  <c r="K773" i="6" s="1"/>
  <c r="Y774" i="6"/>
  <c r="H773" i="6"/>
  <c r="L773" i="6"/>
  <c r="C773" i="6"/>
  <c r="D773" i="6"/>
  <c r="X771" i="6"/>
  <c r="S772" i="6"/>
  <c r="D770" i="9"/>
  <c r="B771" i="9"/>
  <c r="C770" i="9"/>
  <c r="G770" i="9"/>
  <c r="H770" i="9"/>
  <c r="I770" i="9"/>
  <c r="P770" i="9" s="1"/>
  <c r="F770" i="9"/>
  <c r="E770" i="9"/>
  <c r="T770" i="9" l="1"/>
  <c r="P773" i="6"/>
  <c r="B775" i="6"/>
  <c r="C774" i="6"/>
  <c r="H774" i="6"/>
  <c r="I774" i="6"/>
  <c r="J774" i="6" s="1"/>
  <c r="K774" i="6" s="1"/>
  <c r="L774" i="6"/>
  <c r="P774" i="6" s="1"/>
  <c r="Y775" i="6"/>
  <c r="D774" i="6"/>
  <c r="C771" i="9"/>
  <c r="D771" i="9"/>
  <c r="F771" i="9"/>
  <c r="I771" i="9"/>
  <c r="B772" i="9"/>
  <c r="G771" i="9"/>
  <c r="E771" i="9"/>
  <c r="H771" i="9"/>
  <c r="X772" i="6"/>
  <c r="S773" i="6"/>
  <c r="T771" i="9" l="1"/>
  <c r="C775" i="6"/>
  <c r="I775" i="6"/>
  <c r="J775" i="6" s="1"/>
  <c r="K775" i="6" s="1"/>
  <c r="Y776" i="6"/>
  <c r="L775" i="6"/>
  <c r="D775" i="6"/>
  <c r="B776" i="6"/>
  <c r="H775" i="6"/>
  <c r="X773" i="6"/>
  <c r="S774" i="6"/>
  <c r="H772" i="9"/>
  <c r="E772" i="9"/>
  <c r="I772" i="9"/>
  <c r="B773" i="9"/>
  <c r="C772" i="9"/>
  <c r="D772" i="9"/>
  <c r="G772" i="9"/>
  <c r="F772" i="9"/>
  <c r="P771" i="9"/>
  <c r="T772" i="9" l="1"/>
  <c r="D776" i="6"/>
  <c r="L776" i="6"/>
  <c r="P776" i="6" s="1"/>
  <c r="Y777" i="6"/>
  <c r="I776" i="6"/>
  <c r="J776" i="6" s="1"/>
  <c r="K776" i="6" s="1"/>
  <c r="H776" i="6"/>
  <c r="C776" i="6"/>
  <c r="B777" i="6"/>
  <c r="P775" i="6"/>
  <c r="X774" i="6"/>
  <c r="S775" i="6"/>
  <c r="C773" i="9"/>
  <c r="H773" i="9"/>
  <c r="G773" i="9"/>
  <c r="E773" i="9"/>
  <c r="I773" i="9"/>
  <c r="P773" i="9" s="1"/>
  <c r="F773" i="9"/>
  <c r="D773" i="9"/>
  <c r="B774" i="9"/>
  <c r="P772" i="9"/>
  <c r="T773" i="9" l="1"/>
  <c r="L777" i="6"/>
  <c r="D777" i="6"/>
  <c r="B778" i="6"/>
  <c r="H777" i="6"/>
  <c r="I777" i="6"/>
  <c r="J777" i="6" s="1"/>
  <c r="K777" i="6" s="1"/>
  <c r="C777" i="6"/>
  <c r="Y778" i="6"/>
  <c r="G774" i="9"/>
  <c r="E774" i="9"/>
  <c r="F774" i="9"/>
  <c r="C774" i="9"/>
  <c r="I774" i="9"/>
  <c r="P774" i="9" s="1"/>
  <c r="H774" i="9"/>
  <c r="D774" i="9"/>
  <c r="B775" i="9"/>
  <c r="X775" i="6"/>
  <c r="S776" i="6"/>
  <c r="T774" i="9" l="1"/>
  <c r="B779" i="6"/>
  <c r="D778" i="6"/>
  <c r="L778" i="6"/>
  <c r="P778" i="6" s="1"/>
  <c r="Y779" i="6"/>
  <c r="C778" i="6"/>
  <c r="I778" i="6"/>
  <c r="J778" i="6" s="1"/>
  <c r="K778" i="6" s="1"/>
  <c r="H778" i="6"/>
  <c r="P777" i="6"/>
  <c r="C775" i="9"/>
  <c r="E775" i="9"/>
  <c r="B776" i="9"/>
  <c r="H775" i="9"/>
  <c r="I775" i="9"/>
  <c r="P775" i="9" s="1"/>
  <c r="D775" i="9"/>
  <c r="F775" i="9"/>
  <c r="G775" i="9"/>
  <c r="X776" i="6"/>
  <c r="S777" i="6"/>
  <c r="T775" i="9" l="1"/>
  <c r="I779" i="6"/>
  <c r="J779" i="6" s="1"/>
  <c r="K779" i="6" s="1"/>
  <c r="L779" i="6"/>
  <c r="P779" i="6" s="1"/>
  <c r="Y780" i="6"/>
  <c r="B780" i="6"/>
  <c r="D779" i="6"/>
  <c r="C779" i="6"/>
  <c r="H779" i="6"/>
  <c r="C776" i="9"/>
  <c r="I776" i="9"/>
  <c r="P776" i="9" s="1"/>
  <c r="B777" i="9"/>
  <c r="D776" i="9"/>
  <c r="G776" i="9"/>
  <c r="F776" i="9"/>
  <c r="E776" i="9"/>
  <c r="H776" i="9"/>
  <c r="X777" i="6"/>
  <c r="S778" i="6"/>
  <c r="T776" i="9" l="1"/>
  <c r="H780" i="6"/>
  <c r="D780" i="6"/>
  <c r="C780" i="6"/>
  <c r="I780" i="6"/>
  <c r="J780" i="6" s="1"/>
  <c r="K780" i="6" s="1"/>
  <c r="B781" i="6"/>
  <c r="L780" i="6"/>
  <c r="Y781" i="6"/>
  <c r="X778" i="6"/>
  <c r="S779" i="6"/>
  <c r="F777" i="9"/>
  <c r="I777" i="9"/>
  <c r="P777" i="9" s="1"/>
  <c r="D777" i="9"/>
  <c r="E777" i="9"/>
  <c r="C777" i="9"/>
  <c r="H777" i="9"/>
  <c r="B778" i="9"/>
  <c r="G777" i="9"/>
  <c r="T777" i="9" l="1"/>
  <c r="P780" i="6"/>
  <c r="B782" i="6"/>
  <c r="I781" i="6"/>
  <c r="J781" i="6" s="1"/>
  <c r="K781" i="6" s="1"/>
  <c r="D781" i="6"/>
  <c r="H781" i="6"/>
  <c r="L781" i="6"/>
  <c r="Y782" i="6"/>
  <c r="C781" i="6"/>
  <c r="B779" i="9"/>
  <c r="E778" i="9"/>
  <c r="I778" i="9"/>
  <c r="H778" i="9"/>
  <c r="G778" i="9"/>
  <c r="C778" i="9"/>
  <c r="D778" i="9"/>
  <c r="F778" i="9"/>
  <c r="X779" i="6"/>
  <c r="S780" i="6"/>
  <c r="T778" i="9" l="1"/>
  <c r="C782" i="6"/>
  <c r="I782" i="6"/>
  <c r="J782" i="6" s="1"/>
  <c r="K782" i="6" s="1"/>
  <c r="D782" i="6"/>
  <c r="H782" i="6"/>
  <c r="L782" i="6"/>
  <c r="Y783" i="6"/>
  <c r="B783" i="6"/>
  <c r="P781" i="6"/>
  <c r="F779" i="9"/>
  <c r="C779" i="9"/>
  <c r="G779" i="9"/>
  <c r="E779" i="9"/>
  <c r="D779" i="9"/>
  <c r="H779" i="9"/>
  <c r="B780" i="9"/>
  <c r="I779" i="9"/>
  <c r="P779" i="9" s="1"/>
  <c r="X780" i="6"/>
  <c r="S781" i="6"/>
  <c r="P778" i="9"/>
  <c r="T779" i="9" l="1"/>
  <c r="L783" i="6"/>
  <c r="P783" i="6" s="1"/>
  <c r="I783" i="6"/>
  <c r="J783" i="6" s="1"/>
  <c r="K783" i="6" s="1"/>
  <c r="Y784" i="6"/>
  <c r="C783" i="6"/>
  <c r="D783" i="6"/>
  <c r="H783" i="6"/>
  <c r="B784" i="6"/>
  <c r="P782" i="6"/>
  <c r="X781" i="6"/>
  <c r="S782" i="6"/>
  <c r="D780" i="9"/>
  <c r="B781" i="9"/>
  <c r="H780" i="9"/>
  <c r="C780" i="9"/>
  <c r="G780" i="9"/>
  <c r="F780" i="9"/>
  <c r="I780" i="9"/>
  <c r="P780" i="9" s="1"/>
  <c r="E780" i="9"/>
  <c r="T780" i="9" l="1"/>
  <c r="D784" i="6"/>
  <c r="H784" i="6"/>
  <c r="Y785" i="6"/>
  <c r="B785" i="6"/>
  <c r="C784" i="6"/>
  <c r="I784" i="6"/>
  <c r="J784" i="6" s="1"/>
  <c r="K784" i="6" s="1"/>
  <c r="L784" i="6"/>
  <c r="E781" i="9"/>
  <c r="D781" i="9"/>
  <c r="B782" i="9"/>
  <c r="C781" i="9"/>
  <c r="H781" i="9"/>
  <c r="I781" i="9"/>
  <c r="P781" i="9" s="1"/>
  <c r="F781" i="9"/>
  <c r="G781" i="9"/>
  <c r="X782" i="6"/>
  <c r="S783" i="6"/>
  <c r="T781" i="9" l="1"/>
  <c r="P784" i="6"/>
  <c r="L785" i="6"/>
  <c r="D785" i="6"/>
  <c r="Y786" i="6"/>
  <c r="B786" i="6"/>
  <c r="I785" i="6"/>
  <c r="J785" i="6" s="1"/>
  <c r="K785" i="6" s="1"/>
  <c r="C785" i="6"/>
  <c r="H785" i="6"/>
  <c r="X783" i="6"/>
  <c r="S784" i="6"/>
  <c r="G782" i="9"/>
  <c r="D782" i="9"/>
  <c r="B783" i="9"/>
  <c r="E782" i="9"/>
  <c r="C782" i="9"/>
  <c r="H782" i="9"/>
  <c r="F782" i="9"/>
  <c r="I782" i="9"/>
  <c r="T782" i="9" l="1"/>
  <c r="H786" i="6"/>
  <c r="I786" i="6"/>
  <c r="J786" i="6" s="1"/>
  <c r="K786" i="6" s="1"/>
  <c r="D786" i="6"/>
  <c r="B787" i="6"/>
  <c r="L786" i="6"/>
  <c r="Y787" i="6"/>
  <c r="C786" i="6"/>
  <c r="P785" i="6"/>
  <c r="G783" i="9"/>
  <c r="H783" i="9"/>
  <c r="D783" i="9"/>
  <c r="F783" i="9"/>
  <c r="E783" i="9"/>
  <c r="B784" i="9"/>
  <c r="I783" i="9"/>
  <c r="C783" i="9"/>
  <c r="X784" i="6"/>
  <c r="S785" i="6"/>
  <c r="P782" i="9"/>
  <c r="T783" i="9" l="1"/>
  <c r="P786" i="6"/>
  <c r="Y788" i="6"/>
  <c r="D787" i="6"/>
  <c r="C787" i="6"/>
  <c r="I787" i="6"/>
  <c r="J787" i="6" s="1"/>
  <c r="K787" i="6" s="1"/>
  <c r="B788" i="6"/>
  <c r="H787" i="6"/>
  <c r="L787" i="6"/>
  <c r="P787" i="6" s="1"/>
  <c r="X785" i="6"/>
  <c r="S786" i="6"/>
  <c r="B785" i="9"/>
  <c r="I784" i="9"/>
  <c r="P784" i="9" s="1"/>
  <c r="F784" i="9"/>
  <c r="D784" i="9"/>
  <c r="E784" i="9"/>
  <c r="H784" i="9"/>
  <c r="C784" i="9"/>
  <c r="G784" i="9"/>
  <c r="P783" i="9"/>
  <c r="T784" i="9" l="1"/>
  <c r="H788" i="6"/>
  <c r="D788" i="6"/>
  <c r="Y789" i="6"/>
  <c r="I788" i="6"/>
  <c r="J788" i="6" s="1"/>
  <c r="K788" i="6" s="1"/>
  <c r="B789" i="6"/>
  <c r="C788" i="6"/>
  <c r="L788" i="6"/>
  <c r="P788" i="6" s="1"/>
  <c r="E785" i="9"/>
  <c r="B786" i="9"/>
  <c r="I785" i="9"/>
  <c r="P785" i="9" s="1"/>
  <c r="F785" i="9"/>
  <c r="G785" i="9"/>
  <c r="C785" i="9"/>
  <c r="D785" i="9"/>
  <c r="H785" i="9"/>
  <c r="X786" i="6"/>
  <c r="S787" i="6"/>
  <c r="T785" i="9" l="1"/>
  <c r="L789" i="6"/>
  <c r="P789" i="6" s="1"/>
  <c r="Y790" i="6"/>
  <c r="C789" i="6"/>
  <c r="D789" i="6"/>
  <c r="B790" i="6"/>
  <c r="H789" i="6"/>
  <c r="I789" i="6"/>
  <c r="J789" i="6" s="1"/>
  <c r="K789" i="6" s="1"/>
  <c r="X787" i="6"/>
  <c r="S788" i="6"/>
  <c r="I786" i="9"/>
  <c r="P786" i="9" s="1"/>
  <c r="C786" i="9"/>
  <c r="G786" i="9"/>
  <c r="H786" i="9"/>
  <c r="E786" i="9"/>
  <c r="F786" i="9"/>
  <c r="B787" i="9"/>
  <c r="D786" i="9"/>
  <c r="T786" i="9" l="1"/>
  <c r="D790" i="6"/>
  <c r="C790" i="6"/>
  <c r="H790" i="6"/>
  <c r="I790" i="6"/>
  <c r="J790" i="6" s="1"/>
  <c r="K790" i="6" s="1"/>
  <c r="Y791" i="6"/>
  <c r="L790" i="6"/>
  <c r="B791" i="6"/>
  <c r="F787" i="9"/>
  <c r="C787" i="9"/>
  <c r="B788" i="9"/>
  <c r="E787" i="9"/>
  <c r="I787" i="9"/>
  <c r="P787" i="9" s="1"/>
  <c r="G787" i="9"/>
  <c r="D787" i="9"/>
  <c r="H787" i="9"/>
  <c r="X788" i="6"/>
  <c r="S789" i="6"/>
  <c r="T787" i="9" l="1"/>
  <c r="P790" i="6"/>
  <c r="D791" i="6"/>
  <c r="C791" i="6"/>
  <c r="B792" i="6"/>
  <c r="L791" i="6"/>
  <c r="H791" i="6"/>
  <c r="Y792" i="6"/>
  <c r="I791" i="6"/>
  <c r="J791" i="6" s="1"/>
  <c r="K791" i="6" s="1"/>
  <c r="X789" i="6"/>
  <c r="S790" i="6"/>
  <c r="B789" i="9"/>
  <c r="H788" i="9"/>
  <c r="D788" i="9"/>
  <c r="C788" i="9"/>
  <c r="G788" i="9"/>
  <c r="E788" i="9"/>
  <c r="I788" i="9"/>
  <c r="F788" i="9"/>
  <c r="T788" i="9" l="1"/>
  <c r="L792" i="6"/>
  <c r="I792" i="6"/>
  <c r="J792" i="6" s="1"/>
  <c r="K792" i="6" s="1"/>
  <c r="B793" i="6"/>
  <c r="D792" i="6"/>
  <c r="H792" i="6"/>
  <c r="C792" i="6"/>
  <c r="Y793" i="6"/>
  <c r="P791" i="6"/>
  <c r="P788" i="9"/>
  <c r="C789" i="9"/>
  <c r="I789" i="9"/>
  <c r="P789" i="9" s="1"/>
  <c r="F789" i="9"/>
  <c r="H789" i="9"/>
  <c r="G789" i="9"/>
  <c r="D789" i="9"/>
  <c r="E789" i="9"/>
  <c r="B790" i="9"/>
  <c r="X790" i="6"/>
  <c r="S791" i="6"/>
  <c r="T789" i="9" l="1"/>
  <c r="I793" i="6"/>
  <c r="J793" i="6" s="1"/>
  <c r="K793" i="6" s="1"/>
  <c r="L793" i="6"/>
  <c r="P793" i="6" s="1"/>
  <c r="H793" i="6"/>
  <c r="Y794" i="6"/>
  <c r="B794" i="6"/>
  <c r="D793" i="6"/>
  <c r="C793" i="6"/>
  <c r="P792" i="6"/>
  <c r="X791" i="6"/>
  <c r="S792" i="6"/>
  <c r="B791" i="9"/>
  <c r="E790" i="9"/>
  <c r="D790" i="9"/>
  <c r="C790" i="9"/>
  <c r="I790" i="9"/>
  <c r="F790" i="9"/>
  <c r="H790" i="9"/>
  <c r="G790" i="9"/>
  <c r="T790" i="9" l="1"/>
  <c r="B795" i="6"/>
  <c r="H794" i="6"/>
  <c r="Y795" i="6"/>
  <c r="D794" i="6"/>
  <c r="L794" i="6"/>
  <c r="I794" i="6"/>
  <c r="J794" i="6" s="1"/>
  <c r="K794" i="6" s="1"/>
  <c r="C794" i="6"/>
  <c r="P790" i="9"/>
  <c r="E791" i="9"/>
  <c r="I791" i="9"/>
  <c r="G791" i="9"/>
  <c r="D791" i="9"/>
  <c r="B792" i="9"/>
  <c r="C791" i="9"/>
  <c r="H791" i="9"/>
  <c r="F791" i="9"/>
  <c r="X792" i="6"/>
  <c r="S793" i="6"/>
  <c r="T791" i="9" l="1"/>
  <c r="P794" i="6"/>
  <c r="B796" i="6"/>
  <c r="Y796" i="6"/>
  <c r="C795" i="6"/>
  <c r="I795" i="6"/>
  <c r="J795" i="6" s="1"/>
  <c r="K795" i="6" s="1"/>
  <c r="D795" i="6"/>
  <c r="H795" i="6"/>
  <c r="L795" i="6"/>
  <c r="X793" i="6"/>
  <c r="S794" i="6"/>
  <c r="F792" i="9"/>
  <c r="B793" i="9"/>
  <c r="H792" i="9"/>
  <c r="D792" i="9"/>
  <c r="G792" i="9"/>
  <c r="I792" i="9"/>
  <c r="P792" i="9" s="1"/>
  <c r="C792" i="9"/>
  <c r="E792" i="9"/>
  <c r="P791" i="9"/>
  <c r="T792" i="9" l="1"/>
  <c r="C796" i="6"/>
  <c r="L796" i="6"/>
  <c r="P796" i="6" s="1"/>
  <c r="D796" i="6"/>
  <c r="H796" i="6"/>
  <c r="B797" i="6"/>
  <c r="Y797" i="6"/>
  <c r="I796" i="6"/>
  <c r="J796" i="6" s="1"/>
  <c r="K796" i="6" s="1"/>
  <c r="P795" i="6"/>
  <c r="X794" i="6"/>
  <c r="S795" i="6"/>
  <c r="F793" i="9"/>
  <c r="E793" i="9"/>
  <c r="H793" i="9"/>
  <c r="D793" i="9"/>
  <c r="C793" i="9"/>
  <c r="G793" i="9"/>
  <c r="I793" i="9"/>
  <c r="P793" i="9" s="1"/>
  <c r="B794" i="9"/>
  <c r="T793" i="9" l="1"/>
  <c r="Y798" i="6"/>
  <c r="I797" i="6"/>
  <c r="J797" i="6" s="1"/>
  <c r="K797" i="6" s="1"/>
  <c r="D797" i="6"/>
  <c r="H797" i="6"/>
  <c r="L797" i="6"/>
  <c r="P797" i="6" s="1"/>
  <c r="C797" i="6"/>
  <c r="B798" i="6"/>
  <c r="E794" i="9"/>
  <c r="D794" i="9"/>
  <c r="B795" i="9"/>
  <c r="H794" i="9"/>
  <c r="C794" i="9"/>
  <c r="G794" i="9"/>
  <c r="F794" i="9"/>
  <c r="I794" i="9"/>
  <c r="X795" i="6"/>
  <c r="S796" i="6"/>
  <c r="T794" i="9" l="1"/>
  <c r="B799" i="6"/>
  <c r="H798" i="6"/>
  <c r="I798" i="6"/>
  <c r="J798" i="6" s="1"/>
  <c r="K798" i="6" s="1"/>
  <c r="L798" i="6"/>
  <c r="P798" i="6" s="1"/>
  <c r="Y799" i="6"/>
  <c r="C798" i="6"/>
  <c r="D798" i="6"/>
  <c r="E795" i="9"/>
  <c r="D795" i="9"/>
  <c r="G795" i="9"/>
  <c r="B796" i="9"/>
  <c r="I795" i="9"/>
  <c r="C795" i="9"/>
  <c r="H795" i="9"/>
  <c r="F795" i="9"/>
  <c r="X796" i="6"/>
  <c r="S797" i="6"/>
  <c r="P794" i="9"/>
  <c r="T795" i="9" l="1"/>
  <c r="B800" i="6"/>
  <c r="I799" i="6"/>
  <c r="J799" i="6" s="1"/>
  <c r="K799" i="6" s="1"/>
  <c r="Y800" i="6"/>
  <c r="H799" i="6"/>
  <c r="C799" i="6"/>
  <c r="D799" i="6"/>
  <c r="L799" i="6"/>
  <c r="X797" i="6"/>
  <c r="S798" i="6"/>
  <c r="B797" i="9"/>
  <c r="C796" i="9"/>
  <c r="I796" i="9"/>
  <c r="P796" i="9" s="1"/>
  <c r="E796" i="9"/>
  <c r="G796" i="9"/>
  <c r="D796" i="9"/>
  <c r="F796" i="9"/>
  <c r="H796" i="9"/>
  <c r="P795" i="9"/>
  <c r="T796" i="9" l="1"/>
  <c r="P799" i="6"/>
  <c r="C800" i="6"/>
  <c r="D800" i="6"/>
  <c r="Y801" i="6"/>
  <c r="L800" i="6"/>
  <c r="P800" i="6" s="1"/>
  <c r="H800" i="6"/>
  <c r="B801" i="6"/>
  <c r="I800" i="6"/>
  <c r="J800" i="6" s="1"/>
  <c r="K800" i="6" s="1"/>
  <c r="X798" i="6"/>
  <c r="S799" i="6"/>
  <c r="C797" i="9"/>
  <c r="G797" i="9"/>
  <c r="B798" i="9"/>
  <c r="H797" i="9"/>
  <c r="F797" i="9"/>
  <c r="E797" i="9"/>
  <c r="I797" i="9"/>
  <c r="D797" i="9"/>
  <c r="T797" i="9" l="1"/>
  <c r="L801" i="6"/>
  <c r="C801" i="6"/>
  <c r="I801" i="6"/>
  <c r="J801" i="6" s="1"/>
  <c r="K801" i="6" s="1"/>
  <c r="H801" i="6"/>
  <c r="Y802" i="6"/>
  <c r="B802" i="6"/>
  <c r="D801" i="6"/>
  <c r="X799" i="6"/>
  <c r="S800" i="6"/>
  <c r="F798" i="9"/>
  <c r="D798" i="9"/>
  <c r="G798" i="9"/>
  <c r="H798" i="9"/>
  <c r="I798" i="9"/>
  <c r="C798" i="9"/>
  <c r="E798" i="9"/>
  <c r="B799" i="9"/>
  <c r="P797" i="9"/>
  <c r="T798" i="9" l="1"/>
  <c r="H802" i="6"/>
  <c r="D802" i="6"/>
  <c r="B803" i="6"/>
  <c r="Y803" i="6"/>
  <c r="L802" i="6"/>
  <c r="P802" i="6" s="1"/>
  <c r="C802" i="6"/>
  <c r="I802" i="6"/>
  <c r="J802" i="6" s="1"/>
  <c r="K802" i="6" s="1"/>
  <c r="P801" i="6"/>
  <c r="F799" i="9"/>
  <c r="E799" i="9"/>
  <c r="H799" i="9"/>
  <c r="C799" i="9"/>
  <c r="D799" i="9"/>
  <c r="B800" i="9"/>
  <c r="I799" i="9"/>
  <c r="G799" i="9"/>
  <c r="X800" i="6"/>
  <c r="S801" i="6"/>
  <c r="P798" i="9"/>
  <c r="T799" i="9" l="1"/>
  <c r="L803" i="6"/>
  <c r="P803" i="6" s="1"/>
  <c r="C803" i="6"/>
  <c r="D803" i="6"/>
  <c r="B804" i="6"/>
  <c r="Y804" i="6"/>
  <c r="H803" i="6"/>
  <c r="I803" i="6"/>
  <c r="J803" i="6" s="1"/>
  <c r="K803" i="6" s="1"/>
  <c r="X801" i="6"/>
  <c r="S802" i="6"/>
  <c r="I800" i="9"/>
  <c r="P800" i="9" s="1"/>
  <c r="F800" i="9"/>
  <c r="E800" i="9"/>
  <c r="H800" i="9"/>
  <c r="B801" i="9"/>
  <c r="D800" i="9"/>
  <c r="C800" i="9"/>
  <c r="G800" i="9"/>
  <c r="P799" i="9"/>
  <c r="T800" i="9" l="1"/>
  <c r="I804" i="6"/>
  <c r="J804" i="6" s="1"/>
  <c r="K804" i="6" s="1"/>
  <c r="Y805" i="6"/>
  <c r="L804" i="6"/>
  <c r="P804" i="6" s="1"/>
  <c r="H804" i="6"/>
  <c r="B805" i="6"/>
  <c r="D804" i="6"/>
  <c r="C804" i="6"/>
  <c r="G801" i="9"/>
  <c r="D801" i="9"/>
  <c r="H801" i="9"/>
  <c r="E801" i="9"/>
  <c r="I801" i="9"/>
  <c r="P801" i="9" s="1"/>
  <c r="B802" i="9"/>
  <c r="C801" i="9"/>
  <c r="F801" i="9"/>
  <c r="X802" i="6"/>
  <c r="S803" i="6"/>
  <c r="T801" i="9" l="1"/>
  <c r="Y806" i="6"/>
  <c r="D805" i="6"/>
  <c r="I805" i="6"/>
  <c r="J805" i="6" s="1"/>
  <c r="K805" i="6" s="1"/>
  <c r="H805" i="6"/>
  <c r="L805" i="6"/>
  <c r="P805" i="6" s="1"/>
  <c r="B806" i="6"/>
  <c r="C805" i="6"/>
  <c r="X803" i="6"/>
  <c r="S804" i="6"/>
  <c r="I802" i="9"/>
  <c r="G802" i="9"/>
  <c r="B803" i="9"/>
  <c r="E802" i="9"/>
  <c r="F802" i="9"/>
  <c r="D802" i="9"/>
  <c r="C802" i="9"/>
  <c r="H802" i="9"/>
  <c r="T802" i="9" l="1"/>
  <c r="D806" i="6"/>
  <c r="I806" i="6"/>
  <c r="J806" i="6" s="1"/>
  <c r="K806" i="6" s="1"/>
  <c r="Y807" i="6"/>
  <c r="B807" i="6"/>
  <c r="L806" i="6"/>
  <c r="P806" i="6" s="1"/>
  <c r="H806" i="6"/>
  <c r="C806" i="6"/>
  <c r="H803" i="9"/>
  <c r="I803" i="9"/>
  <c r="P803" i="9" s="1"/>
  <c r="G803" i="9"/>
  <c r="B804" i="9"/>
  <c r="E803" i="9"/>
  <c r="C803" i="9"/>
  <c r="F803" i="9"/>
  <c r="D803" i="9"/>
  <c r="X804" i="6"/>
  <c r="S805" i="6"/>
  <c r="P802" i="9"/>
  <c r="T803" i="9" l="1"/>
  <c r="Y808" i="6"/>
  <c r="C807" i="6"/>
  <c r="I807" i="6"/>
  <c r="J807" i="6" s="1"/>
  <c r="K807" i="6" s="1"/>
  <c r="H807" i="6"/>
  <c r="L807" i="6"/>
  <c r="D807" i="6"/>
  <c r="B808" i="6"/>
  <c r="X805" i="6"/>
  <c r="S806" i="6"/>
  <c r="D804" i="9"/>
  <c r="H804" i="9"/>
  <c r="C804" i="9"/>
  <c r="E804" i="9"/>
  <c r="G804" i="9"/>
  <c r="I804" i="9"/>
  <c r="B805" i="9"/>
  <c r="F804" i="9"/>
  <c r="T804" i="9" l="1"/>
  <c r="B809" i="6"/>
  <c r="C808" i="6"/>
  <c r="L808" i="6"/>
  <c r="P808" i="6" s="1"/>
  <c r="Y809" i="6"/>
  <c r="H808" i="6"/>
  <c r="D808" i="6"/>
  <c r="I808" i="6"/>
  <c r="J808" i="6" s="1"/>
  <c r="K808" i="6" s="1"/>
  <c r="P807" i="6"/>
  <c r="P804" i="9"/>
  <c r="G805" i="9"/>
  <c r="F805" i="9"/>
  <c r="C805" i="9"/>
  <c r="I805" i="9"/>
  <c r="B806" i="9"/>
  <c r="E805" i="9"/>
  <c r="D805" i="9"/>
  <c r="H805" i="9"/>
  <c r="X806" i="6"/>
  <c r="S807" i="6"/>
  <c r="T805" i="9" l="1"/>
  <c r="I809" i="6"/>
  <c r="J809" i="6" s="1"/>
  <c r="K809" i="6" s="1"/>
  <c r="B810" i="6"/>
  <c r="D809" i="6"/>
  <c r="C809" i="6"/>
  <c r="L809" i="6"/>
  <c r="P809" i="6" s="1"/>
  <c r="Y810" i="6"/>
  <c r="H809" i="6"/>
  <c r="X807" i="6"/>
  <c r="S808" i="6"/>
  <c r="E806" i="9"/>
  <c r="D806" i="9"/>
  <c r="B807" i="9"/>
  <c r="F806" i="9"/>
  <c r="G806" i="9"/>
  <c r="H806" i="9"/>
  <c r="I806" i="9"/>
  <c r="C806" i="9"/>
  <c r="P805" i="9"/>
  <c r="T806" i="9" l="1"/>
  <c r="L810" i="6"/>
  <c r="B811" i="6"/>
  <c r="Y811" i="6"/>
  <c r="I810" i="6"/>
  <c r="J810" i="6" s="1"/>
  <c r="K810" i="6" s="1"/>
  <c r="C810" i="6"/>
  <c r="H810" i="6"/>
  <c r="D810" i="6"/>
  <c r="E807" i="9"/>
  <c r="D807" i="9"/>
  <c r="F807" i="9"/>
  <c r="G807" i="9"/>
  <c r="H807" i="9"/>
  <c r="B808" i="9"/>
  <c r="C807" i="9"/>
  <c r="I807" i="9"/>
  <c r="X808" i="6"/>
  <c r="S809" i="6"/>
  <c r="P806" i="9"/>
  <c r="T807" i="9" l="1"/>
  <c r="C811" i="6"/>
  <c r="I811" i="6"/>
  <c r="J811" i="6" s="1"/>
  <c r="K811" i="6" s="1"/>
  <c r="B812" i="6"/>
  <c r="L811" i="6"/>
  <c r="P811" i="6" s="1"/>
  <c r="D811" i="6"/>
  <c r="Y812" i="6"/>
  <c r="H811" i="6"/>
  <c r="P810" i="6"/>
  <c r="C808" i="9"/>
  <c r="B809" i="9"/>
  <c r="H808" i="9"/>
  <c r="I808" i="9"/>
  <c r="P808" i="9" s="1"/>
  <c r="F808" i="9"/>
  <c r="E808" i="9"/>
  <c r="G808" i="9"/>
  <c r="D808" i="9"/>
  <c r="X809" i="6"/>
  <c r="S810" i="6"/>
  <c r="P807" i="9"/>
  <c r="T808" i="9" l="1"/>
  <c r="I812" i="6"/>
  <c r="J812" i="6" s="1"/>
  <c r="K812" i="6" s="1"/>
  <c r="B813" i="6"/>
  <c r="Y813" i="6"/>
  <c r="D812" i="6"/>
  <c r="H812" i="6"/>
  <c r="L812" i="6"/>
  <c r="P812" i="6" s="1"/>
  <c r="C812" i="6"/>
  <c r="X810" i="6"/>
  <c r="S811" i="6"/>
  <c r="E809" i="9"/>
  <c r="F809" i="9"/>
  <c r="H809" i="9"/>
  <c r="I809" i="9"/>
  <c r="P809" i="9" s="1"/>
  <c r="B810" i="9"/>
  <c r="D809" i="9"/>
  <c r="G809" i="9"/>
  <c r="C809" i="9"/>
  <c r="T809" i="9" l="1"/>
  <c r="H813" i="6"/>
  <c r="B814" i="6"/>
  <c r="L813" i="6"/>
  <c r="C813" i="6"/>
  <c r="D813" i="6"/>
  <c r="Y814" i="6"/>
  <c r="I813" i="6"/>
  <c r="J813" i="6" s="1"/>
  <c r="K813" i="6" s="1"/>
  <c r="X811" i="6"/>
  <c r="S812" i="6"/>
  <c r="D810" i="9"/>
  <c r="C810" i="9"/>
  <c r="G810" i="9"/>
  <c r="F810" i="9"/>
  <c r="B811" i="9"/>
  <c r="H810" i="9"/>
  <c r="I810" i="9"/>
  <c r="E810" i="9"/>
  <c r="T810" i="9" l="1"/>
  <c r="P813" i="6"/>
  <c r="Y815" i="6"/>
  <c r="C814" i="6"/>
  <c r="I814" i="6"/>
  <c r="J814" i="6" s="1"/>
  <c r="K814" i="6" s="1"/>
  <c r="B815" i="6"/>
  <c r="L814" i="6"/>
  <c r="H814" i="6"/>
  <c r="D814" i="6"/>
  <c r="H811" i="9"/>
  <c r="I811" i="9"/>
  <c r="E811" i="9"/>
  <c r="B812" i="9"/>
  <c r="F811" i="9"/>
  <c r="C811" i="9"/>
  <c r="D811" i="9"/>
  <c r="G811" i="9"/>
  <c r="X812" i="6"/>
  <c r="S813" i="6"/>
  <c r="P810" i="9"/>
  <c r="T811" i="9" l="1"/>
  <c r="H815" i="6"/>
  <c r="I815" i="6"/>
  <c r="J815" i="6" s="1"/>
  <c r="K815" i="6" s="1"/>
  <c r="C815" i="6"/>
  <c r="D815" i="6"/>
  <c r="L815" i="6"/>
  <c r="P815" i="6" s="1"/>
  <c r="B816" i="6"/>
  <c r="Y816" i="6"/>
  <c r="P814" i="6"/>
  <c r="X813" i="6"/>
  <c r="S814" i="6"/>
  <c r="P811" i="9"/>
  <c r="G812" i="9"/>
  <c r="E812" i="9"/>
  <c r="D812" i="9"/>
  <c r="H812" i="9"/>
  <c r="B813" i="9"/>
  <c r="I812" i="9"/>
  <c r="P812" i="9" s="1"/>
  <c r="F812" i="9"/>
  <c r="C812" i="9"/>
  <c r="T812" i="9" l="1"/>
  <c r="I816" i="6"/>
  <c r="J816" i="6" s="1"/>
  <c r="K816" i="6" s="1"/>
  <c r="H816" i="6"/>
  <c r="L816" i="6"/>
  <c r="B817" i="6"/>
  <c r="D816" i="6"/>
  <c r="C816" i="6"/>
  <c r="Y817" i="6"/>
  <c r="I813" i="9"/>
  <c r="P813" i="9" s="1"/>
  <c r="C813" i="9"/>
  <c r="G813" i="9"/>
  <c r="E813" i="9"/>
  <c r="H813" i="9"/>
  <c r="D813" i="9"/>
  <c r="F813" i="9"/>
  <c r="B814" i="9"/>
  <c r="X814" i="6"/>
  <c r="S815" i="6"/>
  <c r="T813" i="9" l="1"/>
  <c r="I817" i="6"/>
  <c r="J817" i="6" s="1"/>
  <c r="K817" i="6" s="1"/>
  <c r="H817" i="6"/>
  <c r="B818" i="6"/>
  <c r="C817" i="6"/>
  <c r="D817" i="6"/>
  <c r="Y818" i="6"/>
  <c r="L817" i="6"/>
  <c r="P817" i="6" s="1"/>
  <c r="P816" i="6"/>
  <c r="X815" i="6"/>
  <c r="S816" i="6"/>
  <c r="D814" i="9"/>
  <c r="H814" i="9"/>
  <c r="C814" i="9"/>
  <c r="F814" i="9"/>
  <c r="G814" i="9"/>
  <c r="B815" i="9"/>
  <c r="I814" i="9"/>
  <c r="E814" i="9"/>
  <c r="T814" i="9" l="1"/>
  <c r="H818" i="6"/>
  <c r="I818" i="6"/>
  <c r="J818" i="6" s="1"/>
  <c r="K818" i="6" s="1"/>
  <c r="C818" i="6"/>
  <c r="Y819" i="6"/>
  <c r="L818" i="6"/>
  <c r="B819" i="6"/>
  <c r="D818" i="6"/>
  <c r="G815" i="9"/>
  <c r="C815" i="9"/>
  <c r="D815" i="9"/>
  <c r="F815" i="9"/>
  <c r="I815" i="9"/>
  <c r="H815" i="9"/>
  <c r="B816" i="9"/>
  <c r="E815" i="9"/>
  <c r="P814" i="9"/>
  <c r="X816" i="6"/>
  <c r="S817" i="6"/>
  <c r="T815" i="9" l="1"/>
  <c r="L819" i="6"/>
  <c r="P819" i="6" s="1"/>
  <c r="Y820" i="6"/>
  <c r="D819" i="6"/>
  <c r="I819" i="6"/>
  <c r="J819" i="6" s="1"/>
  <c r="K819" i="6" s="1"/>
  <c r="H819" i="6"/>
  <c r="C819" i="6"/>
  <c r="B820" i="6"/>
  <c r="P818" i="6"/>
  <c r="D816" i="9"/>
  <c r="C816" i="9"/>
  <c r="G816" i="9"/>
  <c r="E816" i="9"/>
  <c r="I816" i="9"/>
  <c r="P816" i="9" s="1"/>
  <c r="H816" i="9"/>
  <c r="B817" i="9"/>
  <c r="F816" i="9"/>
  <c r="X817" i="6"/>
  <c r="S818" i="6"/>
  <c r="P815" i="9"/>
  <c r="T816" i="9" l="1"/>
  <c r="B821" i="6"/>
  <c r="C820" i="6"/>
  <c r="D820" i="6"/>
  <c r="H820" i="6"/>
  <c r="I820" i="6"/>
  <c r="J820" i="6" s="1"/>
  <c r="K820" i="6" s="1"/>
  <c r="L820" i="6"/>
  <c r="Y821" i="6"/>
  <c r="X818" i="6"/>
  <c r="S819" i="6"/>
  <c r="D817" i="9"/>
  <c r="H817" i="9"/>
  <c r="I817" i="9"/>
  <c r="P817" i="9" s="1"/>
  <c r="G817" i="9"/>
  <c r="B818" i="9"/>
  <c r="C817" i="9"/>
  <c r="F817" i="9"/>
  <c r="E817" i="9"/>
  <c r="T817" i="9" l="1"/>
  <c r="P820" i="6"/>
  <c r="Y822" i="6"/>
  <c r="D821" i="6"/>
  <c r="B822" i="6"/>
  <c r="I821" i="6"/>
  <c r="J821" i="6" s="1"/>
  <c r="K821" i="6" s="1"/>
  <c r="H821" i="6"/>
  <c r="C821" i="6"/>
  <c r="L821" i="6"/>
  <c r="P821" i="6" s="1"/>
  <c r="X819" i="6"/>
  <c r="S820" i="6"/>
  <c r="B819" i="9"/>
  <c r="I818" i="9"/>
  <c r="E818" i="9"/>
  <c r="C818" i="9"/>
  <c r="H818" i="9"/>
  <c r="G818" i="9"/>
  <c r="D818" i="9"/>
  <c r="F818" i="9"/>
  <c r="T818" i="9" l="1"/>
  <c r="I822" i="6"/>
  <c r="J822" i="6" s="1"/>
  <c r="K822" i="6" s="1"/>
  <c r="C822" i="6"/>
  <c r="B823" i="6"/>
  <c r="Y823" i="6"/>
  <c r="H822" i="6"/>
  <c r="L822" i="6"/>
  <c r="P822" i="6" s="1"/>
  <c r="D822" i="6"/>
  <c r="G819" i="9"/>
  <c r="F819" i="9"/>
  <c r="E819" i="9"/>
  <c r="H819" i="9"/>
  <c r="D819" i="9"/>
  <c r="I819" i="9"/>
  <c r="P819" i="9" s="1"/>
  <c r="B820" i="9"/>
  <c r="C819" i="9"/>
  <c r="X820" i="6"/>
  <c r="S821" i="6"/>
  <c r="P818" i="9"/>
  <c r="T819" i="9" l="1"/>
  <c r="B824" i="6"/>
  <c r="C823" i="6"/>
  <c r="H823" i="6"/>
  <c r="Y824" i="6"/>
  <c r="L823" i="6"/>
  <c r="I823" i="6"/>
  <c r="J823" i="6" s="1"/>
  <c r="K823" i="6" s="1"/>
  <c r="D823" i="6"/>
  <c r="X821" i="6"/>
  <c r="S822" i="6"/>
  <c r="G820" i="9"/>
  <c r="B821" i="9"/>
  <c r="H820" i="9"/>
  <c r="E820" i="9"/>
  <c r="C820" i="9"/>
  <c r="D820" i="9"/>
  <c r="I820" i="9"/>
  <c r="P820" i="9" s="1"/>
  <c r="F820" i="9"/>
  <c r="T820" i="9" l="1"/>
  <c r="P823" i="6"/>
  <c r="H824" i="6"/>
  <c r="L824" i="6"/>
  <c r="C824" i="6"/>
  <c r="I824" i="6"/>
  <c r="J824" i="6" s="1"/>
  <c r="K824" i="6" s="1"/>
  <c r="D824" i="6"/>
  <c r="Y825" i="6"/>
  <c r="B825" i="6"/>
  <c r="B822" i="9"/>
  <c r="C821" i="9"/>
  <c r="D821" i="9"/>
  <c r="F821" i="9"/>
  <c r="G821" i="9"/>
  <c r="I821" i="9"/>
  <c r="E821" i="9"/>
  <c r="H821" i="9"/>
  <c r="X822" i="6"/>
  <c r="S823" i="6"/>
  <c r="T821" i="9" l="1"/>
  <c r="I825" i="6"/>
  <c r="J825" i="6" s="1"/>
  <c r="K825" i="6" s="1"/>
  <c r="D825" i="6"/>
  <c r="L825" i="6"/>
  <c r="H825" i="6"/>
  <c r="C825" i="6"/>
  <c r="Y826" i="6"/>
  <c r="B826" i="6"/>
  <c r="P824" i="6"/>
  <c r="X823" i="6"/>
  <c r="S824" i="6"/>
  <c r="H822" i="9"/>
  <c r="E822" i="9"/>
  <c r="F822" i="9"/>
  <c r="B823" i="9"/>
  <c r="C822" i="9"/>
  <c r="D822" i="9"/>
  <c r="G822" i="9"/>
  <c r="I822" i="9"/>
  <c r="P821" i="9"/>
  <c r="T822" i="9" l="1"/>
  <c r="Y827" i="6"/>
  <c r="I826" i="6"/>
  <c r="J826" i="6" s="1"/>
  <c r="K826" i="6" s="1"/>
  <c r="H826" i="6"/>
  <c r="D826" i="6"/>
  <c r="B827" i="6"/>
  <c r="C826" i="6"/>
  <c r="L826" i="6"/>
  <c r="P826" i="6" s="1"/>
  <c r="P825" i="6"/>
  <c r="C823" i="9"/>
  <c r="F823" i="9"/>
  <c r="E823" i="9"/>
  <c r="H823" i="9"/>
  <c r="I823" i="9"/>
  <c r="D823" i="9"/>
  <c r="G823" i="9"/>
  <c r="B824" i="9"/>
  <c r="X824" i="6"/>
  <c r="S825" i="6"/>
  <c r="P822" i="9"/>
  <c r="T823" i="9" l="1"/>
  <c r="Y828" i="6"/>
  <c r="D827" i="6"/>
  <c r="L827" i="6"/>
  <c r="I827" i="6"/>
  <c r="J827" i="6" s="1"/>
  <c r="K827" i="6" s="1"/>
  <c r="H827" i="6"/>
  <c r="C827" i="6"/>
  <c r="B828" i="6"/>
  <c r="H824" i="9"/>
  <c r="G824" i="9"/>
  <c r="B825" i="9"/>
  <c r="C824" i="9"/>
  <c r="D824" i="9"/>
  <c r="I824" i="9"/>
  <c r="F824" i="9"/>
  <c r="E824" i="9"/>
  <c r="X825" i="6"/>
  <c r="S826" i="6"/>
  <c r="P823" i="9"/>
  <c r="T824" i="9" l="1"/>
  <c r="D828" i="6"/>
  <c r="L828" i="6"/>
  <c r="P828" i="6" s="1"/>
  <c r="H828" i="6"/>
  <c r="Y829" i="6"/>
  <c r="B829" i="6"/>
  <c r="I828" i="6"/>
  <c r="J828" i="6" s="1"/>
  <c r="K828" i="6" s="1"/>
  <c r="C828" i="6"/>
  <c r="P827" i="6"/>
  <c r="D825" i="9"/>
  <c r="I825" i="9"/>
  <c r="P825" i="9" s="1"/>
  <c r="G825" i="9"/>
  <c r="C825" i="9"/>
  <c r="F825" i="9"/>
  <c r="B826" i="9"/>
  <c r="H825" i="9"/>
  <c r="E825" i="9"/>
  <c r="X826" i="6"/>
  <c r="S827" i="6"/>
  <c r="P824" i="9"/>
  <c r="T825" i="9" l="1"/>
  <c r="D829" i="6"/>
  <c r="Y830" i="6"/>
  <c r="C829" i="6"/>
  <c r="L829" i="6"/>
  <c r="P829" i="6" s="1"/>
  <c r="H829" i="6"/>
  <c r="B830" i="6"/>
  <c r="I829" i="6"/>
  <c r="J829" i="6" s="1"/>
  <c r="K829" i="6" s="1"/>
  <c r="X827" i="6"/>
  <c r="S828" i="6"/>
  <c r="B827" i="9"/>
  <c r="D826" i="9"/>
  <c r="F826" i="9"/>
  <c r="G826" i="9"/>
  <c r="I826" i="9"/>
  <c r="P826" i="9" s="1"/>
  <c r="C826" i="9"/>
  <c r="E826" i="9"/>
  <c r="H826" i="9"/>
  <c r="T826" i="9" l="1"/>
  <c r="C830" i="6"/>
  <c r="B831" i="6"/>
  <c r="L830" i="6"/>
  <c r="P830" i="6" s="1"/>
  <c r="I830" i="6"/>
  <c r="J830" i="6" s="1"/>
  <c r="K830" i="6" s="1"/>
  <c r="H830" i="6"/>
  <c r="Y831" i="6"/>
  <c r="D830" i="6"/>
  <c r="B828" i="9"/>
  <c r="H827" i="9"/>
  <c r="C827" i="9"/>
  <c r="I827" i="9"/>
  <c r="P827" i="9" s="1"/>
  <c r="D827" i="9"/>
  <c r="G827" i="9"/>
  <c r="E827" i="9"/>
  <c r="F827" i="9"/>
  <c r="X828" i="6"/>
  <c r="S829" i="6"/>
  <c r="T827" i="9" l="1"/>
  <c r="B832" i="6"/>
  <c r="D831" i="6"/>
  <c r="H831" i="6"/>
  <c r="L831" i="6"/>
  <c r="C831" i="6"/>
  <c r="Y832" i="6"/>
  <c r="I831" i="6"/>
  <c r="J831" i="6" s="1"/>
  <c r="K831" i="6" s="1"/>
  <c r="X829" i="6"/>
  <c r="S830" i="6"/>
  <c r="H828" i="9"/>
  <c r="E828" i="9"/>
  <c r="G828" i="9"/>
  <c r="I828" i="9"/>
  <c r="B829" i="9"/>
  <c r="C828" i="9"/>
  <c r="D828" i="9"/>
  <c r="F828" i="9"/>
  <c r="T828" i="9" l="1"/>
  <c r="D832" i="6"/>
  <c r="B833" i="6"/>
  <c r="C832" i="6"/>
  <c r="H832" i="6"/>
  <c r="L832" i="6"/>
  <c r="Y833" i="6"/>
  <c r="I832" i="6"/>
  <c r="J832" i="6" s="1"/>
  <c r="K832" i="6" s="1"/>
  <c r="P831" i="6"/>
  <c r="C829" i="9"/>
  <c r="I829" i="9"/>
  <c r="B830" i="9"/>
  <c r="H829" i="9"/>
  <c r="G829" i="9"/>
  <c r="F829" i="9"/>
  <c r="D829" i="9"/>
  <c r="E829" i="9"/>
  <c r="P828" i="9"/>
  <c r="X830" i="6"/>
  <c r="S831" i="6"/>
  <c r="T829" i="9" l="1"/>
  <c r="L833" i="6"/>
  <c r="H833" i="6"/>
  <c r="B834" i="6"/>
  <c r="C833" i="6"/>
  <c r="I833" i="6"/>
  <c r="J833" i="6" s="1"/>
  <c r="K833" i="6" s="1"/>
  <c r="D833" i="6"/>
  <c r="Y834" i="6"/>
  <c r="P832" i="6"/>
  <c r="P829" i="9"/>
  <c r="X831" i="6"/>
  <c r="S832" i="6"/>
  <c r="C830" i="9"/>
  <c r="D830" i="9"/>
  <c r="I830" i="9"/>
  <c r="G830" i="9"/>
  <c r="B831" i="9"/>
  <c r="H830" i="9"/>
  <c r="E830" i="9"/>
  <c r="F830" i="9"/>
  <c r="T830" i="9" l="1"/>
  <c r="D834" i="6"/>
  <c r="Y835" i="6"/>
  <c r="C834" i="6"/>
  <c r="B835" i="6"/>
  <c r="I834" i="6"/>
  <c r="J834" i="6" s="1"/>
  <c r="K834" i="6" s="1"/>
  <c r="H834" i="6"/>
  <c r="L834" i="6"/>
  <c r="P834" i="6" s="1"/>
  <c r="P833" i="6"/>
  <c r="D831" i="9"/>
  <c r="B832" i="9"/>
  <c r="F831" i="9"/>
  <c r="E831" i="9"/>
  <c r="I831" i="9"/>
  <c r="H831" i="9"/>
  <c r="G831" i="9"/>
  <c r="C831" i="9"/>
  <c r="X832" i="6"/>
  <c r="S833" i="6"/>
  <c r="P830" i="9"/>
  <c r="T831" i="9" l="1"/>
  <c r="I835" i="6"/>
  <c r="J835" i="6" s="1"/>
  <c r="K835" i="6" s="1"/>
  <c r="Y836" i="6"/>
  <c r="C835" i="6"/>
  <c r="H835" i="6"/>
  <c r="L835" i="6"/>
  <c r="D835" i="6"/>
  <c r="B836" i="6"/>
  <c r="X833" i="6"/>
  <c r="S834" i="6"/>
  <c r="H832" i="9"/>
  <c r="C832" i="9"/>
  <c r="I832" i="9"/>
  <c r="B833" i="9"/>
  <c r="E832" i="9"/>
  <c r="D832" i="9"/>
  <c r="G832" i="9"/>
  <c r="F832" i="9"/>
  <c r="P831" i="9"/>
  <c r="T832" i="9" l="1"/>
  <c r="H836" i="6"/>
  <c r="C836" i="6"/>
  <c r="L836" i="6"/>
  <c r="I836" i="6"/>
  <c r="J836" i="6" s="1"/>
  <c r="K836" i="6" s="1"/>
  <c r="B837" i="6"/>
  <c r="D836" i="6"/>
  <c r="Y837" i="6"/>
  <c r="P835" i="6"/>
  <c r="B834" i="9"/>
  <c r="G833" i="9"/>
  <c r="C833" i="9"/>
  <c r="H833" i="9"/>
  <c r="F833" i="9"/>
  <c r="E833" i="9"/>
  <c r="I833" i="9"/>
  <c r="P833" i="9" s="1"/>
  <c r="D833" i="9"/>
  <c r="X834" i="6"/>
  <c r="S835" i="6"/>
  <c r="P832" i="9"/>
  <c r="T833" i="9" l="1"/>
  <c r="B838" i="6"/>
  <c r="C837" i="6"/>
  <c r="H837" i="6"/>
  <c r="L837" i="6"/>
  <c r="P837" i="6" s="1"/>
  <c r="Y838" i="6"/>
  <c r="I837" i="6"/>
  <c r="J837" i="6" s="1"/>
  <c r="K837" i="6" s="1"/>
  <c r="D837" i="6"/>
  <c r="P836" i="6"/>
  <c r="X835" i="6"/>
  <c r="S836" i="6"/>
  <c r="G834" i="9"/>
  <c r="B835" i="9"/>
  <c r="I834" i="9"/>
  <c r="C834" i="9"/>
  <c r="E834" i="9"/>
  <c r="F834" i="9"/>
  <c r="H834" i="9"/>
  <c r="D834" i="9"/>
  <c r="T834" i="9" l="1"/>
  <c r="Y839" i="6"/>
  <c r="H838" i="6"/>
  <c r="L838" i="6"/>
  <c r="C838" i="6"/>
  <c r="D838" i="6"/>
  <c r="I838" i="6"/>
  <c r="J838" i="6" s="1"/>
  <c r="K838" i="6" s="1"/>
  <c r="B839" i="6"/>
  <c r="P834" i="9"/>
  <c r="X836" i="6"/>
  <c r="S837" i="6"/>
  <c r="F835" i="9"/>
  <c r="I835" i="9"/>
  <c r="B836" i="9"/>
  <c r="D835" i="9"/>
  <c r="C835" i="9"/>
  <c r="G835" i="9"/>
  <c r="E835" i="9"/>
  <c r="H835" i="9"/>
  <c r="T835" i="9" l="1"/>
  <c r="L839" i="6"/>
  <c r="P839" i="6" s="1"/>
  <c r="C839" i="6"/>
  <c r="B840" i="6"/>
  <c r="D839" i="6"/>
  <c r="I839" i="6"/>
  <c r="J839" i="6" s="1"/>
  <c r="K839" i="6" s="1"/>
  <c r="Y840" i="6"/>
  <c r="H839" i="6"/>
  <c r="P838" i="6"/>
  <c r="X837" i="6"/>
  <c r="S838" i="6"/>
  <c r="P835" i="9"/>
  <c r="C836" i="9"/>
  <c r="I836" i="9"/>
  <c r="P836" i="9" s="1"/>
  <c r="E836" i="9"/>
  <c r="G836" i="9"/>
  <c r="B837" i="9"/>
  <c r="D836" i="9"/>
  <c r="F836" i="9"/>
  <c r="H836" i="9"/>
  <c r="T836" i="9" l="1"/>
  <c r="I840" i="6"/>
  <c r="J840" i="6" s="1"/>
  <c r="K840" i="6" s="1"/>
  <c r="H840" i="6"/>
  <c r="L840" i="6"/>
  <c r="B841" i="6"/>
  <c r="Y841" i="6"/>
  <c r="D840" i="6"/>
  <c r="C840" i="6"/>
  <c r="I837" i="9"/>
  <c r="P837" i="9" s="1"/>
  <c r="F837" i="9"/>
  <c r="B838" i="9"/>
  <c r="E837" i="9"/>
  <c r="H837" i="9"/>
  <c r="D837" i="9"/>
  <c r="G837" i="9"/>
  <c r="C837" i="9"/>
  <c r="X838" i="6"/>
  <c r="S839" i="6"/>
  <c r="T837" i="9" l="1"/>
  <c r="L841" i="6"/>
  <c r="P841" i="6" s="1"/>
  <c r="Y842" i="6"/>
  <c r="I841" i="6"/>
  <c r="J841" i="6" s="1"/>
  <c r="K841" i="6" s="1"/>
  <c r="H841" i="6"/>
  <c r="C841" i="6"/>
  <c r="D841" i="6"/>
  <c r="B842" i="6"/>
  <c r="P840" i="6"/>
  <c r="X839" i="6"/>
  <c r="S840" i="6"/>
  <c r="F838" i="9"/>
  <c r="B839" i="9"/>
  <c r="C838" i="9"/>
  <c r="E838" i="9"/>
  <c r="G838" i="9"/>
  <c r="H838" i="9"/>
  <c r="D838" i="9"/>
  <c r="I838" i="9"/>
  <c r="T838" i="9" l="1"/>
  <c r="C842" i="6"/>
  <c r="Y843" i="6"/>
  <c r="D842" i="6"/>
  <c r="L842" i="6"/>
  <c r="P842" i="6" s="1"/>
  <c r="B843" i="6"/>
  <c r="H842" i="6"/>
  <c r="I842" i="6"/>
  <c r="J842" i="6" s="1"/>
  <c r="K842" i="6" s="1"/>
  <c r="P838" i="9"/>
  <c r="D839" i="9"/>
  <c r="C839" i="9"/>
  <c r="G839" i="9"/>
  <c r="H839" i="9"/>
  <c r="B840" i="9"/>
  <c r="E839" i="9"/>
  <c r="I839" i="9"/>
  <c r="F839" i="9"/>
  <c r="X840" i="6"/>
  <c r="S841" i="6"/>
  <c r="T839" i="9" l="1"/>
  <c r="D843" i="6"/>
  <c r="L843" i="6"/>
  <c r="H843" i="6"/>
  <c r="I843" i="6"/>
  <c r="J843" i="6" s="1"/>
  <c r="K843" i="6" s="1"/>
  <c r="Y844" i="6"/>
  <c r="C843" i="6"/>
  <c r="B844" i="6"/>
  <c r="C840" i="9"/>
  <c r="D840" i="9"/>
  <c r="G840" i="9"/>
  <c r="F840" i="9"/>
  <c r="H840" i="9"/>
  <c r="I840" i="9"/>
  <c r="P840" i="9" s="1"/>
  <c r="B841" i="9"/>
  <c r="E840" i="9"/>
  <c r="X841" i="6"/>
  <c r="S842" i="6"/>
  <c r="P839" i="9"/>
  <c r="T840" i="9" l="1"/>
  <c r="I844" i="6"/>
  <c r="J844" i="6" s="1"/>
  <c r="K844" i="6" s="1"/>
  <c r="L844" i="6"/>
  <c r="P844" i="6" s="1"/>
  <c r="Y845" i="6"/>
  <c r="H844" i="6"/>
  <c r="C844" i="6"/>
  <c r="B845" i="6"/>
  <c r="D844" i="6"/>
  <c r="P843" i="6"/>
  <c r="X842" i="6"/>
  <c r="S843" i="6"/>
  <c r="G841" i="9"/>
  <c r="I841" i="9"/>
  <c r="P841" i="9" s="1"/>
  <c r="H841" i="9"/>
  <c r="C841" i="9"/>
  <c r="E841" i="9"/>
  <c r="B842" i="9"/>
  <c r="F841" i="9"/>
  <c r="D841" i="9"/>
  <c r="T841" i="9" l="1"/>
  <c r="D845" i="6"/>
  <c r="H845" i="6"/>
  <c r="C845" i="6"/>
  <c r="Y846" i="6"/>
  <c r="B846" i="6"/>
  <c r="I845" i="6"/>
  <c r="J845" i="6" s="1"/>
  <c r="K845" i="6" s="1"/>
  <c r="L845" i="6"/>
  <c r="P845" i="6" s="1"/>
  <c r="X843" i="6"/>
  <c r="S844" i="6"/>
  <c r="G842" i="9"/>
  <c r="I842" i="9"/>
  <c r="P842" i="9" s="1"/>
  <c r="H842" i="9"/>
  <c r="C842" i="9"/>
  <c r="E842" i="9"/>
  <c r="D842" i="9"/>
  <c r="F842" i="9"/>
  <c r="B843" i="9"/>
  <c r="T842" i="9" l="1"/>
  <c r="I846" i="6"/>
  <c r="J846" i="6" s="1"/>
  <c r="K846" i="6" s="1"/>
  <c r="D846" i="6"/>
  <c r="L846" i="6"/>
  <c r="P846" i="6" s="1"/>
  <c r="C846" i="6"/>
  <c r="H846" i="6"/>
  <c r="Y847" i="6"/>
  <c r="B847" i="6"/>
  <c r="I843" i="9"/>
  <c r="B844" i="9"/>
  <c r="H843" i="9"/>
  <c r="D843" i="9"/>
  <c r="C843" i="9"/>
  <c r="F843" i="9"/>
  <c r="E843" i="9"/>
  <c r="G843" i="9"/>
  <c r="X844" i="6"/>
  <c r="S845" i="6"/>
  <c r="T843" i="9" l="1"/>
  <c r="L847" i="6"/>
  <c r="P847" i="6" s="1"/>
  <c r="I847" i="6"/>
  <c r="J847" i="6" s="1"/>
  <c r="K847" i="6" s="1"/>
  <c r="Y848" i="6"/>
  <c r="B848" i="6"/>
  <c r="D847" i="6"/>
  <c r="H847" i="6"/>
  <c r="C847" i="6"/>
  <c r="P843" i="9"/>
  <c r="I844" i="9"/>
  <c r="E844" i="9"/>
  <c r="H844" i="9"/>
  <c r="D844" i="9"/>
  <c r="G844" i="9"/>
  <c r="C844" i="9"/>
  <c r="F844" i="9"/>
  <c r="B845" i="9"/>
  <c r="X845" i="6"/>
  <c r="S846" i="6"/>
  <c r="T844" i="9" l="1"/>
  <c r="C848" i="6"/>
  <c r="D848" i="6"/>
  <c r="L848" i="6"/>
  <c r="Y849" i="6"/>
  <c r="B849" i="6"/>
  <c r="H848" i="6"/>
  <c r="I848" i="6"/>
  <c r="J848" i="6" s="1"/>
  <c r="K848" i="6" s="1"/>
  <c r="E845" i="9"/>
  <c r="I845" i="9"/>
  <c r="P845" i="9" s="1"/>
  <c r="D845" i="9"/>
  <c r="B846" i="9"/>
  <c r="H845" i="9"/>
  <c r="G845" i="9"/>
  <c r="F845" i="9"/>
  <c r="C845" i="9"/>
  <c r="X846" i="6"/>
  <c r="S847" i="6"/>
  <c r="P844" i="9"/>
  <c r="T845" i="9" l="1"/>
  <c r="Y850" i="6"/>
  <c r="C849" i="6"/>
  <c r="B850" i="6"/>
  <c r="H849" i="6"/>
  <c r="D849" i="6"/>
  <c r="I849" i="6"/>
  <c r="J849" i="6" s="1"/>
  <c r="K849" i="6" s="1"/>
  <c r="L849" i="6"/>
  <c r="P849" i="6" s="1"/>
  <c r="P848" i="6"/>
  <c r="B847" i="9"/>
  <c r="F846" i="9"/>
  <c r="G846" i="9"/>
  <c r="E846" i="9"/>
  <c r="C846" i="9"/>
  <c r="D846" i="9"/>
  <c r="I846" i="9"/>
  <c r="H846" i="9"/>
  <c r="X847" i="6"/>
  <c r="S848" i="6"/>
  <c r="T846" i="9" l="1"/>
  <c r="Y851" i="6"/>
  <c r="D850" i="6"/>
  <c r="I850" i="6"/>
  <c r="J850" i="6" s="1"/>
  <c r="K850" i="6" s="1"/>
  <c r="H850" i="6"/>
  <c r="B851" i="6"/>
  <c r="C850" i="6"/>
  <c r="L850" i="6"/>
  <c r="P850" i="6" s="1"/>
  <c r="X848" i="6"/>
  <c r="S849" i="6"/>
  <c r="P846" i="9"/>
  <c r="B848" i="9"/>
  <c r="G847" i="9"/>
  <c r="C847" i="9"/>
  <c r="E847" i="9"/>
  <c r="H847" i="9"/>
  <c r="D847" i="9"/>
  <c r="F847" i="9"/>
  <c r="I847" i="9"/>
  <c r="P847" i="9" s="1"/>
  <c r="T847" i="9" l="1"/>
  <c r="D851" i="6"/>
  <c r="B852" i="6"/>
  <c r="L851" i="6"/>
  <c r="C851" i="6"/>
  <c r="H851" i="6"/>
  <c r="I851" i="6"/>
  <c r="J851" i="6" s="1"/>
  <c r="K851" i="6" s="1"/>
  <c r="Y852" i="6"/>
  <c r="X849" i="6"/>
  <c r="S850" i="6"/>
  <c r="I848" i="9"/>
  <c r="B849" i="9"/>
  <c r="H848" i="9"/>
  <c r="G848" i="9"/>
  <c r="C848" i="9"/>
  <c r="D848" i="9"/>
  <c r="F848" i="9"/>
  <c r="E848" i="9"/>
  <c r="T848" i="9" l="1"/>
  <c r="P851" i="6"/>
  <c r="Y853" i="6"/>
  <c r="C852" i="6"/>
  <c r="B853" i="6"/>
  <c r="D852" i="6"/>
  <c r="L852" i="6"/>
  <c r="P852" i="6" s="1"/>
  <c r="I852" i="6"/>
  <c r="J852" i="6" s="1"/>
  <c r="K852" i="6" s="1"/>
  <c r="H852" i="6"/>
  <c r="X850" i="6"/>
  <c r="S851" i="6"/>
  <c r="B850" i="9"/>
  <c r="H849" i="9"/>
  <c r="E849" i="9"/>
  <c r="F849" i="9"/>
  <c r="C849" i="9"/>
  <c r="G849" i="9"/>
  <c r="I849" i="9"/>
  <c r="P849" i="9" s="1"/>
  <c r="D849" i="9"/>
  <c r="P848" i="9"/>
  <c r="T849" i="9" l="1"/>
  <c r="D853" i="6"/>
  <c r="L853" i="6"/>
  <c r="P853" i="6" s="1"/>
  <c r="H853" i="6"/>
  <c r="B854" i="6"/>
  <c r="Y854" i="6"/>
  <c r="C853" i="6"/>
  <c r="I853" i="6"/>
  <c r="J853" i="6" s="1"/>
  <c r="K853" i="6" s="1"/>
  <c r="X851" i="6"/>
  <c r="S852" i="6"/>
  <c r="H850" i="9"/>
  <c r="B851" i="9"/>
  <c r="E850" i="9"/>
  <c r="D850" i="9"/>
  <c r="F850" i="9"/>
  <c r="I850" i="9"/>
  <c r="P850" i="9" s="1"/>
  <c r="C850" i="9"/>
  <c r="G850" i="9"/>
  <c r="T850" i="9" l="1"/>
  <c r="L854" i="6"/>
  <c r="Y855" i="6"/>
  <c r="B855" i="6"/>
  <c r="H854" i="6"/>
  <c r="C854" i="6"/>
  <c r="D854" i="6"/>
  <c r="I854" i="6"/>
  <c r="J854" i="6" s="1"/>
  <c r="K854" i="6" s="1"/>
  <c r="H851" i="9"/>
  <c r="E851" i="9"/>
  <c r="I851" i="9"/>
  <c r="P851" i="9" s="1"/>
  <c r="F851" i="9"/>
  <c r="D851" i="9"/>
  <c r="B852" i="9"/>
  <c r="C851" i="9"/>
  <c r="G851" i="9"/>
  <c r="X852" i="6"/>
  <c r="S853" i="6"/>
  <c r="T851" i="9" l="1"/>
  <c r="H855" i="6"/>
  <c r="Y856" i="6"/>
  <c r="B856" i="6"/>
  <c r="D855" i="6"/>
  <c r="C855" i="6"/>
  <c r="I855" i="6"/>
  <c r="J855" i="6" s="1"/>
  <c r="K855" i="6" s="1"/>
  <c r="L855" i="6"/>
  <c r="P855" i="6" s="1"/>
  <c r="P854" i="6"/>
  <c r="G852" i="9"/>
  <c r="E852" i="9"/>
  <c r="C852" i="9"/>
  <c r="H852" i="9"/>
  <c r="I852" i="9"/>
  <c r="P852" i="9" s="1"/>
  <c r="F852" i="9"/>
  <c r="B853" i="9"/>
  <c r="D852" i="9"/>
  <c r="X853" i="6"/>
  <c r="S854" i="6"/>
  <c r="T852" i="9" l="1"/>
  <c r="I856" i="6"/>
  <c r="J856" i="6" s="1"/>
  <c r="K856" i="6" s="1"/>
  <c r="L856" i="6"/>
  <c r="Y857" i="6"/>
  <c r="B857" i="6"/>
  <c r="D856" i="6"/>
  <c r="C856" i="6"/>
  <c r="H856" i="6"/>
  <c r="D853" i="9"/>
  <c r="C853" i="9"/>
  <c r="I853" i="9"/>
  <c r="P853" i="9" s="1"/>
  <c r="F853" i="9"/>
  <c r="H853" i="9"/>
  <c r="G853" i="9"/>
  <c r="E853" i="9"/>
  <c r="B854" i="9"/>
  <c r="X854" i="6"/>
  <c r="S855" i="6"/>
  <c r="T853" i="9" l="1"/>
  <c r="L857" i="6"/>
  <c r="P857" i="6" s="1"/>
  <c r="Y858" i="6"/>
  <c r="D857" i="6"/>
  <c r="H857" i="6"/>
  <c r="C857" i="6"/>
  <c r="I857" i="6"/>
  <c r="J857" i="6" s="1"/>
  <c r="K857" i="6" s="1"/>
  <c r="B858" i="6"/>
  <c r="P856" i="6"/>
  <c r="X855" i="6"/>
  <c r="S856" i="6"/>
  <c r="I854" i="9"/>
  <c r="P854" i="9" s="1"/>
  <c r="H854" i="9"/>
  <c r="B855" i="9"/>
  <c r="F854" i="9"/>
  <c r="E854" i="9"/>
  <c r="D854" i="9"/>
  <c r="G854" i="9"/>
  <c r="C854" i="9"/>
  <c r="T854" i="9" l="1"/>
  <c r="C858" i="6"/>
  <c r="D858" i="6"/>
  <c r="B859" i="6"/>
  <c r="I858" i="6"/>
  <c r="J858" i="6" s="1"/>
  <c r="K858" i="6" s="1"/>
  <c r="Y859" i="6"/>
  <c r="H858" i="6"/>
  <c r="L858" i="6"/>
  <c r="E855" i="9"/>
  <c r="D855" i="9"/>
  <c r="G855" i="9"/>
  <c r="C855" i="9"/>
  <c r="I855" i="9"/>
  <c r="P855" i="9" s="1"/>
  <c r="B856" i="9"/>
  <c r="H855" i="9"/>
  <c r="F855" i="9"/>
  <c r="X856" i="6"/>
  <c r="S857" i="6"/>
  <c r="T855" i="9" l="1"/>
  <c r="P858" i="6"/>
  <c r="I859" i="6"/>
  <c r="J859" i="6" s="1"/>
  <c r="K859" i="6" s="1"/>
  <c r="D859" i="6"/>
  <c r="B860" i="6"/>
  <c r="H859" i="6"/>
  <c r="L859" i="6"/>
  <c r="C859" i="6"/>
  <c r="Y860" i="6"/>
  <c r="D856" i="9"/>
  <c r="I856" i="9"/>
  <c r="P856" i="9" s="1"/>
  <c r="F856" i="9"/>
  <c r="E856" i="9"/>
  <c r="B857" i="9"/>
  <c r="G856" i="9"/>
  <c r="C856" i="9"/>
  <c r="H856" i="9"/>
  <c r="X857" i="6"/>
  <c r="S858" i="6"/>
  <c r="T856" i="9" l="1"/>
  <c r="B861" i="6"/>
  <c r="D860" i="6"/>
  <c r="I860" i="6"/>
  <c r="J860" i="6" s="1"/>
  <c r="K860" i="6" s="1"/>
  <c r="C860" i="6"/>
  <c r="Y861" i="6"/>
  <c r="L860" i="6"/>
  <c r="H860" i="6"/>
  <c r="P859" i="6"/>
  <c r="X858" i="6"/>
  <c r="S859" i="6"/>
  <c r="F857" i="9"/>
  <c r="G857" i="9"/>
  <c r="B858" i="9"/>
  <c r="E857" i="9"/>
  <c r="I857" i="9"/>
  <c r="P857" i="9" s="1"/>
  <c r="C857" i="9"/>
  <c r="H857" i="9"/>
  <c r="D857" i="9"/>
  <c r="T857" i="9" l="1"/>
  <c r="C861" i="6"/>
  <c r="H861" i="6"/>
  <c r="D861" i="6"/>
  <c r="I861" i="6"/>
  <c r="J861" i="6" s="1"/>
  <c r="K861" i="6" s="1"/>
  <c r="L861" i="6"/>
  <c r="Y862" i="6"/>
  <c r="B862" i="6"/>
  <c r="P860" i="6"/>
  <c r="D858" i="9"/>
  <c r="F858" i="9"/>
  <c r="E858" i="9"/>
  <c r="C858" i="9"/>
  <c r="I858" i="9"/>
  <c r="P858" i="9" s="1"/>
  <c r="G858" i="9"/>
  <c r="H858" i="9"/>
  <c r="B859" i="9"/>
  <c r="X859" i="6"/>
  <c r="S860" i="6"/>
  <c r="T858" i="9" l="1"/>
  <c r="C862" i="6"/>
  <c r="L862" i="6"/>
  <c r="P862" i="6" s="1"/>
  <c r="D862" i="6"/>
  <c r="Y863" i="6"/>
  <c r="B863" i="6"/>
  <c r="I862" i="6"/>
  <c r="J862" i="6" s="1"/>
  <c r="K862" i="6" s="1"/>
  <c r="H862" i="6"/>
  <c r="P861" i="6"/>
  <c r="G859" i="9"/>
  <c r="C859" i="9"/>
  <c r="D859" i="9"/>
  <c r="B860" i="9"/>
  <c r="F859" i="9"/>
  <c r="I859" i="9"/>
  <c r="P859" i="9" s="1"/>
  <c r="H859" i="9"/>
  <c r="E859" i="9"/>
  <c r="X860" i="6"/>
  <c r="S861" i="6"/>
  <c r="T859" i="9" l="1"/>
  <c r="L863" i="6"/>
  <c r="P863" i="6" s="1"/>
  <c r="C863" i="6"/>
  <c r="B864" i="6"/>
  <c r="I863" i="6"/>
  <c r="J863" i="6" s="1"/>
  <c r="K863" i="6" s="1"/>
  <c r="Y864" i="6"/>
  <c r="D863" i="6"/>
  <c r="H863" i="6"/>
  <c r="D860" i="9"/>
  <c r="I860" i="9"/>
  <c r="E860" i="9"/>
  <c r="F860" i="9"/>
  <c r="B861" i="9"/>
  <c r="C860" i="9"/>
  <c r="H860" i="9"/>
  <c r="G860" i="9"/>
  <c r="X861" i="6"/>
  <c r="S862" i="6"/>
  <c r="T860" i="9" l="1"/>
  <c r="L864" i="6"/>
  <c r="P864" i="6" s="1"/>
  <c r="C864" i="6"/>
  <c r="I864" i="6"/>
  <c r="J864" i="6" s="1"/>
  <c r="K864" i="6" s="1"/>
  <c r="B865" i="6"/>
  <c r="Y865" i="6"/>
  <c r="H864" i="6"/>
  <c r="D864" i="6"/>
  <c r="X862" i="6"/>
  <c r="S863" i="6"/>
  <c r="G861" i="9"/>
  <c r="E861" i="9"/>
  <c r="C861" i="9"/>
  <c r="H861" i="9"/>
  <c r="I861" i="9"/>
  <c r="P861" i="9" s="1"/>
  <c r="F861" i="9"/>
  <c r="D861" i="9"/>
  <c r="B862" i="9"/>
  <c r="P860" i="9"/>
  <c r="T861" i="9" l="1"/>
  <c r="B866" i="6"/>
  <c r="H865" i="6"/>
  <c r="D865" i="6"/>
  <c r="L865" i="6"/>
  <c r="P865" i="6" s="1"/>
  <c r="C865" i="6"/>
  <c r="Y866" i="6"/>
  <c r="I865" i="6"/>
  <c r="J865" i="6" s="1"/>
  <c r="K865" i="6" s="1"/>
  <c r="G862" i="9"/>
  <c r="E862" i="9"/>
  <c r="H862" i="9"/>
  <c r="I862" i="9"/>
  <c r="D862" i="9"/>
  <c r="F862" i="9"/>
  <c r="C862" i="9"/>
  <c r="B863" i="9"/>
  <c r="X863" i="6"/>
  <c r="S864" i="6"/>
  <c r="T862" i="9" l="1"/>
  <c r="Y867" i="6"/>
  <c r="I866" i="6"/>
  <c r="J866" i="6" s="1"/>
  <c r="K866" i="6" s="1"/>
  <c r="C866" i="6"/>
  <c r="B867" i="6"/>
  <c r="L866" i="6"/>
  <c r="H866" i="6"/>
  <c r="D866" i="6"/>
  <c r="X864" i="6"/>
  <c r="S865" i="6"/>
  <c r="G863" i="9"/>
  <c r="F863" i="9"/>
  <c r="D863" i="9"/>
  <c r="B864" i="9"/>
  <c r="C863" i="9"/>
  <c r="H863" i="9"/>
  <c r="I863" i="9"/>
  <c r="E863" i="9"/>
  <c r="P862" i="9"/>
  <c r="T863" i="9" l="1"/>
  <c r="P866" i="6"/>
  <c r="H867" i="6"/>
  <c r="D867" i="6"/>
  <c r="B868" i="6"/>
  <c r="I867" i="6"/>
  <c r="J867" i="6" s="1"/>
  <c r="K867" i="6" s="1"/>
  <c r="Y868" i="6"/>
  <c r="C867" i="6"/>
  <c r="L867" i="6"/>
  <c r="X865" i="6"/>
  <c r="S866" i="6"/>
  <c r="B865" i="9"/>
  <c r="F864" i="9"/>
  <c r="G864" i="9"/>
  <c r="D864" i="9"/>
  <c r="H864" i="9"/>
  <c r="I864" i="9"/>
  <c r="C864" i="9"/>
  <c r="E864" i="9"/>
  <c r="P863" i="9"/>
  <c r="T864" i="9" l="1"/>
  <c r="B869" i="6"/>
  <c r="D868" i="6"/>
  <c r="C868" i="6"/>
  <c r="L868" i="6"/>
  <c r="Y869" i="6"/>
  <c r="H868" i="6"/>
  <c r="I868" i="6"/>
  <c r="J868" i="6" s="1"/>
  <c r="K868" i="6" s="1"/>
  <c r="P867" i="6"/>
  <c r="X866" i="6"/>
  <c r="S867" i="6"/>
  <c r="D865" i="9"/>
  <c r="H865" i="9"/>
  <c r="B866" i="9"/>
  <c r="C865" i="9"/>
  <c r="G865" i="9"/>
  <c r="F865" i="9"/>
  <c r="I865" i="9"/>
  <c r="E865" i="9"/>
  <c r="P864" i="9"/>
  <c r="T865" i="9" l="1"/>
  <c r="B870" i="6"/>
  <c r="C869" i="6"/>
  <c r="Y870" i="6"/>
  <c r="I869" i="6"/>
  <c r="J869" i="6" s="1"/>
  <c r="K869" i="6" s="1"/>
  <c r="L869" i="6"/>
  <c r="D869" i="6"/>
  <c r="H869" i="6"/>
  <c r="P868" i="6"/>
  <c r="G866" i="9"/>
  <c r="B867" i="9"/>
  <c r="H866" i="9"/>
  <c r="D866" i="9"/>
  <c r="C866" i="9"/>
  <c r="F866" i="9"/>
  <c r="I866" i="9"/>
  <c r="P866" i="9" s="1"/>
  <c r="E866" i="9"/>
  <c r="X867" i="6"/>
  <c r="S868" i="6"/>
  <c r="P865" i="9"/>
  <c r="T866" i="9" l="1"/>
  <c r="I870" i="6"/>
  <c r="J870" i="6" s="1"/>
  <c r="K870" i="6" s="1"/>
  <c r="C870" i="6"/>
  <c r="B871" i="6"/>
  <c r="H870" i="6"/>
  <c r="D870" i="6"/>
  <c r="L870" i="6"/>
  <c r="P870" i="6" s="1"/>
  <c r="Y871" i="6"/>
  <c r="P869" i="6"/>
  <c r="X868" i="6"/>
  <c r="S869" i="6"/>
  <c r="C867" i="9"/>
  <c r="F867" i="9"/>
  <c r="B868" i="9"/>
  <c r="I867" i="9"/>
  <c r="E867" i="9"/>
  <c r="H867" i="9"/>
  <c r="G867" i="9"/>
  <c r="D867" i="9"/>
  <c r="T867" i="9" l="1"/>
  <c r="H871" i="6"/>
  <c r="C871" i="6"/>
  <c r="L871" i="6"/>
  <c r="P871" i="6" s="1"/>
  <c r="D871" i="6"/>
  <c r="B872" i="6"/>
  <c r="Y872" i="6"/>
  <c r="I871" i="6"/>
  <c r="J871" i="6" s="1"/>
  <c r="K871" i="6" s="1"/>
  <c r="I868" i="9"/>
  <c r="P868" i="9" s="1"/>
  <c r="C868" i="9"/>
  <c r="E868" i="9"/>
  <c r="G868" i="9"/>
  <c r="B869" i="9"/>
  <c r="H868" i="9"/>
  <c r="D868" i="9"/>
  <c r="F868" i="9"/>
  <c r="X869" i="6"/>
  <c r="S870" i="6"/>
  <c r="P867" i="9"/>
  <c r="T868" i="9" l="1"/>
  <c r="B873" i="6"/>
  <c r="H872" i="6"/>
  <c r="L872" i="6"/>
  <c r="D872" i="6"/>
  <c r="I872" i="6"/>
  <c r="J872" i="6" s="1"/>
  <c r="K872" i="6" s="1"/>
  <c r="C872" i="6"/>
  <c r="Y873" i="6"/>
  <c r="X870" i="6"/>
  <c r="S871" i="6"/>
  <c r="H869" i="9"/>
  <c r="F869" i="9"/>
  <c r="B870" i="9"/>
  <c r="C869" i="9"/>
  <c r="E869" i="9"/>
  <c r="D869" i="9"/>
  <c r="I869" i="9"/>
  <c r="G869" i="9"/>
  <c r="T869" i="9" l="1"/>
  <c r="P872" i="6"/>
  <c r="L873" i="6"/>
  <c r="D873" i="6"/>
  <c r="I873" i="6"/>
  <c r="J873" i="6" s="1"/>
  <c r="K873" i="6" s="1"/>
  <c r="Y874" i="6"/>
  <c r="H873" i="6"/>
  <c r="C873" i="6"/>
  <c r="B874" i="6"/>
  <c r="X871" i="6"/>
  <c r="S872" i="6"/>
  <c r="E870" i="9"/>
  <c r="C870" i="9"/>
  <c r="G870" i="9"/>
  <c r="H870" i="9"/>
  <c r="F870" i="9"/>
  <c r="D870" i="9"/>
  <c r="I870" i="9"/>
  <c r="P870" i="9" s="1"/>
  <c r="B871" i="9"/>
  <c r="P869" i="9"/>
  <c r="T870" i="9" l="1"/>
  <c r="I874" i="6"/>
  <c r="J874" i="6" s="1"/>
  <c r="K874" i="6" s="1"/>
  <c r="H874" i="6"/>
  <c r="B875" i="6"/>
  <c r="D874" i="6"/>
  <c r="Y875" i="6"/>
  <c r="L874" i="6"/>
  <c r="P874" i="6" s="1"/>
  <c r="C874" i="6"/>
  <c r="P873" i="6"/>
  <c r="H871" i="9"/>
  <c r="I871" i="9"/>
  <c r="P871" i="9" s="1"/>
  <c r="D871" i="9"/>
  <c r="F871" i="9"/>
  <c r="C871" i="9"/>
  <c r="E871" i="9"/>
  <c r="B872" i="9"/>
  <c r="G871" i="9"/>
  <c r="X872" i="6"/>
  <c r="S873" i="6"/>
  <c r="T871" i="9" l="1"/>
  <c r="Y876" i="6"/>
  <c r="I875" i="6"/>
  <c r="J875" i="6" s="1"/>
  <c r="K875" i="6" s="1"/>
  <c r="H875" i="6"/>
  <c r="B876" i="6"/>
  <c r="D875" i="6"/>
  <c r="C875" i="6"/>
  <c r="L875" i="6"/>
  <c r="X873" i="6"/>
  <c r="S874" i="6"/>
  <c r="H872" i="9"/>
  <c r="I872" i="9"/>
  <c r="P872" i="9" s="1"/>
  <c r="E872" i="9"/>
  <c r="D872" i="9"/>
  <c r="F872" i="9"/>
  <c r="G872" i="9"/>
  <c r="B873" i="9"/>
  <c r="C872" i="9"/>
  <c r="T872" i="9" l="1"/>
  <c r="D876" i="6"/>
  <c r="C876" i="6"/>
  <c r="Y877" i="6"/>
  <c r="H876" i="6"/>
  <c r="I876" i="6"/>
  <c r="J876" i="6" s="1"/>
  <c r="K876" i="6" s="1"/>
  <c r="L876" i="6"/>
  <c r="B877" i="6"/>
  <c r="P875" i="6"/>
  <c r="E873" i="9"/>
  <c r="F873" i="9"/>
  <c r="G873" i="9"/>
  <c r="C873" i="9"/>
  <c r="I873" i="9"/>
  <c r="P873" i="9" s="1"/>
  <c r="H873" i="9"/>
  <c r="B874" i="9"/>
  <c r="D873" i="9"/>
  <c r="X874" i="6"/>
  <c r="S875" i="6"/>
  <c r="T873" i="9" l="1"/>
  <c r="I877" i="6"/>
  <c r="J877" i="6" s="1"/>
  <c r="K877" i="6" s="1"/>
  <c r="B878" i="6"/>
  <c r="H877" i="6"/>
  <c r="L877" i="6"/>
  <c r="P877" i="6" s="1"/>
  <c r="Y878" i="6"/>
  <c r="D877" i="6"/>
  <c r="C877" i="6"/>
  <c r="P876" i="6"/>
  <c r="F874" i="9"/>
  <c r="G874" i="9"/>
  <c r="B875" i="9"/>
  <c r="I874" i="9"/>
  <c r="P874" i="9" s="1"/>
  <c r="E874" i="9"/>
  <c r="D874" i="9"/>
  <c r="C874" i="9"/>
  <c r="H874" i="9"/>
  <c r="X875" i="6"/>
  <c r="S876" i="6"/>
  <c r="T874" i="9" l="1"/>
  <c r="D878" i="6"/>
  <c r="I878" i="6"/>
  <c r="J878" i="6" s="1"/>
  <c r="K878" i="6" s="1"/>
  <c r="L878" i="6"/>
  <c r="C878" i="6"/>
  <c r="H878" i="6"/>
  <c r="B879" i="6"/>
  <c r="Y879" i="6"/>
  <c r="X876" i="6"/>
  <c r="S877" i="6"/>
  <c r="G875" i="9"/>
  <c r="D875" i="9"/>
  <c r="I875" i="9"/>
  <c r="B876" i="9"/>
  <c r="H875" i="9"/>
  <c r="E875" i="9"/>
  <c r="F875" i="9"/>
  <c r="C875" i="9"/>
  <c r="T875" i="9" l="1"/>
  <c r="B880" i="6"/>
  <c r="Y880" i="6"/>
  <c r="D879" i="6"/>
  <c r="L879" i="6"/>
  <c r="P879" i="6" s="1"/>
  <c r="C879" i="6"/>
  <c r="H879" i="6"/>
  <c r="I879" i="6"/>
  <c r="J879" i="6" s="1"/>
  <c r="K879" i="6" s="1"/>
  <c r="P878" i="6"/>
  <c r="X877" i="6"/>
  <c r="S878" i="6"/>
  <c r="I876" i="9"/>
  <c r="P876" i="9" s="1"/>
  <c r="B877" i="9"/>
  <c r="H876" i="9"/>
  <c r="C876" i="9"/>
  <c r="G876" i="9"/>
  <c r="D876" i="9"/>
  <c r="F876" i="9"/>
  <c r="E876" i="9"/>
  <c r="P875" i="9"/>
  <c r="T876" i="9" l="1"/>
  <c r="H880" i="6"/>
  <c r="D880" i="6"/>
  <c r="I880" i="6"/>
  <c r="J880" i="6" s="1"/>
  <c r="K880" i="6" s="1"/>
  <c r="B881" i="6"/>
  <c r="C880" i="6"/>
  <c r="L880" i="6"/>
  <c r="Y881" i="6"/>
  <c r="X878" i="6"/>
  <c r="S879" i="6"/>
  <c r="I877" i="9"/>
  <c r="P877" i="9" s="1"/>
  <c r="B878" i="9"/>
  <c r="D877" i="9"/>
  <c r="F877" i="9"/>
  <c r="C877" i="9"/>
  <c r="H877" i="9"/>
  <c r="G877" i="9"/>
  <c r="E877" i="9"/>
  <c r="T877" i="9" l="1"/>
  <c r="I881" i="6"/>
  <c r="J881" i="6" s="1"/>
  <c r="K881" i="6" s="1"/>
  <c r="B882" i="6"/>
  <c r="H881" i="6"/>
  <c r="L881" i="6"/>
  <c r="P881" i="6" s="1"/>
  <c r="Y882" i="6"/>
  <c r="C881" i="6"/>
  <c r="D881" i="6"/>
  <c r="P880" i="6"/>
  <c r="F878" i="9"/>
  <c r="B879" i="9"/>
  <c r="C878" i="9"/>
  <c r="D878" i="9"/>
  <c r="G878" i="9"/>
  <c r="E878" i="9"/>
  <c r="H878" i="9"/>
  <c r="I878" i="9"/>
  <c r="P878" i="9" s="1"/>
  <c r="X879" i="6"/>
  <c r="S880" i="6"/>
  <c r="T878" i="9" l="1"/>
  <c r="I882" i="6"/>
  <c r="J882" i="6" s="1"/>
  <c r="K882" i="6" s="1"/>
  <c r="H882" i="6"/>
  <c r="D882" i="6"/>
  <c r="C882" i="6"/>
  <c r="B883" i="6"/>
  <c r="Y883" i="6"/>
  <c r="L882" i="6"/>
  <c r="P882" i="6" s="1"/>
  <c r="X880" i="6"/>
  <c r="S881" i="6"/>
  <c r="F879" i="9"/>
  <c r="G879" i="9"/>
  <c r="I879" i="9"/>
  <c r="P879" i="9" s="1"/>
  <c r="E879" i="9"/>
  <c r="H879" i="9"/>
  <c r="C879" i="9"/>
  <c r="D879" i="9"/>
  <c r="B880" i="9"/>
  <c r="T879" i="9" l="1"/>
  <c r="H883" i="6"/>
  <c r="D883" i="6"/>
  <c r="B884" i="6"/>
  <c r="I883" i="6"/>
  <c r="J883" i="6" s="1"/>
  <c r="K883" i="6" s="1"/>
  <c r="L883" i="6"/>
  <c r="P883" i="6" s="1"/>
  <c r="Y884" i="6"/>
  <c r="C883" i="6"/>
  <c r="D880" i="9"/>
  <c r="G880" i="9"/>
  <c r="B881" i="9"/>
  <c r="I880" i="9"/>
  <c r="P880" i="9" s="1"/>
  <c r="H880" i="9"/>
  <c r="F880" i="9"/>
  <c r="E880" i="9"/>
  <c r="C880" i="9"/>
  <c r="X881" i="6"/>
  <c r="S882" i="6"/>
  <c r="T880" i="9" l="1"/>
  <c r="B885" i="6"/>
  <c r="I884" i="6"/>
  <c r="J884" i="6" s="1"/>
  <c r="K884" i="6" s="1"/>
  <c r="C884" i="6"/>
  <c r="L884" i="6"/>
  <c r="P884" i="6" s="1"/>
  <c r="Y885" i="6"/>
  <c r="D884" i="6"/>
  <c r="H884" i="6"/>
  <c r="E881" i="9"/>
  <c r="B882" i="9"/>
  <c r="H881" i="9"/>
  <c r="C881" i="9"/>
  <c r="I881" i="9"/>
  <c r="P881" i="9" s="1"/>
  <c r="F881" i="9"/>
  <c r="G881" i="9"/>
  <c r="D881" i="9"/>
  <c r="X882" i="6"/>
  <c r="S883" i="6"/>
  <c r="T881" i="9" l="1"/>
  <c r="Y886" i="6"/>
  <c r="L885" i="6"/>
  <c r="B886" i="6"/>
  <c r="I885" i="6"/>
  <c r="J885" i="6" s="1"/>
  <c r="K885" i="6" s="1"/>
  <c r="H885" i="6"/>
  <c r="D885" i="6"/>
  <c r="C885" i="6"/>
  <c r="X883" i="6"/>
  <c r="S884" i="6"/>
  <c r="C882" i="9"/>
  <c r="F882" i="9"/>
  <c r="I882" i="9"/>
  <c r="H882" i="9"/>
  <c r="E882" i="9"/>
  <c r="D882" i="9"/>
  <c r="B883" i="9"/>
  <c r="G882" i="9"/>
  <c r="T882" i="9" l="1"/>
  <c r="L886" i="6"/>
  <c r="P886" i="6" s="1"/>
  <c r="I886" i="6"/>
  <c r="J886" i="6" s="1"/>
  <c r="K886" i="6" s="1"/>
  <c r="B887" i="6"/>
  <c r="C886" i="6"/>
  <c r="Y887" i="6"/>
  <c r="H886" i="6"/>
  <c r="D886" i="6"/>
  <c r="P885" i="6"/>
  <c r="I883" i="9"/>
  <c r="B884" i="9"/>
  <c r="F883" i="9"/>
  <c r="H883" i="9"/>
  <c r="E883" i="9"/>
  <c r="G883" i="9"/>
  <c r="D883" i="9"/>
  <c r="C883" i="9"/>
  <c r="P882" i="9"/>
  <c r="X884" i="6"/>
  <c r="S885" i="6"/>
  <c r="T883" i="9" l="1"/>
  <c r="Y888" i="6"/>
  <c r="B888" i="6"/>
  <c r="H887" i="6"/>
  <c r="L887" i="6"/>
  <c r="P887" i="6" s="1"/>
  <c r="I887" i="6"/>
  <c r="J887" i="6" s="1"/>
  <c r="K887" i="6" s="1"/>
  <c r="D887" i="6"/>
  <c r="C887" i="6"/>
  <c r="G884" i="9"/>
  <c r="E884" i="9"/>
  <c r="H884" i="9"/>
  <c r="D884" i="9"/>
  <c r="C884" i="9"/>
  <c r="F884" i="9"/>
  <c r="B885" i="9"/>
  <c r="I884" i="9"/>
  <c r="P884" i="9" s="1"/>
  <c r="X885" i="6"/>
  <c r="S886" i="6"/>
  <c r="P883" i="9"/>
  <c r="T884" i="9" l="1"/>
  <c r="D888" i="6"/>
  <c r="B889" i="6"/>
  <c r="Y889" i="6"/>
  <c r="C888" i="6"/>
  <c r="L888" i="6"/>
  <c r="I888" i="6"/>
  <c r="J888" i="6" s="1"/>
  <c r="K888" i="6" s="1"/>
  <c r="H888" i="6"/>
  <c r="D885" i="9"/>
  <c r="E885" i="9"/>
  <c r="H885" i="9"/>
  <c r="F885" i="9"/>
  <c r="C885" i="9"/>
  <c r="I885" i="9"/>
  <c r="P885" i="9" s="1"/>
  <c r="G885" i="9"/>
  <c r="B886" i="9"/>
  <c r="X886" i="6"/>
  <c r="S887" i="6"/>
  <c r="T885" i="9" l="1"/>
  <c r="Y890" i="6"/>
  <c r="B890" i="6"/>
  <c r="I889" i="6"/>
  <c r="J889" i="6" s="1"/>
  <c r="K889" i="6" s="1"/>
  <c r="C889" i="6"/>
  <c r="D889" i="6"/>
  <c r="L889" i="6"/>
  <c r="P889" i="6" s="1"/>
  <c r="H889" i="6"/>
  <c r="P888" i="6"/>
  <c r="X887" i="6"/>
  <c r="S888" i="6"/>
  <c r="F886" i="9"/>
  <c r="C886" i="9"/>
  <c r="G886" i="9"/>
  <c r="H886" i="9"/>
  <c r="B887" i="9"/>
  <c r="D886" i="9"/>
  <c r="I886" i="9"/>
  <c r="E886" i="9"/>
  <c r="T886" i="9" l="1"/>
  <c r="Y891" i="6"/>
  <c r="L890" i="6"/>
  <c r="P890" i="6" s="1"/>
  <c r="C890" i="6"/>
  <c r="H890" i="6"/>
  <c r="B891" i="6"/>
  <c r="D890" i="6"/>
  <c r="I890" i="6"/>
  <c r="J890" i="6" s="1"/>
  <c r="K890" i="6" s="1"/>
  <c r="I887" i="9"/>
  <c r="G887" i="9"/>
  <c r="E887" i="9"/>
  <c r="B888" i="9"/>
  <c r="H887" i="9"/>
  <c r="F887" i="9"/>
  <c r="C887" i="9"/>
  <c r="D887" i="9"/>
  <c r="X888" i="6"/>
  <c r="S889" i="6"/>
  <c r="P886" i="9"/>
  <c r="T887" i="9" l="1"/>
  <c r="B892" i="6"/>
  <c r="L891" i="6"/>
  <c r="P891" i="6" s="1"/>
  <c r="H891" i="6"/>
  <c r="C891" i="6"/>
  <c r="D891" i="6"/>
  <c r="Y892" i="6"/>
  <c r="I891" i="6"/>
  <c r="J891" i="6" s="1"/>
  <c r="K891" i="6" s="1"/>
  <c r="G888" i="9"/>
  <c r="F888" i="9"/>
  <c r="I888" i="9"/>
  <c r="E888" i="9"/>
  <c r="D888" i="9"/>
  <c r="B889" i="9"/>
  <c r="H888" i="9"/>
  <c r="C888" i="9"/>
  <c r="X889" i="6"/>
  <c r="S890" i="6"/>
  <c r="P887" i="9"/>
  <c r="T888" i="9" l="1"/>
  <c r="Y893" i="6"/>
  <c r="L892" i="6"/>
  <c r="D892" i="6"/>
  <c r="I892" i="6"/>
  <c r="J892" i="6" s="1"/>
  <c r="K892" i="6" s="1"/>
  <c r="C892" i="6"/>
  <c r="B893" i="6"/>
  <c r="H892" i="6"/>
  <c r="P888" i="9"/>
  <c r="X890" i="6"/>
  <c r="S891" i="6"/>
  <c r="C889" i="9"/>
  <c r="B890" i="9"/>
  <c r="I889" i="9"/>
  <c r="P889" i="9" s="1"/>
  <c r="E889" i="9"/>
  <c r="H889" i="9"/>
  <c r="F889" i="9"/>
  <c r="D889" i="9"/>
  <c r="G889" i="9"/>
  <c r="T889" i="9" l="1"/>
  <c r="C893" i="6"/>
  <c r="Y894" i="6"/>
  <c r="D893" i="6"/>
  <c r="B894" i="6"/>
  <c r="I893" i="6"/>
  <c r="J893" i="6" s="1"/>
  <c r="K893" i="6" s="1"/>
  <c r="L893" i="6"/>
  <c r="P893" i="6" s="1"/>
  <c r="H893" i="6"/>
  <c r="P892" i="6"/>
  <c r="C890" i="9"/>
  <c r="B891" i="9"/>
  <c r="E890" i="9"/>
  <c r="H890" i="9"/>
  <c r="I890" i="9"/>
  <c r="D890" i="9"/>
  <c r="F890" i="9"/>
  <c r="G890" i="9"/>
  <c r="X891" i="6"/>
  <c r="S892" i="6"/>
  <c r="T890" i="9" l="1"/>
  <c r="D894" i="6"/>
  <c r="I894" i="6"/>
  <c r="J894" i="6" s="1"/>
  <c r="K894" i="6" s="1"/>
  <c r="C894" i="6"/>
  <c r="B895" i="6"/>
  <c r="Y895" i="6"/>
  <c r="L894" i="6"/>
  <c r="P894" i="6" s="1"/>
  <c r="H894" i="6"/>
  <c r="G891" i="9"/>
  <c r="D891" i="9"/>
  <c r="B892" i="9"/>
  <c r="I891" i="9"/>
  <c r="P891" i="9" s="1"/>
  <c r="H891" i="9"/>
  <c r="F891" i="9"/>
  <c r="C891" i="9"/>
  <c r="E891" i="9"/>
  <c r="P890" i="9"/>
  <c r="X892" i="6"/>
  <c r="S893" i="6"/>
  <c r="T891" i="9" l="1"/>
  <c r="B896" i="6"/>
  <c r="H895" i="6"/>
  <c r="D895" i="6"/>
  <c r="Y896" i="6"/>
  <c r="I895" i="6"/>
  <c r="J895" i="6" s="1"/>
  <c r="K895" i="6" s="1"/>
  <c r="C895" i="6"/>
  <c r="L895" i="6"/>
  <c r="P895" i="6" s="1"/>
  <c r="X893" i="6"/>
  <c r="S894" i="6"/>
  <c r="D892" i="9"/>
  <c r="E892" i="9"/>
  <c r="F892" i="9"/>
  <c r="B893" i="9"/>
  <c r="G892" i="9"/>
  <c r="C892" i="9"/>
  <c r="H892" i="9"/>
  <c r="I892" i="9"/>
  <c r="P892" i="9" s="1"/>
  <c r="T892" i="9" l="1"/>
  <c r="I896" i="6"/>
  <c r="J896" i="6" s="1"/>
  <c r="K896" i="6" s="1"/>
  <c r="D896" i="6"/>
  <c r="C896" i="6"/>
  <c r="Y897" i="6"/>
  <c r="L896" i="6"/>
  <c r="P896" i="6" s="1"/>
  <c r="B897" i="6"/>
  <c r="H896" i="6"/>
  <c r="X894" i="6"/>
  <c r="S895" i="6"/>
  <c r="C893" i="9"/>
  <c r="I893" i="9"/>
  <c r="P893" i="9" s="1"/>
  <c r="D893" i="9"/>
  <c r="E893" i="9"/>
  <c r="B894" i="9"/>
  <c r="F893" i="9"/>
  <c r="G893" i="9"/>
  <c r="H893" i="9"/>
  <c r="T893" i="9" l="1"/>
  <c r="H897" i="6"/>
  <c r="L897" i="6"/>
  <c r="I897" i="6"/>
  <c r="J897" i="6" s="1"/>
  <c r="K897" i="6" s="1"/>
  <c r="D897" i="6"/>
  <c r="Y898" i="6"/>
  <c r="C897" i="6"/>
  <c r="B898" i="6"/>
  <c r="E894" i="9"/>
  <c r="G894" i="9"/>
  <c r="D894" i="9"/>
  <c r="B895" i="9"/>
  <c r="C894" i="9"/>
  <c r="I894" i="9"/>
  <c r="H894" i="9"/>
  <c r="F894" i="9"/>
  <c r="X895" i="6"/>
  <c r="S896" i="6"/>
  <c r="T894" i="9" l="1"/>
  <c r="C898" i="6"/>
  <c r="B899" i="6"/>
  <c r="D898" i="6"/>
  <c r="H898" i="6"/>
  <c r="Y899" i="6"/>
  <c r="I898" i="6"/>
  <c r="J898" i="6" s="1"/>
  <c r="K898" i="6" s="1"/>
  <c r="L898" i="6"/>
  <c r="P898" i="6" s="1"/>
  <c r="P897" i="6"/>
  <c r="F895" i="9"/>
  <c r="D895" i="9"/>
  <c r="I895" i="9"/>
  <c r="P895" i="9" s="1"/>
  <c r="E895" i="9"/>
  <c r="B896" i="9"/>
  <c r="G895" i="9"/>
  <c r="C895" i="9"/>
  <c r="H895" i="9"/>
  <c r="X896" i="6"/>
  <c r="S897" i="6"/>
  <c r="P894" i="9"/>
  <c r="T895" i="9" l="1"/>
  <c r="Y900" i="6"/>
  <c r="I899" i="6"/>
  <c r="J899" i="6" s="1"/>
  <c r="K899" i="6" s="1"/>
  <c r="B900" i="6"/>
  <c r="H899" i="6"/>
  <c r="C899" i="6"/>
  <c r="D899" i="6"/>
  <c r="L899" i="6"/>
  <c r="P899" i="6" s="1"/>
  <c r="E896" i="9"/>
  <c r="H896" i="9"/>
  <c r="C896" i="9"/>
  <c r="G896" i="9"/>
  <c r="B897" i="9"/>
  <c r="I896" i="9"/>
  <c r="P896" i="9" s="1"/>
  <c r="D896" i="9"/>
  <c r="F896" i="9"/>
  <c r="X897" i="6"/>
  <c r="S898" i="6"/>
  <c r="T896" i="9" l="1"/>
  <c r="L900" i="6"/>
  <c r="P900" i="6" s="1"/>
  <c r="D900" i="6"/>
  <c r="B901" i="6"/>
  <c r="I900" i="6"/>
  <c r="J900" i="6" s="1"/>
  <c r="K900" i="6" s="1"/>
  <c r="Y901" i="6"/>
  <c r="C900" i="6"/>
  <c r="H900" i="6"/>
  <c r="B898" i="9"/>
  <c r="E897" i="9"/>
  <c r="D897" i="9"/>
  <c r="F897" i="9"/>
  <c r="I897" i="9"/>
  <c r="G897" i="9"/>
  <c r="H897" i="9"/>
  <c r="C897" i="9"/>
  <c r="X898" i="6"/>
  <c r="S899" i="6"/>
  <c r="T897" i="9" l="1"/>
  <c r="B902" i="6"/>
  <c r="H901" i="6"/>
  <c r="C901" i="6"/>
  <c r="I901" i="6"/>
  <c r="J901" i="6" s="1"/>
  <c r="K901" i="6" s="1"/>
  <c r="Y902" i="6"/>
  <c r="L901" i="6"/>
  <c r="D901" i="6"/>
  <c r="X899" i="6"/>
  <c r="S900" i="6"/>
  <c r="D898" i="9"/>
  <c r="C898" i="9"/>
  <c r="I898" i="9"/>
  <c r="P898" i="9" s="1"/>
  <c r="E898" i="9"/>
  <c r="F898" i="9"/>
  <c r="H898" i="9"/>
  <c r="B899" i="9"/>
  <c r="G898" i="9"/>
  <c r="P897" i="9"/>
  <c r="T898" i="9" l="1"/>
  <c r="P901" i="6"/>
  <c r="I902" i="6"/>
  <c r="J902" i="6" s="1"/>
  <c r="K902" i="6" s="1"/>
  <c r="D902" i="6"/>
  <c r="C902" i="6"/>
  <c r="Y903" i="6"/>
  <c r="H902" i="6"/>
  <c r="L902" i="6"/>
  <c r="B903" i="6"/>
  <c r="X900" i="6"/>
  <c r="S901" i="6"/>
  <c r="F899" i="9"/>
  <c r="B900" i="9"/>
  <c r="G899" i="9"/>
  <c r="C899" i="9"/>
  <c r="I899" i="9"/>
  <c r="P899" i="9" s="1"/>
  <c r="E899" i="9"/>
  <c r="H899" i="9"/>
  <c r="D899" i="9"/>
  <c r="T899" i="9" l="1"/>
  <c r="C903" i="6"/>
  <c r="D903" i="6"/>
  <c r="I903" i="6"/>
  <c r="J903" i="6" s="1"/>
  <c r="K903" i="6" s="1"/>
  <c r="Y904" i="6"/>
  <c r="H903" i="6"/>
  <c r="L903" i="6"/>
  <c r="B904" i="6"/>
  <c r="P902" i="6"/>
  <c r="X901" i="6"/>
  <c r="S902" i="6"/>
  <c r="I900" i="9"/>
  <c r="H900" i="9"/>
  <c r="G900" i="9"/>
  <c r="B901" i="9"/>
  <c r="D900" i="9"/>
  <c r="F900" i="9"/>
  <c r="C900" i="9"/>
  <c r="E900" i="9"/>
  <c r="T900" i="9" l="1"/>
  <c r="Y905" i="6"/>
  <c r="C904" i="6"/>
  <c r="H904" i="6"/>
  <c r="D904" i="6"/>
  <c r="I904" i="6"/>
  <c r="J904" i="6" s="1"/>
  <c r="K904" i="6" s="1"/>
  <c r="B905" i="6"/>
  <c r="L904" i="6"/>
  <c r="P904" i="6" s="1"/>
  <c r="P903" i="6"/>
  <c r="X902" i="6"/>
  <c r="S903" i="6"/>
  <c r="B902" i="9"/>
  <c r="G901" i="9"/>
  <c r="E901" i="9"/>
  <c r="F901" i="9"/>
  <c r="D901" i="9"/>
  <c r="H901" i="9"/>
  <c r="C901" i="9"/>
  <c r="I901" i="9"/>
  <c r="P900" i="9"/>
  <c r="T901" i="9" l="1"/>
  <c r="Y906" i="6"/>
  <c r="B906" i="6"/>
  <c r="D905" i="6"/>
  <c r="L905" i="6"/>
  <c r="C905" i="6"/>
  <c r="I905" i="6"/>
  <c r="J905" i="6" s="1"/>
  <c r="K905" i="6" s="1"/>
  <c r="H905" i="6"/>
  <c r="P901" i="9"/>
  <c r="H902" i="9"/>
  <c r="E902" i="9"/>
  <c r="C902" i="9"/>
  <c r="I902" i="9"/>
  <c r="B903" i="9"/>
  <c r="F902" i="9"/>
  <c r="D902" i="9"/>
  <c r="G902" i="9"/>
  <c r="X903" i="6"/>
  <c r="S904" i="6"/>
  <c r="T902" i="9" l="1"/>
  <c r="L906" i="6"/>
  <c r="P906" i="6" s="1"/>
  <c r="I906" i="6"/>
  <c r="J906" i="6" s="1"/>
  <c r="K906" i="6" s="1"/>
  <c r="C906" i="6"/>
  <c r="Y907" i="6"/>
  <c r="D906" i="6"/>
  <c r="B907" i="6"/>
  <c r="H906" i="6"/>
  <c r="P905" i="6"/>
  <c r="X904" i="6"/>
  <c r="S905" i="6"/>
  <c r="H903" i="9"/>
  <c r="F903" i="9"/>
  <c r="B904" i="9"/>
  <c r="C903" i="9"/>
  <c r="G903" i="9"/>
  <c r="I903" i="9"/>
  <c r="E903" i="9"/>
  <c r="D903" i="9"/>
  <c r="P902" i="9"/>
  <c r="T903" i="9" l="1"/>
  <c r="Y908" i="6"/>
  <c r="L907" i="6"/>
  <c r="C907" i="6"/>
  <c r="B908" i="6"/>
  <c r="H907" i="6"/>
  <c r="I907" i="6"/>
  <c r="J907" i="6" s="1"/>
  <c r="K907" i="6" s="1"/>
  <c r="D907" i="6"/>
  <c r="G904" i="9"/>
  <c r="F904" i="9"/>
  <c r="D904" i="9"/>
  <c r="C904" i="9"/>
  <c r="I904" i="9"/>
  <c r="H904" i="9"/>
  <c r="B905" i="9"/>
  <c r="E904" i="9"/>
  <c r="X905" i="6"/>
  <c r="S906" i="6"/>
  <c r="P903" i="9"/>
  <c r="T904" i="9" l="1"/>
  <c r="I908" i="6"/>
  <c r="J908" i="6" s="1"/>
  <c r="K908" i="6" s="1"/>
  <c r="Y909" i="6"/>
  <c r="L908" i="6"/>
  <c r="P908" i="6" s="1"/>
  <c r="D908" i="6"/>
  <c r="C908" i="6"/>
  <c r="B909" i="6"/>
  <c r="H908" i="6"/>
  <c r="P907" i="6"/>
  <c r="H905" i="9"/>
  <c r="F905" i="9"/>
  <c r="B906" i="9"/>
  <c r="D905" i="9"/>
  <c r="I905" i="9"/>
  <c r="P905" i="9" s="1"/>
  <c r="E905" i="9"/>
  <c r="G905" i="9"/>
  <c r="C905" i="9"/>
  <c r="P904" i="9"/>
  <c r="X906" i="6"/>
  <c r="S907" i="6"/>
  <c r="T905" i="9" l="1"/>
  <c r="B910" i="6"/>
  <c r="I909" i="6"/>
  <c r="J909" i="6" s="1"/>
  <c r="K909" i="6" s="1"/>
  <c r="D909" i="6"/>
  <c r="Y910" i="6"/>
  <c r="H909" i="6"/>
  <c r="C909" i="6"/>
  <c r="L909" i="6"/>
  <c r="P909" i="6" s="1"/>
  <c r="X907" i="6"/>
  <c r="S908" i="6"/>
  <c r="G906" i="9"/>
  <c r="F906" i="9"/>
  <c r="D906" i="9"/>
  <c r="H906" i="9"/>
  <c r="E906" i="9"/>
  <c r="I906" i="9"/>
  <c r="C906" i="9"/>
  <c r="B907" i="9"/>
  <c r="T906" i="9" l="1"/>
  <c r="I910" i="6"/>
  <c r="J910" i="6" s="1"/>
  <c r="K910" i="6" s="1"/>
  <c r="D910" i="6"/>
  <c r="L910" i="6"/>
  <c r="C910" i="6"/>
  <c r="H910" i="6"/>
  <c r="Y911" i="6"/>
  <c r="B911" i="6"/>
  <c r="P906" i="9"/>
  <c r="X908" i="6"/>
  <c r="S909" i="6"/>
  <c r="D907" i="9"/>
  <c r="C907" i="9"/>
  <c r="I907" i="9"/>
  <c r="H907" i="9"/>
  <c r="B908" i="9"/>
  <c r="F907" i="9"/>
  <c r="E907" i="9"/>
  <c r="G907" i="9"/>
  <c r="T907" i="9" l="1"/>
  <c r="B912" i="6"/>
  <c r="I911" i="6"/>
  <c r="J911" i="6" s="1"/>
  <c r="K911" i="6" s="1"/>
  <c r="L911" i="6"/>
  <c r="P911" i="6" s="1"/>
  <c r="D911" i="6"/>
  <c r="C911" i="6"/>
  <c r="H911" i="6"/>
  <c r="Y912" i="6"/>
  <c r="P910" i="6"/>
  <c r="X909" i="6"/>
  <c r="S910" i="6"/>
  <c r="H908" i="9"/>
  <c r="I908" i="9"/>
  <c r="P908" i="9" s="1"/>
  <c r="D908" i="9"/>
  <c r="E908" i="9"/>
  <c r="B909" i="9"/>
  <c r="C908" i="9"/>
  <c r="F908" i="9"/>
  <c r="G908" i="9"/>
  <c r="P907" i="9"/>
  <c r="T908" i="9" l="1"/>
  <c r="L912" i="6"/>
  <c r="H912" i="6"/>
  <c r="D912" i="6"/>
  <c r="B913" i="6"/>
  <c r="C912" i="6"/>
  <c r="Y913" i="6"/>
  <c r="I912" i="6"/>
  <c r="J912" i="6" s="1"/>
  <c r="K912" i="6" s="1"/>
  <c r="X910" i="6"/>
  <c r="S911" i="6"/>
  <c r="C909" i="9"/>
  <c r="E909" i="9"/>
  <c r="I909" i="9"/>
  <c r="P909" i="9" s="1"/>
  <c r="D909" i="9"/>
  <c r="H909" i="9"/>
  <c r="F909" i="9"/>
  <c r="B910" i="9"/>
  <c r="G909" i="9"/>
  <c r="T909" i="9" l="1"/>
  <c r="I913" i="6"/>
  <c r="J913" i="6" s="1"/>
  <c r="K913" i="6" s="1"/>
  <c r="Y914" i="6"/>
  <c r="H913" i="6"/>
  <c r="B914" i="6"/>
  <c r="L913" i="6"/>
  <c r="P913" i="6" s="1"/>
  <c r="C913" i="6"/>
  <c r="D913" i="6"/>
  <c r="P912" i="6"/>
  <c r="X911" i="6"/>
  <c r="S912" i="6"/>
  <c r="F910" i="9"/>
  <c r="I910" i="9"/>
  <c r="P910" i="9" s="1"/>
  <c r="D910" i="9"/>
  <c r="B911" i="9"/>
  <c r="E910" i="9"/>
  <c r="H910" i="9"/>
  <c r="G910" i="9"/>
  <c r="C910" i="9"/>
  <c r="T910" i="9" l="1"/>
  <c r="I914" i="6"/>
  <c r="J914" i="6" s="1"/>
  <c r="K914" i="6" s="1"/>
  <c r="C914" i="6"/>
  <c r="Y915" i="6"/>
  <c r="D914" i="6"/>
  <c r="B915" i="6"/>
  <c r="H914" i="6"/>
  <c r="L914" i="6"/>
  <c r="D911" i="9"/>
  <c r="F911" i="9"/>
  <c r="G911" i="9"/>
  <c r="H911" i="9"/>
  <c r="I911" i="9"/>
  <c r="P911" i="9" s="1"/>
  <c r="E911" i="9"/>
  <c r="C911" i="9"/>
  <c r="B912" i="9"/>
  <c r="X912" i="6"/>
  <c r="S913" i="6"/>
  <c r="T911" i="9" l="1"/>
  <c r="D915" i="6"/>
  <c r="H915" i="6"/>
  <c r="L915" i="6"/>
  <c r="C915" i="6"/>
  <c r="Y916" i="6"/>
  <c r="B916" i="6"/>
  <c r="I915" i="6"/>
  <c r="J915" i="6" s="1"/>
  <c r="K915" i="6" s="1"/>
  <c r="P914" i="6"/>
  <c r="X913" i="6"/>
  <c r="S914" i="6"/>
  <c r="H912" i="9"/>
  <c r="D912" i="9"/>
  <c r="G912" i="9"/>
  <c r="C912" i="9"/>
  <c r="E912" i="9"/>
  <c r="I912" i="9"/>
  <c r="P912" i="9" s="1"/>
  <c r="F912" i="9"/>
  <c r="B913" i="9"/>
  <c r="T912" i="9" l="1"/>
  <c r="I916" i="6"/>
  <c r="J916" i="6" s="1"/>
  <c r="K916" i="6" s="1"/>
  <c r="H916" i="6"/>
  <c r="B917" i="6"/>
  <c r="Y917" i="6"/>
  <c r="C916" i="6"/>
  <c r="L916" i="6"/>
  <c r="P916" i="6" s="1"/>
  <c r="D916" i="6"/>
  <c r="P915" i="6"/>
  <c r="F913" i="9"/>
  <c r="B914" i="9"/>
  <c r="H913" i="9"/>
  <c r="D913" i="9"/>
  <c r="I913" i="9"/>
  <c r="C913" i="9"/>
  <c r="G913" i="9"/>
  <c r="E913" i="9"/>
  <c r="X914" i="6"/>
  <c r="S915" i="6"/>
  <c r="T913" i="9" l="1"/>
  <c r="I917" i="6"/>
  <c r="J917" i="6" s="1"/>
  <c r="K917" i="6" s="1"/>
  <c r="B918" i="6"/>
  <c r="L917" i="6"/>
  <c r="D917" i="6"/>
  <c r="H917" i="6"/>
  <c r="C917" i="6"/>
  <c r="Y918" i="6"/>
  <c r="H914" i="9"/>
  <c r="E914" i="9"/>
  <c r="B915" i="9"/>
  <c r="F914" i="9"/>
  <c r="D914" i="9"/>
  <c r="C914" i="9"/>
  <c r="G914" i="9"/>
  <c r="I914" i="9"/>
  <c r="P914" i="9" s="1"/>
  <c r="X915" i="6"/>
  <c r="S916" i="6"/>
  <c r="P913" i="9"/>
  <c r="T914" i="9" l="1"/>
  <c r="P917" i="6"/>
  <c r="L918" i="6"/>
  <c r="I918" i="6"/>
  <c r="J918" i="6" s="1"/>
  <c r="K918" i="6" s="1"/>
  <c r="H918" i="6"/>
  <c r="C918" i="6"/>
  <c r="Y919" i="6"/>
  <c r="D918" i="6"/>
  <c r="B919" i="6"/>
  <c r="X916" i="6"/>
  <c r="S917" i="6"/>
  <c r="E915" i="9"/>
  <c r="F915" i="9"/>
  <c r="C915" i="9"/>
  <c r="H915" i="9"/>
  <c r="G915" i="9"/>
  <c r="B916" i="9"/>
  <c r="D915" i="9"/>
  <c r="I915" i="9"/>
  <c r="T915" i="9" l="1"/>
  <c r="C919" i="6"/>
  <c r="Y920" i="6"/>
  <c r="I919" i="6"/>
  <c r="J919" i="6" s="1"/>
  <c r="K919" i="6" s="1"/>
  <c r="B920" i="6"/>
  <c r="H919" i="6"/>
  <c r="D919" i="6"/>
  <c r="L919" i="6"/>
  <c r="P919" i="6" s="1"/>
  <c r="P918" i="6"/>
  <c r="C916" i="9"/>
  <c r="H916" i="9"/>
  <c r="E916" i="9"/>
  <c r="D916" i="9"/>
  <c r="I916" i="9"/>
  <c r="P916" i="9" s="1"/>
  <c r="F916" i="9"/>
  <c r="B917" i="9"/>
  <c r="G916" i="9"/>
  <c r="P915" i="9"/>
  <c r="X917" i="6"/>
  <c r="S918" i="6"/>
  <c r="T916" i="9" l="1"/>
  <c r="L920" i="6"/>
  <c r="Y921" i="6"/>
  <c r="I920" i="6"/>
  <c r="J920" i="6" s="1"/>
  <c r="K920" i="6" s="1"/>
  <c r="C920" i="6"/>
  <c r="H920" i="6"/>
  <c r="D920" i="6"/>
  <c r="B921" i="6"/>
  <c r="X918" i="6"/>
  <c r="S919" i="6"/>
  <c r="B918" i="9"/>
  <c r="E917" i="9"/>
  <c r="G917" i="9"/>
  <c r="F917" i="9"/>
  <c r="C917" i="9"/>
  <c r="D917" i="9"/>
  <c r="H917" i="9"/>
  <c r="I917" i="9"/>
  <c r="P917" i="9" s="1"/>
  <c r="T917" i="9" l="1"/>
  <c r="H921" i="6"/>
  <c r="Y922" i="6"/>
  <c r="D921" i="6"/>
  <c r="L921" i="6"/>
  <c r="P921" i="6" s="1"/>
  <c r="B922" i="6"/>
  <c r="C921" i="6"/>
  <c r="I921" i="6"/>
  <c r="J921" i="6" s="1"/>
  <c r="K921" i="6" s="1"/>
  <c r="P920" i="6"/>
  <c r="X919" i="6"/>
  <c r="S920" i="6"/>
  <c r="F918" i="9"/>
  <c r="C918" i="9"/>
  <c r="E918" i="9"/>
  <c r="D918" i="9"/>
  <c r="G918" i="9"/>
  <c r="B919" i="9"/>
  <c r="I918" i="9"/>
  <c r="H918" i="9"/>
  <c r="T918" i="9" l="1"/>
  <c r="L922" i="6"/>
  <c r="P922" i="6" s="1"/>
  <c r="Y923" i="6"/>
  <c r="D922" i="6"/>
  <c r="B923" i="6"/>
  <c r="H922" i="6"/>
  <c r="C922" i="6"/>
  <c r="I922" i="6"/>
  <c r="J922" i="6" s="1"/>
  <c r="K922" i="6" s="1"/>
  <c r="E919" i="9"/>
  <c r="H919" i="9"/>
  <c r="G919" i="9"/>
  <c r="B920" i="9"/>
  <c r="I919" i="9"/>
  <c r="P919" i="9" s="1"/>
  <c r="D919" i="9"/>
  <c r="C919" i="9"/>
  <c r="F919" i="9"/>
  <c r="X920" i="6"/>
  <c r="S921" i="6"/>
  <c r="P918" i="9"/>
  <c r="T919" i="9" l="1"/>
  <c r="I923" i="6"/>
  <c r="J923" i="6" s="1"/>
  <c r="K923" i="6" s="1"/>
  <c r="C923" i="6"/>
  <c r="D923" i="6"/>
  <c r="H923" i="6"/>
  <c r="B924" i="6"/>
  <c r="Y924" i="6"/>
  <c r="L923" i="6"/>
  <c r="P923" i="6" s="1"/>
  <c r="B921" i="9"/>
  <c r="F920" i="9"/>
  <c r="H920" i="9"/>
  <c r="C920" i="9"/>
  <c r="I920" i="9"/>
  <c r="P920" i="9" s="1"/>
  <c r="E920" i="9"/>
  <c r="G920" i="9"/>
  <c r="D920" i="9"/>
  <c r="X921" i="6"/>
  <c r="S922" i="6"/>
  <c r="T920" i="9" l="1"/>
  <c r="D924" i="6"/>
  <c r="I924" i="6"/>
  <c r="J924" i="6" s="1"/>
  <c r="K924" i="6" s="1"/>
  <c r="C924" i="6"/>
  <c r="L924" i="6"/>
  <c r="P924" i="6" s="1"/>
  <c r="H924" i="6"/>
  <c r="Y925" i="6"/>
  <c r="B925" i="6"/>
  <c r="X922" i="6"/>
  <c r="S923" i="6"/>
  <c r="B922" i="9"/>
  <c r="D921" i="9"/>
  <c r="C921" i="9"/>
  <c r="I921" i="9"/>
  <c r="P921" i="9" s="1"/>
  <c r="E921" i="9"/>
  <c r="F921" i="9"/>
  <c r="G921" i="9"/>
  <c r="H921" i="9"/>
  <c r="T921" i="9" l="1"/>
  <c r="H925" i="6"/>
  <c r="Y926" i="6"/>
  <c r="C925" i="6"/>
  <c r="B926" i="6"/>
  <c r="D925" i="6"/>
  <c r="L925" i="6"/>
  <c r="I925" i="6"/>
  <c r="J925" i="6" s="1"/>
  <c r="K925" i="6" s="1"/>
  <c r="D922" i="9"/>
  <c r="I922" i="9"/>
  <c r="F922" i="9"/>
  <c r="C922" i="9"/>
  <c r="G922" i="9"/>
  <c r="B923" i="9"/>
  <c r="H922" i="9"/>
  <c r="E922" i="9"/>
  <c r="X923" i="6"/>
  <c r="S924" i="6"/>
  <c r="T922" i="9" l="1"/>
  <c r="P925" i="6"/>
  <c r="H926" i="6"/>
  <c r="C926" i="6"/>
  <c r="D926" i="6"/>
  <c r="B927" i="6"/>
  <c r="I926" i="6"/>
  <c r="J926" i="6" s="1"/>
  <c r="K926" i="6" s="1"/>
  <c r="L926" i="6"/>
  <c r="Y927" i="6"/>
  <c r="X924" i="6"/>
  <c r="S925" i="6"/>
  <c r="P922" i="9"/>
  <c r="H923" i="9"/>
  <c r="G923" i="9"/>
  <c r="C923" i="9"/>
  <c r="I923" i="9"/>
  <c r="P923" i="9" s="1"/>
  <c r="F923" i="9"/>
  <c r="E923" i="9"/>
  <c r="B924" i="9"/>
  <c r="D923" i="9"/>
  <c r="T923" i="9" l="1"/>
  <c r="I927" i="6"/>
  <c r="J927" i="6" s="1"/>
  <c r="K927" i="6" s="1"/>
  <c r="D927" i="6"/>
  <c r="B928" i="6"/>
  <c r="C927" i="6"/>
  <c r="Y928" i="6"/>
  <c r="L927" i="6"/>
  <c r="H927" i="6"/>
  <c r="P926" i="6"/>
  <c r="G924" i="9"/>
  <c r="B925" i="9"/>
  <c r="I924" i="9"/>
  <c r="C924" i="9"/>
  <c r="H924" i="9"/>
  <c r="F924" i="9"/>
  <c r="D924" i="9"/>
  <c r="E924" i="9"/>
  <c r="X925" i="6"/>
  <c r="S926" i="6"/>
  <c r="T924" i="9" l="1"/>
  <c r="Y929" i="6"/>
  <c r="C928" i="6"/>
  <c r="L928" i="6"/>
  <c r="P928" i="6" s="1"/>
  <c r="B929" i="6"/>
  <c r="D928" i="6"/>
  <c r="H928" i="6"/>
  <c r="I928" i="6"/>
  <c r="J928" i="6" s="1"/>
  <c r="K928" i="6" s="1"/>
  <c r="P927" i="6"/>
  <c r="G925" i="9"/>
  <c r="B926" i="9"/>
  <c r="F925" i="9"/>
  <c r="H925" i="9"/>
  <c r="I925" i="9"/>
  <c r="P925" i="9" s="1"/>
  <c r="C925" i="9"/>
  <c r="D925" i="9"/>
  <c r="E925" i="9"/>
  <c r="X926" i="6"/>
  <c r="S927" i="6"/>
  <c r="P924" i="9"/>
  <c r="T925" i="9" l="1"/>
  <c r="I929" i="6"/>
  <c r="J929" i="6" s="1"/>
  <c r="K929" i="6" s="1"/>
  <c r="D929" i="6"/>
  <c r="C929" i="6"/>
  <c r="L929" i="6"/>
  <c r="P929" i="6" s="1"/>
  <c r="H929" i="6"/>
  <c r="B930" i="6"/>
  <c r="Y930" i="6"/>
  <c r="D926" i="9"/>
  <c r="H926" i="9"/>
  <c r="B927" i="9"/>
  <c r="I926" i="9"/>
  <c r="P926" i="9" s="1"/>
  <c r="F926" i="9"/>
  <c r="G926" i="9"/>
  <c r="C926" i="9"/>
  <c r="E926" i="9"/>
  <c r="X927" i="6"/>
  <c r="S928" i="6"/>
  <c r="T926" i="9" l="1"/>
  <c r="H930" i="6"/>
  <c r="L930" i="6"/>
  <c r="P930" i="6" s="1"/>
  <c r="Y931" i="6"/>
  <c r="B931" i="6"/>
  <c r="C930" i="6"/>
  <c r="D930" i="6"/>
  <c r="I930" i="6"/>
  <c r="J930" i="6" s="1"/>
  <c r="K930" i="6" s="1"/>
  <c r="H927" i="9"/>
  <c r="D927" i="9"/>
  <c r="B928" i="9"/>
  <c r="G927" i="9"/>
  <c r="I927" i="9"/>
  <c r="P927" i="9" s="1"/>
  <c r="C927" i="9"/>
  <c r="E927" i="9"/>
  <c r="F927" i="9"/>
  <c r="X928" i="6"/>
  <c r="S929" i="6"/>
  <c r="T927" i="9" l="1"/>
  <c r="Y932" i="6"/>
  <c r="D931" i="6"/>
  <c r="L931" i="6"/>
  <c r="P931" i="6" s="1"/>
  <c r="C931" i="6"/>
  <c r="B932" i="6"/>
  <c r="H931" i="6"/>
  <c r="I931" i="6"/>
  <c r="J931" i="6" s="1"/>
  <c r="K931" i="6" s="1"/>
  <c r="B929" i="9"/>
  <c r="D928" i="9"/>
  <c r="C928" i="9"/>
  <c r="H928" i="9"/>
  <c r="G928" i="9"/>
  <c r="I928" i="9"/>
  <c r="P928" i="9" s="1"/>
  <c r="E928" i="9"/>
  <c r="F928" i="9"/>
  <c r="X929" i="6"/>
  <c r="S930" i="6"/>
  <c r="T928" i="9" l="1"/>
  <c r="I932" i="6"/>
  <c r="J932" i="6" s="1"/>
  <c r="K932" i="6" s="1"/>
  <c r="L932" i="6"/>
  <c r="P932" i="6" s="1"/>
  <c r="Y933" i="6"/>
  <c r="B933" i="6"/>
  <c r="D932" i="6"/>
  <c r="C932" i="6"/>
  <c r="H932" i="6"/>
  <c r="X930" i="6"/>
  <c r="S931" i="6"/>
  <c r="E929" i="9"/>
  <c r="B930" i="9"/>
  <c r="D929" i="9"/>
  <c r="F929" i="9"/>
  <c r="I929" i="9"/>
  <c r="C929" i="9"/>
  <c r="G929" i="9"/>
  <c r="H929" i="9"/>
  <c r="T929" i="9" l="1"/>
  <c r="Y934" i="6"/>
  <c r="B934" i="6"/>
  <c r="C933" i="6"/>
  <c r="I933" i="6"/>
  <c r="J933" i="6" s="1"/>
  <c r="K933" i="6" s="1"/>
  <c r="L933" i="6"/>
  <c r="P933" i="6" s="1"/>
  <c r="H933" i="6"/>
  <c r="D933" i="6"/>
  <c r="X931" i="6"/>
  <c r="S932" i="6"/>
  <c r="D930" i="9"/>
  <c r="F930" i="9"/>
  <c r="I930" i="9"/>
  <c r="G930" i="9"/>
  <c r="B931" i="9"/>
  <c r="E930" i="9"/>
  <c r="C930" i="9"/>
  <c r="H930" i="9"/>
  <c r="P929" i="9"/>
  <c r="T930" i="9" l="1"/>
  <c r="L934" i="6"/>
  <c r="D934" i="6"/>
  <c r="B935" i="6"/>
  <c r="Y935" i="6"/>
  <c r="C934" i="6"/>
  <c r="H934" i="6"/>
  <c r="I934" i="6"/>
  <c r="J934" i="6" s="1"/>
  <c r="K934" i="6" s="1"/>
  <c r="E931" i="9"/>
  <c r="D931" i="9"/>
  <c r="C931" i="9"/>
  <c r="G931" i="9"/>
  <c r="H931" i="9"/>
  <c r="F931" i="9"/>
  <c r="I931" i="9"/>
  <c r="P931" i="9" s="1"/>
  <c r="B932" i="9"/>
  <c r="P930" i="9"/>
  <c r="X932" i="6"/>
  <c r="S933" i="6"/>
  <c r="T931" i="9" l="1"/>
  <c r="I935" i="6"/>
  <c r="J935" i="6" s="1"/>
  <c r="K935" i="6" s="1"/>
  <c r="B936" i="6"/>
  <c r="H935" i="6"/>
  <c r="D935" i="6"/>
  <c r="L935" i="6"/>
  <c r="P935" i="6" s="1"/>
  <c r="Y936" i="6"/>
  <c r="C935" i="6"/>
  <c r="P934" i="6"/>
  <c r="C932" i="9"/>
  <c r="B933" i="9"/>
  <c r="F932" i="9"/>
  <c r="E932" i="9"/>
  <c r="I932" i="9"/>
  <c r="P932" i="9" s="1"/>
  <c r="H932" i="9"/>
  <c r="D932" i="9"/>
  <c r="G932" i="9"/>
  <c r="X933" i="6"/>
  <c r="S934" i="6"/>
  <c r="T932" i="9" l="1"/>
  <c r="Y937" i="6"/>
  <c r="D936" i="6"/>
  <c r="B937" i="6"/>
  <c r="C936" i="6"/>
  <c r="I936" i="6"/>
  <c r="J936" i="6" s="1"/>
  <c r="K936" i="6" s="1"/>
  <c r="H936" i="6"/>
  <c r="L936" i="6"/>
  <c r="X934" i="6"/>
  <c r="S935" i="6"/>
  <c r="G933" i="9"/>
  <c r="C933" i="9"/>
  <c r="E933" i="9"/>
  <c r="I933" i="9"/>
  <c r="P933" i="9" s="1"/>
  <c r="D933" i="9"/>
  <c r="B934" i="9"/>
  <c r="F933" i="9"/>
  <c r="H933" i="9"/>
  <c r="T933" i="9" l="1"/>
  <c r="P936" i="6"/>
  <c r="Y938" i="6"/>
  <c r="B938" i="6"/>
  <c r="I937" i="6"/>
  <c r="J937" i="6" s="1"/>
  <c r="K937" i="6" s="1"/>
  <c r="D937" i="6"/>
  <c r="L937" i="6"/>
  <c r="C937" i="6"/>
  <c r="H937" i="6"/>
  <c r="X935" i="6"/>
  <c r="S936" i="6"/>
  <c r="E934" i="9"/>
  <c r="G934" i="9"/>
  <c r="B935" i="9"/>
  <c r="I934" i="9"/>
  <c r="P934" i="9" s="1"/>
  <c r="H934" i="9"/>
  <c r="C934" i="9"/>
  <c r="D934" i="9"/>
  <c r="F934" i="9"/>
  <c r="T934" i="9" l="1"/>
  <c r="B939" i="6"/>
  <c r="Y939" i="6"/>
  <c r="I938" i="6"/>
  <c r="J938" i="6" s="1"/>
  <c r="K938" i="6" s="1"/>
  <c r="H938" i="6"/>
  <c r="D938" i="6"/>
  <c r="C938" i="6"/>
  <c r="L938" i="6"/>
  <c r="P938" i="6" s="1"/>
  <c r="P937" i="6"/>
  <c r="B936" i="9"/>
  <c r="I935" i="9"/>
  <c r="P935" i="9" s="1"/>
  <c r="E935" i="9"/>
  <c r="D935" i="9"/>
  <c r="H935" i="9"/>
  <c r="G935" i="9"/>
  <c r="C935" i="9"/>
  <c r="F935" i="9"/>
  <c r="X936" i="6"/>
  <c r="S937" i="6"/>
  <c r="T935" i="9" l="1"/>
  <c r="H939" i="6"/>
  <c r="C939" i="6"/>
  <c r="Y940" i="6"/>
  <c r="L939" i="6"/>
  <c r="P939" i="6" s="1"/>
  <c r="B940" i="6"/>
  <c r="I939" i="6"/>
  <c r="J939" i="6" s="1"/>
  <c r="K939" i="6" s="1"/>
  <c r="D939" i="6"/>
  <c r="X937" i="6"/>
  <c r="S938" i="6"/>
  <c r="B937" i="9"/>
  <c r="G936" i="9"/>
  <c r="I936" i="9"/>
  <c r="C936" i="9"/>
  <c r="E936" i="9"/>
  <c r="H936" i="9"/>
  <c r="D936" i="9"/>
  <c r="F936" i="9"/>
  <c r="T936" i="9" l="1"/>
  <c r="C940" i="6"/>
  <c r="B941" i="6"/>
  <c r="H940" i="6"/>
  <c r="D940" i="6"/>
  <c r="Y941" i="6"/>
  <c r="I940" i="6"/>
  <c r="J940" i="6" s="1"/>
  <c r="K940" i="6" s="1"/>
  <c r="L940" i="6"/>
  <c r="P936" i="9"/>
  <c r="I937" i="9"/>
  <c r="F937" i="9"/>
  <c r="H937" i="9"/>
  <c r="C937" i="9"/>
  <c r="D937" i="9"/>
  <c r="G937" i="9"/>
  <c r="B938" i="9"/>
  <c r="E937" i="9"/>
  <c r="X938" i="6"/>
  <c r="S939" i="6"/>
  <c r="T937" i="9" l="1"/>
  <c r="P940" i="6"/>
  <c r="Y942" i="6"/>
  <c r="I941" i="6"/>
  <c r="J941" i="6" s="1"/>
  <c r="K941" i="6" s="1"/>
  <c r="B942" i="6"/>
  <c r="L941" i="6"/>
  <c r="P941" i="6" s="1"/>
  <c r="C941" i="6"/>
  <c r="D941" i="6"/>
  <c r="H941" i="6"/>
  <c r="I938" i="9"/>
  <c r="P938" i="9" s="1"/>
  <c r="H938" i="9"/>
  <c r="F938" i="9"/>
  <c r="E938" i="9"/>
  <c r="C938" i="9"/>
  <c r="G938" i="9"/>
  <c r="B939" i="9"/>
  <c r="D938" i="9"/>
  <c r="X939" i="6"/>
  <c r="S940" i="6"/>
  <c r="P937" i="9"/>
  <c r="T938" i="9" l="1"/>
  <c r="Y943" i="6"/>
  <c r="L942" i="6"/>
  <c r="P942" i="6" s="1"/>
  <c r="B943" i="6"/>
  <c r="H942" i="6"/>
  <c r="D942" i="6"/>
  <c r="I942" i="6"/>
  <c r="J942" i="6" s="1"/>
  <c r="K942" i="6" s="1"/>
  <c r="C942" i="6"/>
  <c r="X940" i="6"/>
  <c r="S941" i="6"/>
  <c r="B940" i="9"/>
  <c r="D939" i="9"/>
  <c r="H939" i="9"/>
  <c r="G939" i="9"/>
  <c r="E939" i="9"/>
  <c r="I939" i="9"/>
  <c r="P939" i="9" s="1"/>
  <c r="C939" i="9"/>
  <c r="F939" i="9"/>
  <c r="T939" i="9" l="1"/>
  <c r="I943" i="6"/>
  <c r="J943" i="6" s="1"/>
  <c r="K943" i="6" s="1"/>
  <c r="D943" i="6"/>
  <c r="B944" i="6"/>
  <c r="H943" i="6"/>
  <c r="L943" i="6"/>
  <c r="Y944" i="6"/>
  <c r="C943" i="6"/>
  <c r="X941" i="6"/>
  <c r="S942" i="6"/>
  <c r="D940" i="9"/>
  <c r="F940" i="9"/>
  <c r="H940" i="9"/>
  <c r="I940" i="9"/>
  <c r="P940" i="9" s="1"/>
  <c r="G940" i="9"/>
  <c r="E940" i="9"/>
  <c r="B941" i="9"/>
  <c r="C940" i="9"/>
  <c r="T940" i="9" l="1"/>
  <c r="P943" i="6"/>
  <c r="D944" i="6"/>
  <c r="Y945" i="6"/>
  <c r="C944" i="6"/>
  <c r="H944" i="6"/>
  <c r="B945" i="6"/>
  <c r="L944" i="6"/>
  <c r="I944" i="6"/>
  <c r="J944" i="6" s="1"/>
  <c r="K944" i="6" s="1"/>
  <c r="F941" i="9"/>
  <c r="H941" i="9"/>
  <c r="G941" i="9"/>
  <c r="C941" i="9"/>
  <c r="I941" i="9"/>
  <c r="P941" i="9" s="1"/>
  <c r="E941" i="9"/>
  <c r="B942" i="9"/>
  <c r="D941" i="9"/>
  <c r="X942" i="6"/>
  <c r="S943" i="6"/>
  <c r="T941" i="9" l="1"/>
  <c r="H945" i="6"/>
  <c r="Y946" i="6"/>
  <c r="B946" i="6"/>
  <c r="C945" i="6"/>
  <c r="I945" i="6"/>
  <c r="J945" i="6" s="1"/>
  <c r="K945" i="6" s="1"/>
  <c r="D945" i="6"/>
  <c r="L945" i="6"/>
  <c r="P945" i="6" s="1"/>
  <c r="P944" i="6"/>
  <c r="X943" i="6"/>
  <c r="S944" i="6"/>
  <c r="D942" i="9"/>
  <c r="B943" i="9"/>
  <c r="G942" i="9"/>
  <c r="E942" i="9"/>
  <c r="H942" i="9"/>
  <c r="C942" i="9"/>
  <c r="I942" i="9"/>
  <c r="F942" i="9"/>
  <c r="T942" i="9" l="1"/>
  <c r="B947" i="6"/>
  <c r="C946" i="6"/>
  <c r="H946" i="6"/>
  <c r="D946" i="6"/>
  <c r="Y947" i="6"/>
  <c r="I946" i="6"/>
  <c r="J946" i="6" s="1"/>
  <c r="K946" i="6" s="1"/>
  <c r="L946" i="6"/>
  <c r="P942" i="9"/>
  <c r="I943" i="9"/>
  <c r="P943" i="9" s="1"/>
  <c r="G943" i="9"/>
  <c r="F943" i="9"/>
  <c r="E943" i="9"/>
  <c r="D943" i="9"/>
  <c r="C943" i="9"/>
  <c r="B944" i="9"/>
  <c r="H943" i="9"/>
  <c r="X944" i="6"/>
  <c r="S945" i="6"/>
  <c r="T943" i="9" l="1"/>
  <c r="P946" i="6"/>
  <c r="B948" i="6"/>
  <c r="H947" i="6"/>
  <c r="Y948" i="6"/>
  <c r="I947" i="6"/>
  <c r="J947" i="6" s="1"/>
  <c r="K947" i="6" s="1"/>
  <c r="L947" i="6"/>
  <c r="D947" i="6"/>
  <c r="C947" i="6"/>
  <c r="D944" i="9"/>
  <c r="B945" i="9"/>
  <c r="E944" i="9"/>
  <c r="C944" i="9"/>
  <c r="F944" i="9"/>
  <c r="G944" i="9"/>
  <c r="H944" i="9"/>
  <c r="I944" i="9"/>
  <c r="P944" i="9" s="1"/>
  <c r="X945" i="6"/>
  <c r="S946" i="6"/>
  <c r="T944" i="9" l="1"/>
  <c r="L948" i="6"/>
  <c r="Y949" i="6"/>
  <c r="H948" i="6"/>
  <c r="B949" i="6"/>
  <c r="I948" i="6"/>
  <c r="J948" i="6" s="1"/>
  <c r="K948" i="6" s="1"/>
  <c r="D948" i="6"/>
  <c r="C948" i="6"/>
  <c r="P947" i="6"/>
  <c r="X946" i="6"/>
  <c r="S947" i="6"/>
  <c r="I945" i="9"/>
  <c r="H945" i="9"/>
  <c r="E945" i="9"/>
  <c r="G945" i="9"/>
  <c r="F945" i="9"/>
  <c r="C945" i="9"/>
  <c r="B946" i="9"/>
  <c r="D945" i="9"/>
  <c r="T945" i="9" l="1"/>
  <c r="L949" i="6"/>
  <c r="P949" i="6" s="1"/>
  <c r="Y950" i="6"/>
  <c r="B950" i="6"/>
  <c r="I949" i="6"/>
  <c r="J949" i="6" s="1"/>
  <c r="K949" i="6" s="1"/>
  <c r="C949" i="6"/>
  <c r="H949" i="6"/>
  <c r="D949" i="6"/>
  <c r="P948" i="6"/>
  <c r="G946" i="9"/>
  <c r="E946" i="9"/>
  <c r="F946" i="9"/>
  <c r="D946" i="9"/>
  <c r="I946" i="9"/>
  <c r="H946" i="9"/>
  <c r="B947" i="9"/>
  <c r="C946" i="9"/>
  <c r="P945" i="9"/>
  <c r="X947" i="6"/>
  <c r="S948" i="6"/>
  <c r="T946" i="9" l="1"/>
  <c r="L950" i="6"/>
  <c r="P950" i="6" s="1"/>
  <c r="Y951" i="6"/>
  <c r="I950" i="6"/>
  <c r="J950" i="6" s="1"/>
  <c r="K950" i="6" s="1"/>
  <c r="H950" i="6"/>
  <c r="B951" i="6"/>
  <c r="C950" i="6"/>
  <c r="D950" i="6"/>
  <c r="X948" i="6"/>
  <c r="S949" i="6"/>
  <c r="P946" i="9"/>
  <c r="H947" i="9"/>
  <c r="B948" i="9"/>
  <c r="C947" i="9"/>
  <c r="F947" i="9"/>
  <c r="E947" i="9"/>
  <c r="G947" i="9"/>
  <c r="I947" i="9"/>
  <c r="D947" i="9"/>
  <c r="T947" i="9" l="1"/>
  <c r="Y952" i="6"/>
  <c r="I951" i="6"/>
  <c r="J951" i="6" s="1"/>
  <c r="K951" i="6" s="1"/>
  <c r="B952" i="6"/>
  <c r="C951" i="6"/>
  <c r="D951" i="6"/>
  <c r="L951" i="6"/>
  <c r="P951" i="6" s="1"/>
  <c r="H951" i="6"/>
  <c r="B949" i="9"/>
  <c r="H948" i="9"/>
  <c r="G948" i="9"/>
  <c r="I948" i="9"/>
  <c r="P948" i="9" s="1"/>
  <c r="D948" i="9"/>
  <c r="C948" i="9"/>
  <c r="E948" i="9"/>
  <c r="F948" i="9"/>
  <c r="X949" i="6"/>
  <c r="S950" i="6"/>
  <c r="P947" i="9"/>
  <c r="T948" i="9" l="1"/>
  <c r="Y953" i="6"/>
  <c r="C952" i="6"/>
  <c r="B953" i="6"/>
  <c r="L952" i="6"/>
  <c r="P952" i="6" s="1"/>
  <c r="D952" i="6"/>
  <c r="H952" i="6"/>
  <c r="I952" i="6"/>
  <c r="J952" i="6" s="1"/>
  <c r="K952" i="6" s="1"/>
  <c r="X950" i="6"/>
  <c r="S951" i="6"/>
  <c r="F949" i="9"/>
  <c r="B950" i="9"/>
  <c r="C949" i="9"/>
  <c r="D949" i="9"/>
  <c r="G949" i="9"/>
  <c r="I949" i="9"/>
  <c r="E949" i="9"/>
  <c r="H949" i="9"/>
  <c r="T949" i="9" l="1"/>
  <c r="B954" i="6"/>
  <c r="C953" i="6"/>
  <c r="H953" i="6"/>
  <c r="D953" i="6"/>
  <c r="L953" i="6"/>
  <c r="P953" i="6" s="1"/>
  <c r="Y954" i="6"/>
  <c r="I953" i="6"/>
  <c r="J953" i="6" s="1"/>
  <c r="K953" i="6" s="1"/>
  <c r="P949" i="9"/>
  <c r="C950" i="9"/>
  <c r="F950" i="9"/>
  <c r="D950" i="9"/>
  <c r="B951" i="9"/>
  <c r="H950" i="9"/>
  <c r="E950" i="9"/>
  <c r="G950" i="9"/>
  <c r="I950" i="9"/>
  <c r="X951" i="6"/>
  <c r="S952" i="6"/>
  <c r="T950" i="9" l="1"/>
  <c r="D954" i="6"/>
  <c r="I954" i="6"/>
  <c r="J954" i="6" s="1"/>
  <c r="K954" i="6" s="1"/>
  <c r="L954" i="6"/>
  <c r="C954" i="6"/>
  <c r="Y955" i="6"/>
  <c r="H954" i="6"/>
  <c r="B955" i="6"/>
  <c r="X952" i="6"/>
  <c r="S953" i="6"/>
  <c r="E951" i="9"/>
  <c r="C951" i="9"/>
  <c r="B952" i="9"/>
  <c r="F951" i="9"/>
  <c r="H951" i="9"/>
  <c r="I951" i="9"/>
  <c r="P951" i="9" s="1"/>
  <c r="D951" i="9"/>
  <c r="G951" i="9"/>
  <c r="P950" i="9"/>
  <c r="T951" i="9" l="1"/>
  <c r="I955" i="6"/>
  <c r="J955" i="6" s="1"/>
  <c r="K955" i="6" s="1"/>
  <c r="H955" i="6"/>
  <c r="C955" i="6"/>
  <c r="L955" i="6"/>
  <c r="P955" i="6" s="1"/>
  <c r="Y956" i="6"/>
  <c r="B956" i="6"/>
  <c r="D955" i="6"/>
  <c r="P954" i="6"/>
  <c r="X953" i="6"/>
  <c r="S954" i="6"/>
  <c r="E952" i="9"/>
  <c r="H952" i="9"/>
  <c r="C952" i="9"/>
  <c r="F952" i="9"/>
  <c r="G952" i="9"/>
  <c r="D952" i="9"/>
  <c r="I952" i="9"/>
  <c r="B953" i="9"/>
  <c r="T952" i="9" l="1"/>
  <c r="L956" i="6"/>
  <c r="P956" i="6" s="1"/>
  <c r="C956" i="6"/>
  <c r="H956" i="6"/>
  <c r="D956" i="6"/>
  <c r="Y957" i="6"/>
  <c r="I956" i="6"/>
  <c r="J956" i="6" s="1"/>
  <c r="K956" i="6" s="1"/>
  <c r="B957" i="6"/>
  <c r="F953" i="9"/>
  <c r="I953" i="9"/>
  <c r="P953" i="9" s="1"/>
  <c r="E953" i="9"/>
  <c r="H953" i="9"/>
  <c r="G953" i="9"/>
  <c r="D953" i="9"/>
  <c r="C953" i="9"/>
  <c r="B954" i="9"/>
  <c r="X954" i="6"/>
  <c r="S955" i="6"/>
  <c r="P952" i="9"/>
  <c r="T953" i="9" l="1"/>
  <c r="D957" i="6"/>
  <c r="I957" i="6"/>
  <c r="J957" i="6" s="1"/>
  <c r="K957" i="6" s="1"/>
  <c r="C957" i="6"/>
  <c r="L957" i="6"/>
  <c r="P957" i="6" s="1"/>
  <c r="H957" i="6"/>
  <c r="Y958" i="6"/>
  <c r="B958" i="6"/>
  <c r="X955" i="6"/>
  <c r="S956" i="6"/>
  <c r="E954" i="9"/>
  <c r="B955" i="9"/>
  <c r="G954" i="9"/>
  <c r="F954" i="9"/>
  <c r="I954" i="9"/>
  <c r="D954" i="9"/>
  <c r="H954" i="9"/>
  <c r="C954" i="9"/>
  <c r="T954" i="9" l="1"/>
  <c r="I958" i="6"/>
  <c r="J958" i="6" s="1"/>
  <c r="K958" i="6" s="1"/>
  <c r="D958" i="6"/>
  <c r="Y959" i="6"/>
  <c r="C958" i="6"/>
  <c r="B959" i="6"/>
  <c r="H958" i="6"/>
  <c r="L958" i="6"/>
  <c r="P954" i="9"/>
  <c r="I955" i="9"/>
  <c r="G955" i="9"/>
  <c r="H955" i="9"/>
  <c r="E955" i="9"/>
  <c r="C955" i="9"/>
  <c r="B956" i="9"/>
  <c r="D955" i="9"/>
  <c r="F955" i="9"/>
  <c r="X956" i="6"/>
  <c r="S957" i="6"/>
  <c r="T955" i="9" l="1"/>
  <c r="C959" i="6"/>
  <c r="H959" i="6"/>
  <c r="D959" i="6"/>
  <c r="I959" i="6"/>
  <c r="J959" i="6" s="1"/>
  <c r="K959" i="6" s="1"/>
  <c r="Y960" i="6"/>
  <c r="B960" i="6"/>
  <c r="L959" i="6"/>
  <c r="P959" i="6" s="1"/>
  <c r="P958" i="6"/>
  <c r="B957" i="9"/>
  <c r="I956" i="9"/>
  <c r="C956" i="9"/>
  <c r="D956" i="9"/>
  <c r="F956" i="9"/>
  <c r="G956" i="9"/>
  <c r="E956" i="9"/>
  <c r="H956" i="9"/>
  <c r="X957" i="6"/>
  <c r="S958" i="6"/>
  <c r="P955" i="9"/>
  <c r="T956" i="9" l="1"/>
  <c r="Y961" i="6"/>
  <c r="I960" i="6"/>
  <c r="J960" i="6" s="1"/>
  <c r="K960" i="6" s="1"/>
  <c r="B961" i="6"/>
  <c r="D960" i="6"/>
  <c r="L960" i="6"/>
  <c r="H960" i="6"/>
  <c r="C960" i="6"/>
  <c r="E957" i="9"/>
  <c r="G957" i="9"/>
  <c r="D957" i="9"/>
  <c r="F957" i="9"/>
  <c r="I957" i="9"/>
  <c r="P957" i="9" s="1"/>
  <c r="H957" i="9"/>
  <c r="C957" i="9"/>
  <c r="B958" i="9"/>
  <c r="X958" i="6"/>
  <c r="S959" i="6"/>
  <c r="P956" i="9"/>
  <c r="T957" i="9" l="1"/>
  <c r="Y962" i="6"/>
  <c r="C961" i="6"/>
  <c r="H961" i="6"/>
  <c r="D961" i="6"/>
  <c r="I961" i="6"/>
  <c r="J961" i="6" s="1"/>
  <c r="K961" i="6" s="1"/>
  <c r="L961" i="6"/>
  <c r="P961" i="6" s="1"/>
  <c r="B962" i="6"/>
  <c r="P960" i="6"/>
  <c r="X959" i="6"/>
  <c r="S960" i="6"/>
  <c r="E958" i="9"/>
  <c r="H958" i="9"/>
  <c r="B959" i="9"/>
  <c r="I958" i="9"/>
  <c r="P958" i="9" s="1"/>
  <c r="D958" i="9"/>
  <c r="G958" i="9"/>
  <c r="C958" i="9"/>
  <c r="F958" i="9"/>
  <c r="T958" i="9" l="1"/>
  <c r="D962" i="6"/>
  <c r="L962" i="6"/>
  <c r="P962" i="6" s="1"/>
  <c r="B963" i="6"/>
  <c r="I962" i="6"/>
  <c r="J962" i="6" s="1"/>
  <c r="K962" i="6" s="1"/>
  <c r="Y963" i="6"/>
  <c r="H962" i="6"/>
  <c r="C962" i="6"/>
  <c r="E959" i="9"/>
  <c r="B960" i="9"/>
  <c r="C959" i="9"/>
  <c r="H959" i="9"/>
  <c r="F959" i="9"/>
  <c r="D959" i="9"/>
  <c r="G959" i="9"/>
  <c r="I959" i="9"/>
  <c r="X960" i="6"/>
  <c r="S961" i="6"/>
  <c r="T959" i="9" l="1"/>
  <c r="D963" i="6"/>
  <c r="Y964" i="6"/>
  <c r="B964" i="6"/>
  <c r="L963" i="6"/>
  <c r="P963" i="6" s="1"/>
  <c r="I963" i="6"/>
  <c r="J963" i="6" s="1"/>
  <c r="K963" i="6" s="1"/>
  <c r="C963" i="6"/>
  <c r="H963" i="6"/>
  <c r="E960" i="9"/>
  <c r="I960" i="9"/>
  <c r="P960" i="9" s="1"/>
  <c r="C960" i="9"/>
  <c r="F960" i="9"/>
  <c r="B961" i="9"/>
  <c r="D960" i="9"/>
  <c r="H960" i="9"/>
  <c r="G960" i="9"/>
  <c r="X961" i="6"/>
  <c r="S962" i="6"/>
  <c r="P959" i="9"/>
  <c r="T960" i="9" l="1"/>
  <c r="C964" i="6"/>
  <c r="D964" i="6"/>
  <c r="B965" i="6"/>
  <c r="Y965" i="6"/>
  <c r="L964" i="6"/>
  <c r="P964" i="6" s="1"/>
  <c r="H964" i="6"/>
  <c r="I964" i="6"/>
  <c r="J964" i="6" s="1"/>
  <c r="K964" i="6" s="1"/>
  <c r="X962" i="6"/>
  <c r="S963" i="6"/>
  <c r="H961" i="9"/>
  <c r="B962" i="9"/>
  <c r="G961" i="9"/>
  <c r="I961" i="9"/>
  <c r="P961" i="9" s="1"/>
  <c r="F961" i="9"/>
  <c r="D961" i="9"/>
  <c r="E961" i="9"/>
  <c r="C961" i="9"/>
  <c r="T961" i="9" l="1"/>
  <c r="I965" i="6"/>
  <c r="J965" i="6" s="1"/>
  <c r="K965" i="6" s="1"/>
  <c r="H965" i="6"/>
  <c r="L965" i="6"/>
  <c r="D965" i="6"/>
  <c r="C965" i="6"/>
  <c r="B966" i="6"/>
  <c r="Y966" i="6"/>
  <c r="X963" i="6"/>
  <c r="S964" i="6"/>
  <c r="E962" i="9"/>
  <c r="B963" i="9"/>
  <c r="C962" i="9"/>
  <c r="D962" i="9"/>
  <c r="F962" i="9"/>
  <c r="I962" i="9"/>
  <c r="G962" i="9"/>
  <c r="H962" i="9"/>
  <c r="T962" i="9" l="1"/>
  <c r="L966" i="6"/>
  <c r="P966" i="6" s="1"/>
  <c r="C966" i="6"/>
  <c r="B967" i="6"/>
  <c r="D966" i="6"/>
  <c r="Y967" i="6"/>
  <c r="I966" i="6"/>
  <c r="J966" i="6" s="1"/>
  <c r="K966" i="6" s="1"/>
  <c r="H966" i="6"/>
  <c r="P965" i="6"/>
  <c r="P962" i="9"/>
  <c r="G963" i="9"/>
  <c r="I963" i="9"/>
  <c r="P963" i="9" s="1"/>
  <c r="H963" i="9"/>
  <c r="E963" i="9"/>
  <c r="C963" i="9"/>
  <c r="B964" i="9"/>
  <c r="D963" i="9"/>
  <c r="F963" i="9"/>
  <c r="X964" i="6"/>
  <c r="S965" i="6"/>
  <c r="T963" i="9" l="1"/>
  <c r="B968" i="6"/>
  <c r="Y968" i="6"/>
  <c r="D967" i="6"/>
  <c r="I967" i="6"/>
  <c r="J967" i="6" s="1"/>
  <c r="K967" i="6" s="1"/>
  <c r="H967" i="6"/>
  <c r="C967" i="6"/>
  <c r="L967" i="6"/>
  <c r="P967" i="6" s="1"/>
  <c r="X965" i="6"/>
  <c r="S966" i="6"/>
  <c r="I964" i="9"/>
  <c r="P964" i="9" s="1"/>
  <c r="G964" i="9"/>
  <c r="F964" i="9"/>
  <c r="C964" i="9"/>
  <c r="B965" i="9"/>
  <c r="H964" i="9"/>
  <c r="E964" i="9"/>
  <c r="D964" i="9"/>
  <c r="T964" i="9" l="1"/>
  <c r="D968" i="6"/>
  <c r="Y969" i="6"/>
  <c r="B969" i="6"/>
  <c r="I968" i="6"/>
  <c r="J968" i="6" s="1"/>
  <c r="K968" i="6" s="1"/>
  <c r="L968" i="6"/>
  <c r="C968" i="6"/>
  <c r="H968" i="6"/>
  <c r="I965" i="9"/>
  <c r="E965" i="9"/>
  <c r="F965" i="9"/>
  <c r="D965" i="9"/>
  <c r="H965" i="9"/>
  <c r="B966" i="9"/>
  <c r="C965" i="9"/>
  <c r="G965" i="9"/>
  <c r="X966" i="6"/>
  <c r="S967" i="6"/>
  <c r="T965" i="9" l="1"/>
  <c r="P968" i="6"/>
  <c r="I969" i="6"/>
  <c r="J969" i="6" s="1"/>
  <c r="K969" i="6" s="1"/>
  <c r="D969" i="6"/>
  <c r="C969" i="6"/>
  <c r="H969" i="6"/>
  <c r="L969" i="6"/>
  <c r="P969" i="6" s="1"/>
  <c r="Y970" i="6"/>
  <c r="B970" i="6"/>
  <c r="X967" i="6"/>
  <c r="S968" i="6"/>
  <c r="C966" i="9"/>
  <c r="E966" i="9"/>
  <c r="H966" i="9"/>
  <c r="G966" i="9"/>
  <c r="I966" i="9"/>
  <c r="B967" i="9"/>
  <c r="F966" i="9"/>
  <c r="D966" i="9"/>
  <c r="P965" i="9"/>
  <c r="T966" i="9" l="1"/>
  <c r="C970" i="6"/>
  <c r="H970" i="6"/>
  <c r="Y971" i="6"/>
  <c r="D970" i="6"/>
  <c r="L970" i="6"/>
  <c r="P970" i="6" s="1"/>
  <c r="I970" i="6"/>
  <c r="J970" i="6" s="1"/>
  <c r="K970" i="6" s="1"/>
  <c r="B971" i="6"/>
  <c r="H967" i="9"/>
  <c r="B968" i="9"/>
  <c r="I967" i="9"/>
  <c r="P967" i="9" s="1"/>
  <c r="F967" i="9"/>
  <c r="D967" i="9"/>
  <c r="C967" i="9"/>
  <c r="E967" i="9"/>
  <c r="G967" i="9"/>
  <c r="X968" i="6"/>
  <c r="S969" i="6"/>
  <c r="P966" i="9"/>
  <c r="T967" i="9" l="1"/>
  <c r="C971" i="6"/>
  <c r="H971" i="6"/>
  <c r="D971" i="6"/>
  <c r="B972" i="6"/>
  <c r="Y972" i="6"/>
  <c r="L971" i="6"/>
  <c r="I971" i="6"/>
  <c r="J971" i="6" s="1"/>
  <c r="K971" i="6" s="1"/>
  <c r="X969" i="6"/>
  <c r="S970" i="6"/>
  <c r="H968" i="9"/>
  <c r="F968" i="9"/>
  <c r="C968" i="9"/>
  <c r="D968" i="9"/>
  <c r="E968" i="9"/>
  <c r="B969" i="9"/>
  <c r="I968" i="9"/>
  <c r="G968" i="9"/>
  <c r="T968" i="9" l="1"/>
  <c r="P971" i="6"/>
  <c r="C972" i="6"/>
  <c r="I972" i="6"/>
  <c r="J972" i="6" s="1"/>
  <c r="K972" i="6" s="1"/>
  <c r="H972" i="6"/>
  <c r="Y973" i="6"/>
  <c r="D972" i="6"/>
  <c r="L972" i="6"/>
  <c r="B973" i="6"/>
  <c r="F969" i="9"/>
  <c r="G969" i="9"/>
  <c r="I969" i="9"/>
  <c r="P969" i="9" s="1"/>
  <c r="H969" i="9"/>
  <c r="B970" i="9"/>
  <c r="D969" i="9"/>
  <c r="E969" i="9"/>
  <c r="C969" i="9"/>
  <c r="P968" i="9"/>
  <c r="X970" i="6"/>
  <c r="S971" i="6"/>
  <c r="T969" i="9" l="1"/>
  <c r="L973" i="6"/>
  <c r="P973" i="6" s="1"/>
  <c r="C973" i="6"/>
  <c r="I973" i="6"/>
  <c r="J973" i="6" s="1"/>
  <c r="K973" i="6" s="1"/>
  <c r="D973" i="6"/>
  <c r="B974" i="6"/>
  <c r="H973" i="6"/>
  <c r="Y974" i="6"/>
  <c r="P972" i="6"/>
  <c r="X971" i="6"/>
  <c r="S972" i="6"/>
  <c r="C970" i="9"/>
  <c r="I970" i="9"/>
  <c r="P970" i="9" s="1"/>
  <c r="E970" i="9"/>
  <c r="B971" i="9"/>
  <c r="F970" i="9"/>
  <c r="D970" i="9"/>
  <c r="H970" i="9"/>
  <c r="G970" i="9"/>
  <c r="T970" i="9" l="1"/>
  <c r="L974" i="6"/>
  <c r="I974" i="6"/>
  <c r="J974" i="6" s="1"/>
  <c r="K974" i="6" s="1"/>
  <c r="B975" i="6"/>
  <c r="D974" i="6"/>
  <c r="Y975" i="6"/>
  <c r="H974" i="6"/>
  <c r="C974" i="6"/>
  <c r="D971" i="9"/>
  <c r="F971" i="9"/>
  <c r="E971" i="9"/>
  <c r="I971" i="9"/>
  <c r="P971" i="9" s="1"/>
  <c r="G971" i="9"/>
  <c r="H971" i="9"/>
  <c r="C971" i="9"/>
  <c r="B972" i="9"/>
  <c r="X972" i="6"/>
  <c r="S973" i="6"/>
  <c r="T971" i="9" l="1"/>
  <c r="H975" i="6"/>
  <c r="D975" i="6"/>
  <c r="I975" i="6"/>
  <c r="J975" i="6" s="1"/>
  <c r="K975" i="6" s="1"/>
  <c r="L975" i="6"/>
  <c r="P975" i="6" s="1"/>
  <c r="Y976" i="6"/>
  <c r="B976" i="6"/>
  <c r="C975" i="6"/>
  <c r="P974" i="6"/>
  <c r="C972" i="9"/>
  <c r="D972" i="9"/>
  <c r="E972" i="9"/>
  <c r="I972" i="9"/>
  <c r="P972" i="9" s="1"/>
  <c r="H972" i="9"/>
  <c r="F972" i="9"/>
  <c r="G972" i="9"/>
  <c r="B973" i="9"/>
  <c r="X973" i="6"/>
  <c r="S974" i="6"/>
  <c r="T972" i="9" l="1"/>
  <c r="B977" i="6"/>
  <c r="I976" i="6"/>
  <c r="J976" i="6" s="1"/>
  <c r="K976" i="6" s="1"/>
  <c r="H976" i="6"/>
  <c r="C976" i="6"/>
  <c r="Y977" i="6"/>
  <c r="L976" i="6"/>
  <c r="P976" i="6" s="1"/>
  <c r="D976" i="6"/>
  <c r="I973" i="9"/>
  <c r="P973" i="9" s="1"/>
  <c r="B974" i="9"/>
  <c r="F973" i="9"/>
  <c r="D973" i="9"/>
  <c r="G973" i="9"/>
  <c r="E973" i="9"/>
  <c r="H973" i="9"/>
  <c r="C973" i="9"/>
  <c r="X974" i="6"/>
  <c r="S975" i="6"/>
  <c r="T973" i="9" l="1"/>
  <c r="I977" i="6"/>
  <c r="J977" i="6" s="1"/>
  <c r="K977" i="6" s="1"/>
  <c r="Y978" i="6"/>
  <c r="H977" i="6"/>
  <c r="C977" i="6"/>
  <c r="B978" i="6"/>
  <c r="D977" i="6"/>
  <c r="L977" i="6"/>
  <c r="P977" i="6" s="1"/>
  <c r="X975" i="6"/>
  <c r="S976" i="6"/>
  <c r="C974" i="9"/>
  <c r="I974" i="9"/>
  <c r="P974" i="9" s="1"/>
  <c r="G974" i="9"/>
  <c r="H974" i="9"/>
  <c r="D974" i="9"/>
  <c r="B975" i="9"/>
  <c r="F974" i="9"/>
  <c r="E974" i="9"/>
  <c r="T974" i="9" l="1"/>
  <c r="I978" i="6"/>
  <c r="J978" i="6" s="1"/>
  <c r="K978" i="6" s="1"/>
  <c r="C978" i="6"/>
  <c r="H978" i="6"/>
  <c r="Y979" i="6"/>
  <c r="L978" i="6"/>
  <c r="P978" i="6" s="1"/>
  <c r="B979" i="6"/>
  <c r="D978" i="6"/>
  <c r="X976" i="6"/>
  <c r="S977" i="6"/>
  <c r="E975" i="9"/>
  <c r="F975" i="9"/>
  <c r="H975" i="9"/>
  <c r="D975" i="9"/>
  <c r="G975" i="9"/>
  <c r="C975" i="9"/>
  <c r="I975" i="9"/>
  <c r="B976" i="9"/>
  <c r="T975" i="9" l="1"/>
  <c r="C979" i="6"/>
  <c r="L979" i="6"/>
  <c r="I979" i="6"/>
  <c r="J979" i="6" s="1"/>
  <c r="K979" i="6" s="1"/>
  <c r="D979" i="6"/>
  <c r="H979" i="6"/>
  <c r="Y980" i="6"/>
  <c r="B980" i="6"/>
  <c r="E976" i="9"/>
  <c r="B977" i="9"/>
  <c r="F976" i="9"/>
  <c r="G976" i="9"/>
  <c r="C976" i="9"/>
  <c r="D976" i="9"/>
  <c r="I976" i="9"/>
  <c r="P976" i="9" s="1"/>
  <c r="H976" i="9"/>
  <c r="P975" i="9"/>
  <c r="X977" i="6"/>
  <c r="S978" i="6"/>
  <c r="T976" i="9" l="1"/>
  <c r="H980" i="6"/>
  <c r="C980" i="6"/>
  <c r="I980" i="6"/>
  <c r="J980" i="6" s="1"/>
  <c r="K980" i="6" s="1"/>
  <c r="B981" i="6"/>
  <c r="D980" i="6"/>
  <c r="L980" i="6"/>
  <c r="P980" i="6" s="1"/>
  <c r="Y981" i="6"/>
  <c r="P979" i="6"/>
  <c r="G977" i="9"/>
  <c r="H977" i="9"/>
  <c r="F977" i="9"/>
  <c r="B978" i="9"/>
  <c r="D977" i="9"/>
  <c r="I977" i="9"/>
  <c r="P977" i="9" s="1"/>
  <c r="C977" i="9"/>
  <c r="E977" i="9"/>
  <c r="X978" i="6"/>
  <c r="S979" i="6"/>
  <c r="T977" i="9" l="1"/>
  <c r="B982" i="6"/>
  <c r="L981" i="6"/>
  <c r="P981" i="6" s="1"/>
  <c r="I981" i="6"/>
  <c r="J981" i="6" s="1"/>
  <c r="K981" i="6" s="1"/>
  <c r="H981" i="6"/>
  <c r="Y982" i="6"/>
  <c r="D981" i="6"/>
  <c r="C981" i="6"/>
  <c r="X979" i="6"/>
  <c r="S980" i="6"/>
  <c r="G978" i="9"/>
  <c r="I978" i="9"/>
  <c r="P978" i="9" s="1"/>
  <c r="D978" i="9"/>
  <c r="E978" i="9"/>
  <c r="H978" i="9"/>
  <c r="C978" i="9"/>
  <c r="B979" i="9"/>
  <c r="F978" i="9"/>
  <c r="T978" i="9" l="1"/>
  <c r="L982" i="6"/>
  <c r="B983" i="6"/>
  <c r="C982" i="6"/>
  <c r="I982" i="6"/>
  <c r="J982" i="6" s="1"/>
  <c r="K982" i="6" s="1"/>
  <c r="H982" i="6"/>
  <c r="Y983" i="6"/>
  <c r="D982" i="6"/>
  <c r="E979" i="9"/>
  <c r="G979" i="9"/>
  <c r="F979" i="9"/>
  <c r="B980" i="9"/>
  <c r="H979" i="9"/>
  <c r="C979" i="9"/>
  <c r="I979" i="9"/>
  <c r="P979" i="9" s="1"/>
  <c r="D979" i="9"/>
  <c r="X980" i="6"/>
  <c r="S981" i="6"/>
  <c r="T979" i="9" l="1"/>
  <c r="Y984" i="6"/>
  <c r="L983" i="6"/>
  <c r="P983" i="6" s="1"/>
  <c r="D983" i="6"/>
  <c r="B984" i="6"/>
  <c r="I983" i="6"/>
  <c r="J983" i="6" s="1"/>
  <c r="K983" i="6" s="1"/>
  <c r="C983" i="6"/>
  <c r="H983" i="6"/>
  <c r="P982" i="6"/>
  <c r="X981" i="6"/>
  <c r="S982" i="6"/>
  <c r="D980" i="9"/>
  <c r="G980" i="9"/>
  <c r="H980" i="9"/>
  <c r="F980" i="9"/>
  <c r="B981" i="9"/>
  <c r="C980" i="9"/>
  <c r="I980" i="9"/>
  <c r="E980" i="9"/>
  <c r="T980" i="9" l="1"/>
  <c r="H984" i="6"/>
  <c r="I984" i="6"/>
  <c r="J984" i="6" s="1"/>
  <c r="K984" i="6" s="1"/>
  <c r="Y985" i="6"/>
  <c r="C984" i="6"/>
  <c r="B985" i="6"/>
  <c r="L984" i="6"/>
  <c r="P984" i="6" s="1"/>
  <c r="D984" i="6"/>
  <c r="G981" i="9"/>
  <c r="F981" i="9"/>
  <c r="D981" i="9"/>
  <c r="I981" i="9"/>
  <c r="E981" i="9"/>
  <c r="B982" i="9"/>
  <c r="C981" i="9"/>
  <c r="H981" i="9"/>
  <c r="P980" i="9"/>
  <c r="X982" i="6"/>
  <c r="S983" i="6"/>
  <c r="T981" i="9" l="1"/>
  <c r="I985" i="6"/>
  <c r="J985" i="6" s="1"/>
  <c r="K985" i="6" s="1"/>
  <c r="L985" i="6"/>
  <c r="C985" i="6"/>
  <c r="D985" i="6"/>
  <c r="H985" i="6"/>
  <c r="B986" i="6"/>
  <c r="Y986" i="6"/>
  <c r="I982" i="9"/>
  <c r="P982" i="9" s="1"/>
  <c r="C982" i="9"/>
  <c r="H982" i="9"/>
  <c r="G982" i="9"/>
  <c r="E982" i="9"/>
  <c r="B983" i="9"/>
  <c r="D982" i="9"/>
  <c r="F982" i="9"/>
  <c r="X983" i="6"/>
  <c r="S984" i="6"/>
  <c r="P981" i="9"/>
  <c r="T982" i="9" l="1"/>
  <c r="L986" i="6"/>
  <c r="P986" i="6" s="1"/>
  <c r="Y987" i="6"/>
  <c r="C986" i="6"/>
  <c r="H986" i="6"/>
  <c r="I986" i="6"/>
  <c r="J986" i="6" s="1"/>
  <c r="K986" i="6" s="1"/>
  <c r="D986" i="6"/>
  <c r="B987" i="6"/>
  <c r="P985" i="6"/>
  <c r="X984" i="6"/>
  <c r="S985" i="6"/>
  <c r="D983" i="9"/>
  <c r="F983" i="9"/>
  <c r="C983" i="9"/>
  <c r="H983" i="9"/>
  <c r="G983" i="9"/>
  <c r="E983" i="9"/>
  <c r="I983" i="9"/>
  <c r="B984" i="9"/>
  <c r="T983" i="9" l="1"/>
  <c r="Y988" i="6"/>
  <c r="D987" i="6"/>
  <c r="C987" i="6"/>
  <c r="L987" i="6"/>
  <c r="P987" i="6" s="1"/>
  <c r="B988" i="6"/>
  <c r="I987" i="6"/>
  <c r="J987" i="6" s="1"/>
  <c r="K987" i="6" s="1"/>
  <c r="H987" i="6"/>
  <c r="F984" i="9"/>
  <c r="H984" i="9"/>
  <c r="I984" i="9"/>
  <c r="C984" i="9"/>
  <c r="B985" i="9"/>
  <c r="D984" i="9"/>
  <c r="G984" i="9"/>
  <c r="E984" i="9"/>
  <c r="P983" i="9"/>
  <c r="X985" i="6"/>
  <c r="S986" i="6"/>
  <c r="T984" i="9" l="1"/>
  <c r="L988" i="6"/>
  <c r="H988" i="6"/>
  <c r="I988" i="6"/>
  <c r="J988" i="6" s="1"/>
  <c r="K988" i="6" s="1"/>
  <c r="B989" i="6"/>
  <c r="C988" i="6"/>
  <c r="D988" i="6"/>
  <c r="Y989" i="6"/>
  <c r="X986" i="6"/>
  <c r="S987" i="6"/>
  <c r="G985" i="9"/>
  <c r="D985" i="9"/>
  <c r="C985" i="9"/>
  <c r="F985" i="9"/>
  <c r="I985" i="9"/>
  <c r="P985" i="9" s="1"/>
  <c r="H985" i="9"/>
  <c r="E985" i="9"/>
  <c r="B986" i="9"/>
  <c r="P984" i="9"/>
  <c r="T985" i="9" l="1"/>
  <c r="C989" i="6"/>
  <c r="I989" i="6"/>
  <c r="J989" i="6" s="1"/>
  <c r="K989" i="6" s="1"/>
  <c r="D989" i="6"/>
  <c r="H989" i="6"/>
  <c r="B990" i="6"/>
  <c r="L989" i="6"/>
  <c r="P989" i="6" s="1"/>
  <c r="Y990" i="6"/>
  <c r="P988" i="6"/>
  <c r="H986" i="9"/>
  <c r="F986" i="9"/>
  <c r="I986" i="9"/>
  <c r="P986" i="9" s="1"/>
  <c r="C986" i="9"/>
  <c r="B987" i="9"/>
  <c r="G986" i="9"/>
  <c r="E986" i="9"/>
  <c r="D986" i="9"/>
  <c r="X987" i="6"/>
  <c r="S988" i="6"/>
  <c r="T986" i="9" l="1"/>
  <c r="B991" i="6"/>
  <c r="I990" i="6"/>
  <c r="J990" i="6" s="1"/>
  <c r="K990" i="6" s="1"/>
  <c r="D990" i="6"/>
  <c r="C990" i="6"/>
  <c r="L990" i="6"/>
  <c r="P990" i="6" s="1"/>
  <c r="Y991" i="6"/>
  <c r="H990" i="6"/>
  <c r="X988" i="6"/>
  <c r="S989" i="6"/>
  <c r="G987" i="9"/>
  <c r="F987" i="9"/>
  <c r="I987" i="9"/>
  <c r="P987" i="9" s="1"/>
  <c r="D987" i="9"/>
  <c r="C987" i="9"/>
  <c r="H987" i="9"/>
  <c r="B988" i="9"/>
  <c r="E987" i="9"/>
  <c r="T987" i="9" l="1"/>
  <c r="H991" i="6"/>
  <c r="B992" i="6"/>
  <c r="I991" i="6"/>
  <c r="J991" i="6" s="1"/>
  <c r="K991" i="6" s="1"/>
  <c r="L991" i="6"/>
  <c r="D991" i="6"/>
  <c r="C991" i="6"/>
  <c r="Y992" i="6"/>
  <c r="I988" i="9"/>
  <c r="P988" i="9" s="1"/>
  <c r="D988" i="9"/>
  <c r="G988" i="9"/>
  <c r="F988" i="9"/>
  <c r="H988" i="9"/>
  <c r="B989" i="9"/>
  <c r="C988" i="9"/>
  <c r="E988" i="9"/>
  <c r="X989" i="6"/>
  <c r="S990" i="6"/>
  <c r="T988" i="9" l="1"/>
  <c r="P991" i="6"/>
  <c r="Y993" i="6"/>
  <c r="B993" i="6"/>
  <c r="I992" i="6"/>
  <c r="J992" i="6" s="1"/>
  <c r="K992" i="6" s="1"/>
  <c r="D992" i="6"/>
  <c r="C992" i="6"/>
  <c r="H992" i="6"/>
  <c r="L992" i="6"/>
  <c r="P992" i="6" s="1"/>
  <c r="I989" i="9"/>
  <c r="P989" i="9" s="1"/>
  <c r="B990" i="9"/>
  <c r="G989" i="9"/>
  <c r="F989" i="9"/>
  <c r="E989" i="9"/>
  <c r="H989" i="9"/>
  <c r="C989" i="9"/>
  <c r="D989" i="9"/>
  <c r="X990" i="6"/>
  <c r="S991" i="6"/>
  <c r="T989" i="9" l="1"/>
  <c r="B994" i="6"/>
  <c r="Y994" i="6"/>
  <c r="I993" i="6"/>
  <c r="J993" i="6" s="1"/>
  <c r="K993" i="6" s="1"/>
  <c r="D993" i="6"/>
  <c r="L993" i="6"/>
  <c r="H993" i="6"/>
  <c r="C993" i="6"/>
  <c r="E990" i="9"/>
  <c r="I990" i="9"/>
  <c r="P990" i="9" s="1"/>
  <c r="G990" i="9"/>
  <c r="B991" i="9"/>
  <c r="C990" i="9"/>
  <c r="D990" i="9"/>
  <c r="H990" i="9"/>
  <c r="F990" i="9"/>
  <c r="X991" i="6"/>
  <c r="S992" i="6"/>
  <c r="T990" i="9" l="1"/>
  <c r="P993" i="6"/>
  <c r="L994" i="6"/>
  <c r="P994" i="6" s="1"/>
  <c r="C994" i="6"/>
  <c r="B995" i="6"/>
  <c r="I994" i="6"/>
  <c r="J994" i="6" s="1"/>
  <c r="K994" i="6" s="1"/>
  <c r="H994" i="6"/>
  <c r="D994" i="6"/>
  <c r="Y995" i="6"/>
  <c r="X992" i="6"/>
  <c r="S993" i="6"/>
  <c r="I991" i="9"/>
  <c r="D991" i="9"/>
  <c r="E991" i="9"/>
  <c r="G991" i="9"/>
  <c r="C991" i="9"/>
  <c r="F991" i="9"/>
  <c r="B992" i="9"/>
  <c r="H991" i="9"/>
  <c r="T991" i="9" l="1"/>
  <c r="B996" i="6"/>
  <c r="I995" i="6"/>
  <c r="J995" i="6" s="1"/>
  <c r="K995" i="6" s="1"/>
  <c r="Y996" i="6"/>
  <c r="L995" i="6"/>
  <c r="H995" i="6"/>
  <c r="C995" i="6"/>
  <c r="D995" i="6"/>
  <c r="P991" i="9"/>
  <c r="X993" i="6"/>
  <c r="S994" i="6"/>
  <c r="B993" i="9"/>
  <c r="E992" i="9"/>
  <c r="I992" i="9"/>
  <c r="C992" i="9"/>
  <c r="D992" i="9"/>
  <c r="H992" i="9"/>
  <c r="F992" i="9"/>
  <c r="G992" i="9"/>
  <c r="T992" i="9" l="1"/>
  <c r="P995" i="6"/>
  <c r="Y997" i="6"/>
  <c r="C996" i="6"/>
  <c r="H996" i="6"/>
  <c r="L996" i="6"/>
  <c r="P996" i="6" s="1"/>
  <c r="B997" i="6"/>
  <c r="I996" i="6"/>
  <c r="J996" i="6" s="1"/>
  <c r="K996" i="6" s="1"/>
  <c r="D996" i="6"/>
  <c r="B994" i="9"/>
  <c r="E993" i="9"/>
  <c r="F993" i="9"/>
  <c r="D993" i="9"/>
  <c r="G993" i="9"/>
  <c r="I993" i="9"/>
  <c r="C993" i="9"/>
  <c r="H993" i="9"/>
  <c r="X994" i="6"/>
  <c r="S995" i="6"/>
  <c r="P992" i="9"/>
  <c r="T993" i="9" l="1"/>
  <c r="B998" i="6"/>
  <c r="Y998" i="6"/>
  <c r="L997" i="6"/>
  <c r="D997" i="6"/>
  <c r="H997" i="6"/>
  <c r="I997" i="6"/>
  <c r="J997" i="6" s="1"/>
  <c r="K997" i="6" s="1"/>
  <c r="C997" i="6"/>
  <c r="X995" i="6"/>
  <c r="S996" i="6"/>
  <c r="P993" i="9"/>
  <c r="C994" i="9"/>
  <c r="D994" i="9"/>
  <c r="E994" i="9"/>
  <c r="I994" i="9"/>
  <c r="B995" i="9"/>
  <c r="F994" i="9"/>
  <c r="H994" i="9"/>
  <c r="G994" i="9"/>
  <c r="T994" i="9" l="1"/>
  <c r="P997" i="6"/>
  <c r="Y999" i="6"/>
  <c r="D998" i="6"/>
  <c r="I998" i="6"/>
  <c r="J998" i="6" s="1"/>
  <c r="K998" i="6" s="1"/>
  <c r="C998" i="6"/>
  <c r="B999" i="6"/>
  <c r="H998" i="6"/>
  <c r="L998" i="6"/>
  <c r="P998" i="6" s="1"/>
  <c r="F995" i="9"/>
  <c r="I995" i="9"/>
  <c r="P995" i="9" s="1"/>
  <c r="C995" i="9"/>
  <c r="E995" i="9"/>
  <c r="B996" i="9"/>
  <c r="D995" i="9"/>
  <c r="G995" i="9"/>
  <c r="H995" i="9"/>
  <c r="P994" i="9"/>
  <c r="X996" i="6"/>
  <c r="S997" i="6"/>
  <c r="T995" i="9" l="1"/>
  <c r="Y1000" i="6"/>
  <c r="H999" i="6"/>
  <c r="D999" i="6"/>
  <c r="L999" i="6"/>
  <c r="C999" i="6"/>
  <c r="I999" i="6"/>
  <c r="J999" i="6" s="1"/>
  <c r="K999" i="6" s="1"/>
  <c r="B1000" i="6"/>
  <c r="X997" i="6"/>
  <c r="S998" i="6"/>
  <c r="I996" i="9"/>
  <c r="B997" i="9"/>
  <c r="E996" i="9"/>
  <c r="C996" i="9"/>
  <c r="H996" i="9"/>
  <c r="F996" i="9"/>
  <c r="G996" i="9"/>
  <c r="D996" i="9"/>
  <c r="T996" i="9" l="1"/>
  <c r="B1001" i="6"/>
  <c r="C1000" i="6"/>
  <c r="H1000" i="6"/>
  <c r="I1000" i="6"/>
  <c r="J1000" i="6" s="1"/>
  <c r="K1000" i="6" s="1"/>
  <c r="L1000" i="6"/>
  <c r="P1000" i="6" s="1"/>
  <c r="Y1001" i="6"/>
  <c r="D1000" i="6"/>
  <c r="P999" i="6"/>
  <c r="X998" i="6"/>
  <c r="S999" i="6"/>
  <c r="D997" i="9"/>
  <c r="C997" i="9"/>
  <c r="B998" i="9"/>
  <c r="H997" i="9"/>
  <c r="G997" i="9"/>
  <c r="E997" i="9"/>
  <c r="F997" i="9"/>
  <c r="I997" i="9"/>
  <c r="P997" i="9" s="1"/>
  <c r="P996" i="9"/>
  <c r="T997" i="9" l="1"/>
  <c r="I1001" i="6"/>
  <c r="J1001" i="6" s="1"/>
  <c r="K1001" i="6" s="1"/>
  <c r="L1001" i="6"/>
  <c r="Y1002" i="6"/>
  <c r="C1001" i="6"/>
  <c r="H1001" i="6"/>
  <c r="D1001" i="6"/>
  <c r="B1002" i="6"/>
  <c r="D998" i="9"/>
  <c r="F998" i="9"/>
  <c r="C998" i="9"/>
  <c r="E998" i="9"/>
  <c r="I998" i="9"/>
  <c r="P998" i="9" s="1"/>
  <c r="B999" i="9"/>
  <c r="H998" i="9"/>
  <c r="G998" i="9"/>
  <c r="X999" i="6"/>
  <c r="S1000" i="6"/>
  <c r="T998" i="9" l="1"/>
  <c r="B1003" i="6"/>
  <c r="L1002" i="6"/>
  <c r="P1002" i="6" s="1"/>
  <c r="C1002" i="6"/>
  <c r="D1002" i="6"/>
  <c r="I1002" i="6"/>
  <c r="J1002" i="6" s="1"/>
  <c r="K1002" i="6" s="1"/>
  <c r="H1002" i="6"/>
  <c r="Y1003" i="6"/>
  <c r="P1001" i="6"/>
  <c r="X1000" i="6"/>
  <c r="S1001" i="6"/>
  <c r="G999" i="9"/>
  <c r="E999" i="9"/>
  <c r="F999" i="9"/>
  <c r="H999" i="9"/>
  <c r="C999" i="9"/>
  <c r="B1000" i="9"/>
  <c r="D999" i="9"/>
  <c r="I999" i="9"/>
  <c r="T999" i="9" l="1"/>
  <c r="H1003" i="6"/>
  <c r="B1004" i="6"/>
  <c r="L1003" i="6"/>
  <c r="I1003" i="6"/>
  <c r="J1003" i="6" s="1"/>
  <c r="K1003" i="6" s="1"/>
  <c r="C1003" i="6"/>
  <c r="D1003" i="6"/>
  <c r="Y1004" i="6"/>
  <c r="G1000" i="9"/>
  <c r="H1000" i="9"/>
  <c r="I1000" i="9"/>
  <c r="B1001" i="9"/>
  <c r="E1000" i="9"/>
  <c r="D1000" i="9"/>
  <c r="C1000" i="9"/>
  <c r="F1000" i="9"/>
  <c r="P999" i="9"/>
  <c r="X1001" i="6"/>
  <c r="S1002" i="6"/>
  <c r="T1000" i="9" l="1"/>
  <c r="L1004" i="6"/>
  <c r="P1004" i="6" s="1"/>
  <c r="Y1005" i="6"/>
  <c r="H1004" i="6"/>
  <c r="I1004" i="6"/>
  <c r="J1004" i="6" s="1"/>
  <c r="K1004" i="6" s="1"/>
  <c r="D1004" i="6"/>
  <c r="C1004" i="6"/>
  <c r="B1005" i="6"/>
  <c r="P1003" i="6"/>
  <c r="D1001" i="9"/>
  <c r="F1001" i="9"/>
  <c r="I1001" i="9"/>
  <c r="P1001" i="9" s="1"/>
  <c r="B1002" i="9"/>
  <c r="G1001" i="9"/>
  <c r="H1001" i="9"/>
  <c r="C1001" i="9"/>
  <c r="E1001" i="9"/>
  <c r="X1002" i="6"/>
  <c r="S1003" i="6"/>
  <c r="P1000" i="9"/>
  <c r="T1001" i="9" l="1"/>
  <c r="Y1006" i="6"/>
  <c r="L1005" i="6"/>
  <c r="D1005" i="6"/>
  <c r="B1006" i="6"/>
  <c r="H1005" i="6"/>
  <c r="I1005" i="6"/>
  <c r="J1005" i="6" s="1"/>
  <c r="K1005" i="6" s="1"/>
  <c r="C1005" i="6"/>
  <c r="X1003" i="6"/>
  <c r="S1004" i="6"/>
  <c r="H1002" i="9"/>
  <c r="D1002" i="9"/>
  <c r="B1003" i="9"/>
  <c r="E1002" i="9"/>
  <c r="I1002" i="9"/>
  <c r="P1002" i="9" s="1"/>
  <c r="F1002" i="9"/>
  <c r="G1002" i="9"/>
  <c r="C1002" i="9"/>
  <c r="T1002" i="9" l="1"/>
  <c r="L1006" i="6"/>
  <c r="P1006" i="6" s="1"/>
  <c r="Y1007" i="6"/>
  <c r="B1007" i="6"/>
  <c r="H1006" i="6"/>
  <c r="C1006" i="6"/>
  <c r="I1006" i="6"/>
  <c r="J1006" i="6" s="1"/>
  <c r="K1006" i="6" s="1"/>
  <c r="D1006" i="6"/>
  <c r="P1005" i="6"/>
  <c r="G1003" i="9"/>
  <c r="H1003" i="9"/>
  <c r="D1003" i="9"/>
  <c r="E1003" i="9"/>
  <c r="F1003" i="9"/>
  <c r="I1003" i="9"/>
  <c r="B1004" i="9"/>
  <c r="C1003" i="9"/>
  <c r="X1004" i="6"/>
  <c r="S1005" i="6"/>
  <c r="T1003" i="9" l="1"/>
  <c r="D1007" i="6"/>
  <c r="L1007" i="6"/>
  <c r="I1007" i="6"/>
  <c r="J1007" i="6" s="1"/>
  <c r="K1007" i="6" s="1"/>
  <c r="C1007" i="6"/>
  <c r="H1007" i="6"/>
  <c r="Y1008" i="6"/>
  <c r="B1008" i="6"/>
  <c r="C1004" i="9"/>
  <c r="G1004" i="9"/>
  <c r="E1004" i="9"/>
  <c r="F1004" i="9"/>
  <c r="D1004" i="9"/>
  <c r="H1004" i="9"/>
  <c r="B1005" i="9"/>
  <c r="I1004" i="9"/>
  <c r="P1003" i="9"/>
  <c r="X1005" i="6"/>
  <c r="S1006" i="6"/>
  <c r="T1004" i="9" l="1"/>
  <c r="C1008" i="6"/>
  <c r="I1008" i="6"/>
  <c r="J1008" i="6" s="1"/>
  <c r="K1008" i="6" s="1"/>
  <c r="Y1009" i="6"/>
  <c r="H1008" i="6"/>
  <c r="L1008" i="6"/>
  <c r="P1008" i="6" s="1"/>
  <c r="D1008" i="6"/>
  <c r="B1009" i="6"/>
  <c r="P1007" i="6"/>
  <c r="H1005" i="9"/>
  <c r="D1005" i="9"/>
  <c r="F1005" i="9"/>
  <c r="E1005" i="9"/>
  <c r="I1005" i="9"/>
  <c r="P1005" i="9" s="1"/>
  <c r="G1005" i="9"/>
  <c r="C1005" i="9"/>
  <c r="B1006" i="9"/>
  <c r="X1006" i="6"/>
  <c r="S1007" i="6"/>
  <c r="P1004" i="9"/>
  <c r="T1005" i="9" l="1"/>
  <c r="L1009" i="6"/>
  <c r="P1009" i="6" s="1"/>
  <c r="D1009" i="6"/>
  <c r="H1009" i="6"/>
  <c r="I1009" i="6"/>
  <c r="J1009" i="6" s="1"/>
  <c r="K1009" i="6" s="1"/>
  <c r="B1010" i="6"/>
  <c r="C1009" i="6"/>
  <c r="Y1010" i="6"/>
  <c r="X1007" i="6"/>
  <c r="S1008" i="6"/>
  <c r="E1006" i="9"/>
  <c r="C1006" i="9"/>
  <c r="D1006" i="9"/>
  <c r="B1007" i="9"/>
  <c r="I1006" i="9"/>
  <c r="P1006" i="9" s="1"/>
  <c r="F1006" i="9"/>
  <c r="G1006" i="9"/>
  <c r="H1006" i="9"/>
  <c r="T1006" i="9" l="1"/>
  <c r="L1010" i="6"/>
  <c r="P1010" i="6" s="1"/>
  <c r="H1010" i="6"/>
  <c r="I1010" i="6"/>
  <c r="J1010" i="6" s="1"/>
  <c r="K1010" i="6" s="1"/>
  <c r="B1011" i="6"/>
  <c r="Y1011" i="6"/>
  <c r="C1010" i="6"/>
  <c r="D1010" i="6"/>
  <c r="X1008" i="6"/>
  <c r="S1009" i="6"/>
  <c r="I1007" i="9"/>
  <c r="P1007" i="9" s="1"/>
  <c r="E1007" i="9"/>
  <c r="C1007" i="9"/>
  <c r="G1007" i="9"/>
  <c r="H1007" i="9"/>
  <c r="F1007" i="9"/>
  <c r="B1008" i="9"/>
  <c r="D1007" i="9"/>
  <c r="T1007" i="9" l="1"/>
  <c r="C1011" i="6"/>
  <c r="B1012" i="6"/>
  <c r="I1011" i="6"/>
  <c r="J1011" i="6" s="1"/>
  <c r="K1011" i="6" s="1"/>
  <c r="D1011" i="6"/>
  <c r="L1011" i="6"/>
  <c r="P1011" i="6" s="1"/>
  <c r="H1011" i="6"/>
  <c r="Y1012" i="6"/>
  <c r="F1008" i="9"/>
  <c r="D1008" i="9"/>
  <c r="B1009" i="9"/>
  <c r="G1008" i="9"/>
  <c r="I1008" i="9"/>
  <c r="P1008" i="9" s="1"/>
  <c r="E1008" i="9"/>
  <c r="H1008" i="9"/>
  <c r="C1008" i="9"/>
  <c r="X1009" i="6"/>
  <c r="S1010" i="6"/>
  <c r="T1008" i="9" l="1"/>
  <c r="C1012" i="6"/>
  <c r="L1012" i="6"/>
  <c r="P1012" i="6" s="1"/>
  <c r="H1012" i="6"/>
  <c r="D1012" i="6"/>
  <c r="I1012" i="6"/>
  <c r="J1012" i="6" s="1"/>
  <c r="K1012" i="6" s="1"/>
  <c r="B1013" i="6"/>
  <c r="Y1013" i="6"/>
  <c r="X1010" i="6"/>
  <c r="S1011" i="6"/>
  <c r="B1010" i="9"/>
  <c r="G1009" i="9"/>
  <c r="H1009" i="9"/>
  <c r="E1009" i="9"/>
  <c r="F1009" i="9"/>
  <c r="I1009" i="9"/>
  <c r="C1009" i="9"/>
  <c r="D1009" i="9"/>
  <c r="T1009" i="9" l="1"/>
  <c r="D1013" i="6"/>
  <c r="B1014" i="6"/>
  <c r="I1013" i="6"/>
  <c r="J1013" i="6" s="1"/>
  <c r="K1013" i="6" s="1"/>
  <c r="C1013" i="6"/>
  <c r="Y1014" i="6"/>
  <c r="L1013" i="6"/>
  <c r="H1013" i="6"/>
  <c r="P1009" i="9"/>
  <c r="E1010" i="9"/>
  <c r="C1010" i="9"/>
  <c r="B1011" i="9"/>
  <c r="G1010" i="9"/>
  <c r="D1010" i="9"/>
  <c r="I1010" i="9"/>
  <c r="P1010" i="9" s="1"/>
  <c r="F1010" i="9"/>
  <c r="H1010" i="9"/>
  <c r="X1011" i="6"/>
  <c r="S1012" i="6"/>
  <c r="T1010" i="9" l="1"/>
  <c r="P1013" i="6"/>
  <c r="H1014" i="6"/>
  <c r="L1014" i="6"/>
  <c r="C1014" i="6"/>
  <c r="B1015" i="6"/>
  <c r="Y1015" i="6"/>
  <c r="D1014" i="6"/>
  <c r="I1014" i="6"/>
  <c r="J1014" i="6" s="1"/>
  <c r="K1014" i="6" s="1"/>
  <c r="X1012" i="6"/>
  <c r="S1013" i="6"/>
  <c r="D1011" i="9"/>
  <c r="C1011" i="9"/>
  <c r="G1011" i="9"/>
  <c r="H1011" i="9"/>
  <c r="B1012" i="9"/>
  <c r="F1011" i="9"/>
  <c r="I1011" i="9"/>
  <c r="E1011" i="9"/>
  <c r="T1011" i="9" l="1"/>
  <c r="Y1016" i="6"/>
  <c r="I1015" i="6"/>
  <c r="J1015" i="6" s="1"/>
  <c r="K1015" i="6" s="1"/>
  <c r="B1016" i="6"/>
  <c r="H1015" i="6"/>
  <c r="D1015" i="6"/>
  <c r="C1015" i="6"/>
  <c r="L1015" i="6"/>
  <c r="P1015" i="6" s="1"/>
  <c r="P1014" i="6"/>
  <c r="P1011" i="9"/>
  <c r="H1012" i="9"/>
  <c r="B1013" i="9"/>
  <c r="E1012" i="9"/>
  <c r="D1012" i="9"/>
  <c r="F1012" i="9"/>
  <c r="I1012" i="9"/>
  <c r="C1012" i="9"/>
  <c r="G1012" i="9"/>
  <c r="X1013" i="6"/>
  <c r="S1014" i="6"/>
  <c r="T1012" i="9" l="1"/>
  <c r="L1016" i="6"/>
  <c r="Y1017" i="6"/>
  <c r="H1016" i="6"/>
  <c r="C1016" i="6"/>
  <c r="B1017" i="6"/>
  <c r="D1016" i="6"/>
  <c r="I1016" i="6"/>
  <c r="J1016" i="6" s="1"/>
  <c r="K1016" i="6" s="1"/>
  <c r="D1013" i="9"/>
  <c r="B1014" i="9"/>
  <c r="H1013" i="9"/>
  <c r="E1013" i="9"/>
  <c r="C1013" i="9"/>
  <c r="F1013" i="9"/>
  <c r="I1013" i="9"/>
  <c r="P1013" i="9" s="1"/>
  <c r="G1013" i="9"/>
  <c r="X1014" i="6"/>
  <c r="S1015" i="6"/>
  <c r="P1012" i="9"/>
  <c r="T1013" i="9" l="1"/>
  <c r="H1017" i="6"/>
  <c r="I1017" i="6"/>
  <c r="J1017" i="6" s="1"/>
  <c r="K1017" i="6" s="1"/>
  <c r="C1017" i="6"/>
  <c r="Y1018" i="6"/>
  <c r="L1017" i="6"/>
  <c r="P1017" i="6" s="1"/>
  <c r="B1018" i="6"/>
  <c r="D1017" i="6"/>
  <c r="P1016" i="6"/>
  <c r="E1014" i="9"/>
  <c r="B1015" i="9"/>
  <c r="H1014" i="9"/>
  <c r="D1014" i="9"/>
  <c r="G1014" i="9"/>
  <c r="C1014" i="9"/>
  <c r="I1014" i="9"/>
  <c r="P1014" i="9" s="1"/>
  <c r="F1014" i="9"/>
  <c r="X1015" i="6"/>
  <c r="S1016" i="6"/>
  <c r="T1014" i="9" l="1"/>
  <c r="C1018" i="6"/>
  <c r="H1018" i="6"/>
  <c r="B1019" i="6"/>
  <c r="Y1019" i="6"/>
  <c r="I1018" i="6"/>
  <c r="J1018" i="6" s="1"/>
  <c r="K1018" i="6" s="1"/>
  <c r="D1018" i="6"/>
  <c r="L1018" i="6"/>
  <c r="X1016" i="6"/>
  <c r="S1017" i="6"/>
  <c r="B1016" i="9"/>
  <c r="E1015" i="9"/>
  <c r="F1015" i="9"/>
  <c r="I1015" i="9"/>
  <c r="P1015" i="9" s="1"/>
  <c r="D1015" i="9"/>
  <c r="H1015" i="9"/>
  <c r="C1015" i="9"/>
  <c r="G1015" i="9"/>
  <c r="T1015" i="9" l="1"/>
  <c r="Y1020" i="6"/>
  <c r="C1019" i="6"/>
  <c r="L1019" i="6"/>
  <c r="D1019" i="6"/>
  <c r="I1019" i="6"/>
  <c r="J1019" i="6" s="1"/>
  <c r="K1019" i="6" s="1"/>
  <c r="B1020" i="6"/>
  <c r="H1019" i="6"/>
  <c r="P1018" i="6"/>
  <c r="X1017" i="6"/>
  <c r="S1018" i="6"/>
  <c r="G1016" i="9"/>
  <c r="B1017" i="9"/>
  <c r="C1016" i="9"/>
  <c r="F1016" i="9"/>
  <c r="D1016" i="9"/>
  <c r="I1016" i="9"/>
  <c r="E1016" i="9"/>
  <c r="H1016" i="9"/>
  <c r="T1016" i="9" l="1"/>
  <c r="L1020" i="6"/>
  <c r="P1020" i="6" s="1"/>
  <c r="H1020" i="6"/>
  <c r="B1021" i="6"/>
  <c r="D1020" i="6"/>
  <c r="Y1021" i="6"/>
  <c r="I1020" i="6"/>
  <c r="J1020" i="6" s="1"/>
  <c r="K1020" i="6" s="1"/>
  <c r="C1020" i="6"/>
  <c r="P1019" i="6"/>
  <c r="X1018" i="6"/>
  <c r="S1019" i="6"/>
  <c r="I1017" i="9"/>
  <c r="P1017" i="9" s="1"/>
  <c r="D1017" i="9"/>
  <c r="H1017" i="9"/>
  <c r="E1017" i="9"/>
  <c r="G1017" i="9"/>
  <c r="B1018" i="9"/>
  <c r="F1017" i="9"/>
  <c r="C1017" i="9"/>
  <c r="P1016" i="9"/>
  <c r="T1017" i="9" l="1"/>
  <c r="L1021" i="6"/>
  <c r="P1021" i="6" s="1"/>
  <c r="I1021" i="6"/>
  <c r="J1021" i="6" s="1"/>
  <c r="K1021" i="6" s="1"/>
  <c r="D1021" i="6"/>
  <c r="B1022" i="6"/>
  <c r="Y1022" i="6"/>
  <c r="C1021" i="6"/>
  <c r="H1021" i="6"/>
  <c r="D1018" i="9"/>
  <c r="G1018" i="9"/>
  <c r="E1018" i="9"/>
  <c r="I1018" i="9"/>
  <c r="P1018" i="9" s="1"/>
  <c r="H1018" i="9"/>
  <c r="H1019" i="9" s="1"/>
  <c r="F1018" i="9"/>
  <c r="C1018" i="9"/>
  <c r="X1019" i="6"/>
  <c r="S1020" i="6"/>
  <c r="G1019" i="9" l="1"/>
  <c r="T1018" i="9"/>
  <c r="I1022" i="6"/>
  <c r="J1022" i="6" s="1"/>
  <c r="K1022" i="6" s="1"/>
  <c r="D1022" i="6"/>
  <c r="L1022" i="6"/>
  <c r="P1022" i="6" s="1"/>
  <c r="Y1023" i="6"/>
  <c r="C1022" i="6"/>
  <c r="H1022" i="6"/>
  <c r="B1023" i="6"/>
  <c r="X1020" i="6"/>
  <c r="S1021" i="6"/>
  <c r="I1019" i="9"/>
  <c r="P1019" i="9" s="1"/>
  <c r="H1023" i="6" l="1"/>
  <c r="Y1024" i="6"/>
  <c r="C1023" i="6"/>
  <c r="D1023" i="6"/>
  <c r="L1023" i="6"/>
  <c r="I1023" i="6"/>
  <c r="J1023" i="6" s="1"/>
  <c r="K1023" i="6" s="1"/>
  <c r="B1024" i="6"/>
  <c r="X1021" i="6"/>
  <c r="S1022" i="6"/>
  <c r="H1024" i="6" l="1"/>
  <c r="C1024" i="6"/>
  <c r="Y1025" i="6"/>
  <c r="D1024" i="6"/>
  <c r="I1024" i="6"/>
  <c r="J1024" i="6" s="1"/>
  <c r="K1024" i="6" s="1"/>
  <c r="L1024" i="6"/>
  <c r="P1024" i="6" s="1"/>
  <c r="B1025" i="6"/>
  <c r="P1023" i="6"/>
  <c r="X1022" i="6"/>
  <c r="S1023" i="6"/>
  <c r="C1025" i="6" l="1"/>
  <c r="B1026" i="6"/>
  <c r="L1025" i="6"/>
  <c r="P1025" i="6" s="1"/>
  <c r="D1025" i="6"/>
  <c r="I1025" i="6"/>
  <c r="J1025" i="6" s="1"/>
  <c r="K1025" i="6" s="1"/>
  <c r="H1025" i="6"/>
  <c r="Y1026" i="6"/>
  <c r="X1023" i="6"/>
  <c r="S1024" i="6"/>
  <c r="C1026" i="6" l="1"/>
  <c r="Y1027" i="6"/>
  <c r="L1026" i="6"/>
  <c r="P1026" i="6" s="1"/>
  <c r="I1026" i="6"/>
  <c r="J1026" i="6" s="1"/>
  <c r="K1026" i="6" s="1"/>
  <c r="B1027" i="6"/>
  <c r="D1026" i="6"/>
  <c r="H1026" i="6"/>
  <c r="X1024" i="6"/>
  <c r="S1025" i="6"/>
  <c r="C1027" i="6" l="1"/>
  <c r="D1027" i="6"/>
  <c r="H1027" i="6"/>
  <c r="Y1028" i="6"/>
  <c r="I1027" i="6"/>
  <c r="J1027" i="6" s="1"/>
  <c r="K1027" i="6" s="1"/>
  <c r="L1027" i="6"/>
  <c r="B1028" i="6"/>
  <c r="X1025" i="6"/>
  <c r="S1026" i="6"/>
  <c r="P1027" i="6" l="1"/>
  <c r="I1028" i="6"/>
  <c r="J1028" i="6" s="1"/>
  <c r="K1028" i="6" s="1"/>
  <c r="H1028" i="6"/>
  <c r="D1028" i="6"/>
  <c r="L1028" i="6"/>
  <c r="Y1029" i="6"/>
  <c r="C1028" i="6"/>
  <c r="B1029" i="6"/>
  <c r="X1026" i="6"/>
  <c r="S1027" i="6"/>
  <c r="D1029" i="6" l="1"/>
  <c r="Y1030" i="6"/>
  <c r="C1029" i="6"/>
  <c r="B1030" i="6"/>
  <c r="I1029" i="6"/>
  <c r="J1029" i="6" s="1"/>
  <c r="K1029" i="6" s="1"/>
  <c r="H1029" i="6"/>
  <c r="L1029" i="6"/>
  <c r="P1029" i="6" s="1"/>
  <c r="P1028" i="6"/>
  <c r="X1027" i="6"/>
  <c r="S1028" i="6"/>
  <c r="H1030" i="6" l="1"/>
  <c r="C1030" i="6"/>
  <c r="D1030" i="6"/>
  <c r="L1030" i="6"/>
  <c r="Y1031" i="6"/>
  <c r="I1030" i="6"/>
  <c r="J1030" i="6" s="1"/>
  <c r="K1030" i="6" s="1"/>
  <c r="B1031" i="6"/>
  <c r="X1028" i="6"/>
  <c r="S1029" i="6"/>
  <c r="H1031" i="6" l="1"/>
  <c r="B1032" i="6"/>
  <c r="D1031" i="6"/>
  <c r="C1031" i="6"/>
  <c r="Y1032" i="6"/>
  <c r="L1031" i="6"/>
  <c r="P1031" i="6" s="1"/>
  <c r="I1031" i="6"/>
  <c r="J1031" i="6" s="1"/>
  <c r="K1031" i="6" s="1"/>
  <c r="P1030" i="6"/>
  <c r="X1029" i="6"/>
  <c r="S1030" i="6"/>
  <c r="D1032" i="6" l="1"/>
  <c r="I1032" i="6"/>
  <c r="J1032" i="6" s="1"/>
  <c r="K1032" i="6" s="1"/>
  <c r="C1032" i="6"/>
  <c r="B1033" i="6"/>
  <c r="H1032" i="6"/>
  <c r="Y1033" i="6"/>
  <c r="L1032" i="6"/>
  <c r="X1030" i="6"/>
  <c r="S1031" i="6"/>
  <c r="H1033" i="6" l="1"/>
  <c r="I1033" i="6"/>
  <c r="J1033" i="6" s="1"/>
  <c r="K1033" i="6" s="1"/>
  <c r="Y1034" i="6"/>
  <c r="L1033" i="6"/>
  <c r="C1033" i="6"/>
  <c r="B1034" i="6"/>
  <c r="D1033" i="6"/>
  <c r="P1032" i="6"/>
  <c r="X1031" i="6"/>
  <c r="S1032" i="6"/>
  <c r="Y1035" i="6" l="1"/>
  <c r="L1034" i="6"/>
  <c r="P1034" i="6" s="1"/>
  <c r="H1034" i="6"/>
  <c r="C1034" i="6"/>
  <c r="D1034" i="6"/>
  <c r="B1035" i="6"/>
  <c r="I1034" i="6"/>
  <c r="J1034" i="6" s="1"/>
  <c r="K1034" i="6" s="1"/>
  <c r="P1033" i="6"/>
  <c r="X1032" i="6"/>
  <c r="S1033" i="6"/>
  <c r="H1035" i="6" l="1"/>
  <c r="L1035" i="6"/>
  <c r="P1035" i="6" s="1"/>
  <c r="Y1036" i="6"/>
  <c r="C1035" i="6"/>
  <c r="I1035" i="6"/>
  <c r="J1035" i="6" s="1"/>
  <c r="K1035" i="6" s="1"/>
  <c r="D1035" i="6"/>
  <c r="B1036" i="6"/>
  <c r="X1033" i="6"/>
  <c r="S1034" i="6"/>
  <c r="I1036" i="6" l="1"/>
  <c r="J1036" i="6" s="1"/>
  <c r="K1036" i="6" s="1"/>
  <c r="C1036" i="6"/>
  <c r="L1036" i="6"/>
  <c r="P1036" i="6" s="1"/>
  <c r="B1037" i="6"/>
  <c r="D1036" i="6"/>
  <c r="H1036" i="6"/>
  <c r="Y1037" i="6"/>
  <c r="X1034" i="6"/>
  <c r="S1035" i="6"/>
  <c r="I1037" i="6" l="1"/>
  <c r="J1037" i="6" s="1"/>
  <c r="K1037" i="6" s="1"/>
  <c r="D1037" i="6"/>
  <c r="Y1038" i="6"/>
  <c r="L1037" i="6"/>
  <c r="P1037" i="6" s="1"/>
  <c r="B1038" i="6"/>
  <c r="H1037" i="6"/>
  <c r="C1037" i="6"/>
  <c r="X1035" i="6"/>
  <c r="S1036" i="6"/>
  <c r="D1038" i="6" l="1"/>
  <c r="Y1039" i="6"/>
  <c r="B1039" i="6"/>
  <c r="L1038" i="6"/>
  <c r="P1038" i="6" s="1"/>
  <c r="H1038" i="6"/>
  <c r="I1038" i="6"/>
  <c r="J1038" i="6" s="1"/>
  <c r="K1038" i="6" s="1"/>
  <c r="C1038" i="6"/>
  <c r="X1036" i="6"/>
  <c r="S1037" i="6"/>
  <c r="C1039" i="6" l="1"/>
  <c r="H1039" i="6"/>
  <c r="B1040" i="6"/>
  <c r="D1039" i="6"/>
  <c r="I1039" i="6"/>
  <c r="J1039" i="6" s="1"/>
  <c r="K1039" i="6" s="1"/>
  <c r="Y1040" i="6"/>
  <c r="L1039" i="6"/>
  <c r="X1037" i="6"/>
  <c r="S1038" i="6"/>
  <c r="P1039" i="6" l="1"/>
  <c r="H1040" i="6"/>
  <c r="C1040" i="6"/>
  <c r="I1040" i="6"/>
  <c r="J1040" i="6" s="1"/>
  <c r="K1040" i="6" s="1"/>
  <c r="Y1041" i="6"/>
  <c r="L1040" i="6"/>
  <c r="B1041" i="6"/>
  <c r="D1040" i="6"/>
  <c r="X1038" i="6"/>
  <c r="S1039" i="6"/>
  <c r="H1041" i="6" l="1"/>
  <c r="C1041" i="6"/>
  <c r="B1042" i="6"/>
  <c r="I1041" i="6"/>
  <c r="J1041" i="6" s="1"/>
  <c r="K1041" i="6" s="1"/>
  <c r="D1041" i="6"/>
  <c r="Y1042" i="6"/>
  <c r="L1041" i="6"/>
  <c r="P1041" i="6" s="1"/>
  <c r="P1040" i="6"/>
  <c r="X1039" i="6"/>
  <c r="S1040" i="6"/>
  <c r="Y1043" i="6" l="1"/>
  <c r="D1042" i="6"/>
  <c r="I1042" i="6"/>
  <c r="J1042" i="6" s="1"/>
  <c r="K1042" i="6" s="1"/>
  <c r="B1043" i="6"/>
  <c r="H1042" i="6"/>
  <c r="C1042" i="6"/>
  <c r="L1042" i="6"/>
  <c r="X1040" i="6"/>
  <c r="S1041" i="6"/>
  <c r="H1043" i="6" l="1"/>
  <c r="B1044" i="6"/>
  <c r="I1043" i="6"/>
  <c r="J1043" i="6" s="1"/>
  <c r="K1043" i="6" s="1"/>
  <c r="L1043" i="6"/>
  <c r="Y1044" i="6"/>
  <c r="D1043" i="6"/>
  <c r="C1043" i="6"/>
  <c r="P1042" i="6"/>
  <c r="X1041" i="6"/>
  <c r="S1042" i="6"/>
  <c r="C1044" i="6" l="1"/>
  <c r="I1044" i="6"/>
  <c r="J1044" i="6" s="1"/>
  <c r="K1044" i="6" s="1"/>
  <c r="B1045" i="6"/>
  <c r="H1044" i="6"/>
  <c r="D1044" i="6"/>
  <c r="L1044" i="6"/>
  <c r="Y1045" i="6"/>
  <c r="P1043" i="6"/>
  <c r="X1042" i="6"/>
  <c r="S1043" i="6"/>
  <c r="H1045" i="6" l="1"/>
  <c r="C1045" i="6"/>
  <c r="I1045" i="6"/>
  <c r="J1045" i="6" s="1"/>
  <c r="K1045" i="6" s="1"/>
  <c r="L1045" i="6"/>
  <c r="D1045" i="6"/>
  <c r="B1046" i="6"/>
  <c r="Y1046" i="6"/>
  <c r="P1044" i="6"/>
  <c r="X1043" i="6"/>
  <c r="S1044" i="6"/>
  <c r="C1046" i="6" l="1"/>
  <c r="Y1047" i="6"/>
  <c r="B1047" i="6"/>
  <c r="L1046" i="6"/>
  <c r="P1046" i="6" s="1"/>
  <c r="D1046" i="6"/>
  <c r="I1046" i="6"/>
  <c r="J1046" i="6" s="1"/>
  <c r="K1046" i="6" s="1"/>
  <c r="H1046" i="6"/>
  <c r="P1045" i="6"/>
  <c r="X1044" i="6"/>
  <c r="S1045" i="6"/>
  <c r="B1048" i="6" l="1"/>
  <c r="H1047" i="6"/>
  <c r="C1047" i="6"/>
  <c r="Y1048" i="6"/>
  <c r="D1047" i="6"/>
  <c r="I1047" i="6"/>
  <c r="J1047" i="6" s="1"/>
  <c r="K1047" i="6" s="1"/>
  <c r="L1047" i="6"/>
  <c r="X1045" i="6"/>
  <c r="S1046" i="6"/>
  <c r="Y1049" i="6" l="1"/>
  <c r="L1048" i="6"/>
  <c r="B1049" i="6"/>
  <c r="D1048" i="6"/>
  <c r="C1048" i="6"/>
  <c r="H1048" i="6"/>
  <c r="I1048" i="6"/>
  <c r="J1048" i="6" s="1"/>
  <c r="K1048" i="6" s="1"/>
  <c r="P1047" i="6"/>
  <c r="X1046" i="6"/>
  <c r="S1047" i="6"/>
  <c r="D1049" i="6" l="1"/>
  <c r="L1049" i="6"/>
  <c r="P1049" i="6" s="1"/>
  <c r="H1049" i="6"/>
  <c r="Y1050" i="6"/>
  <c r="C1049" i="6"/>
  <c r="I1049" i="6"/>
  <c r="J1049" i="6" s="1"/>
  <c r="K1049" i="6" s="1"/>
  <c r="B1050" i="6"/>
  <c r="P1048" i="6"/>
  <c r="X1047" i="6"/>
  <c r="S1048" i="6"/>
  <c r="D1050" i="6" l="1"/>
  <c r="L1050" i="6"/>
  <c r="P1050" i="6" s="1"/>
  <c r="B1051" i="6"/>
  <c r="C1050" i="6"/>
  <c r="H1050" i="6"/>
  <c r="I1050" i="6"/>
  <c r="J1050" i="6" s="1"/>
  <c r="K1050" i="6" s="1"/>
  <c r="Y1051" i="6"/>
  <c r="X1048" i="6"/>
  <c r="S1049" i="6"/>
  <c r="Y1052" i="6" l="1"/>
  <c r="I1051" i="6"/>
  <c r="J1051" i="6" s="1"/>
  <c r="K1051" i="6" s="1"/>
  <c r="B1052" i="6"/>
  <c r="D1051" i="6"/>
  <c r="L1051" i="6"/>
  <c r="P1051" i="6" s="1"/>
  <c r="H1051" i="6"/>
  <c r="C1051" i="6"/>
  <c r="X1049" i="6"/>
  <c r="S1050" i="6"/>
  <c r="I1052" i="6" l="1"/>
  <c r="J1052" i="6" s="1"/>
  <c r="K1052" i="6" s="1"/>
  <c r="C1052" i="6"/>
  <c r="L1052" i="6"/>
  <c r="B1053" i="6"/>
  <c r="D1052" i="6"/>
  <c r="H1052" i="6"/>
  <c r="Y1053" i="6"/>
  <c r="X1050" i="6"/>
  <c r="S1051" i="6"/>
  <c r="C1053" i="6" l="1"/>
  <c r="D1053" i="6"/>
  <c r="Y1054" i="6"/>
  <c r="B1054" i="6"/>
  <c r="I1053" i="6"/>
  <c r="J1053" i="6" s="1"/>
  <c r="K1053" i="6" s="1"/>
  <c r="H1053" i="6"/>
  <c r="L1053" i="6"/>
  <c r="P1053" i="6" s="1"/>
  <c r="P1052" i="6"/>
  <c r="X1051" i="6"/>
  <c r="S1052" i="6"/>
  <c r="B1055" i="6" l="1"/>
  <c r="L1054" i="6"/>
  <c r="Y1055" i="6"/>
  <c r="D1054" i="6"/>
  <c r="C1054" i="6"/>
  <c r="I1054" i="6"/>
  <c r="J1054" i="6" s="1"/>
  <c r="K1054" i="6" s="1"/>
  <c r="H1054" i="6"/>
  <c r="X1052" i="6"/>
  <c r="S1053" i="6"/>
  <c r="L1055" i="6" l="1"/>
  <c r="D1055" i="6"/>
  <c r="B1056" i="6"/>
  <c r="H1055" i="6"/>
  <c r="C1055" i="6"/>
  <c r="Y1056" i="6"/>
  <c r="I1055" i="6"/>
  <c r="J1055" i="6" s="1"/>
  <c r="K1055" i="6" s="1"/>
  <c r="P1054" i="6"/>
  <c r="X1053" i="6"/>
  <c r="S1054" i="6"/>
  <c r="L1056" i="6" l="1"/>
  <c r="P1056" i="6" s="1"/>
  <c r="C1056" i="6"/>
  <c r="Y1057" i="6"/>
  <c r="I1056" i="6"/>
  <c r="J1056" i="6" s="1"/>
  <c r="K1056" i="6" s="1"/>
  <c r="B1057" i="6"/>
  <c r="H1056" i="6"/>
  <c r="D1056" i="6"/>
  <c r="P1055" i="6"/>
  <c r="X1054" i="6"/>
  <c r="S1055" i="6"/>
  <c r="D1057" i="6" l="1"/>
  <c r="L1057" i="6"/>
  <c r="P1057" i="6" s="1"/>
  <c r="I1057" i="6"/>
  <c r="J1057" i="6" s="1"/>
  <c r="K1057" i="6" s="1"/>
  <c r="Y1058" i="6"/>
  <c r="C1057" i="6"/>
  <c r="B1058" i="6"/>
  <c r="H1057" i="6"/>
  <c r="X1055" i="6"/>
  <c r="S1056" i="6"/>
  <c r="B1059" i="6" l="1"/>
  <c r="L1058" i="6"/>
  <c r="P1058" i="6" s="1"/>
  <c r="C1058" i="6"/>
  <c r="D1058" i="6"/>
  <c r="I1058" i="6"/>
  <c r="J1058" i="6" s="1"/>
  <c r="K1058" i="6" s="1"/>
  <c r="H1058" i="6"/>
  <c r="Y1059" i="6"/>
  <c r="X1056" i="6"/>
  <c r="S1057" i="6"/>
  <c r="C1059" i="6" l="1"/>
  <c r="D1059" i="6"/>
  <c r="I1059" i="6"/>
  <c r="J1059" i="6" s="1"/>
  <c r="K1059" i="6" s="1"/>
  <c r="Y1060" i="6"/>
  <c r="H1059" i="6"/>
  <c r="B1060" i="6"/>
  <c r="L1059" i="6"/>
  <c r="X1057" i="6"/>
  <c r="S1058" i="6"/>
  <c r="H1060" i="6" l="1"/>
  <c r="Y1061" i="6"/>
  <c r="D1060" i="6"/>
  <c r="B1061" i="6"/>
  <c r="I1060" i="6"/>
  <c r="J1060" i="6" s="1"/>
  <c r="K1060" i="6" s="1"/>
  <c r="C1060" i="6"/>
  <c r="L1060" i="6"/>
  <c r="P1059" i="6"/>
  <c r="X1058" i="6"/>
  <c r="S1059" i="6"/>
  <c r="I1061" i="6" l="1"/>
  <c r="J1061" i="6" s="1"/>
  <c r="K1061" i="6" s="1"/>
  <c r="H1061" i="6"/>
  <c r="Y1062" i="6"/>
  <c r="L1061" i="6"/>
  <c r="P1061" i="6" s="1"/>
  <c r="D1061" i="6"/>
  <c r="C1061" i="6"/>
  <c r="B1062" i="6"/>
  <c r="P1060" i="6"/>
  <c r="X1059" i="6"/>
  <c r="S1060" i="6"/>
  <c r="Y1063" i="6" l="1"/>
  <c r="H1062" i="6"/>
  <c r="B1063" i="6"/>
  <c r="D1062" i="6"/>
  <c r="L1062" i="6"/>
  <c r="I1062" i="6"/>
  <c r="J1062" i="6" s="1"/>
  <c r="K1062" i="6" s="1"/>
  <c r="C1062" i="6"/>
  <c r="X1060" i="6"/>
  <c r="S1061" i="6"/>
  <c r="P1062" i="6" l="1"/>
  <c r="Y1064" i="6"/>
  <c r="L1063" i="6"/>
  <c r="P1063" i="6" s="1"/>
  <c r="B1064" i="6"/>
  <c r="C1063" i="6"/>
  <c r="I1063" i="6"/>
  <c r="J1063" i="6" s="1"/>
  <c r="K1063" i="6" s="1"/>
  <c r="H1063" i="6"/>
  <c r="D1063" i="6"/>
  <c r="X1061" i="6"/>
  <c r="S1062" i="6"/>
  <c r="D1064" i="6" l="1"/>
  <c r="L1064" i="6"/>
  <c r="H1064" i="6"/>
  <c r="B1065" i="6"/>
  <c r="C1064" i="6"/>
  <c r="I1064" i="6"/>
  <c r="J1064" i="6" s="1"/>
  <c r="K1064" i="6" s="1"/>
  <c r="Y1065" i="6"/>
  <c r="X1062" i="6"/>
  <c r="S1063" i="6"/>
  <c r="L1065" i="6" l="1"/>
  <c r="P1065" i="6" s="1"/>
  <c r="C1065" i="6"/>
  <c r="D1065" i="6"/>
  <c r="H1065" i="6"/>
  <c r="I1065" i="6"/>
  <c r="J1065" i="6" s="1"/>
  <c r="K1065" i="6" s="1"/>
  <c r="Y1066" i="6"/>
  <c r="B1066" i="6"/>
  <c r="P1064" i="6"/>
  <c r="X1063" i="6"/>
  <c r="S1064" i="6"/>
  <c r="D1066" i="6" l="1"/>
  <c r="B1067" i="6"/>
  <c r="L1066" i="6"/>
  <c r="I1066" i="6"/>
  <c r="J1066" i="6" s="1"/>
  <c r="K1066" i="6" s="1"/>
  <c r="Y1067" i="6"/>
  <c r="H1066" i="6"/>
  <c r="C1066" i="6"/>
  <c r="X1064" i="6"/>
  <c r="S1065" i="6"/>
  <c r="P1066" i="6" l="1"/>
  <c r="B1068" i="6"/>
  <c r="H1067" i="6"/>
  <c r="I1067" i="6"/>
  <c r="J1067" i="6" s="1"/>
  <c r="K1067" i="6" s="1"/>
  <c r="L1067" i="6"/>
  <c r="C1067" i="6"/>
  <c r="Y1068" i="6"/>
  <c r="D1067" i="6"/>
  <c r="X1065" i="6"/>
  <c r="S1066" i="6"/>
  <c r="H1068" i="6" l="1"/>
  <c r="L1068" i="6"/>
  <c r="Y1069" i="6"/>
  <c r="C1068" i="6"/>
  <c r="I1068" i="6"/>
  <c r="J1068" i="6" s="1"/>
  <c r="K1068" i="6" s="1"/>
  <c r="D1068" i="6"/>
  <c r="B1069" i="6"/>
  <c r="P1067" i="6"/>
  <c r="X1066" i="6"/>
  <c r="S1067" i="6"/>
  <c r="C1069" i="6" l="1"/>
  <c r="L1069" i="6"/>
  <c r="P1069" i="6" s="1"/>
  <c r="I1069" i="6"/>
  <c r="J1069" i="6" s="1"/>
  <c r="K1069" i="6" s="1"/>
  <c r="B1070" i="6"/>
  <c r="Y1070" i="6"/>
  <c r="H1069" i="6"/>
  <c r="D1069" i="6"/>
  <c r="P1068" i="6"/>
  <c r="X1067" i="6"/>
  <c r="S1068" i="6"/>
  <c r="I1070" i="6" l="1"/>
  <c r="J1070" i="6" s="1"/>
  <c r="K1070" i="6" s="1"/>
  <c r="H1070" i="6"/>
  <c r="B1071" i="6"/>
  <c r="L1070" i="6"/>
  <c r="P1070" i="6" s="1"/>
  <c r="D1070" i="6"/>
  <c r="C1070" i="6"/>
  <c r="Y1071" i="6"/>
  <c r="X1068" i="6"/>
  <c r="S1069" i="6"/>
  <c r="C1071" i="6" l="1"/>
  <c r="Y1072" i="6"/>
  <c r="I1071" i="6"/>
  <c r="J1071" i="6" s="1"/>
  <c r="K1071" i="6" s="1"/>
  <c r="B1072" i="6"/>
  <c r="L1071" i="6"/>
  <c r="H1071" i="6"/>
  <c r="D1071" i="6"/>
  <c r="X1069" i="6"/>
  <c r="S1070" i="6"/>
  <c r="Y1073" i="6" l="1"/>
  <c r="L1072" i="6"/>
  <c r="B1073" i="6"/>
  <c r="D1072" i="6"/>
  <c r="H1072" i="6"/>
  <c r="I1072" i="6"/>
  <c r="J1072" i="6" s="1"/>
  <c r="K1072" i="6" s="1"/>
  <c r="C1072" i="6"/>
  <c r="P1071" i="6"/>
  <c r="X1070" i="6"/>
  <c r="S1071" i="6"/>
  <c r="D1073" i="6" l="1"/>
  <c r="C1073" i="6"/>
  <c r="B1074" i="6"/>
  <c r="L1073" i="6"/>
  <c r="P1073" i="6" s="1"/>
  <c r="Y1074" i="6"/>
  <c r="H1073" i="6"/>
  <c r="I1073" i="6"/>
  <c r="J1073" i="6" s="1"/>
  <c r="K1073" i="6" s="1"/>
  <c r="P1072" i="6"/>
  <c r="X1071" i="6"/>
  <c r="S1072" i="6"/>
  <c r="D1074" i="6" l="1"/>
  <c r="C1074" i="6"/>
  <c r="H1074" i="6"/>
  <c r="I1074" i="6"/>
  <c r="J1074" i="6" s="1"/>
  <c r="K1074" i="6" s="1"/>
  <c r="Y1075" i="6"/>
  <c r="L1074" i="6"/>
  <c r="B1075" i="6"/>
  <c r="X1072" i="6"/>
  <c r="S1073" i="6"/>
  <c r="H1075" i="6" l="1"/>
  <c r="B1076" i="6"/>
  <c r="Y1076" i="6"/>
  <c r="I1075" i="6"/>
  <c r="J1075" i="6" s="1"/>
  <c r="K1075" i="6" s="1"/>
  <c r="D1075" i="6"/>
  <c r="L1075" i="6"/>
  <c r="P1075" i="6" s="1"/>
  <c r="C1075" i="6"/>
  <c r="P1074" i="6"/>
  <c r="X1073" i="6"/>
  <c r="S1074" i="6"/>
  <c r="C1076" i="6" l="1"/>
  <c r="B1077" i="6"/>
  <c r="H1076" i="6"/>
  <c r="L1076" i="6"/>
  <c r="Y1077" i="6"/>
  <c r="D1076" i="6"/>
  <c r="I1076" i="6"/>
  <c r="J1076" i="6" s="1"/>
  <c r="K1076" i="6" s="1"/>
  <c r="X1074" i="6"/>
  <c r="S1075" i="6"/>
  <c r="L1077" i="6" l="1"/>
  <c r="P1077" i="6" s="1"/>
  <c r="Y1078" i="6"/>
  <c r="B1078" i="6"/>
  <c r="I1077" i="6"/>
  <c r="J1077" i="6" s="1"/>
  <c r="K1077" i="6" s="1"/>
  <c r="D1077" i="6"/>
  <c r="C1077" i="6"/>
  <c r="H1077" i="6"/>
  <c r="P1076" i="6"/>
  <c r="X1075" i="6"/>
  <c r="S1076" i="6"/>
  <c r="Y1079" i="6" l="1"/>
  <c r="B1079" i="6"/>
  <c r="H1078" i="6"/>
  <c r="L1078" i="6"/>
  <c r="D1078" i="6"/>
  <c r="I1078" i="6"/>
  <c r="J1078" i="6" s="1"/>
  <c r="K1078" i="6" s="1"/>
  <c r="C1078" i="6"/>
  <c r="X1076" i="6"/>
  <c r="S1077" i="6"/>
  <c r="P1078" i="6" l="1"/>
  <c r="Y1080" i="6"/>
  <c r="B1080" i="6"/>
  <c r="C1079" i="6"/>
  <c r="I1079" i="6"/>
  <c r="J1079" i="6" s="1"/>
  <c r="K1079" i="6" s="1"/>
  <c r="D1079" i="6"/>
  <c r="H1079" i="6"/>
  <c r="L1079" i="6"/>
  <c r="P1079" i="6" s="1"/>
  <c r="X1077" i="6"/>
  <c r="S1078" i="6"/>
  <c r="D1080" i="6" l="1"/>
  <c r="I1080" i="6"/>
  <c r="J1080" i="6" s="1"/>
  <c r="K1080" i="6" s="1"/>
  <c r="H1080" i="6"/>
  <c r="L1080" i="6"/>
  <c r="C1080" i="6"/>
  <c r="B1081" i="6"/>
  <c r="Y1081" i="6"/>
  <c r="X1078" i="6"/>
  <c r="S1079" i="6"/>
  <c r="Y1082" i="6" l="1"/>
  <c r="I1081" i="6"/>
  <c r="J1081" i="6" s="1"/>
  <c r="K1081" i="6" s="1"/>
  <c r="C1081" i="6"/>
  <c r="H1081" i="6"/>
  <c r="L1081" i="6"/>
  <c r="P1081" i="6" s="1"/>
  <c r="D1081" i="6"/>
  <c r="B1082" i="6"/>
  <c r="P1080" i="6"/>
  <c r="X1079" i="6"/>
  <c r="S1080" i="6"/>
  <c r="Y1083" i="6" l="1"/>
  <c r="H1082" i="6"/>
  <c r="B1083" i="6"/>
  <c r="C1082" i="6"/>
  <c r="D1082" i="6"/>
  <c r="I1082" i="6"/>
  <c r="J1082" i="6" s="1"/>
  <c r="K1082" i="6" s="1"/>
  <c r="L1082" i="6"/>
  <c r="X1080" i="6"/>
  <c r="S1081" i="6"/>
  <c r="P1082" i="6" l="1"/>
  <c r="D1083" i="6"/>
  <c r="I1083" i="6"/>
  <c r="J1083" i="6" s="1"/>
  <c r="K1083" i="6" s="1"/>
  <c r="L1083" i="6"/>
  <c r="P1083" i="6" s="1"/>
  <c r="Y1084" i="6"/>
  <c r="H1083" i="6"/>
  <c r="B1084" i="6"/>
  <c r="C1083" i="6"/>
  <c r="X1081" i="6"/>
  <c r="S1082" i="6"/>
  <c r="Y1085" i="6" l="1"/>
  <c r="C1084" i="6"/>
  <c r="D1084" i="6"/>
  <c r="H1084" i="6"/>
  <c r="L1084" i="6"/>
  <c r="I1084" i="6"/>
  <c r="J1084" i="6" s="1"/>
  <c r="K1084" i="6" s="1"/>
  <c r="B1085" i="6"/>
  <c r="X1082" i="6"/>
  <c r="S1083" i="6"/>
  <c r="B1086" i="6" l="1"/>
  <c r="I1085" i="6"/>
  <c r="J1085" i="6" s="1"/>
  <c r="K1085" i="6" s="1"/>
  <c r="L1085" i="6"/>
  <c r="P1085" i="6" s="1"/>
  <c r="Y1086" i="6"/>
  <c r="H1085" i="6"/>
  <c r="C1085" i="6"/>
  <c r="D1085" i="6"/>
  <c r="P1084" i="6"/>
  <c r="X1083" i="6"/>
  <c r="S1084" i="6"/>
  <c r="D1086" i="6" l="1"/>
  <c r="L1086" i="6"/>
  <c r="I1086" i="6"/>
  <c r="J1086" i="6" s="1"/>
  <c r="K1086" i="6" s="1"/>
  <c r="Y1087" i="6"/>
  <c r="H1086" i="6"/>
  <c r="B1087" i="6"/>
  <c r="C1086" i="6"/>
  <c r="X1084" i="6"/>
  <c r="S1085" i="6"/>
  <c r="H1087" i="6" l="1"/>
  <c r="Y1088" i="6"/>
  <c r="I1087" i="6"/>
  <c r="J1087" i="6" s="1"/>
  <c r="K1087" i="6" s="1"/>
  <c r="B1088" i="6"/>
  <c r="D1087" i="6"/>
  <c r="L1087" i="6"/>
  <c r="P1087" i="6" s="1"/>
  <c r="C1087" i="6"/>
  <c r="P1086" i="6"/>
  <c r="X1085" i="6"/>
  <c r="S1086" i="6"/>
  <c r="B1089" i="6" l="1"/>
  <c r="Y1089" i="6"/>
  <c r="H1088" i="6"/>
  <c r="D1088" i="6"/>
  <c r="L1088" i="6"/>
  <c r="C1088" i="6"/>
  <c r="I1088" i="6"/>
  <c r="J1088" i="6" s="1"/>
  <c r="K1088" i="6" s="1"/>
  <c r="X1086" i="6"/>
  <c r="S1087" i="6"/>
  <c r="H1089" i="6" l="1"/>
  <c r="B1090" i="6"/>
  <c r="I1089" i="6"/>
  <c r="J1089" i="6" s="1"/>
  <c r="K1089" i="6" s="1"/>
  <c r="D1089" i="6"/>
  <c r="C1089" i="6"/>
  <c r="L1089" i="6"/>
  <c r="Y1090" i="6"/>
  <c r="P1088" i="6"/>
  <c r="X1087" i="6"/>
  <c r="S1088" i="6"/>
  <c r="Y1091" i="6" l="1"/>
  <c r="B1091" i="6"/>
  <c r="D1090" i="6"/>
  <c r="I1090" i="6"/>
  <c r="J1090" i="6" s="1"/>
  <c r="K1090" i="6" s="1"/>
  <c r="L1090" i="6"/>
  <c r="H1090" i="6"/>
  <c r="C1090" i="6"/>
  <c r="P1089" i="6"/>
  <c r="X1088" i="6"/>
  <c r="S1089" i="6"/>
  <c r="B1092" i="6" l="1"/>
  <c r="Y1092" i="6"/>
  <c r="H1091" i="6"/>
  <c r="C1091" i="6"/>
  <c r="I1091" i="6"/>
  <c r="J1091" i="6" s="1"/>
  <c r="K1091" i="6" s="1"/>
  <c r="L1091" i="6"/>
  <c r="P1091" i="6" s="1"/>
  <c r="D1091" i="6"/>
  <c r="P1090" i="6"/>
  <c r="X1089" i="6"/>
  <c r="S1090" i="6"/>
  <c r="I1092" i="6" l="1"/>
  <c r="J1092" i="6" s="1"/>
  <c r="K1092" i="6" s="1"/>
  <c r="Y1093" i="6"/>
  <c r="B1093" i="6"/>
  <c r="L1092" i="6"/>
  <c r="D1092" i="6"/>
  <c r="H1092" i="6"/>
  <c r="C1092" i="6"/>
  <c r="X1090" i="6"/>
  <c r="S1091" i="6"/>
  <c r="P1092" i="6" l="1"/>
  <c r="B1094" i="6"/>
  <c r="C1093" i="6"/>
  <c r="Y1094" i="6"/>
  <c r="L1093" i="6"/>
  <c r="I1093" i="6"/>
  <c r="J1093" i="6" s="1"/>
  <c r="K1093" i="6" s="1"/>
  <c r="H1093" i="6"/>
  <c r="D1093" i="6"/>
  <c r="X1091" i="6"/>
  <c r="S1092" i="6"/>
  <c r="H1094" i="6" l="1"/>
  <c r="C1094" i="6"/>
  <c r="I1094" i="6"/>
  <c r="J1094" i="6" s="1"/>
  <c r="K1094" i="6" s="1"/>
  <c r="Y1095" i="6"/>
  <c r="B1095" i="6"/>
  <c r="L1094" i="6"/>
  <c r="D1094" i="6"/>
  <c r="P1093" i="6"/>
  <c r="X1092" i="6"/>
  <c r="S1093" i="6"/>
  <c r="C1095" i="6" l="1"/>
  <c r="B1096" i="6"/>
  <c r="L1095" i="6"/>
  <c r="D1095" i="6"/>
  <c r="Y1096" i="6"/>
  <c r="H1095" i="6"/>
  <c r="I1095" i="6"/>
  <c r="J1095" i="6" s="1"/>
  <c r="K1095" i="6" s="1"/>
  <c r="P1094" i="6"/>
  <c r="X1093" i="6"/>
  <c r="S1094" i="6"/>
  <c r="D1096" i="6" l="1"/>
  <c r="L1096" i="6"/>
  <c r="H1096" i="6"/>
  <c r="I1096" i="6"/>
  <c r="J1096" i="6" s="1"/>
  <c r="K1096" i="6" s="1"/>
  <c r="C1096" i="6"/>
  <c r="Y1097" i="6"/>
  <c r="B1097" i="6"/>
  <c r="P1095" i="6"/>
  <c r="X1094" i="6"/>
  <c r="S1095" i="6"/>
  <c r="D1097" i="6" l="1"/>
  <c r="H1097" i="6"/>
  <c r="L1097" i="6"/>
  <c r="P1097" i="6" s="1"/>
  <c r="I1097" i="6"/>
  <c r="J1097" i="6" s="1"/>
  <c r="K1097" i="6" s="1"/>
  <c r="C1097" i="6"/>
  <c r="Y1098" i="6"/>
  <c r="B1098" i="6"/>
  <c r="P1096" i="6"/>
  <c r="X1095" i="6"/>
  <c r="S1096" i="6"/>
  <c r="H1098" i="6" l="1"/>
  <c r="D1098" i="6"/>
  <c r="C1098" i="6"/>
  <c r="B1099" i="6"/>
  <c r="L1098" i="6"/>
  <c r="I1098" i="6"/>
  <c r="J1098" i="6" s="1"/>
  <c r="K1098" i="6" s="1"/>
  <c r="Y1099" i="6"/>
  <c r="X1096" i="6"/>
  <c r="S1097" i="6"/>
  <c r="L1099" i="6" l="1"/>
  <c r="P1099" i="6" s="1"/>
  <c r="Y1100" i="6"/>
  <c r="B1100" i="6"/>
  <c r="I1099" i="6"/>
  <c r="J1099" i="6" s="1"/>
  <c r="K1099" i="6" s="1"/>
  <c r="H1099" i="6"/>
  <c r="D1099" i="6"/>
  <c r="C1099" i="6"/>
  <c r="P1098" i="6"/>
  <c r="X1097" i="6"/>
  <c r="S1098" i="6"/>
  <c r="H1100" i="6" l="1"/>
  <c r="D1100" i="6"/>
  <c r="B1101" i="6"/>
  <c r="C1100" i="6"/>
  <c r="I1100" i="6"/>
  <c r="J1100" i="6" s="1"/>
  <c r="K1100" i="6" s="1"/>
  <c r="L1100" i="6"/>
  <c r="P1100" i="6" s="1"/>
  <c r="Y1101" i="6"/>
  <c r="X1098" i="6"/>
  <c r="S1099" i="6"/>
  <c r="Y1102" i="6" l="1"/>
  <c r="B1102" i="6"/>
  <c r="L1101" i="6"/>
  <c r="P1101" i="6" s="1"/>
  <c r="I1101" i="6"/>
  <c r="J1101" i="6" s="1"/>
  <c r="K1101" i="6" s="1"/>
  <c r="H1101" i="6"/>
  <c r="D1101" i="6"/>
  <c r="C1101" i="6"/>
  <c r="X1099" i="6"/>
  <c r="S1100" i="6"/>
  <c r="B1103" i="6" l="1"/>
  <c r="L1102" i="6"/>
  <c r="Y1103" i="6"/>
  <c r="C1102" i="6"/>
  <c r="D1102" i="6"/>
  <c r="I1102" i="6"/>
  <c r="J1102" i="6" s="1"/>
  <c r="K1102" i="6" s="1"/>
  <c r="H1102" i="6"/>
  <c r="X1100" i="6"/>
  <c r="S1101" i="6"/>
  <c r="I1103" i="6" l="1"/>
  <c r="J1103" i="6" s="1"/>
  <c r="K1103" i="6" s="1"/>
  <c r="C1103" i="6"/>
  <c r="L1103" i="6"/>
  <c r="P1103" i="6" s="1"/>
  <c r="B1104" i="6"/>
  <c r="D1103" i="6"/>
  <c r="H1103" i="6"/>
  <c r="Y1104" i="6"/>
  <c r="P1102" i="6"/>
  <c r="X1101" i="6"/>
  <c r="S1102" i="6"/>
  <c r="B1105" i="6" l="1"/>
  <c r="C1104" i="6"/>
  <c r="D1104" i="6"/>
  <c r="H1104" i="6"/>
  <c r="Y1105" i="6"/>
  <c r="L1104" i="6"/>
  <c r="P1104" i="6" s="1"/>
  <c r="I1104" i="6"/>
  <c r="J1104" i="6" s="1"/>
  <c r="K1104" i="6" s="1"/>
  <c r="X1102" i="6"/>
  <c r="S1103" i="6"/>
  <c r="Y1106" i="6" l="1"/>
  <c r="B1106" i="6"/>
  <c r="D1105" i="6"/>
  <c r="I1105" i="6"/>
  <c r="J1105" i="6" s="1"/>
  <c r="K1105" i="6" s="1"/>
  <c r="C1105" i="6"/>
  <c r="L1105" i="6"/>
  <c r="H1105" i="6"/>
  <c r="X1103" i="6"/>
  <c r="S1104" i="6"/>
  <c r="D1106" i="6" l="1"/>
  <c r="C1106" i="6"/>
  <c r="B1107" i="6"/>
  <c r="Y1107" i="6"/>
  <c r="L1106" i="6"/>
  <c r="H1106" i="6"/>
  <c r="I1106" i="6"/>
  <c r="J1106" i="6" s="1"/>
  <c r="K1106" i="6" s="1"/>
  <c r="P1105" i="6"/>
  <c r="X1104" i="6"/>
  <c r="S1105" i="6"/>
  <c r="D1107" i="6" l="1"/>
  <c r="L1107" i="6"/>
  <c r="Y1108" i="6"/>
  <c r="H1107" i="6"/>
  <c r="B1108" i="6"/>
  <c r="I1107" i="6"/>
  <c r="J1107" i="6" s="1"/>
  <c r="K1107" i="6" s="1"/>
  <c r="C1107" i="6"/>
  <c r="P1106" i="6"/>
  <c r="X1105" i="6"/>
  <c r="S1106" i="6"/>
  <c r="H1108" i="6" l="1"/>
  <c r="D1108" i="6"/>
  <c r="B1109" i="6"/>
  <c r="I1108" i="6"/>
  <c r="J1108" i="6" s="1"/>
  <c r="K1108" i="6" s="1"/>
  <c r="L1108" i="6"/>
  <c r="P1108" i="6" s="1"/>
  <c r="Y1109" i="6"/>
  <c r="C1108" i="6"/>
  <c r="P1107" i="6"/>
  <c r="X1106" i="6"/>
  <c r="S1107" i="6"/>
  <c r="H1109" i="6" l="1"/>
  <c r="Y1110" i="6"/>
  <c r="C1109" i="6"/>
  <c r="D1109" i="6"/>
  <c r="B1110" i="6"/>
  <c r="L1109" i="6"/>
  <c r="I1109" i="6"/>
  <c r="J1109" i="6" s="1"/>
  <c r="K1109" i="6" s="1"/>
  <c r="X1107" i="6"/>
  <c r="S1108" i="6"/>
  <c r="I1110" i="6" l="1"/>
  <c r="J1110" i="6" s="1"/>
  <c r="K1110" i="6" s="1"/>
  <c r="H1110" i="6"/>
  <c r="C1110" i="6"/>
  <c r="L1110" i="6"/>
  <c r="Y1111" i="6"/>
  <c r="B1111" i="6"/>
  <c r="D1110" i="6"/>
  <c r="P1109" i="6"/>
  <c r="X1108" i="6"/>
  <c r="S1109" i="6"/>
  <c r="C1111" i="6" l="1"/>
  <c r="H1111" i="6"/>
  <c r="B1112" i="6"/>
  <c r="I1111" i="6"/>
  <c r="J1111" i="6" s="1"/>
  <c r="K1111" i="6" s="1"/>
  <c r="Y1112" i="6"/>
  <c r="D1111" i="6"/>
  <c r="L1111" i="6"/>
  <c r="P1110" i="6"/>
  <c r="X1109" i="6"/>
  <c r="S1110" i="6"/>
  <c r="P1111" i="6" l="1"/>
  <c r="D1112" i="6"/>
  <c r="C1112" i="6"/>
  <c r="H1112" i="6"/>
  <c r="I1112" i="6"/>
  <c r="J1112" i="6" s="1"/>
  <c r="K1112" i="6" s="1"/>
  <c r="L1112" i="6"/>
  <c r="Y1113" i="6"/>
  <c r="B1113" i="6"/>
  <c r="X1110" i="6"/>
  <c r="S1111" i="6"/>
  <c r="B1114" i="6" l="1"/>
  <c r="D1113" i="6"/>
  <c r="L1113" i="6"/>
  <c r="P1113" i="6" s="1"/>
  <c r="H1113" i="6"/>
  <c r="C1113" i="6"/>
  <c r="Y1114" i="6"/>
  <c r="I1113" i="6"/>
  <c r="J1113" i="6" s="1"/>
  <c r="K1113" i="6" s="1"/>
  <c r="P1112" i="6"/>
  <c r="X1111" i="6"/>
  <c r="S1112" i="6"/>
  <c r="C1114" i="6" l="1"/>
  <c r="Y1115" i="6"/>
  <c r="I1114" i="6"/>
  <c r="J1114" i="6" s="1"/>
  <c r="K1114" i="6" s="1"/>
  <c r="L1114" i="6"/>
  <c r="H1114" i="6"/>
  <c r="D1114" i="6"/>
  <c r="B1115" i="6"/>
  <c r="X1112" i="6"/>
  <c r="S1113" i="6"/>
  <c r="I1115" i="6" l="1"/>
  <c r="J1115" i="6" s="1"/>
  <c r="K1115" i="6" s="1"/>
  <c r="Y1116" i="6"/>
  <c r="B1116" i="6"/>
  <c r="C1115" i="6"/>
  <c r="D1115" i="6"/>
  <c r="H1115" i="6"/>
  <c r="L1115" i="6"/>
  <c r="P1115" i="6" s="1"/>
  <c r="P1114" i="6"/>
  <c r="X1113" i="6"/>
  <c r="S1114" i="6"/>
  <c r="B1117" i="6" l="1"/>
  <c r="H1116" i="6"/>
  <c r="C1116" i="6"/>
  <c r="L1116" i="6"/>
  <c r="D1116" i="6"/>
  <c r="Y1117" i="6"/>
  <c r="I1116" i="6"/>
  <c r="J1116" i="6" s="1"/>
  <c r="K1116" i="6" s="1"/>
  <c r="X1114" i="6"/>
  <c r="S1115" i="6"/>
  <c r="P1116" i="6" l="1"/>
  <c r="B1118" i="6"/>
  <c r="H1117" i="6"/>
  <c r="C1117" i="6"/>
  <c r="L1117" i="6"/>
  <c r="I1117" i="6"/>
  <c r="J1117" i="6" s="1"/>
  <c r="K1117" i="6" s="1"/>
  <c r="D1117" i="6"/>
  <c r="Y1118" i="6"/>
  <c r="X1115" i="6"/>
  <c r="S1116" i="6"/>
  <c r="I1118" i="6" l="1"/>
  <c r="J1118" i="6" s="1"/>
  <c r="K1118" i="6" s="1"/>
  <c r="B1119" i="6"/>
  <c r="L1118" i="6"/>
  <c r="P1118" i="6" s="1"/>
  <c r="D1118" i="6"/>
  <c r="Y1119" i="6"/>
  <c r="C1118" i="6"/>
  <c r="H1118" i="6"/>
  <c r="P1117" i="6"/>
  <c r="X1116" i="6"/>
  <c r="S1117" i="6"/>
  <c r="D1119" i="6" l="1"/>
  <c r="B1120" i="6"/>
  <c r="I1119" i="6"/>
  <c r="J1119" i="6" s="1"/>
  <c r="K1119" i="6" s="1"/>
  <c r="Y1120" i="6"/>
  <c r="L1119" i="6"/>
  <c r="C1119" i="6"/>
  <c r="H1119" i="6"/>
  <c r="X1117" i="6"/>
  <c r="S1118" i="6"/>
  <c r="P1119" i="6" l="1"/>
  <c r="L1120" i="6"/>
  <c r="H1120" i="6"/>
  <c r="Y1121" i="6"/>
  <c r="D1120" i="6"/>
  <c r="I1120" i="6"/>
  <c r="J1120" i="6" s="1"/>
  <c r="K1120" i="6" s="1"/>
  <c r="B1121" i="6"/>
  <c r="C1120" i="6"/>
  <c r="X1118" i="6"/>
  <c r="S1119" i="6"/>
  <c r="D1121" i="6" l="1"/>
  <c r="I1121" i="6"/>
  <c r="J1121" i="6" s="1"/>
  <c r="K1121" i="6" s="1"/>
  <c r="C1121" i="6"/>
  <c r="B1122" i="6"/>
  <c r="Y1122" i="6"/>
  <c r="H1121" i="6"/>
  <c r="L1121" i="6"/>
  <c r="P1121" i="6" s="1"/>
  <c r="P1120" i="6"/>
  <c r="X1119" i="6"/>
  <c r="S1120" i="6"/>
  <c r="B1123" i="6" l="1"/>
  <c r="L1122" i="6"/>
  <c r="H1122" i="6"/>
  <c r="D1122" i="6"/>
  <c r="C1122" i="6"/>
  <c r="I1122" i="6"/>
  <c r="J1122" i="6" s="1"/>
  <c r="K1122" i="6" s="1"/>
  <c r="Y1123" i="6"/>
  <c r="X1120" i="6"/>
  <c r="S1121" i="6"/>
  <c r="B1124" i="6" l="1"/>
  <c r="D1123" i="6"/>
  <c r="Y1124" i="6"/>
  <c r="H1123" i="6"/>
  <c r="L1123" i="6"/>
  <c r="C1123" i="6"/>
  <c r="I1123" i="6"/>
  <c r="J1123" i="6" s="1"/>
  <c r="K1123" i="6" s="1"/>
  <c r="P1122" i="6"/>
  <c r="X1121" i="6"/>
  <c r="S1122" i="6"/>
  <c r="D1124" i="6" l="1"/>
  <c r="I1124" i="6"/>
  <c r="J1124" i="6" s="1"/>
  <c r="K1124" i="6" s="1"/>
  <c r="H1124" i="6"/>
  <c r="B1125" i="6"/>
  <c r="C1124" i="6"/>
  <c r="Y1125" i="6"/>
  <c r="L1124" i="6"/>
  <c r="P1123" i="6"/>
  <c r="X1122" i="6"/>
  <c r="S1123" i="6"/>
  <c r="L1125" i="6" l="1"/>
  <c r="H1125" i="6"/>
  <c r="C1125" i="6"/>
  <c r="B1126" i="6"/>
  <c r="I1125" i="6"/>
  <c r="J1125" i="6" s="1"/>
  <c r="K1125" i="6" s="1"/>
  <c r="D1125" i="6"/>
  <c r="Y1126" i="6"/>
  <c r="P1124" i="6"/>
  <c r="X1123" i="6"/>
  <c r="S1124" i="6"/>
  <c r="Y1127" i="6" l="1"/>
  <c r="B1127" i="6"/>
  <c r="C1126" i="6"/>
  <c r="I1126" i="6"/>
  <c r="J1126" i="6" s="1"/>
  <c r="K1126" i="6" s="1"/>
  <c r="H1126" i="6"/>
  <c r="L1126" i="6"/>
  <c r="P1126" i="6" s="1"/>
  <c r="D1126" i="6"/>
  <c r="P1125" i="6"/>
  <c r="X1124" i="6"/>
  <c r="S1125" i="6"/>
  <c r="C1127" i="6" l="1"/>
  <c r="L1127" i="6"/>
  <c r="P1127" i="6" s="1"/>
  <c r="H1127" i="6"/>
  <c r="D1127" i="6"/>
  <c r="B1128" i="6"/>
  <c r="Y1128" i="6"/>
  <c r="I1127" i="6"/>
  <c r="J1127" i="6" s="1"/>
  <c r="K1127" i="6" s="1"/>
  <c r="X1125" i="6"/>
  <c r="S1126" i="6"/>
  <c r="C1128" i="6" l="1"/>
  <c r="B1129" i="6"/>
  <c r="Y1129" i="6"/>
  <c r="H1128" i="6"/>
  <c r="D1128" i="6"/>
  <c r="I1128" i="6"/>
  <c r="J1128" i="6" s="1"/>
  <c r="K1128" i="6" s="1"/>
  <c r="L1128" i="6"/>
  <c r="P1128" i="6" s="1"/>
  <c r="X1126" i="6"/>
  <c r="S1127" i="6"/>
  <c r="C1129" i="6" l="1"/>
  <c r="D1129" i="6"/>
  <c r="B1130" i="6"/>
  <c r="L1129" i="6"/>
  <c r="I1129" i="6"/>
  <c r="J1129" i="6" s="1"/>
  <c r="K1129" i="6" s="1"/>
  <c r="Y1130" i="6"/>
  <c r="H1129" i="6"/>
  <c r="X1127" i="6"/>
  <c r="S1128" i="6"/>
  <c r="P1129" i="6" l="1"/>
  <c r="C1130" i="6"/>
  <c r="B1131" i="6"/>
  <c r="L1130" i="6"/>
  <c r="D1130" i="6"/>
  <c r="Y1131" i="6"/>
  <c r="I1130" i="6"/>
  <c r="J1130" i="6" s="1"/>
  <c r="K1130" i="6" s="1"/>
  <c r="H1130" i="6"/>
  <c r="X1128" i="6"/>
  <c r="S1129" i="6"/>
  <c r="H1131" i="6" l="1"/>
  <c r="C1131" i="6"/>
  <c r="L1131" i="6"/>
  <c r="B1132" i="6"/>
  <c r="I1131" i="6"/>
  <c r="J1131" i="6" s="1"/>
  <c r="K1131" i="6" s="1"/>
  <c r="D1131" i="6"/>
  <c r="Y1132" i="6"/>
  <c r="P1130" i="6"/>
  <c r="X1129" i="6"/>
  <c r="S1130" i="6"/>
  <c r="H1132" i="6" l="1"/>
  <c r="B1133" i="6"/>
  <c r="C1132" i="6"/>
  <c r="I1132" i="6"/>
  <c r="J1132" i="6" s="1"/>
  <c r="K1132" i="6" s="1"/>
  <c r="D1132" i="6"/>
  <c r="Y1133" i="6"/>
  <c r="L1132" i="6"/>
  <c r="P1132" i="6" s="1"/>
  <c r="P1131" i="6"/>
  <c r="X1130" i="6"/>
  <c r="S1131" i="6"/>
  <c r="D1133" i="6" l="1"/>
  <c r="L1133" i="6"/>
  <c r="Y1134" i="6"/>
  <c r="I1133" i="6"/>
  <c r="J1133" i="6" s="1"/>
  <c r="K1133" i="6" s="1"/>
  <c r="B1134" i="6"/>
  <c r="C1133" i="6"/>
  <c r="H1133" i="6"/>
  <c r="X1131" i="6"/>
  <c r="S1132" i="6"/>
  <c r="H1134" i="6" l="1"/>
  <c r="I1134" i="6"/>
  <c r="J1134" i="6" s="1"/>
  <c r="K1134" i="6" s="1"/>
  <c r="D1134" i="6"/>
  <c r="Y1135" i="6"/>
  <c r="L1134" i="6"/>
  <c r="P1134" i="6" s="1"/>
  <c r="C1134" i="6"/>
  <c r="B1135" i="6"/>
  <c r="P1133" i="6"/>
  <c r="X1132" i="6"/>
  <c r="S1133" i="6"/>
  <c r="Y1136" i="6" l="1"/>
  <c r="D1135" i="6"/>
  <c r="H1135" i="6"/>
  <c r="I1135" i="6"/>
  <c r="J1135" i="6" s="1"/>
  <c r="K1135" i="6" s="1"/>
  <c r="L1135" i="6"/>
  <c r="C1135" i="6"/>
  <c r="B1136" i="6"/>
  <c r="X1133" i="6"/>
  <c r="S1134" i="6"/>
  <c r="H1136" i="6" l="1"/>
  <c r="C1136" i="6"/>
  <c r="L1136" i="6"/>
  <c r="P1136" i="6" s="1"/>
  <c r="B1137" i="6"/>
  <c r="I1136" i="6"/>
  <c r="J1136" i="6" s="1"/>
  <c r="K1136" i="6" s="1"/>
  <c r="D1136" i="6"/>
  <c r="Y1137" i="6"/>
  <c r="P1135" i="6"/>
  <c r="X1134" i="6"/>
  <c r="S1135" i="6"/>
  <c r="C1137" i="6" l="1"/>
  <c r="B1138" i="6"/>
  <c r="L1137" i="6"/>
  <c r="P1137" i="6" s="1"/>
  <c r="H1137" i="6"/>
  <c r="D1137" i="6"/>
  <c r="Y1138" i="6"/>
  <c r="I1137" i="6"/>
  <c r="J1137" i="6" s="1"/>
  <c r="K1137" i="6" s="1"/>
  <c r="X1135" i="6"/>
  <c r="S1136" i="6"/>
  <c r="C1138" i="6" l="1"/>
  <c r="I1138" i="6"/>
  <c r="J1138" i="6" s="1"/>
  <c r="K1138" i="6" s="1"/>
  <c r="L1138" i="6"/>
  <c r="B1139" i="6"/>
  <c r="Y1139" i="6"/>
  <c r="H1138" i="6"/>
  <c r="D1138" i="6"/>
  <c r="X1136" i="6"/>
  <c r="S1137" i="6"/>
  <c r="D1139" i="6" l="1"/>
  <c r="B1140" i="6"/>
  <c r="L1139" i="6"/>
  <c r="P1139" i="6" s="1"/>
  <c r="H1139" i="6"/>
  <c r="I1139" i="6"/>
  <c r="J1139" i="6" s="1"/>
  <c r="K1139" i="6" s="1"/>
  <c r="C1139" i="6"/>
  <c r="Y1140" i="6"/>
  <c r="P1138" i="6"/>
  <c r="X1137" i="6"/>
  <c r="S1138" i="6"/>
  <c r="B1141" i="6" l="1"/>
  <c r="H1140" i="6"/>
  <c r="D1140" i="6"/>
  <c r="I1140" i="6"/>
  <c r="J1140" i="6" s="1"/>
  <c r="K1140" i="6" s="1"/>
  <c r="L1140" i="6"/>
  <c r="C1140" i="6"/>
  <c r="Y1141" i="6"/>
  <c r="X1138" i="6"/>
  <c r="S1139" i="6"/>
  <c r="P1140" i="6" l="1"/>
  <c r="H1141" i="6"/>
  <c r="D1141" i="6"/>
  <c r="C1141" i="6"/>
  <c r="B1142" i="6"/>
  <c r="Y1142" i="6"/>
  <c r="I1141" i="6"/>
  <c r="J1141" i="6" s="1"/>
  <c r="K1141" i="6" s="1"/>
  <c r="L1141" i="6"/>
  <c r="X1139" i="6"/>
  <c r="S1140" i="6"/>
  <c r="B1143" i="6" l="1"/>
  <c r="D1142" i="6"/>
  <c r="Y1143" i="6"/>
  <c r="I1142" i="6"/>
  <c r="J1142" i="6" s="1"/>
  <c r="K1142" i="6" s="1"/>
  <c r="L1142" i="6"/>
  <c r="C1142" i="6"/>
  <c r="H1142" i="6"/>
  <c r="P1141" i="6"/>
  <c r="X1140" i="6"/>
  <c r="S1141" i="6"/>
  <c r="D1143" i="6" l="1"/>
  <c r="C1143" i="6"/>
  <c r="L1143" i="6"/>
  <c r="I1143" i="6"/>
  <c r="J1143" i="6" s="1"/>
  <c r="K1143" i="6" s="1"/>
  <c r="Y1144" i="6"/>
  <c r="B1144" i="6"/>
  <c r="H1143" i="6"/>
  <c r="P1142" i="6"/>
  <c r="X1141" i="6"/>
  <c r="S1142" i="6"/>
  <c r="I1144" i="6" l="1"/>
  <c r="J1144" i="6" s="1"/>
  <c r="K1144" i="6" s="1"/>
  <c r="C1144" i="6"/>
  <c r="L1144" i="6"/>
  <c r="P1144" i="6" s="1"/>
  <c r="H1144" i="6"/>
  <c r="D1144" i="6"/>
  <c r="B1145" i="6"/>
  <c r="Y1145" i="6"/>
  <c r="P1143" i="6"/>
  <c r="X1142" i="6"/>
  <c r="S1143" i="6"/>
  <c r="D1145" i="6" l="1"/>
  <c r="L1145" i="6"/>
  <c r="P1145" i="6" s="1"/>
  <c r="B1146" i="6"/>
  <c r="C1145" i="6"/>
  <c r="I1145" i="6"/>
  <c r="J1145" i="6" s="1"/>
  <c r="K1145" i="6" s="1"/>
  <c r="H1145" i="6"/>
  <c r="Y1146" i="6"/>
  <c r="X1143" i="6"/>
  <c r="S1144" i="6"/>
  <c r="B1147" i="6" l="1"/>
  <c r="C1146" i="6"/>
  <c r="I1146" i="6"/>
  <c r="J1146" i="6" s="1"/>
  <c r="K1146" i="6" s="1"/>
  <c r="H1146" i="6"/>
  <c r="L1146" i="6"/>
  <c r="P1146" i="6" s="1"/>
  <c r="D1146" i="6"/>
  <c r="Y1147" i="6"/>
  <c r="X1144" i="6"/>
  <c r="S1145" i="6"/>
  <c r="Y1148" i="6" l="1"/>
  <c r="B1148" i="6"/>
  <c r="L1147" i="6"/>
  <c r="C1147" i="6"/>
  <c r="H1147" i="6"/>
  <c r="D1147" i="6"/>
  <c r="I1147" i="6"/>
  <c r="J1147" i="6" s="1"/>
  <c r="K1147" i="6" s="1"/>
  <c r="X1145" i="6"/>
  <c r="S1146" i="6"/>
  <c r="C1148" i="6" l="1"/>
  <c r="B1149" i="6"/>
  <c r="D1148" i="6"/>
  <c r="I1148" i="6"/>
  <c r="J1148" i="6" s="1"/>
  <c r="K1148" i="6" s="1"/>
  <c r="Y1149" i="6"/>
  <c r="L1148" i="6"/>
  <c r="H1148" i="6"/>
  <c r="P1147" i="6"/>
  <c r="X1146" i="6"/>
  <c r="S1147" i="6"/>
  <c r="D1149" i="6" l="1"/>
  <c r="Y1150" i="6"/>
  <c r="C1149" i="6"/>
  <c r="I1149" i="6"/>
  <c r="J1149" i="6" s="1"/>
  <c r="K1149" i="6" s="1"/>
  <c r="H1149" i="6"/>
  <c r="B1150" i="6"/>
  <c r="L1149" i="6"/>
  <c r="P1148" i="6"/>
  <c r="X1147" i="6"/>
  <c r="S1148" i="6"/>
  <c r="H1150" i="6" l="1"/>
  <c r="D1150" i="6"/>
  <c r="C1150" i="6"/>
  <c r="I1150" i="6"/>
  <c r="J1150" i="6" s="1"/>
  <c r="K1150" i="6" s="1"/>
  <c r="Y1151" i="6"/>
  <c r="B1151" i="6"/>
  <c r="L1150" i="6"/>
  <c r="P1149" i="6"/>
  <c r="X1148" i="6"/>
  <c r="S1149" i="6"/>
  <c r="B1152" i="6" l="1"/>
  <c r="Y1152" i="6"/>
  <c r="H1151" i="6"/>
  <c r="L1151" i="6"/>
  <c r="C1151" i="6"/>
  <c r="D1151" i="6"/>
  <c r="I1151" i="6"/>
  <c r="J1151" i="6" s="1"/>
  <c r="K1151" i="6" s="1"/>
  <c r="P1150" i="6"/>
  <c r="X1149" i="6"/>
  <c r="S1150" i="6"/>
  <c r="Y1153" i="6" l="1"/>
  <c r="C1152" i="6"/>
  <c r="I1152" i="6"/>
  <c r="J1152" i="6" s="1"/>
  <c r="K1152" i="6" s="1"/>
  <c r="D1152" i="6"/>
  <c r="L1152" i="6"/>
  <c r="B1153" i="6"/>
  <c r="H1152" i="6"/>
  <c r="P1151" i="6"/>
  <c r="X1150" i="6"/>
  <c r="S1151" i="6"/>
  <c r="H1153" i="6" l="1"/>
  <c r="D1153" i="6"/>
  <c r="C1153" i="6"/>
  <c r="L1153" i="6"/>
  <c r="P1153" i="6" s="1"/>
  <c r="B1154" i="6"/>
  <c r="Y1154" i="6"/>
  <c r="I1153" i="6"/>
  <c r="J1153" i="6" s="1"/>
  <c r="K1153" i="6" s="1"/>
  <c r="P1152" i="6"/>
  <c r="X1151" i="6"/>
  <c r="S1152" i="6"/>
  <c r="L1154" i="6" l="1"/>
  <c r="P1154" i="6" s="1"/>
  <c r="H1154" i="6"/>
  <c r="B1155" i="6"/>
  <c r="D1154" i="6"/>
  <c r="Y1155" i="6"/>
  <c r="I1154" i="6"/>
  <c r="J1154" i="6" s="1"/>
  <c r="K1154" i="6" s="1"/>
  <c r="C1154" i="6"/>
  <c r="X1152" i="6"/>
  <c r="S1153" i="6"/>
  <c r="D1155" i="6" l="1"/>
  <c r="Y1156" i="6"/>
  <c r="I1155" i="6"/>
  <c r="J1155" i="6" s="1"/>
  <c r="K1155" i="6" s="1"/>
  <c r="L1155" i="6"/>
  <c r="P1155" i="6" s="1"/>
  <c r="C1155" i="6"/>
  <c r="H1155" i="6"/>
  <c r="B1156" i="6"/>
  <c r="X1153" i="6"/>
  <c r="S1154" i="6"/>
  <c r="H1156" i="6" l="1"/>
  <c r="D1156" i="6"/>
  <c r="B1157" i="6"/>
  <c r="I1156" i="6"/>
  <c r="J1156" i="6" s="1"/>
  <c r="K1156" i="6" s="1"/>
  <c r="Y1157" i="6"/>
  <c r="L1156" i="6"/>
  <c r="C1156" i="6"/>
  <c r="X1154" i="6"/>
  <c r="S1155" i="6"/>
  <c r="P1156" i="6" l="1"/>
  <c r="C1157" i="6"/>
  <c r="B1158" i="6"/>
  <c r="D1157" i="6"/>
  <c r="I1157" i="6"/>
  <c r="J1157" i="6" s="1"/>
  <c r="K1157" i="6" s="1"/>
  <c r="H1157" i="6"/>
  <c r="L1157" i="6"/>
  <c r="Y1158" i="6"/>
  <c r="X1155" i="6"/>
  <c r="S1156" i="6"/>
  <c r="H1158" i="6" l="1"/>
  <c r="L1158" i="6"/>
  <c r="B1159" i="6"/>
  <c r="Y1159" i="6"/>
  <c r="C1158" i="6"/>
  <c r="I1158" i="6"/>
  <c r="J1158" i="6" s="1"/>
  <c r="K1158" i="6" s="1"/>
  <c r="D1158" i="6"/>
  <c r="P1157" i="6"/>
  <c r="X1156" i="6"/>
  <c r="S1157" i="6"/>
  <c r="H1159" i="6" l="1"/>
  <c r="D1159" i="6"/>
  <c r="I1159" i="6"/>
  <c r="J1159" i="6" s="1"/>
  <c r="K1159" i="6" s="1"/>
  <c r="B1160" i="6"/>
  <c r="L1159" i="6"/>
  <c r="P1159" i="6" s="1"/>
  <c r="C1159" i="6"/>
  <c r="Y1160" i="6"/>
  <c r="P1158" i="6"/>
  <c r="X1157" i="6"/>
  <c r="S1158" i="6"/>
  <c r="I1160" i="6" l="1"/>
  <c r="J1160" i="6" s="1"/>
  <c r="K1160" i="6" s="1"/>
  <c r="H1160" i="6"/>
  <c r="C1160" i="6"/>
  <c r="D1160" i="6"/>
  <c r="L1160" i="6"/>
  <c r="B1161" i="6"/>
  <c r="Y1161" i="6"/>
  <c r="X1158" i="6"/>
  <c r="S1159" i="6"/>
  <c r="L1161" i="6" l="1"/>
  <c r="P1161" i="6" s="1"/>
  <c r="Y1162" i="6"/>
  <c r="D1161" i="6"/>
  <c r="C1161" i="6"/>
  <c r="H1161" i="6"/>
  <c r="I1161" i="6"/>
  <c r="J1161" i="6" s="1"/>
  <c r="K1161" i="6" s="1"/>
  <c r="B1162" i="6"/>
  <c r="P1160" i="6"/>
  <c r="X1159" i="6"/>
  <c r="S1160" i="6"/>
  <c r="I1162" i="6" l="1"/>
  <c r="J1162" i="6" s="1"/>
  <c r="K1162" i="6" s="1"/>
  <c r="C1162" i="6"/>
  <c r="L1162" i="6"/>
  <c r="P1162" i="6" s="1"/>
  <c r="H1162" i="6"/>
  <c r="Y1163" i="6"/>
  <c r="B1163" i="6"/>
  <c r="D1162" i="6"/>
  <c r="X1160" i="6"/>
  <c r="S1161" i="6"/>
  <c r="C1163" i="6" l="1"/>
  <c r="Y1164" i="6"/>
  <c r="L1163" i="6"/>
  <c r="P1163" i="6" s="1"/>
  <c r="B1164" i="6"/>
  <c r="D1163" i="6"/>
  <c r="I1163" i="6"/>
  <c r="J1163" i="6" s="1"/>
  <c r="K1163" i="6" s="1"/>
  <c r="H1163" i="6"/>
  <c r="X1161" i="6"/>
  <c r="S1162" i="6"/>
  <c r="Y1165" i="6" l="1"/>
  <c r="I1164" i="6"/>
  <c r="J1164" i="6" s="1"/>
  <c r="K1164" i="6" s="1"/>
  <c r="B1165" i="6"/>
  <c r="D1164" i="6"/>
  <c r="L1164" i="6"/>
  <c r="P1164" i="6" s="1"/>
  <c r="H1164" i="6"/>
  <c r="C1164" i="6"/>
  <c r="X1162" i="6"/>
  <c r="S1163" i="6"/>
  <c r="L1165" i="6" l="1"/>
  <c r="I1165" i="6"/>
  <c r="J1165" i="6" s="1"/>
  <c r="K1165" i="6" s="1"/>
  <c r="Y1166" i="6"/>
  <c r="B1166" i="6"/>
  <c r="H1165" i="6"/>
  <c r="D1165" i="6"/>
  <c r="C1165" i="6"/>
  <c r="X1163" i="6"/>
  <c r="S1164" i="6"/>
  <c r="L1166" i="6" l="1"/>
  <c r="P1166" i="6" s="1"/>
  <c r="I1166" i="6"/>
  <c r="J1166" i="6" s="1"/>
  <c r="K1166" i="6" s="1"/>
  <c r="B1167" i="6"/>
  <c r="C1166" i="6"/>
  <c r="Y1167" i="6"/>
  <c r="H1166" i="6"/>
  <c r="D1166" i="6"/>
  <c r="P1165" i="6"/>
  <c r="X1164" i="6"/>
  <c r="S1165" i="6"/>
  <c r="D1167" i="6" l="1"/>
  <c r="C1167" i="6"/>
  <c r="Y1168" i="6"/>
  <c r="B1168" i="6"/>
  <c r="L1167" i="6"/>
  <c r="P1167" i="6" s="1"/>
  <c r="H1167" i="6"/>
  <c r="I1167" i="6"/>
  <c r="J1167" i="6" s="1"/>
  <c r="K1167" i="6" s="1"/>
  <c r="X1165" i="6"/>
  <c r="S1166" i="6"/>
  <c r="D1168" i="6" l="1"/>
  <c r="C1168" i="6"/>
  <c r="B1169" i="6"/>
  <c r="H1168" i="6"/>
  <c r="L1168" i="6"/>
  <c r="P1168" i="6" s="1"/>
  <c r="I1168" i="6"/>
  <c r="J1168" i="6" s="1"/>
  <c r="K1168" i="6" s="1"/>
  <c r="Y1169" i="6"/>
  <c r="X1166" i="6"/>
  <c r="S1167" i="6"/>
  <c r="C1169" i="6" l="1"/>
  <c r="Y1170" i="6"/>
  <c r="I1169" i="6"/>
  <c r="J1169" i="6" s="1"/>
  <c r="K1169" i="6" s="1"/>
  <c r="B1170" i="6"/>
  <c r="L1169" i="6"/>
  <c r="H1169" i="6"/>
  <c r="D1169" i="6"/>
  <c r="X1167" i="6"/>
  <c r="S1168" i="6"/>
  <c r="P1169" i="6" l="1"/>
  <c r="L1170" i="6"/>
  <c r="P1170" i="6" s="1"/>
  <c r="Y1171" i="6"/>
  <c r="C1170" i="6"/>
  <c r="H1170" i="6"/>
  <c r="I1170" i="6"/>
  <c r="J1170" i="6" s="1"/>
  <c r="K1170" i="6" s="1"/>
  <c r="B1171" i="6"/>
  <c r="D1170" i="6"/>
  <c r="X1168" i="6"/>
  <c r="S1169" i="6"/>
  <c r="L1171" i="6" l="1"/>
  <c r="Y1172" i="6"/>
  <c r="B1172" i="6"/>
  <c r="H1171" i="6"/>
  <c r="I1171" i="6"/>
  <c r="J1171" i="6" s="1"/>
  <c r="K1171" i="6" s="1"/>
  <c r="C1171" i="6"/>
  <c r="D1171" i="6"/>
  <c r="X1169" i="6"/>
  <c r="S1170" i="6"/>
  <c r="D1172" i="6" l="1"/>
  <c r="H1172" i="6"/>
  <c r="I1172" i="6"/>
  <c r="J1172" i="6" s="1"/>
  <c r="K1172" i="6" s="1"/>
  <c r="L1172" i="6"/>
  <c r="P1172" i="6" s="1"/>
  <c r="C1172" i="6"/>
  <c r="B1173" i="6"/>
  <c r="Y1173" i="6"/>
  <c r="P1171" i="6"/>
  <c r="X1170" i="6"/>
  <c r="S1171" i="6"/>
  <c r="I1173" i="6" l="1"/>
  <c r="J1173" i="6" s="1"/>
  <c r="K1173" i="6" s="1"/>
  <c r="B1174" i="6"/>
  <c r="H1173" i="6"/>
  <c r="Y1174" i="6"/>
  <c r="D1173" i="6"/>
  <c r="L1173" i="6"/>
  <c r="C1173" i="6"/>
  <c r="X1171" i="6"/>
  <c r="S1172" i="6"/>
  <c r="P1173" i="6" l="1"/>
  <c r="I1174" i="6"/>
  <c r="J1174" i="6" s="1"/>
  <c r="K1174" i="6" s="1"/>
  <c r="D1174" i="6"/>
  <c r="L1174" i="6"/>
  <c r="C1174" i="6"/>
  <c r="H1174" i="6"/>
  <c r="Y1175" i="6"/>
  <c r="B1175" i="6"/>
  <c r="X1172" i="6"/>
  <c r="S1173" i="6"/>
  <c r="D1175" i="6" l="1"/>
  <c r="L1175" i="6"/>
  <c r="P1175" i="6" s="1"/>
  <c r="C1175" i="6"/>
  <c r="I1175" i="6"/>
  <c r="J1175" i="6" s="1"/>
  <c r="K1175" i="6" s="1"/>
  <c r="H1175" i="6"/>
  <c r="Y1176" i="6"/>
  <c r="B1176" i="6"/>
  <c r="P1174" i="6"/>
  <c r="X1173" i="6"/>
  <c r="S1174" i="6"/>
  <c r="Y1177" i="6" l="1"/>
  <c r="D1176" i="6"/>
  <c r="L1176" i="6"/>
  <c r="P1176" i="6" s="1"/>
  <c r="I1176" i="6"/>
  <c r="J1176" i="6" s="1"/>
  <c r="K1176" i="6" s="1"/>
  <c r="C1176" i="6"/>
  <c r="B1177" i="6"/>
  <c r="H1176" i="6"/>
  <c r="X1174" i="6"/>
  <c r="S1175" i="6"/>
  <c r="I1177" i="6" l="1"/>
  <c r="J1177" i="6" s="1"/>
  <c r="K1177" i="6" s="1"/>
  <c r="L1177" i="6"/>
  <c r="P1177" i="6" s="1"/>
  <c r="D1177" i="6"/>
  <c r="B1178" i="6"/>
  <c r="Y1178" i="6"/>
  <c r="H1177" i="6"/>
  <c r="C1177" i="6"/>
  <c r="X1175" i="6"/>
  <c r="S1176" i="6"/>
  <c r="Y1179" i="6" l="1"/>
  <c r="I1178" i="6"/>
  <c r="J1178" i="6" s="1"/>
  <c r="K1178" i="6" s="1"/>
  <c r="D1178" i="6"/>
  <c r="C1178" i="6"/>
  <c r="H1178" i="6"/>
  <c r="L1178" i="6"/>
  <c r="P1178" i="6" s="1"/>
  <c r="B1179" i="6"/>
  <c r="X1176" i="6"/>
  <c r="S1177" i="6"/>
  <c r="D1179" i="6" l="1"/>
  <c r="B1180" i="6"/>
  <c r="Y1180" i="6"/>
  <c r="I1179" i="6"/>
  <c r="J1179" i="6" s="1"/>
  <c r="K1179" i="6" s="1"/>
  <c r="L1179" i="6"/>
  <c r="P1179" i="6" s="1"/>
  <c r="C1179" i="6"/>
  <c r="H1179" i="6"/>
  <c r="X1177" i="6"/>
  <c r="S1178" i="6"/>
  <c r="H1180" i="6" l="1"/>
  <c r="D1180" i="6"/>
  <c r="I1180" i="6"/>
  <c r="J1180" i="6" s="1"/>
  <c r="K1180" i="6" s="1"/>
  <c r="B1181" i="6"/>
  <c r="C1180" i="6"/>
  <c r="L1180" i="6"/>
  <c r="Y1181" i="6"/>
  <c r="X1178" i="6"/>
  <c r="S1179" i="6"/>
  <c r="Y1182" i="6" l="1"/>
  <c r="L1181" i="6"/>
  <c r="P1181" i="6" s="1"/>
  <c r="I1181" i="6"/>
  <c r="J1181" i="6" s="1"/>
  <c r="K1181" i="6" s="1"/>
  <c r="B1182" i="6"/>
  <c r="H1181" i="6"/>
  <c r="C1181" i="6"/>
  <c r="D1181" i="6"/>
  <c r="P1180" i="6"/>
  <c r="X1179" i="6"/>
  <c r="S1180" i="6"/>
  <c r="I1182" i="6" l="1"/>
  <c r="J1182" i="6" s="1"/>
  <c r="K1182" i="6" s="1"/>
  <c r="H1182" i="6"/>
  <c r="B1183" i="6"/>
  <c r="C1182" i="6"/>
  <c r="D1182" i="6"/>
  <c r="L1182" i="6"/>
  <c r="Y1183" i="6"/>
  <c r="X1180" i="6"/>
  <c r="S1181" i="6"/>
  <c r="H1183" i="6" l="1"/>
  <c r="Y1184" i="6"/>
  <c r="B1184" i="6"/>
  <c r="I1183" i="6"/>
  <c r="J1183" i="6" s="1"/>
  <c r="K1183" i="6" s="1"/>
  <c r="C1183" i="6"/>
  <c r="D1183" i="6"/>
  <c r="L1183" i="6"/>
  <c r="P1183" i="6" s="1"/>
  <c r="P1182" i="6"/>
  <c r="X1181" i="6"/>
  <c r="S1182" i="6"/>
  <c r="Y1185" i="6" l="1"/>
  <c r="H1184" i="6"/>
  <c r="C1184" i="6"/>
  <c r="I1184" i="6"/>
  <c r="J1184" i="6" s="1"/>
  <c r="K1184" i="6" s="1"/>
  <c r="L1184" i="6"/>
  <c r="P1184" i="6" s="1"/>
  <c r="D1184" i="6"/>
  <c r="B1185" i="6"/>
  <c r="X1182" i="6"/>
  <c r="S1183" i="6"/>
  <c r="H1185" i="6" l="1"/>
  <c r="L1185" i="6"/>
  <c r="P1185" i="6" s="1"/>
  <c r="B1186" i="6"/>
  <c r="Y1186" i="6"/>
  <c r="C1185" i="6"/>
  <c r="D1185" i="6"/>
  <c r="I1185" i="6"/>
  <c r="J1185" i="6" s="1"/>
  <c r="K1185" i="6" s="1"/>
  <c r="X1183" i="6"/>
  <c r="S1184" i="6"/>
  <c r="L1186" i="6" l="1"/>
  <c r="P1186" i="6" s="1"/>
  <c r="B1187" i="6"/>
  <c r="I1186" i="6"/>
  <c r="J1186" i="6" s="1"/>
  <c r="K1186" i="6" s="1"/>
  <c r="D1186" i="6"/>
  <c r="C1186" i="6"/>
  <c r="H1186" i="6"/>
  <c r="Y1187" i="6"/>
  <c r="X1184" i="6"/>
  <c r="S1185" i="6"/>
  <c r="L1187" i="6" l="1"/>
  <c r="P1187" i="6" s="1"/>
  <c r="C1187" i="6"/>
  <c r="I1187" i="6"/>
  <c r="J1187" i="6" s="1"/>
  <c r="K1187" i="6" s="1"/>
  <c r="B1188" i="6"/>
  <c r="Y1188" i="6"/>
  <c r="H1187" i="6"/>
  <c r="D1187" i="6"/>
  <c r="X1185" i="6"/>
  <c r="S1186" i="6"/>
  <c r="D1188" i="6" l="1"/>
  <c r="H1188" i="6"/>
  <c r="C1188" i="6"/>
  <c r="B1189" i="6"/>
  <c r="Y1189" i="6"/>
  <c r="L1188" i="6"/>
  <c r="P1188" i="6" s="1"/>
  <c r="I1188" i="6"/>
  <c r="J1188" i="6" s="1"/>
  <c r="K1188" i="6" s="1"/>
  <c r="X1186" i="6"/>
  <c r="S1187" i="6"/>
  <c r="H1189" i="6" l="1"/>
  <c r="Y1190" i="6"/>
  <c r="L1189" i="6"/>
  <c r="P1189" i="6" s="1"/>
  <c r="I1189" i="6"/>
  <c r="J1189" i="6" s="1"/>
  <c r="K1189" i="6" s="1"/>
  <c r="B1190" i="6"/>
  <c r="D1189" i="6"/>
  <c r="C1189" i="6"/>
  <c r="X1187" i="6"/>
  <c r="S1188" i="6"/>
  <c r="I1190" i="6" l="1"/>
  <c r="J1190" i="6" s="1"/>
  <c r="K1190" i="6" s="1"/>
  <c r="D1190" i="6"/>
  <c r="C1190" i="6"/>
  <c r="B1191" i="6"/>
  <c r="L1190" i="6"/>
  <c r="P1190" i="6" s="1"/>
  <c r="H1190" i="6"/>
  <c r="Y1191" i="6"/>
  <c r="X1188" i="6"/>
  <c r="S1189" i="6"/>
  <c r="H1191" i="6" l="1"/>
  <c r="D1191" i="6"/>
  <c r="L1191" i="6"/>
  <c r="Y1192" i="6"/>
  <c r="I1191" i="6"/>
  <c r="J1191" i="6" s="1"/>
  <c r="K1191" i="6" s="1"/>
  <c r="C1191" i="6"/>
  <c r="B1192" i="6"/>
  <c r="X1189" i="6"/>
  <c r="S1190" i="6"/>
  <c r="H1192" i="6" l="1"/>
  <c r="B1193" i="6"/>
  <c r="D1192" i="6"/>
  <c r="L1192" i="6"/>
  <c r="P1192" i="6" s="1"/>
  <c r="I1192" i="6"/>
  <c r="J1192" i="6" s="1"/>
  <c r="K1192" i="6" s="1"/>
  <c r="Y1193" i="6"/>
  <c r="C1192" i="6"/>
  <c r="P1191" i="6"/>
  <c r="X1190" i="6"/>
  <c r="S1191" i="6"/>
  <c r="C1193" i="6" l="1"/>
  <c r="Y1194" i="6"/>
  <c r="L1193" i="6"/>
  <c r="P1193" i="6" s="1"/>
  <c r="H1193" i="6"/>
  <c r="I1193" i="6"/>
  <c r="J1193" i="6" s="1"/>
  <c r="K1193" i="6" s="1"/>
  <c r="D1193" i="6"/>
  <c r="B1194" i="6"/>
  <c r="X1191" i="6"/>
  <c r="S1192" i="6"/>
  <c r="D1194" i="6" l="1"/>
  <c r="B1195" i="6"/>
  <c r="H1194" i="6"/>
  <c r="C1194" i="6"/>
  <c r="L1194" i="6"/>
  <c r="P1194" i="6" s="1"/>
  <c r="I1194" i="6"/>
  <c r="J1194" i="6" s="1"/>
  <c r="K1194" i="6" s="1"/>
  <c r="Y1195" i="6"/>
  <c r="X1192" i="6"/>
  <c r="S1193" i="6"/>
  <c r="C1195" i="6" l="1"/>
  <c r="H1195" i="6"/>
  <c r="D1195" i="6"/>
  <c r="L1195" i="6"/>
  <c r="Y1196" i="6"/>
  <c r="I1195" i="6"/>
  <c r="J1195" i="6" s="1"/>
  <c r="K1195" i="6" s="1"/>
  <c r="B1196" i="6"/>
  <c r="X1193" i="6"/>
  <c r="S1194" i="6"/>
  <c r="P1195" i="6" l="1"/>
  <c r="L1196" i="6"/>
  <c r="C1196" i="6"/>
  <c r="I1196" i="6"/>
  <c r="J1196" i="6" s="1"/>
  <c r="K1196" i="6" s="1"/>
  <c r="B1197" i="6"/>
  <c r="Y1197" i="6"/>
  <c r="H1196" i="6"/>
  <c r="D1196" i="6"/>
  <c r="X1194" i="6"/>
  <c r="S1195" i="6"/>
  <c r="D1197" i="6" l="1"/>
  <c r="Y1198" i="6"/>
  <c r="B1198" i="6"/>
  <c r="C1197" i="6"/>
  <c r="I1197" i="6"/>
  <c r="J1197" i="6" s="1"/>
  <c r="K1197" i="6" s="1"/>
  <c r="L1197" i="6"/>
  <c r="P1197" i="6" s="1"/>
  <c r="H1197" i="6"/>
  <c r="P1196" i="6"/>
  <c r="X1195" i="6"/>
  <c r="S1196" i="6"/>
  <c r="C1198" i="6" l="1"/>
  <c r="L1198" i="6"/>
  <c r="B1199" i="6"/>
  <c r="I1198" i="6"/>
  <c r="J1198" i="6" s="1"/>
  <c r="K1198" i="6" s="1"/>
  <c r="H1198" i="6"/>
  <c r="Y1199" i="6"/>
  <c r="D1198" i="6"/>
  <c r="X1196" i="6"/>
  <c r="S1197" i="6"/>
  <c r="B1200" i="6" l="1"/>
  <c r="C1199" i="6"/>
  <c r="L1199" i="6"/>
  <c r="P1199" i="6" s="1"/>
  <c r="Y1200" i="6"/>
  <c r="D1199" i="6"/>
  <c r="I1199" i="6"/>
  <c r="J1199" i="6" s="1"/>
  <c r="K1199" i="6" s="1"/>
  <c r="H1199" i="6"/>
  <c r="P1198" i="6"/>
  <c r="X1197" i="6"/>
  <c r="S1198" i="6"/>
  <c r="B1201" i="6" l="1"/>
  <c r="L1200" i="6"/>
  <c r="Y1201" i="6"/>
  <c r="I1200" i="6"/>
  <c r="J1200" i="6" s="1"/>
  <c r="K1200" i="6" s="1"/>
  <c r="D1200" i="6"/>
  <c r="H1200" i="6"/>
  <c r="C1200" i="6"/>
  <c r="X1198" i="6"/>
  <c r="S1199" i="6"/>
  <c r="C1201" i="6" l="1"/>
  <c r="Y1202" i="6"/>
  <c r="L1201" i="6"/>
  <c r="D1201" i="6"/>
  <c r="B1202" i="6"/>
  <c r="I1201" i="6"/>
  <c r="J1201" i="6" s="1"/>
  <c r="K1201" i="6" s="1"/>
  <c r="H1201" i="6"/>
  <c r="P1200" i="6"/>
  <c r="X1199" i="6"/>
  <c r="S1200" i="6"/>
  <c r="I1202" i="6" l="1"/>
  <c r="J1202" i="6" s="1"/>
  <c r="K1202" i="6" s="1"/>
  <c r="D1202" i="6"/>
  <c r="L1202" i="6"/>
  <c r="P1202" i="6" s="1"/>
  <c r="Y1203" i="6"/>
  <c r="B1203" i="6"/>
  <c r="H1202" i="6"/>
  <c r="C1202" i="6"/>
  <c r="P1201" i="6"/>
  <c r="X1200" i="6"/>
  <c r="S1201" i="6"/>
  <c r="H1203" i="6" l="1"/>
  <c r="Y1204" i="6"/>
  <c r="L1203" i="6"/>
  <c r="P1203" i="6" s="1"/>
  <c r="B1204" i="6"/>
  <c r="I1203" i="6"/>
  <c r="J1203" i="6" s="1"/>
  <c r="K1203" i="6" s="1"/>
  <c r="C1203" i="6"/>
  <c r="D1203" i="6"/>
  <c r="X1201" i="6"/>
  <c r="S1202" i="6"/>
  <c r="L1204" i="6" l="1"/>
  <c r="P1204" i="6" s="1"/>
  <c r="Y1205" i="6"/>
  <c r="C1204" i="6"/>
  <c r="B1205" i="6"/>
  <c r="H1204" i="6"/>
  <c r="I1204" i="6"/>
  <c r="J1204" i="6" s="1"/>
  <c r="K1204" i="6" s="1"/>
  <c r="D1204" i="6"/>
  <c r="X1202" i="6"/>
  <c r="S1203" i="6"/>
  <c r="D1205" i="6" l="1"/>
  <c r="I1205" i="6"/>
  <c r="J1205" i="6" s="1"/>
  <c r="K1205" i="6" s="1"/>
  <c r="C1205" i="6"/>
  <c r="H1205" i="6"/>
  <c r="Y1206" i="6"/>
  <c r="L1205" i="6"/>
  <c r="P1205" i="6" s="1"/>
  <c r="B1206" i="6"/>
  <c r="X1203" i="6"/>
  <c r="S1204" i="6"/>
  <c r="B1207" i="6" l="1"/>
  <c r="L1206" i="6"/>
  <c r="P1206" i="6" s="1"/>
  <c r="D1206" i="6"/>
  <c r="C1206" i="6"/>
  <c r="Y1207" i="6"/>
  <c r="H1206" i="6"/>
  <c r="I1206" i="6"/>
  <c r="J1206" i="6" s="1"/>
  <c r="K1206" i="6" s="1"/>
  <c r="X1204" i="6"/>
  <c r="S1205" i="6"/>
  <c r="L1207" i="6" l="1"/>
  <c r="D1207" i="6"/>
  <c r="Y1208" i="6"/>
  <c r="I1207" i="6"/>
  <c r="J1207" i="6" s="1"/>
  <c r="K1207" i="6" s="1"/>
  <c r="B1208" i="6"/>
  <c r="C1207" i="6"/>
  <c r="H1207" i="6"/>
  <c r="X1205" i="6"/>
  <c r="S1206" i="6"/>
  <c r="D1208" i="6" l="1"/>
  <c r="C1208" i="6"/>
  <c r="B1209" i="6"/>
  <c r="I1208" i="6"/>
  <c r="J1208" i="6" s="1"/>
  <c r="K1208" i="6" s="1"/>
  <c r="L1208" i="6"/>
  <c r="P1208" i="6" s="1"/>
  <c r="H1208" i="6"/>
  <c r="Y1209" i="6"/>
  <c r="P1207" i="6"/>
  <c r="X1206" i="6"/>
  <c r="S1207" i="6"/>
  <c r="D1209" i="6" l="1"/>
  <c r="B1210" i="6"/>
  <c r="C1209" i="6"/>
  <c r="H1209" i="6"/>
  <c r="I1209" i="6"/>
  <c r="J1209" i="6" s="1"/>
  <c r="K1209" i="6" s="1"/>
  <c r="L1209" i="6"/>
  <c r="Y1210" i="6"/>
  <c r="X1207" i="6"/>
  <c r="S1208" i="6"/>
  <c r="B1211" i="6" l="1"/>
  <c r="Y1211" i="6"/>
  <c r="I1210" i="6"/>
  <c r="J1210" i="6" s="1"/>
  <c r="K1210" i="6" s="1"/>
  <c r="L1210" i="6"/>
  <c r="H1210" i="6"/>
  <c r="C1210" i="6"/>
  <c r="D1210" i="6"/>
  <c r="P1209" i="6"/>
  <c r="X1208" i="6"/>
  <c r="S1209" i="6"/>
  <c r="L1211" i="6" l="1"/>
  <c r="P1211" i="6" s="1"/>
  <c r="H1211" i="6"/>
  <c r="Y1212" i="6"/>
  <c r="I1211" i="6"/>
  <c r="J1211" i="6" s="1"/>
  <c r="K1211" i="6" s="1"/>
  <c r="D1211" i="6"/>
  <c r="B1212" i="6"/>
  <c r="C1211" i="6"/>
  <c r="P1210" i="6"/>
  <c r="X1209" i="6"/>
  <c r="S1210" i="6"/>
  <c r="L1212" i="6" l="1"/>
  <c r="C1212" i="6"/>
  <c r="Y1213" i="6"/>
  <c r="H1212" i="6"/>
  <c r="B1213" i="6"/>
  <c r="D1212" i="6"/>
  <c r="I1212" i="6"/>
  <c r="J1212" i="6" s="1"/>
  <c r="K1212" i="6" s="1"/>
  <c r="X1210" i="6"/>
  <c r="S1211" i="6"/>
  <c r="H1213" i="6" l="1"/>
  <c r="D1213" i="6"/>
  <c r="L1213" i="6"/>
  <c r="P1213" i="6" s="1"/>
  <c r="Y1214" i="6"/>
  <c r="B1214" i="6"/>
  <c r="C1213" i="6"/>
  <c r="I1213" i="6"/>
  <c r="J1213" i="6" s="1"/>
  <c r="K1213" i="6" s="1"/>
  <c r="P1212" i="6"/>
  <c r="X1211" i="6"/>
  <c r="S1212" i="6"/>
  <c r="D1214" i="6" l="1"/>
  <c r="B1215" i="6"/>
  <c r="L1214" i="6"/>
  <c r="P1214" i="6" s="1"/>
  <c r="I1214" i="6"/>
  <c r="J1214" i="6" s="1"/>
  <c r="K1214" i="6" s="1"/>
  <c r="H1214" i="6"/>
  <c r="C1214" i="6"/>
  <c r="Y1215" i="6"/>
  <c r="X1212" i="6"/>
  <c r="S1213" i="6"/>
  <c r="I1215" i="6" l="1"/>
  <c r="J1215" i="6" s="1"/>
  <c r="K1215" i="6" s="1"/>
  <c r="C1215" i="6"/>
  <c r="B1216" i="6"/>
  <c r="D1215" i="6"/>
  <c r="H1215" i="6"/>
  <c r="Y1216" i="6"/>
  <c r="L1215" i="6"/>
  <c r="X1213" i="6"/>
  <c r="S1214" i="6"/>
  <c r="H1216" i="6" l="1"/>
  <c r="Y1217" i="6"/>
  <c r="I1216" i="6"/>
  <c r="J1216" i="6" s="1"/>
  <c r="K1216" i="6" s="1"/>
  <c r="D1216" i="6"/>
  <c r="C1216" i="6"/>
  <c r="B1217" i="6"/>
  <c r="L1216" i="6"/>
  <c r="P1215" i="6"/>
  <c r="X1214" i="6"/>
  <c r="S1215" i="6"/>
  <c r="C1217" i="6" l="1"/>
  <c r="Y1218" i="6"/>
  <c r="L1217" i="6"/>
  <c r="I1217" i="6"/>
  <c r="J1217" i="6" s="1"/>
  <c r="K1217" i="6" s="1"/>
  <c r="H1217" i="6"/>
  <c r="B1218" i="6"/>
  <c r="D1217" i="6"/>
  <c r="P1216" i="6"/>
  <c r="X1215" i="6"/>
  <c r="S1216" i="6"/>
  <c r="Y1219" i="6" l="1"/>
  <c r="D1218" i="6"/>
  <c r="B1219" i="6"/>
  <c r="L1218" i="6"/>
  <c r="P1218" i="6" s="1"/>
  <c r="H1218" i="6"/>
  <c r="C1218" i="6"/>
  <c r="I1218" i="6"/>
  <c r="J1218" i="6" s="1"/>
  <c r="K1218" i="6" s="1"/>
  <c r="P1217" i="6"/>
  <c r="X1216" i="6"/>
  <c r="S1217" i="6"/>
  <c r="C1219" i="6" l="1"/>
  <c r="H1219" i="6"/>
  <c r="Y1220" i="6"/>
  <c r="D1219" i="6"/>
  <c r="I1219" i="6"/>
  <c r="J1219" i="6" s="1"/>
  <c r="K1219" i="6" s="1"/>
  <c r="B1220" i="6"/>
  <c r="L1219" i="6"/>
  <c r="X1217" i="6"/>
  <c r="S1218" i="6"/>
  <c r="D1220" i="6" l="1"/>
  <c r="I1220" i="6"/>
  <c r="J1220" i="6" s="1"/>
  <c r="K1220" i="6" s="1"/>
  <c r="Y1221" i="6"/>
  <c r="L1220" i="6"/>
  <c r="C1220" i="6"/>
  <c r="H1220" i="6"/>
  <c r="B1221" i="6"/>
  <c r="P1219" i="6"/>
  <c r="X1218" i="6"/>
  <c r="S1219" i="6"/>
  <c r="H1221" i="6" l="1"/>
  <c r="L1221" i="6"/>
  <c r="P1221" i="6" s="1"/>
  <c r="C1221" i="6"/>
  <c r="D1221" i="6"/>
  <c r="B1222" i="6"/>
  <c r="Y1222" i="6"/>
  <c r="I1221" i="6"/>
  <c r="J1221" i="6" s="1"/>
  <c r="K1221" i="6" s="1"/>
  <c r="P1220" i="6"/>
  <c r="X1219" i="6"/>
  <c r="S1220" i="6"/>
  <c r="D1222" i="6" l="1"/>
  <c r="Y1223" i="6"/>
  <c r="I1222" i="6"/>
  <c r="J1222" i="6" s="1"/>
  <c r="K1222" i="6" s="1"/>
  <c r="L1222" i="6"/>
  <c r="B1223" i="6"/>
  <c r="C1222" i="6"/>
  <c r="H1222" i="6"/>
  <c r="X1220" i="6"/>
  <c r="S1221" i="6"/>
  <c r="I1223" i="6" l="1"/>
  <c r="J1223" i="6" s="1"/>
  <c r="K1223" i="6" s="1"/>
  <c r="H1223" i="6"/>
  <c r="Y1224" i="6"/>
  <c r="L1223" i="6"/>
  <c r="P1223" i="6" s="1"/>
  <c r="B1224" i="6"/>
  <c r="C1223" i="6"/>
  <c r="D1223" i="6"/>
  <c r="P1222" i="6"/>
  <c r="X1221" i="6"/>
  <c r="S1222" i="6"/>
  <c r="B1225" i="6" l="1"/>
  <c r="L1224" i="6"/>
  <c r="P1224" i="6" s="1"/>
  <c r="I1224" i="6"/>
  <c r="J1224" i="6" s="1"/>
  <c r="K1224" i="6" s="1"/>
  <c r="D1224" i="6"/>
  <c r="C1224" i="6"/>
  <c r="H1224" i="6"/>
  <c r="Y1225" i="6"/>
  <c r="X1222" i="6"/>
  <c r="S1223" i="6"/>
  <c r="D1225" i="6" l="1"/>
  <c r="I1225" i="6"/>
  <c r="J1225" i="6" s="1"/>
  <c r="K1225" i="6" s="1"/>
  <c r="Y1226" i="6"/>
  <c r="B1226" i="6"/>
  <c r="C1225" i="6"/>
  <c r="L1225" i="6"/>
  <c r="H1225" i="6"/>
  <c r="X1223" i="6"/>
  <c r="S1224" i="6"/>
  <c r="B1227" i="6" l="1"/>
  <c r="C1226" i="6"/>
  <c r="D1226" i="6"/>
  <c r="L1226" i="6"/>
  <c r="H1226" i="6"/>
  <c r="I1226" i="6"/>
  <c r="J1226" i="6" s="1"/>
  <c r="K1226" i="6" s="1"/>
  <c r="Y1227" i="6"/>
  <c r="P1225" i="6"/>
  <c r="X1224" i="6"/>
  <c r="S1225" i="6"/>
  <c r="L1227" i="6" l="1"/>
  <c r="C1227" i="6"/>
  <c r="I1227" i="6"/>
  <c r="J1227" i="6" s="1"/>
  <c r="K1227" i="6" s="1"/>
  <c r="B1228" i="6"/>
  <c r="Y1228" i="6"/>
  <c r="D1227" i="6"/>
  <c r="H1227" i="6"/>
  <c r="P1226" i="6"/>
  <c r="X1225" i="6"/>
  <c r="S1226" i="6"/>
  <c r="D1228" i="6" l="1"/>
  <c r="I1228" i="6"/>
  <c r="J1228" i="6" s="1"/>
  <c r="K1228" i="6" s="1"/>
  <c r="H1228" i="6"/>
  <c r="Y1229" i="6"/>
  <c r="L1228" i="6"/>
  <c r="P1228" i="6" s="1"/>
  <c r="C1228" i="6"/>
  <c r="B1229" i="6"/>
  <c r="P1227" i="6"/>
  <c r="X1226" i="6"/>
  <c r="S1227" i="6"/>
  <c r="Y1230" i="6" l="1"/>
  <c r="C1229" i="6"/>
  <c r="L1229" i="6"/>
  <c r="I1229" i="6"/>
  <c r="J1229" i="6" s="1"/>
  <c r="K1229" i="6" s="1"/>
  <c r="D1229" i="6"/>
  <c r="B1230" i="6"/>
  <c r="H1229" i="6"/>
  <c r="X1227" i="6"/>
  <c r="S1228" i="6"/>
  <c r="D1230" i="6" l="1"/>
  <c r="L1230" i="6"/>
  <c r="P1230" i="6" s="1"/>
  <c r="C1230" i="6"/>
  <c r="Y1231" i="6"/>
  <c r="I1230" i="6"/>
  <c r="J1230" i="6" s="1"/>
  <c r="K1230" i="6" s="1"/>
  <c r="B1231" i="6"/>
  <c r="H1230" i="6"/>
  <c r="P1229" i="6"/>
  <c r="X1228" i="6"/>
  <c r="S1229" i="6"/>
  <c r="C1231" i="6" l="1"/>
  <c r="L1231" i="6"/>
  <c r="P1231" i="6" s="1"/>
  <c r="D1231" i="6"/>
  <c r="Y1232" i="6"/>
  <c r="I1231" i="6"/>
  <c r="J1231" i="6" s="1"/>
  <c r="K1231" i="6" s="1"/>
  <c r="H1231" i="6"/>
  <c r="B1232" i="6"/>
  <c r="X1229" i="6"/>
  <c r="S1230" i="6"/>
  <c r="Y1233" i="6" l="1"/>
  <c r="H1232" i="6"/>
  <c r="C1232" i="6"/>
  <c r="B1233" i="6"/>
  <c r="D1232" i="6"/>
  <c r="I1232" i="6"/>
  <c r="J1232" i="6" s="1"/>
  <c r="K1232" i="6" s="1"/>
  <c r="L1232" i="6"/>
  <c r="P1232" i="6" s="1"/>
  <c r="X1230" i="6"/>
  <c r="S1231" i="6"/>
  <c r="H1233" i="6" l="1"/>
  <c r="Y1234" i="6"/>
  <c r="L1233" i="6"/>
  <c r="D1233" i="6"/>
  <c r="I1233" i="6"/>
  <c r="J1233" i="6" s="1"/>
  <c r="K1233" i="6" s="1"/>
  <c r="B1234" i="6"/>
  <c r="C1233" i="6"/>
  <c r="X1231" i="6"/>
  <c r="S1232" i="6"/>
  <c r="Y1235" i="6" l="1"/>
  <c r="B1235" i="6"/>
  <c r="I1234" i="6"/>
  <c r="J1234" i="6" s="1"/>
  <c r="K1234" i="6" s="1"/>
  <c r="L1234" i="6"/>
  <c r="P1234" i="6" s="1"/>
  <c r="D1234" i="6"/>
  <c r="H1234" i="6"/>
  <c r="C1234" i="6"/>
  <c r="P1233" i="6"/>
  <c r="X1232" i="6"/>
  <c r="S1233" i="6"/>
  <c r="H1235" i="6" l="1"/>
  <c r="L1235" i="6"/>
  <c r="P1235" i="6" s="1"/>
  <c r="D1235" i="6"/>
  <c r="B1236" i="6"/>
  <c r="C1235" i="6"/>
  <c r="Y1236" i="6"/>
  <c r="I1235" i="6"/>
  <c r="J1235" i="6" s="1"/>
  <c r="K1235" i="6" s="1"/>
  <c r="X1233" i="6"/>
  <c r="S1234" i="6"/>
  <c r="Y1237" i="6" l="1"/>
  <c r="L1236" i="6"/>
  <c r="P1236" i="6" s="1"/>
  <c r="B1237" i="6"/>
  <c r="C1236" i="6"/>
  <c r="I1236" i="6"/>
  <c r="J1236" i="6" s="1"/>
  <c r="K1236" i="6" s="1"/>
  <c r="H1236" i="6"/>
  <c r="D1236" i="6"/>
  <c r="X1234" i="6"/>
  <c r="S1235" i="6"/>
  <c r="D1237" i="6" l="1"/>
  <c r="Y1238" i="6"/>
  <c r="I1237" i="6"/>
  <c r="J1237" i="6" s="1"/>
  <c r="K1237" i="6" s="1"/>
  <c r="C1237" i="6"/>
  <c r="L1237" i="6"/>
  <c r="P1237" i="6" s="1"/>
  <c r="B1238" i="6"/>
  <c r="H1237" i="6"/>
  <c r="X1235" i="6"/>
  <c r="S1236" i="6"/>
  <c r="H1238" i="6" l="1"/>
  <c r="D1238" i="6"/>
  <c r="B1239" i="6"/>
  <c r="L1238" i="6"/>
  <c r="I1238" i="6"/>
  <c r="J1238" i="6" s="1"/>
  <c r="K1238" i="6" s="1"/>
  <c r="Y1239" i="6"/>
  <c r="C1238" i="6"/>
  <c r="X1236" i="6"/>
  <c r="S1237" i="6"/>
  <c r="P1238" i="6" l="1"/>
  <c r="Y1240" i="6"/>
  <c r="D1239" i="6"/>
  <c r="B1240" i="6"/>
  <c r="I1239" i="6"/>
  <c r="J1239" i="6" s="1"/>
  <c r="K1239" i="6" s="1"/>
  <c r="H1239" i="6"/>
  <c r="L1239" i="6"/>
  <c r="C1239" i="6"/>
  <c r="X1237" i="6"/>
  <c r="S1238" i="6"/>
  <c r="Y1241" i="6" l="1"/>
  <c r="D1240" i="6"/>
  <c r="I1240" i="6"/>
  <c r="J1240" i="6" s="1"/>
  <c r="K1240" i="6" s="1"/>
  <c r="L1240" i="6"/>
  <c r="C1240" i="6"/>
  <c r="H1240" i="6"/>
  <c r="B1241" i="6"/>
  <c r="P1239" i="6"/>
  <c r="X1238" i="6"/>
  <c r="S1239" i="6"/>
  <c r="L1241" i="6" l="1"/>
  <c r="P1241" i="6" s="1"/>
  <c r="B1242" i="6"/>
  <c r="I1241" i="6"/>
  <c r="J1241" i="6" s="1"/>
  <c r="K1241" i="6" s="1"/>
  <c r="Y1242" i="6"/>
  <c r="D1241" i="6"/>
  <c r="H1241" i="6"/>
  <c r="C1241" i="6"/>
  <c r="P1240" i="6"/>
  <c r="X1239" i="6"/>
  <c r="S1240" i="6"/>
  <c r="B1243" i="6" l="1"/>
  <c r="H1242" i="6"/>
  <c r="C1242" i="6"/>
  <c r="Y1243" i="6"/>
  <c r="L1242" i="6"/>
  <c r="P1242" i="6" s="1"/>
  <c r="I1242" i="6"/>
  <c r="J1242" i="6" s="1"/>
  <c r="K1242" i="6" s="1"/>
  <c r="D1242" i="6"/>
  <c r="X1240" i="6"/>
  <c r="S1241" i="6"/>
  <c r="C1243" i="6" l="1"/>
  <c r="H1243" i="6"/>
  <c r="Y1244" i="6"/>
  <c r="L1243" i="6"/>
  <c r="B1244" i="6"/>
  <c r="D1243" i="6"/>
  <c r="I1243" i="6"/>
  <c r="J1243" i="6" s="1"/>
  <c r="K1243" i="6" s="1"/>
  <c r="X1241" i="6"/>
  <c r="S1242" i="6"/>
  <c r="B1245" i="6" l="1"/>
  <c r="L1244" i="6"/>
  <c r="P1244" i="6" s="1"/>
  <c r="D1244" i="6"/>
  <c r="C1244" i="6"/>
  <c r="I1244" i="6"/>
  <c r="J1244" i="6" s="1"/>
  <c r="K1244" i="6" s="1"/>
  <c r="Y1245" i="6"/>
  <c r="H1244" i="6"/>
  <c r="P1243" i="6"/>
  <c r="X1242" i="6"/>
  <c r="S1243" i="6"/>
  <c r="C1245" i="6" l="1"/>
  <c r="B1246" i="6"/>
  <c r="Y1246" i="6"/>
  <c r="D1245" i="6"/>
  <c r="L1245" i="6"/>
  <c r="H1245" i="6"/>
  <c r="I1245" i="6"/>
  <c r="J1245" i="6" s="1"/>
  <c r="K1245" i="6" s="1"/>
  <c r="X1243" i="6"/>
  <c r="S1244" i="6"/>
  <c r="P1245" i="6" l="1"/>
  <c r="H1246" i="6"/>
  <c r="L1246" i="6"/>
  <c r="P1246" i="6" s="1"/>
  <c r="B1247" i="6"/>
  <c r="C1246" i="6"/>
  <c r="I1246" i="6"/>
  <c r="J1246" i="6" s="1"/>
  <c r="K1246" i="6" s="1"/>
  <c r="Y1247" i="6"/>
  <c r="D1246" i="6"/>
  <c r="X1244" i="6"/>
  <c r="S1245" i="6"/>
  <c r="H1247" i="6" l="1"/>
  <c r="Y1248" i="6"/>
  <c r="I1247" i="6"/>
  <c r="J1247" i="6" s="1"/>
  <c r="K1247" i="6" s="1"/>
  <c r="B1248" i="6"/>
  <c r="C1247" i="6"/>
  <c r="L1247" i="6"/>
  <c r="D1247" i="6"/>
  <c r="X1245" i="6"/>
  <c r="S1246" i="6"/>
  <c r="P1247" i="6" l="1"/>
  <c r="Y1249" i="6"/>
  <c r="D1248" i="6"/>
  <c r="L1248" i="6"/>
  <c r="C1248" i="6"/>
  <c r="I1248" i="6"/>
  <c r="J1248" i="6" s="1"/>
  <c r="K1248" i="6" s="1"/>
  <c r="B1249" i="6"/>
  <c r="H1248" i="6"/>
  <c r="X1246" i="6"/>
  <c r="S1247" i="6"/>
  <c r="H1249" i="6" l="1"/>
  <c r="Y1250" i="6"/>
  <c r="C1249" i="6"/>
  <c r="I1249" i="6"/>
  <c r="J1249" i="6" s="1"/>
  <c r="K1249" i="6" s="1"/>
  <c r="L1249" i="6"/>
  <c r="P1249" i="6" s="1"/>
  <c r="D1249" i="6"/>
  <c r="B1250" i="6"/>
  <c r="P1248" i="6"/>
  <c r="X1247" i="6"/>
  <c r="S1248" i="6"/>
  <c r="B1251" i="6" l="1"/>
  <c r="L1250" i="6"/>
  <c r="P1250" i="6" s="1"/>
  <c r="C1250" i="6"/>
  <c r="D1250" i="6"/>
  <c r="H1250" i="6"/>
  <c r="Y1251" i="6"/>
  <c r="I1250" i="6"/>
  <c r="J1250" i="6" s="1"/>
  <c r="K1250" i="6" s="1"/>
  <c r="X1248" i="6"/>
  <c r="S1249" i="6"/>
  <c r="C1251" i="6" l="1"/>
  <c r="B1252" i="6"/>
  <c r="H1251" i="6"/>
  <c r="L1251" i="6"/>
  <c r="I1251" i="6"/>
  <c r="J1251" i="6" s="1"/>
  <c r="K1251" i="6" s="1"/>
  <c r="D1251" i="6"/>
  <c r="Y1252" i="6"/>
  <c r="X1249" i="6"/>
  <c r="S1250" i="6"/>
  <c r="H1252" i="6" l="1"/>
  <c r="Y1253" i="6"/>
  <c r="B1253" i="6"/>
  <c r="D1252" i="6"/>
  <c r="I1252" i="6"/>
  <c r="J1252" i="6" s="1"/>
  <c r="K1252" i="6" s="1"/>
  <c r="C1252" i="6"/>
  <c r="L1252" i="6"/>
  <c r="P1251" i="6"/>
  <c r="X1250" i="6"/>
  <c r="S1251" i="6"/>
  <c r="D1253" i="6" l="1"/>
  <c r="Y1254" i="6"/>
  <c r="C1253" i="6"/>
  <c r="H1253" i="6"/>
  <c r="I1253" i="6"/>
  <c r="J1253" i="6" s="1"/>
  <c r="K1253" i="6" s="1"/>
  <c r="L1253" i="6"/>
  <c r="B1254" i="6"/>
  <c r="P1252" i="6"/>
  <c r="X1251" i="6"/>
  <c r="S1252" i="6"/>
  <c r="H1254" i="6" l="1"/>
  <c r="B1255" i="6"/>
  <c r="Y1255" i="6"/>
  <c r="C1254" i="6"/>
  <c r="D1254" i="6"/>
  <c r="I1254" i="6"/>
  <c r="J1254" i="6" s="1"/>
  <c r="K1254" i="6" s="1"/>
  <c r="L1254" i="6"/>
  <c r="P1254" i="6" s="1"/>
  <c r="P1253" i="6"/>
  <c r="X1252" i="6"/>
  <c r="S1253" i="6"/>
  <c r="I1255" i="6" l="1"/>
  <c r="J1255" i="6" s="1"/>
  <c r="K1255" i="6" s="1"/>
  <c r="H1255" i="6"/>
  <c r="C1255" i="6"/>
  <c r="Y1256" i="6"/>
  <c r="L1255" i="6"/>
  <c r="B1256" i="6"/>
  <c r="D1255" i="6"/>
  <c r="X1253" i="6"/>
  <c r="S1254" i="6"/>
  <c r="D1256" i="6" l="1"/>
  <c r="I1256" i="6"/>
  <c r="J1256" i="6" s="1"/>
  <c r="K1256" i="6" s="1"/>
  <c r="H1256" i="6"/>
  <c r="C1256" i="6"/>
  <c r="Y1257" i="6"/>
  <c r="B1257" i="6"/>
  <c r="L1256" i="6"/>
  <c r="P1256" i="6" s="1"/>
  <c r="P1255" i="6"/>
  <c r="X1254" i="6"/>
  <c r="S1255" i="6"/>
  <c r="B1258" i="6" l="1"/>
  <c r="C1257" i="6"/>
  <c r="Y1258" i="6"/>
  <c r="L1257" i="6"/>
  <c r="H1257" i="6"/>
  <c r="I1257" i="6"/>
  <c r="J1257" i="6" s="1"/>
  <c r="K1257" i="6" s="1"/>
  <c r="D1257" i="6"/>
  <c r="X1255" i="6"/>
  <c r="S1256" i="6"/>
  <c r="P1257" i="6" l="1"/>
  <c r="I1258" i="6"/>
  <c r="J1258" i="6" s="1"/>
  <c r="K1258" i="6" s="1"/>
  <c r="Y1259" i="6"/>
  <c r="D1258" i="6"/>
  <c r="C1258" i="6"/>
  <c r="L1258" i="6"/>
  <c r="B1259" i="6"/>
  <c r="H1258" i="6"/>
  <c r="X1256" i="6"/>
  <c r="S1257" i="6"/>
  <c r="D1259" i="6" l="1"/>
  <c r="L1259" i="6"/>
  <c r="P1259" i="6" s="1"/>
  <c r="H1259" i="6"/>
  <c r="Y1260" i="6"/>
  <c r="I1259" i="6"/>
  <c r="J1259" i="6" s="1"/>
  <c r="K1259" i="6" s="1"/>
  <c r="B1260" i="6"/>
  <c r="C1259" i="6"/>
  <c r="P1258" i="6"/>
  <c r="X1257" i="6"/>
  <c r="S1258" i="6"/>
  <c r="C1260" i="6" l="1"/>
  <c r="Y1261" i="6"/>
  <c r="D1260" i="6"/>
  <c r="L1260" i="6"/>
  <c r="P1260" i="6" s="1"/>
  <c r="I1260" i="6"/>
  <c r="J1260" i="6" s="1"/>
  <c r="K1260" i="6" s="1"/>
  <c r="H1260" i="6"/>
  <c r="B1261" i="6"/>
  <c r="X1258" i="6"/>
  <c r="S1259" i="6"/>
  <c r="D1261" i="6" l="1"/>
  <c r="Y1262" i="6"/>
  <c r="C1261" i="6"/>
  <c r="H1261" i="6"/>
  <c r="I1261" i="6"/>
  <c r="J1261" i="6" s="1"/>
  <c r="K1261" i="6" s="1"/>
  <c r="B1262" i="6"/>
  <c r="L1261" i="6"/>
  <c r="P1261" i="6" s="1"/>
  <c r="X1259" i="6"/>
  <c r="S1260" i="6"/>
  <c r="Y1263" i="6" l="1"/>
  <c r="C1262" i="6"/>
  <c r="H1262" i="6"/>
  <c r="L1262" i="6"/>
  <c r="B1263" i="6"/>
  <c r="D1262" i="6"/>
  <c r="I1262" i="6"/>
  <c r="J1262" i="6" s="1"/>
  <c r="K1262" i="6" s="1"/>
  <c r="X1260" i="6"/>
  <c r="S1261" i="6"/>
  <c r="H1263" i="6" l="1"/>
  <c r="I1263" i="6"/>
  <c r="J1263" i="6" s="1"/>
  <c r="K1263" i="6" s="1"/>
  <c r="D1263" i="6"/>
  <c r="L1263" i="6"/>
  <c r="P1263" i="6" s="1"/>
  <c r="B1264" i="6"/>
  <c r="Y1264" i="6"/>
  <c r="C1263" i="6"/>
  <c r="P1262" i="6"/>
  <c r="X1261" i="6"/>
  <c r="S1262" i="6"/>
  <c r="B1265" i="6" l="1"/>
  <c r="Y1265" i="6"/>
  <c r="H1264" i="6"/>
  <c r="D1264" i="6"/>
  <c r="L1264" i="6"/>
  <c r="P1264" i="6" s="1"/>
  <c r="I1264" i="6"/>
  <c r="J1264" i="6" s="1"/>
  <c r="K1264" i="6" s="1"/>
  <c r="C1264" i="6"/>
  <c r="X1262" i="6"/>
  <c r="S1263" i="6"/>
  <c r="Y1266" i="6" l="1"/>
  <c r="B1266" i="6"/>
  <c r="H1265" i="6"/>
  <c r="I1265" i="6"/>
  <c r="J1265" i="6" s="1"/>
  <c r="K1265" i="6" s="1"/>
  <c r="L1265" i="6"/>
  <c r="D1265" i="6"/>
  <c r="C1265" i="6"/>
  <c r="X1263" i="6"/>
  <c r="S1264" i="6"/>
  <c r="P1265" i="6" l="1"/>
  <c r="Y1267" i="6"/>
  <c r="D1266" i="6"/>
  <c r="B1267" i="6"/>
  <c r="C1266" i="6"/>
  <c r="I1266" i="6"/>
  <c r="J1266" i="6" s="1"/>
  <c r="K1266" i="6" s="1"/>
  <c r="H1266" i="6"/>
  <c r="L1266" i="6"/>
  <c r="X1264" i="6"/>
  <c r="S1265" i="6"/>
  <c r="D1267" i="6" l="1"/>
  <c r="H1267" i="6"/>
  <c r="B1268" i="6"/>
  <c r="L1267" i="6"/>
  <c r="P1267" i="6" s="1"/>
  <c r="Y1268" i="6"/>
  <c r="C1267" i="6"/>
  <c r="I1267" i="6"/>
  <c r="J1267" i="6" s="1"/>
  <c r="K1267" i="6" s="1"/>
  <c r="P1266" i="6"/>
  <c r="X1265" i="6"/>
  <c r="S1266" i="6"/>
  <c r="B1269" i="6" l="1"/>
  <c r="D1268" i="6"/>
  <c r="Y1269" i="6"/>
  <c r="I1268" i="6"/>
  <c r="J1268" i="6" s="1"/>
  <c r="K1268" i="6" s="1"/>
  <c r="L1268" i="6"/>
  <c r="C1268" i="6"/>
  <c r="H1268" i="6"/>
  <c r="X1266" i="6"/>
  <c r="S1267" i="6"/>
  <c r="P1268" i="6" l="1"/>
  <c r="H1269" i="6"/>
  <c r="D1269" i="6"/>
  <c r="C1269" i="6"/>
  <c r="L1269" i="6"/>
  <c r="Y1270" i="6"/>
  <c r="I1269" i="6"/>
  <c r="J1269" i="6" s="1"/>
  <c r="K1269" i="6" s="1"/>
  <c r="B1270" i="6"/>
  <c r="X1267" i="6"/>
  <c r="S1268" i="6"/>
  <c r="C1270" i="6" l="1"/>
  <c r="D1270" i="6"/>
  <c r="H1270" i="6"/>
  <c r="I1270" i="6"/>
  <c r="J1270" i="6" s="1"/>
  <c r="K1270" i="6" s="1"/>
  <c r="L1270" i="6"/>
  <c r="P1270" i="6" s="1"/>
  <c r="Y1271" i="6"/>
  <c r="B1271" i="6"/>
  <c r="P1269" i="6"/>
  <c r="X1268" i="6"/>
  <c r="S1269" i="6"/>
  <c r="I1271" i="6" l="1"/>
  <c r="J1271" i="6" s="1"/>
  <c r="K1271" i="6" s="1"/>
  <c r="C1271" i="6"/>
  <c r="B1272" i="6"/>
  <c r="Y1272" i="6"/>
  <c r="H1271" i="6"/>
  <c r="L1271" i="6"/>
  <c r="P1271" i="6" s="1"/>
  <c r="D1271" i="6"/>
  <c r="X1269" i="6"/>
  <c r="S1270" i="6"/>
  <c r="L1272" i="6" l="1"/>
  <c r="B1273" i="6"/>
  <c r="Y1273" i="6"/>
  <c r="H1272" i="6"/>
  <c r="D1272" i="6"/>
  <c r="C1272" i="6"/>
  <c r="I1272" i="6"/>
  <c r="J1272" i="6" s="1"/>
  <c r="K1272" i="6" s="1"/>
  <c r="X1270" i="6"/>
  <c r="S1271" i="6"/>
  <c r="L1273" i="6" l="1"/>
  <c r="P1273" i="6" s="1"/>
  <c r="I1273" i="6"/>
  <c r="J1273" i="6" s="1"/>
  <c r="K1273" i="6" s="1"/>
  <c r="Y1274" i="6"/>
  <c r="B1274" i="6"/>
  <c r="D1273" i="6"/>
  <c r="C1273" i="6"/>
  <c r="H1273" i="6"/>
  <c r="P1272" i="6"/>
  <c r="X1271" i="6"/>
  <c r="S1272" i="6"/>
  <c r="Y1275" i="6" l="1"/>
  <c r="B1275" i="6"/>
  <c r="H1274" i="6"/>
  <c r="C1274" i="6"/>
  <c r="L1274" i="6"/>
  <c r="P1274" i="6" s="1"/>
  <c r="D1274" i="6"/>
  <c r="I1274" i="6"/>
  <c r="J1274" i="6" s="1"/>
  <c r="K1274" i="6" s="1"/>
  <c r="X1272" i="6"/>
  <c r="S1273" i="6"/>
  <c r="L1275" i="6" l="1"/>
  <c r="B1276" i="6"/>
  <c r="I1275" i="6"/>
  <c r="J1275" i="6" s="1"/>
  <c r="K1275" i="6" s="1"/>
  <c r="H1275" i="6"/>
  <c r="Y1276" i="6"/>
  <c r="C1275" i="6"/>
  <c r="D1275" i="6"/>
  <c r="X1273" i="6"/>
  <c r="S1274" i="6"/>
  <c r="B1277" i="6" l="1"/>
  <c r="Y1277" i="6"/>
  <c r="D1276" i="6"/>
  <c r="I1276" i="6"/>
  <c r="J1276" i="6" s="1"/>
  <c r="K1276" i="6" s="1"/>
  <c r="H1276" i="6"/>
  <c r="L1276" i="6"/>
  <c r="P1276" i="6" s="1"/>
  <c r="C1276" i="6"/>
  <c r="P1275" i="6"/>
  <c r="X1274" i="6"/>
  <c r="S1275" i="6"/>
  <c r="B1278" i="6" l="1"/>
  <c r="L1277" i="6"/>
  <c r="D1277" i="6"/>
  <c r="I1277" i="6"/>
  <c r="J1277" i="6" s="1"/>
  <c r="K1277" i="6" s="1"/>
  <c r="Y1278" i="6"/>
  <c r="C1277" i="6"/>
  <c r="H1277" i="6"/>
  <c r="X1275" i="6"/>
  <c r="S1276" i="6"/>
  <c r="L1278" i="6" l="1"/>
  <c r="I1278" i="6"/>
  <c r="J1278" i="6" s="1"/>
  <c r="K1278" i="6" s="1"/>
  <c r="H1278" i="6"/>
  <c r="Y1279" i="6"/>
  <c r="C1278" i="6"/>
  <c r="B1279" i="6"/>
  <c r="D1278" i="6"/>
  <c r="P1277" i="6"/>
  <c r="X1276" i="6"/>
  <c r="S1277" i="6"/>
  <c r="B1280" i="6" l="1"/>
  <c r="L1279" i="6"/>
  <c r="P1279" i="6" s="1"/>
  <c r="Y1280" i="6"/>
  <c r="D1279" i="6"/>
  <c r="I1279" i="6"/>
  <c r="J1279" i="6" s="1"/>
  <c r="K1279" i="6" s="1"/>
  <c r="H1279" i="6"/>
  <c r="C1279" i="6"/>
  <c r="P1278" i="6"/>
  <c r="X1277" i="6"/>
  <c r="S1278" i="6"/>
  <c r="B1281" i="6" l="1"/>
  <c r="I1280" i="6"/>
  <c r="J1280" i="6" s="1"/>
  <c r="K1280" i="6" s="1"/>
  <c r="H1280" i="6"/>
  <c r="L1280" i="6"/>
  <c r="Y1281" i="6"/>
  <c r="D1280" i="6"/>
  <c r="C1280" i="6"/>
  <c r="X1278" i="6"/>
  <c r="S1279" i="6"/>
  <c r="P1280" i="6" l="1"/>
  <c r="H1281" i="6"/>
  <c r="B1282" i="6"/>
  <c r="C1281" i="6"/>
  <c r="Y1282" i="6"/>
  <c r="I1281" i="6"/>
  <c r="J1281" i="6" s="1"/>
  <c r="K1281" i="6" s="1"/>
  <c r="L1281" i="6"/>
  <c r="D1281" i="6"/>
  <c r="X1279" i="6"/>
  <c r="S1280" i="6"/>
  <c r="C1282" i="6" l="1"/>
  <c r="H1282" i="6"/>
  <c r="B1283" i="6"/>
  <c r="Y1283" i="6"/>
  <c r="L1282" i="6"/>
  <c r="P1282" i="6" s="1"/>
  <c r="I1282" i="6"/>
  <c r="J1282" i="6" s="1"/>
  <c r="K1282" i="6" s="1"/>
  <c r="D1282" i="6"/>
  <c r="P1281" i="6"/>
  <c r="X1280" i="6"/>
  <c r="S1281" i="6"/>
  <c r="H1283" i="6" l="1"/>
  <c r="D1283" i="6"/>
  <c r="Y1284" i="6"/>
  <c r="B1284" i="6"/>
  <c r="C1283" i="6"/>
  <c r="I1283" i="6"/>
  <c r="J1283" i="6" s="1"/>
  <c r="K1283" i="6" s="1"/>
  <c r="L1283" i="6"/>
  <c r="P1283" i="6" s="1"/>
  <c r="X1281" i="6"/>
  <c r="S1282" i="6"/>
  <c r="Y1285" i="6" l="1"/>
  <c r="I1284" i="6"/>
  <c r="J1284" i="6" s="1"/>
  <c r="K1284" i="6" s="1"/>
  <c r="L1284" i="6"/>
  <c r="B1285" i="6"/>
  <c r="H1284" i="6"/>
  <c r="C1284" i="6"/>
  <c r="D1284" i="6"/>
  <c r="X1282" i="6"/>
  <c r="S1283" i="6"/>
  <c r="H1285" i="6" l="1"/>
  <c r="Y1286" i="6"/>
  <c r="B1286" i="6"/>
  <c r="D1285" i="6"/>
  <c r="I1285" i="6"/>
  <c r="J1285" i="6" s="1"/>
  <c r="K1285" i="6" s="1"/>
  <c r="L1285" i="6"/>
  <c r="P1285" i="6" s="1"/>
  <c r="C1285" i="6"/>
  <c r="P1284" i="6"/>
  <c r="X1283" i="6"/>
  <c r="S1284" i="6"/>
  <c r="Y1287" i="6" l="1"/>
  <c r="C1286" i="6"/>
  <c r="I1286" i="6"/>
  <c r="J1286" i="6" s="1"/>
  <c r="K1286" i="6" s="1"/>
  <c r="H1286" i="6"/>
  <c r="L1286" i="6"/>
  <c r="D1286" i="6"/>
  <c r="B1287" i="6"/>
  <c r="X1284" i="6"/>
  <c r="S1285" i="6"/>
  <c r="I1287" i="6" l="1"/>
  <c r="J1287" i="6" s="1"/>
  <c r="K1287" i="6" s="1"/>
  <c r="B1288" i="6"/>
  <c r="L1287" i="6"/>
  <c r="P1287" i="6" s="1"/>
  <c r="C1287" i="6"/>
  <c r="H1287" i="6"/>
  <c r="D1287" i="6"/>
  <c r="Y1288" i="6"/>
  <c r="P1286" i="6"/>
  <c r="X1285" i="6"/>
  <c r="S1286" i="6"/>
  <c r="B1289" i="6" l="1"/>
  <c r="D1288" i="6"/>
  <c r="L1288" i="6"/>
  <c r="I1288" i="6"/>
  <c r="J1288" i="6" s="1"/>
  <c r="K1288" i="6" s="1"/>
  <c r="H1288" i="6"/>
  <c r="C1288" i="6"/>
  <c r="Y1289" i="6"/>
  <c r="X1286" i="6"/>
  <c r="S1287" i="6"/>
  <c r="H1289" i="6" l="1"/>
  <c r="Y1290" i="6"/>
  <c r="I1289" i="6"/>
  <c r="J1289" i="6" s="1"/>
  <c r="K1289" i="6" s="1"/>
  <c r="B1290" i="6"/>
  <c r="C1289" i="6"/>
  <c r="D1289" i="6"/>
  <c r="L1289" i="6"/>
  <c r="P1288" i="6"/>
  <c r="X1287" i="6"/>
  <c r="S1288" i="6"/>
  <c r="L1290" i="6" l="1"/>
  <c r="P1290" i="6" s="1"/>
  <c r="Y1291" i="6"/>
  <c r="D1290" i="6"/>
  <c r="B1291" i="6"/>
  <c r="C1290" i="6"/>
  <c r="H1290" i="6"/>
  <c r="I1290" i="6"/>
  <c r="J1290" i="6" s="1"/>
  <c r="K1290" i="6" s="1"/>
  <c r="P1289" i="6"/>
  <c r="X1288" i="6"/>
  <c r="S1289" i="6"/>
  <c r="Y1292" i="6" l="1"/>
  <c r="B1292" i="6"/>
  <c r="D1291" i="6"/>
  <c r="L1291" i="6"/>
  <c r="C1291" i="6"/>
  <c r="I1291" i="6"/>
  <c r="J1291" i="6" s="1"/>
  <c r="K1291" i="6" s="1"/>
  <c r="H1291" i="6"/>
  <c r="X1289" i="6"/>
  <c r="S1290" i="6"/>
  <c r="P1291" i="6" l="1"/>
  <c r="L1292" i="6"/>
  <c r="D1292" i="6"/>
  <c r="Y1293" i="6"/>
  <c r="I1292" i="6"/>
  <c r="J1292" i="6" s="1"/>
  <c r="K1292" i="6" s="1"/>
  <c r="H1292" i="6"/>
  <c r="C1292" i="6"/>
  <c r="B1293" i="6"/>
  <c r="X1290" i="6"/>
  <c r="S1291" i="6"/>
  <c r="I1293" i="6" l="1"/>
  <c r="J1293" i="6" s="1"/>
  <c r="K1293" i="6" s="1"/>
  <c r="C1293" i="6"/>
  <c r="B1294" i="6"/>
  <c r="D1293" i="6"/>
  <c r="L1293" i="6"/>
  <c r="P1293" i="6" s="1"/>
  <c r="H1293" i="6"/>
  <c r="Y1294" i="6"/>
  <c r="P1292" i="6"/>
  <c r="X1291" i="6"/>
  <c r="S1292" i="6"/>
  <c r="D1294" i="6" l="1"/>
  <c r="L1294" i="6"/>
  <c r="C1294" i="6"/>
  <c r="Y1295" i="6"/>
  <c r="H1294" i="6"/>
  <c r="B1295" i="6"/>
  <c r="I1294" i="6"/>
  <c r="J1294" i="6" s="1"/>
  <c r="K1294" i="6" s="1"/>
  <c r="X1292" i="6"/>
  <c r="S1293" i="6"/>
  <c r="H1295" i="6" l="1"/>
  <c r="C1295" i="6"/>
  <c r="L1295" i="6"/>
  <c r="P1295" i="6" s="1"/>
  <c r="I1295" i="6"/>
  <c r="J1295" i="6" s="1"/>
  <c r="K1295" i="6" s="1"/>
  <c r="D1295" i="6"/>
  <c r="B1296" i="6"/>
  <c r="Y1296" i="6"/>
  <c r="P1294" i="6"/>
  <c r="X1293" i="6"/>
  <c r="S1294" i="6"/>
  <c r="Y1297" i="6" l="1"/>
  <c r="C1296" i="6"/>
  <c r="D1296" i="6"/>
  <c r="I1296" i="6"/>
  <c r="J1296" i="6" s="1"/>
  <c r="K1296" i="6" s="1"/>
  <c r="H1296" i="6"/>
  <c r="L1296" i="6"/>
  <c r="P1296" i="6" s="1"/>
  <c r="B1297" i="6"/>
  <c r="X1294" i="6"/>
  <c r="S1295" i="6"/>
  <c r="C1297" i="6" l="1"/>
  <c r="Y1298" i="6"/>
  <c r="L1297" i="6"/>
  <c r="P1297" i="6" s="1"/>
  <c r="B1298" i="6"/>
  <c r="D1297" i="6"/>
  <c r="H1297" i="6"/>
  <c r="I1297" i="6"/>
  <c r="J1297" i="6" s="1"/>
  <c r="K1297" i="6" s="1"/>
  <c r="X1295" i="6"/>
  <c r="S1296" i="6"/>
  <c r="L1298" i="6" l="1"/>
  <c r="P1298" i="6" s="1"/>
  <c r="I1298" i="6"/>
  <c r="J1298" i="6" s="1"/>
  <c r="K1298" i="6" s="1"/>
  <c r="B1299" i="6"/>
  <c r="H1298" i="6"/>
  <c r="C1298" i="6"/>
  <c r="Y1299" i="6"/>
  <c r="D1298" i="6"/>
  <c r="X1296" i="6"/>
  <c r="S1297" i="6"/>
  <c r="B1300" i="6" l="1"/>
  <c r="I1299" i="6"/>
  <c r="J1299" i="6" s="1"/>
  <c r="K1299" i="6" s="1"/>
  <c r="D1299" i="6"/>
  <c r="Y1300" i="6"/>
  <c r="H1299" i="6"/>
  <c r="L1299" i="6"/>
  <c r="P1299" i="6" s="1"/>
  <c r="C1299" i="6"/>
  <c r="X1297" i="6"/>
  <c r="S1298" i="6"/>
  <c r="C1300" i="6" l="1"/>
  <c r="L1300" i="6"/>
  <c r="H1300" i="6"/>
  <c r="D1300" i="6"/>
  <c r="I1300" i="6"/>
  <c r="J1300" i="6" s="1"/>
  <c r="K1300" i="6" s="1"/>
  <c r="B1301" i="6"/>
  <c r="Y1301" i="6"/>
  <c r="X1298" i="6"/>
  <c r="S1299" i="6"/>
  <c r="L1301" i="6" l="1"/>
  <c r="P1301" i="6" s="1"/>
  <c r="I1301" i="6"/>
  <c r="J1301" i="6" s="1"/>
  <c r="K1301" i="6" s="1"/>
  <c r="B1302" i="6"/>
  <c r="D1301" i="6"/>
  <c r="Y1302" i="6"/>
  <c r="C1301" i="6"/>
  <c r="H1301" i="6"/>
  <c r="P1300" i="6"/>
  <c r="X1299" i="6"/>
  <c r="S1300" i="6"/>
  <c r="C1302" i="6" l="1"/>
  <c r="Y1303" i="6"/>
  <c r="H1302" i="6"/>
  <c r="L1302" i="6"/>
  <c r="I1302" i="6"/>
  <c r="J1302" i="6" s="1"/>
  <c r="K1302" i="6" s="1"/>
  <c r="D1302" i="6"/>
  <c r="B1303" i="6"/>
  <c r="X1300" i="6"/>
  <c r="S1301" i="6"/>
  <c r="C1303" i="6" l="1"/>
  <c r="L1303" i="6"/>
  <c r="P1303" i="6" s="1"/>
  <c r="D1303" i="6"/>
  <c r="B1304" i="6"/>
  <c r="H1303" i="6"/>
  <c r="Y1304" i="6"/>
  <c r="I1303" i="6"/>
  <c r="J1303" i="6" s="1"/>
  <c r="K1303" i="6" s="1"/>
  <c r="P1302" i="6"/>
  <c r="X1301" i="6"/>
  <c r="S1302" i="6"/>
  <c r="L1304" i="6" l="1"/>
  <c r="P1304" i="6" s="1"/>
  <c r="D1304" i="6"/>
  <c r="Y1305" i="6"/>
  <c r="C1304" i="6"/>
  <c r="H1304" i="6"/>
  <c r="I1304" i="6"/>
  <c r="J1304" i="6" s="1"/>
  <c r="K1304" i="6" s="1"/>
  <c r="B1305" i="6"/>
  <c r="X1302" i="6"/>
  <c r="S1303" i="6"/>
  <c r="C1305" i="6" l="1"/>
  <c r="D1305" i="6"/>
  <c r="Y1306" i="6"/>
  <c r="L1305" i="6"/>
  <c r="P1305" i="6" s="1"/>
  <c r="I1305" i="6"/>
  <c r="J1305" i="6" s="1"/>
  <c r="K1305" i="6" s="1"/>
  <c r="H1305" i="6"/>
  <c r="B1306" i="6"/>
  <c r="X1303" i="6"/>
  <c r="S1304" i="6"/>
  <c r="Y1307" i="6" l="1"/>
  <c r="B1307" i="6"/>
  <c r="L1306" i="6"/>
  <c r="P1306" i="6" s="1"/>
  <c r="C1306" i="6"/>
  <c r="D1306" i="6"/>
  <c r="I1306" i="6"/>
  <c r="J1306" i="6" s="1"/>
  <c r="K1306" i="6" s="1"/>
  <c r="H1306" i="6"/>
  <c r="X1304" i="6"/>
  <c r="S1305" i="6"/>
  <c r="H1307" i="6" l="1"/>
  <c r="B1308" i="6"/>
  <c r="C1307" i="6"/>
  <c r="Y1308" i="6"/>
  <c r="I1307" i="6"/>
  <c r="J1307" i="6" s="1"/>
  <c r="K1307" i="6" s="1"/>
  <c r="L1307" i="6"/>
  <c r="P1307" i="6" s="1"/>
  <c r="D1307" i="6"/>
  <c r="X1305" i="6"/>
  <c r="S1306" i="6"/>
  <c r="D1308" i="6" l="1"/>
  <c r="C1308" i="6"/>
  <c r="H1308" i="6"/>
  <c r="B1309" i="6"/>
  <c r="Y1309" i="6"/>
  <c r="L1308" i="6"/>
  <c r="P1308" i="6" s="1"/>
  <c r="I1308" i="6"/>
  <c r="J1308" i="6" s="1"/>
  <c r="K1308" i="6" s="1"/>
  <c r="X1306" i="6"/>
  <c r="S1307" i="6"/>
  <c r="B1310" i="6" l="1"/>
  <c r="C1309" i="6"/>
  <c r="D1309" i="6"/>
  <c r="H1309" i="6"/>
  <c r="I1309" i="6"/>
  <c r="J1309" i="6" s="1"/>
  <c r="K1309" i="6" s="1"/>
  <c r="L1309" i="6"/>
  <c r="P1309" i="6" s="1"/>
  <c r="Y1310" i="6"/>
  <c r="X1307" i="6"/>
  <c r="S1308" i="6"/>
  <c r="I1310" i="6" l="1"/>
  <c r="J1310" i="6" s="1"/>
  <c r="K1310" i="6" s="1"/>
  <c r="H1310" i="6"/>
  <c r="B1311" i="6"/>
  <c r="D1310" i="6"/>
  <c r="Y1311" i="6"/>
  <c r="C1310" i="6"/>
  <c r="L1310" i="6"/>
  <c r="X1308" i="6"/>
  <c r="S1309" i="6"/>
  <c r="P1310" i="6" l="1"/>
  <c r="Y1312" i="6"/>
  <c r="L1311" i="6"/>
  <c r="C1311" i="6"/>
  <c r="H1311" i="6"/>
  <c r="B1312" i="6"/>
  <c r="D1311" i="6"/>
  <c r="I1311" i="6"/>
  <c r="J1311" i="6" s="1"/>
  <c r="K1311" i="6" s="1"/>
  <c r="X1309" i="6"/>
  <c r="S1310" i="6"/>
  <c r="I1312" i="6" l="1"/>
  <c r="J1312" i="6" s="1"/>
  <c r="K1312" i="6" s="1"/>
  <c r="Y1313" i="6"/>
  <c r="H1312" i="6"/>
  <c r="D1312" i="6"/>
  <c r="B1313" i="6"/>
  <c r="L1312" i="6"/>
  <c r="P1312" i="6" s="1"/>
  <c r="C1312" i="6"/>
  <c r="P1311" i="6"/>
  <c r="X1310" i="6"/>
  <c r="S1311" i="6"/>
  <c r="D1313" i="6" l="1"/>
  <c r="H1313" i="6"/>
  <c r="C1313" i="6"/>
  <c r="B1314" i="6"/>
  <c r="I1313" i="6"/>
  <c r="J1313" i="6" s="1"/>
  <c r="K1313" i="6" s="1"/>
  <c r="Y1314" i="6"/>
  <c r="L1313" i="6"/>
  <c r="X1311" i="6"/>
  <c r="S1312" i="6"/>
  <c r="H1314" i="6" l="1"/>
  <c r="Y1315" i="6"/>
  <c r="D1314" i="6"/>
  <c r="C1314" i="6"/>
  <c r="L1314" i="6"/>
  <c r="B1315" i="6"/>
  <c r="I1314" i="6"/>
  <c r="J1314" i="6" s="1"/>
  <c r="K1314" i="6" s="1"/>
  <c r="P1313" i="6"/>
  <c r="X1312" i="6"/>
  <c r="S1313" i="6"/>
  <c r="H1315" i="6" l="1"/>
  <c r="I1315" i="6"/>
  <c r="J1315" i="6" s="1"/>
  <c r="K1315" i="6" s="1"/>
  <c r="Y1316" i="6"/>
  <c r="B1316" i="6"/>
  <c r="C1315" i="6"/>
  <c r="L1315" i="6"/>
  <c r="P1315" i="6" s="1"/>
  <c r="D1315" i="6"/>
  <c r="P1314" i="6"/>
  <c r="X1313" i="6"/>
  <c r="S1314" i="6"/>
  <c r="I1316" i="6" l="1"/>
  <c r="J1316" i="6" s="1"/>
  <c r="K1316" i="6" s="1"/>
  <c r="D1316" i="6"/>
  <c r="H1316" i="6"/>
  <c r="B1317" i="6"/>
  <c r="L1316" i="6"/>
  <c r="P1316" i="6" s="1"/>
  <c r="C1316" i="6"/>
  <c r="Y1317" i="6"/>
  <c r="X1314" i="6"/>
  <c r="S1315" i="6"/>
  <c r="H1317" i="6" l="1"/>
  <c r="C1317" i="6"/>
  <c r="B1318" i="6"/>
  <c r="D1317" i="6"/>
  <c r="I1317" i="6"/>
  <c r="J1317" i="6" s="1"/>
  <c r="K1317" i="6" s="1"/>
  <c r="Y1318" i="6"/>
  <c r="L1317" i="6"/>
  <c r="P1317" i="6" s="1"/>
  <c r="X1315" i="6"/>
  <c r="S1316" i="6"/>
  <c r="Y1319" i="6" l="1"/>
  <c r="I1318" i="6"/>
  <c r="J1318" i="6" s="1"/>
  <c r="K1318" i="6" s="1"/>
  <c r="H1318" i="6"/>
  <c r="C1318" i="6"/>
  <c r="L1318" i="6"/>
  <c r="D1318" i="6"/>
  <c r="B1319" i="6"/>
  <c r="X1316" i="6"/>
  <c r="S1317" i="6"/>
  <c r="C1319" i="6" l="1"/>
  <c r="D1319" i="6"/>
  <c r="Y1320" i="6"/>
  <c r="I1319" i="6"/>
  <c r="J1319" i="6" s="1"/>
  <c r="K1319" i="6" s="1"/>
  <c r="H1319" i="6"/>
  <c r="B1320" i="6"/>
  <c r="L1319" i="6"/>
  <c r="P1319" i="6" s="1"/>
  <c r="P1318" i="6"/>
  <c r="X1317" i="6"/>
  <c r="S1318" i="6"/>
  <c r="D1320" i="6" l="1"/>
  <c r="B1321" i="6"/>
  <c r="H1320" i="6"/>
  <c r="I1320" i="6"/>
  <c r="J1320" i="6" s="1"/>
  <c r="K1320" i="6" s="1"/>
  <c r="L1320" i="6"/>
  <c r="Y1321" i="6"/>
  <c r="C1320" i="6"/>
  <c r="X1318" i="6"/>
  <c r="S1319" i="6"/>
  <c r="C1321" i="6" l="1"/>
  <c r="B1322" i="6"/>
  <c r="H1321" i="6"/>
  <c r="I1321" i="6"/>
  <c r="J1321" i="6" s="1"/>
  <c r="K1321" i="6" s="1"/>
  <c r="L1321" i="6"/>
  <c r="D1321" i="6"/>
  <c r="Y1322" i="6"/>
  <c r="P1320" i="6"/>
  <c r="X1319" i="6"/>
  <c r="S1320" i="6"/>
  <c r="D1322" i="6" l="1"/>
  <c r="B1323" i="6"/>
  <c r="C1322" i="6"/>
  <c r="I1322" i="6"/>
  <c r="J1322" i="6" s="1"/>
  <c r="K1322" i="6" s="1"/>
  <c r="L1322" i="6"/>
  <c r="Y1323" i="6"/>
  <c r="H1322" i="6"/>
  <c r="P1321" i="6"/>
  <c r="X1320" i="6"/>
  <c r="S1321" i="6"/>
  <c r="I1323" i="6" l="1"/>
  <c r="J1323" i="6" s="1"/>
  <c r="K1323" i="6" s="1"/>
  <c r="C1323" i="6"/>
  <c r="D1323" i="6"/>
  <c r="B1324" i="6"/>
  <c r="H1323" i="6"/>
  <c r="Y1324" i="6"/>
  <c r="L1323" i="6"/>
  <c r="P1322" i="6"/>
  <c r="X1321" i="6"/>
  <c r="S1322" i="6"/>
  <c r="C1324" i="6" l="1"/>
  <c r="H1324" i="6"/>
  <c r="Y1325" i="6"/>
  <c r="I1324" i="6"/>
  <c r="J1324" i="6" s="1"/>
  <c r="K1324" i="6" s="1"/>
  <c r="B1325" i="6"/>
  <c r="L1324" i="6"/>
  <c r="D1324" i="6"/>
  <c r="P1323" i="6"/>
  <c r="X1322" i="6"/>
  <c r="S1323" i="6"/>
  <c r="Y1326" i="6" l="1"/>
  <c r="B1326" i="6"/>
  <c r="I1325" i="6"/>
  <c r="J1325" i="6" s="1"/>
  <c r="K1325" i="6" s="1"/>
  <c r="C1325" i="6"/>
  <c r="D1325" i="6"/>
  <c r="H1325" i="6"/>
  <c r="L1325" i="6"/>
  <c r="P1324" i="6"/>
  <c r="X1323" i="6"/>
  <c r="S1324" i="6"/>
  <c r="H1326" i="6" l="1"/>
  <c r="D1326" i="6"/>
  <c r="B1327" i="6"/>
  <c r="I1326" i="6"/>
  <c r="J1326" i="6" s="1"/>
  <c r="K1326" i="6" s="1"/>
  <c r="C1326" i="6"/>
  <c r="Y1327" i="6"/>
  <c r="L1326" i="6"/>
  <c r="P1326" i="6" s="1"/>
  <c r="P1325" i="6"/>
  <c r="X1324" i="6"/>
  <c r="S1325" i="6"/>
  <c r="L1327" i="6" l="1"/>
  <c r="P1327" i="6" s="1"/>
  <c r="C1327" i="6"/>
  <c r="D1327" i="6"/>
  <c r="I1327" i="6"/>
  <c r="J1327" i="6" s="1"/>
  <c r="K1327" i="6" s="1"/>
  <c r="H1327" i="6"/>
  <c r="Y1328" i="6"/>
  <c r="B1328" i="6"/>
  <c r="X1325" i="6"/>
  <c r="S1326" i="6"/>
  <c r="I1328" i="6" l="1"/>
  <c r="J1328" i="6" s="1"/>
  <c r="K1328" i="6" s="1"/>
  <c r="B1329" i="6"/>
  <c r="C1328" i="6"/>
  <c r="Y1329" i="6"/>
  <c r="L1328" i="6"/>
  <c r="H1328" i="6"/>
  <c r="D1328" i="6"/>
  <c r="X1326" i="6"/>
  <c r="S1327" i="6"/>
  <c r="P1328" i="6" l="1"/>
  <c r="D1329" i="6"/>
  <c r="L1329" i="6"/>
  <c r="B1330" i="6"/>
  <c r="I1329" i="6"/>
  <c r="J1329" i="6" s="1"/>
  <c r="K1329" i="6" s="1"/>
  <c r="C1329" i="6"/>
  <c r="H1329" i="6"/>
  <c r="Y1330" i="6"/>
  <c r="X1327" i="6"/>
  <c r="S1328" i="6"/>
  <c r="Y1331" i="6" l="1"/>
  <c r="I1330" i="6"/>
  <c r="J1330" i="6" s="1"/>
  <c r="K1330" i="6" s="1"/>
  <c r="B1331" i="6"/>
  <c r="H1330" i="6"/>
  <c r="L1330" i="6"/>
  <c r="P1330" i="6" s="1"/>
  <c r="C1330" i="6"/>
  <c r="D1330" i="6"/>
  <c r="P1329" i="6"/>
  <c r="X1328" i="6"/>
  <c r="S1329" i="6"/>
  <c r="L1331" i="6" l="1"/>
  <c r="H1331" i="6"/>
  <c r="B1332" i="6"/>
  <c r="D1331" i="6"/>
  <c r="Y1332" i="6"/>
  <c r="I1331" i="6"/>
  <c r="J1331" i="6" s="1"/>
  <c r="K1331" i="6" s="1"/>
  <c r="C1331" i="6"/>
  <c r="X1329" i="6"/>
  <c r="S1330" i="6"/>
  <c r="D1332" i="6" l="1"/>
  <c r="L1332" i="6"/>
  <c r="P1332" i="6" s="1"/>
  <c r="Y1333" i="6"/>
  <c r="B1333" i="6"/>
  <c r="C1332" i="6"/>
  <c r="H1332" i="6"/>
  <c r="I1332" i="6"/>
  <c r="J1332" i="6" s="1"/>
  <c r="K1332" i="6" s="1"/>
  <c r="P1331" i="6"/>
  <c r="X1330" i="6"/>
  <c r="S1331" i="6"/>
  <c r="B1334" i="6" l="1"/>
  <c r="H1333" i="6"/>
  <c r="L1333" i="6"/>
  <c r="P1333" i="6" s="1"/>
  <c r="C1333" i="6"/>
  <c r="Y1334" i="6"/>
  <c r="I1333" i="6"/>
  <c r="J1333" i="6" s="1"/>
  <c r="K1333" i="6" s="1"/>
  <c r="D1333" i="6"/>
  <c r="X1331" i="6"/>
  <c r="S1332" i="6"/>
  <c r="C1334" i="6" l="1"/>
  <c r="D1334" i="6"/>
  <c r="I1334" i="6"/>
  <c r="J1334" i="6" s="1"/>
  <c r="K1334" i="6" s="1"/>
  <c r="B1335" i="6"/>
  <c r="L1334" i="6"/>
  <c r="H1334" i="6"/>
  <c r="Y1335" i="6"/>
  <c r="X1332" i="6"/>
  <c r="S1333" i="6"/>
  <c r="P1334" i="6" l="1"/>
  <c r="B1336" i="6"/>
  <c r="H1335" i="6"/>
  <c r="D1335" i="6"/>
  <c r="C1335" i="6"/>
  <c r="Y1336" i="6"/>
  <c r="L1335" i="6"/>
  <c r="I1335" i="6"/>
  <c r="J1335" i="6" s="1"/>
  <c r="K1335" i="6" s="1"/>
  <c r="X1333" i="6"/>
  <c r="S1334" i="6"/>
  <c r="D1336" i="6" l="1"/>
  <c r="H1336" i="6"/>
  <c r="Y1337" i="6"/>
  <c r="C1336" i="6"/>
  <c r="I1336" i="6"/>
  <c r="J1336" i="6" s="1"/>
  <c r="K1336" i="6" s="1"/>
  <c r="B1337" i="6"/>
  <c r="L1336" i="6"/>
  <c r="P1336" i="6" s="1"/>
  <c r="P1335" i="6"/>
  <c r="X1334" i="6"/>
  <c r="S1335" i="6"/>
  <c r="I1337" i="6" l="1"/>
  <c r="J1337" i="6" s="1"/>
  <c r="K1337" i="6" s="1"/>
  <c r="Y1338" i="6"/>
  <c r="D1337" i="6"/>
  <c r="C1337" i="6"/>
  <c r="L1337" i="6"/>
  <c r="H1337" i="6"/>
  <c r="B1338" i="6"/>
  <c r="X1335" i="6"/>
  <c r="S1336" i="6"/>
  <c r="C1338" i="6" l="1"/>
  <c r="H1338" i="6"/>
  <c r="Y1339" i="6"/>
  <c r="L1338" i="6"/>
  <c r="P1338" i="6" s="1"/>
  <c r="D1338" i="6"/>
  <c r="B1339" i="6"/>
  <c r="I1338" i="6"/>
  <c r="J1338" i="6" s="1"/>
  <c r="K1338" i="6" s="1"/>
  <c r="P1337" i="6"/>
  <c r="X1336" i="6"/>
  <c r="S1337" i="6"/>
  <c r="Y1340" i="6" l="1"/>
  <c r="I1339" i="6"/>
  <c r="J1339" i="6" s="1"/>
  <c r="K1339" i="6" s="1"/>
  <c r="B1340" i="6"/>
  <c r="C1339" i="6"/>
  <c r="H1339" i="6"/>
  <c r="D1339" i="6"/>
  <c r="L1339" i="6"/>
  <c r="P1339" i="6" s="1"/>
  <c r="X1337" i="6"/>
  <c r="S1338" i="6"/>
  <c r="C1340" i="6" l="1"/>
  <c r="L1340" i="6"/>
  <c r="D1340" i="6"/>
  <c r="H1340" i="6"/>
  <c r="I1340" i="6"/>
  <c r="J1340" i="6" s="1"/>
  <c r="K1340" i="6" s="1"/>
  <c r="B1341" i="6"/>
  <c r="Y1341" i="6"/>
  <c r="X1338" i="6"/>
  <c r="S1339" i="6"/>
  <c r="B1342" i="6" l="1"/>
  <c r="C1341" i="6"/>
  <c r="D1341" i="6"/>
  <c r="I1341" i="6"/>
  <c r="J1341" i="6" s="1"/>
  <c r="K1341" i="6" s="1"/>
  <c r="H1341" i="6"/>
  <c r="L1341" i="6"/>
  <c r="P1341" i="6" s="1"/>
  <c r="Y1342" i="6"/>
  <c r="P1340" i="6"/>
  <c r="X1339" i="6"/>
  <c r="S1340" i="6"/>
  <c r="H1342" i="6" l="1"/>
  <c r="Y1343" i="6"/>
  <c r="C1342" i="6"/>
  <c r="I1342" i="6"/>
  <c r="J1342" i="6" s="1"/>
  <c r="K1342" i="6" s="1"/>
  <c r="D1342" i="6"/>
  <c r="L1342" i="6"/>
  <c r="P1342" i="6" s="1"/>
  <c r="B1343" i="6"/>
  <c r="X1340" i="6"/>
  <c r="S1341" i="6"/>
  <c r="B1344" i="6" l="1"/>
  <c r="L1343" i="6"/>
  <c r="C1343" i="6"/>
  <c r="D1343" i="6"/>
  <c r="Y1344" i="6"/>
  <c r="I1343" i="6"/>
  <c r="J1343" i="6" s="1"/>
  <c r="K1343" i="6" s="1"/>
  <c r="H1343" i="6"/>
  <c r="X1341" i="6"/>
  <c r="S1342" i="6"/>
  <c r="P1343" i="6" l="1"/>
  <c r="D1344" i="6"/>
  <c r="H1344" i="6"/>
  <c r="B1345" i="6"/>
  <c r="L1344" i="6"/>
  <c r="Y1345" i="6"/>
  <c r="C1344" i="6"/>
  <c r="I1344" i="6"/>
  <c r="J1344" i="6" s="1"/>
  <c r="K1344" i="6" s="1"/>
  <c r="X1342" i="6"/>
  <c r="S1343" i="6"/>
  <c r="Y1346" i="6" l="1"/>
  <c r="D1345" i="6"/>
  <c r="B1346" i="6"/>
  <c r="H1345" i="6"/>
  <c r="C1345" i="6"/>
  <c r="L1345" i="6"/>
  <c r="I1345" i="6"/>
  <c r="J1345" i="6" s="1"/>
  <c r="K1345" i="6" s="1"/>
  <c r="P1344" i="6"/>
  <c r="X1343" i="6"/>
  <c r="S1344" i="6"/>
  <c r="C1346" i="6" l="1"/>
  <c r="Y1347" i="6"/>
  <c r="D1346" i="6"/>
  <c r="L1346" i="6"/>
  <c r="I1346" i="6"/>
  <c r="J1346" i="6" s="1"/>
  <c r="K1346" i="6" s="1"/>
  <c r="B1347" i="6"/>
  <c r="H1346" i="6"/>
  <c r="P1345" i="6"/>
  <c r="X1344" i="6"/>
  <c r="S1345" i="6"/>
  <c r="I1347" i="6" l="1"/>
  <c r="J1347" i="6" s="1"/>
  <c r="K1347" i="6" s="1"/>
  <c r="H1347" i="6"/>
  <c r="Y1348" i="6"/>
  <c r="D1347" i="6"/>
  <c r="B1348" i="6"/>
  <c r="C1347" i="6"/>
  <c r="L1347" i="6"/>
  <c r="P1347" i="6" s="1"/>
  <c r="P1346" i="6"/>
  <c r="X1345" i="6"/>
  <c r="S1346" i="6"/>
  <c r="L1348" i="6" l="1"/>
  <c r="B1349" i="6"/>
  <c r="C1348" i="6"/>
  <c r="D1348" i="6"/>
  <c r="Y1349" i="6"/>
  <c r="H1348" i="6"/>
  <c r="I1348" i="6"/>
  <c r="J1348" i="6" s="1"/>
  <c r="K1348" i="6" s="1"/>
  <c r="X1346" i="6"/>
  <c r="S1347" i="6"/>
  <c r="L1349" i="6" l="1"/>
  <c r="P1349" i="6" s="1"/>
  <c r="C1349" i="6"/>
  <c r="Y1350" i="6"/>
  <c r="B1350" i="6"/>
  <c r="D1349" i="6"/>
  <c r="H1349" i="6"/>
  <c r="I1349" i="6"/>
  <c r="J1349" i="6" s="1"/>
  <c r="K1349" i="6" s="1"/>
  <c r="P1348" i="6"/>
  <c r="X1347" i="6"/>
  <c r="S1348" i="6"/>
  <c r="C1350" i="6" l="1"/>
  <c r="Y1351" i="6"/>
  <c r="D1350" i="6"/>
  <c r="H1350" i="6"/>
  <c r="L1350" i="6"/>
  <c r="P1350" i="6" s="1"/>
  <c r="B1351" i="6"/>
  <c r="I1350" i="6"/>
  <c r="J1350" i="6" s="1"/>
  <c r="K1350" i="6" s="1"/>
  <c r="X1348" i="6"/>
  <c r="S1349" i="6"/>
  <c r="D1351" i="6" l="1"/>
  <c r="Y1352" i="6"/>
  <c r="H1351" i="6"/>
  <c r="B1352" i="6"/>
  <c r="L1351" i="6"/>
  <c r="P1351" i="6" s="1"/>
  <c r="C1351" i="6"/>
  <c r="I1351" i="6"/>
  <c r="J1351" i="6" s="1"/>
  <c r="K1351" i="6" s="1"/>
  <c r="X1349" i="6"/>
  <c r="S1350" i="6"/>
  <c r="C1352" i="6" l="1"/>
  <c r="B1353" i="6"/>
  <c r="Y1353" i="6"/>
  <c r="I1352" i="6"/>
  <c r="J1352" i="6" s="1"/>
  <c r="K1352" i="6" s="1"/>
  <c r="D1352" i="6"/>
  <c r="H1352" i="6"/>
  <c r="L1352" i="6"/>
  <c r="X1350" i="6"/>
  <c r="S1351" i="6"/>
  <c r="P1352" i="6" l="1"/>
  <c r="B1354" i="6"/>
  <c r="H1353" i="6"/>
  <c r="D1353" i="6"/>
  <c r="I1353" i="6"/>
  <c r="J1353" i="6" s="1"/>
  <c r="K1353" i="6" s="1"/>
  <c r="Y1354" i="6"/>
  <c r="L1353" i="6"/>
  <c r="C1353" i="6"/>
  <c r="X1351" i="6"/>
  <c r="S1352" i="6"/>
  <c r="L1354" i="6" l="1"/>
  <c r="C1354" i="6"/>
  <c r="Y1355" i="6"/>
  <c r="I1354" i="6"/>
  <c r="J1354" i="6" s="1"/>
  <c r="K1354" i="6" s="1"/>
  <c r="B1355" i="6"/>
  <c r="D1354" i="6"/>
  <c r="H1354" i="6"/>
  <c r="P1353" i="6"/>
  <c r="X1352" i="6"/>
  <c r="S1353" i="6"/>
  <c r="L1355" i="6" l="1"/>
  <c r="P1355" i="6" s="1"/>
  <c r="C1355" i="6"/>
  <c r="Y1356" i="6"/>
  <c r="D1355" i="6"/>
  <c r="H1355" i="6"/>
  <c r="I1355" i="6"/>
  <c r="J1355" i="6" s="1"/>
  <c r="K1355" i="6" s="1"/>
  <c r="B1356" i="6"/>
  <c r="P1354" i="6"/>
  <c r="X1353" i="6"/>
  <c r="S1354" i="6"/>
  <c r="H1356" i="6" l="1"/>
  <c r="D1356" i="6"/>
  <c r="C1356" i="6"/>
  <c r="Y1357" i="6"/>
  <c r="B1357" i="6"/>
  <c r="L1356" i="6"/>
  <c r="I1356" i="6"/>
  <c r="J1356" i="6" s="1"/>
  <c r="K1356" i="6" s="1"/>
  <c r="X1354" i="6"/>
  <c r="S1355" i="6"/>
  <c r="P1356" i="6" l="1"/>
  <c r="B1358" i="6"/>
  <c r="I1357" i="6"/>
  <c r="J1357" i="6" s="1"/>
  <c r="K1357" i="6" s="1"/>
  <c r="L1357" i="6"/>
  <c r="Y1358" i="6"/>
  <c r="D1357" i="6"/>
  <c r="H1357" i="6"/>
  <c r="C1357" i="6"/>
  <c r="X1355" i="6"/>
  <c r="S1356" i="6"/>
  <c r="P1357" i="6" l="1"/>
  <c r="L1358" i="6"/>
  <c r="Y1359" i="6"/>
  <c r="C1358" i="6"/>
  <c r="D1358" i="6"/>
  <c r="B1359" i="6"/>
  <c r="H1358" i="6"/>
  <c r="I1358" i="6"/>
  <c r="J1358" i="6" s="1"/>
  <c r="K1358" i="6" s="1"/>
  <c r="X1356" i="6"/>
  <c r="S1357" i="6"/>
  <c r="H1359" i="6" l="1"/>
  <c r="Y1360" i="6"/>
  <c r="D1359" i="6"/>
  <c r="B1360" i="6"/>
  <c r="I1359" i="6"/>
  <c r="J1359" i="6" s="1"/>
  <c r="K1359" i="6" s="1"/>
  <c r="L1359" i="6"/>
  <c r="P1359" i="6" s="1"/>
  <c r="C1359" i="6"/>
  <c r="P1358" i="6"/>
  <c r="X1357" i="6"/>
  <c r="S1358" i="6"/>
  <c r="D1360" i="6" l="1"/>
  <c r="L1360" i="6"/>
  <c r="I1360" i="6"/>
  <c r="J1360" i="6" s="1"/>
  <c r="K1360" i="6" s="1"/>
  <c r="C1360" i="6"/>
  <c r="B1361" i="6"/>
  <c r="Y1361" i="6"/>
  <c r="H1360" i="6"/>
  <c r="X1358" i="6"/>
  <c r="S1359" i="6"/>
  <c r="B1362" i="6" l="1"/>
  <c r="C1361" i="6"/>
  <c r="Y1362" i="6"/>
  <c r="I1361" i="6"/>
  <c r="J1361" i="6" s="1"/>
  <c r="K1361" i="6" s="1"/>
  <c r="L1361" i="6"/>
  <c r="P1361" i="6" s="1"/>
  <c r="D1361" i="6"/>
  <c r="H1361" i="6"/>
  <c r="P1360" i="6"/>
  <c r="X1359" i="6"/>
  <c r="S1360" i="6"/>
  <c r="I1362" i="6" l="1"/>
  <c r="J1362" i="6" s="1"/>
  <c r="K1362" i="6" s="1"/>
  <c r="L1362" i="6"/>
  <c r="D1362" i="6"/>
  <c r="C1362" i="6"/>
  <c r="Y1363" i="6"/>
  <c r="B1363" i="6"/>
  <c r="H1362" i="6"/>
  <c r="X1360" i="6"/>
  <c r="S1361" i="6"/>
  <c r="B1364" i="6" l="1"/>
  <c r="H1363" i="6"/>
  <c r="Y1364" i="6"/>
  <c r="I1363" i="6"/>
  <c r="J1363" i="6" s="1"/>
  <c r="K1363" i="6" s="1"/>
  <c r="C1363" i="6"/>
  <c r="D1363" i="6"/>
  <c r="L1363" i="6"/>
  <c r="P1363" i="6" s="1"/>
  <c r="P1362" i="6"/>
  <c r="X1361" i="6"/>
  <c r="S1362" i="6"/>
  <c r="L1364" i="6" l="1"/>
  <c r="H1364" i="6"/>
  <c r="I1364" i="6"/>
  <c r="J1364" i="6" s="1"/>
  <c r="K1364" i="6" s="1"/>
  <c r="C1364" i="6"/>
  <c r="Y1365" i="6"/>
  <c r="B1365" i="6"/>
  <c r="D1364" i="6"/>
  <c r="X1362" i="6"/>
  <c r="S1363" i="6"/>
  <c r="H1365" i="6" l="1"/>
  <c r="L1365" i="6"/>
  <c r="P1365" i="6" s="1"/>
  <c r="C1365" i="6"/>
  <c r="D1365" i="6"/>
  <c r="B1366" i="6"/>
  <c r="I1365" i="6"/>
  <c r="J1365" i="6" s="1"/>
  <c r="K1365" i="6" s="1"/>
  <c r="Y1366" i="6"/>
  <c r="P1364" i="6"/>
  <c r="X1363" i="6"/>
  <c r="S1364" i="6"/>
  <c r="H1366" i="6" l="1"/>
  <c r="C1366" i="6"/>
  <c r="Y1367" i="6"/>
  <c r="B1367" i="6"/>
  <c r="L1366" i="6"/>
  <c r="I1366" i="6"/>
  <c r="J1366" i="6" s="1"/>
  <c r="K1366" i="6" s="1"/>
  <c r="D1366" i="6"/>
  <c r="X1364" i="6"/>
  <c r="S1365" i="6"/>
  <c r="B1368" i="6" l="1"/>
  <c r="Y1368" i="6"/>
  <c r="C1367" i="6"/>
  <c r="D1367" i="6"/>
  <c r="I1367" i="6"/>
  <c r="J1367" i="6" s="1"/>
  <c r="K1367" i="6" s="1"/>
  <c r="L1367" i="6"/>
  <c r="H1367" i="6"/>
  <c r="P1366" i="6"/>
  <c r="X1365" i="6"/>
  <c r="S1366" i="6"/>
  <c r="H1368" i="6" l="1"/>
  <c r="D1368" i="6"/>
  <c r="C1368" i="6"/>
  <c r="I1368" i="6"/>
  <c r="J1368" i="6" s="1"/>
  <c r="K1368" i="6" s="1"/>
  <c r="L1368" i="6"/>
  <c r="B1369" i="6"/>
  <c r="Y1369" i="6"/>
  <c r="P1367" i="6"/>
  <c r="X1366" i="6"/>
  <c r="S1367" i="6"/>
  <c r="D1369" i="6" l="1"/>
  <c r="B1370" i="6"/>
  <c r="I1369" i="6"/>
  <c r="J1369" i="6" s="1"/>
  <c r="K1369" i="6" s="1"/>
  <c r="L1369" i="6"/>
  <c r="P1369" i="6" s="1"/>
  <c r="C1369" i="6"/>
  <c r="H1369" i="6"/>
  <c r="Y1370" i="6"/>
  <c r="P1368" i="6"/>
  <c r="X1367" i="6"/>
  <c r="S1368" i="6"/>
  <c r="B1371" i="6" l="1"/>
  <c r="C1370" i="6"/>
  <c r="L1370" i="6"/>
  <c r="H1370" i="6"/>
  <c r="Y1371" i="6"/>
  <c r="I1370" i="6"/>
  <c r="J1370" i="6" s="1"/>
  <c r="K1370" i="6" s="1"/>
  <c r="D1370" i="6"/>
  <c r="X1368" i="6"/>
  <c r="S1369" i="6"/>
  <c r="H1371" i="6" l="1"/>
  <c r="Y1372" i="6"/>
  <c r="L1371" i="6"/>
  <c r="C1371" i="6"/>
  <c r="D1371" i="6"/>
  <c r="I1371" i="6"/>
  <c r="J1371" i="6" s="1"/>
  <c r="K1371" i="6" s="1"/>
  <c r="B1372" i="6"/>
  <c r="P1370" i="6"/>
  <c r="X1369" i="6"/>
  <c r="S1370" i="6"/>
  <c r="Y1373" i="6" l="1"/>
  <c r="B1373" i="6"/>
  <c r="L1372" i="6"/>
  <c r="P1372" i="6" s="1"/>
  <c r="D1372" i="6"/>
  <c r="C1372" i="6"/>
  <c r="I1372" i="6"/>
  <c r="J1372" i="6" s="1"/>
  <c r="K1372" i="6" s="1"/>
  <c r="H1372" i="6"/>
  <c r="P1371" i="6"/>
  <c r="X1370" i="6"/>
  <c r="S1371" i="6"/>
  <c r="Y1374" i="6" l="1"/>
  <c r="C1373" i="6"/>
  <c r="H1373" i="6"/>
  <c r="B1374" i="6"/>
  <c r="L1373" i="6"/>
  <c r="P1373" i="6" s="1"/>
  <c r="I1373" i="6"/>
  <c r="J1373" i="6" s="1"/>
  <c r="K1373" i="6" s="1"/>
  <c r="D1373" i="6"/>
  <c r="X1371" i="6"/>
  <c r="S1372" i="6"/>
  <c r="H1374" i="6" l="1"/>
  <c r="D1374" i="6"/>
  <c r="Y1375" i="6"/>
  <c r="B1375" i="6"/>
  <c r="L1374" i="6"/>
  <c r="P1374" i="6" s="1"/>
  <c r="I1374" i="6"/>
  <c r="J1374" i="6" s="1"/>
  <c r="K1374" i="6" s="1"/>
  <c r="C1374" i="6"/>
  <c r="X1372" i="6"/>
  <c r="S1373" i="6"/>
  <c r="C1375" i="6" l="1"/>
  <c r="L1375" i="6"/>
  <c r="D1375" i="6"/>
  <c r="H1375" i="6"/>
  <c r="I1375" i="6"/>
  <c r="J1375" i="6" s="1"/>
  <c r="K1375" i="6" s="1"/>
  <c r="Y1376" i="6"/>
  <c r="B1376" i="6"/>
  <c r="X1373" i="6"/>
  <c r="S1374" i="6"/>
  <c r="L1376" i="6" l="1"/>
  <c r="P1376" i="6" s="1"/>
  <c r="Y1377" i="6"/>
  <c r="H1376" i="6"/>
  <c r="D1376" i="6"/>
  <c r="I1376" i="6"/>
  <c r="J1376" i="6" s="1"/>
  <c r="K1376" i="6" s="1"/>
  <c r="B1377" i="6"/>
  <c r="C1376" i="6"/>
  <c r="P1375" i="6"/>
  <c r="X1374" i="6"/>
  <c r="S1375" i="6"/>
  <c r="B1378" i="6" l="1"/>
  <c r="D1377" i="6"/>
  <c r="L1377" i="6"/>
  <c r="P1377" i="6" s="1"/>
  <c r="Y1378" i="6"/>
  <c r="I1377" i="6"/>
  <c r="J1377" i="6" s="1"/>
  <c r="K1377" i="6" s="1"/>
  <c r="H1377" i="6"/>
  <c r="C1377" i="6"/>
  <c r="X1375" i="6"/>
  <c r="S1376" i="6"/>
  <c r="H1378" i="6" l="1"/>
  <c r="L1378" i="6"/>
  <c r="C1378" i="6"/>
  <c r="Y1379" i="6"/>
  <c r="B1379" i="6"/>
  <c r="I1378" i="6"/>
  <c r="J1378" i="6" s="1"/>
  <c r="K1378" i="6" s="1"/>
  <c r="D1378" i="6"/>
  <c r="X1376" i="6"/>
  <c r="S1377" i="6"/>
  <c r="B1380" i="6" l="1"/>
  <c r="Y1380" i="6"/>
  <c r="L1379" i="6"/>
  <c r="P1379" i="6" s="1"/>
  <c r="I1379" i="6"/>
  <c r="J1379" i="6" s="1"/>
  <c r="K1379" i="6" s="1"/>
  <c r="H1379" i="6"/>
  <c r="C1379" i="6"/>
  <c r="D1379" i="6"/>
  <c r="P1378" i="6"/>
  <c r="X1377" i="6"/>
  <c r="S1378" i="6"/>
  <c r="Y1381" i="6" l="1"/>
  <c r="C1380" i="6"/>
  <c r="H1380" i="6"/>
  <c r="I1380" i="6"/>
  <c r="J1380" i="6" s="1"/>
  <c r="K1380" i="6" s="1"/>
  <c r="L1380" i="6"/>
  <c r="B1381" i="6"/>
  <c r="D1380" i="6"/>
  <c r="X1378" i="6"/>
  <c r="S1379" i="6"/>
  <c r="C1381" i="6" l="1"/>
  <c r="H1381" i="6"/>
  <c r="B1382" i="6"/>
  <c r="I1381" i="6"/>
  <c r="J1381" i="6" s="1"/>
  <c r="K1381" i="6" s="1"/>
  <c r="Y1382" i="6"/>
  <c r="D1381" i="6"/>
  <c r="L1381" i="6"/>
  <c r="P1380" i="6"/>
  <c r="X1379" i="6"/>
  <c r="S1380" i="6"/>
  <c r="P1381" i="6" l="1"/>
  <c r="L1382" i="6"/>
  <c r="C1382" i="6"/>
  <c r="I1382" i="6"/>
  <c r="J1382" i="6" s="1"/>
  <c r="K1382" i="6" s="1"/>
  <c r="H1382" i="6"/>
  <c r="D1382" i="6"/>
  <c r="B1383" i="6"/>
  <c r="Y1383" i="6"/>
  <c r="X1380" i="6"/>
  <c r="S1381" i="6"/>
  <c r="B1384" i="6" l="1"/>
  <c r="I1383" i="6"/>
  <c r="J1383" i="6" s="1"/>
  <c r="K1383" i="6" s="1"/>
  <c r="L1383" i="6"/>
  <c r="P1383" i="6" s="1"/>
  <c r="D1383" i="6"/>
  <c r="Y1384" i="6"/>
  <c r="H1383" i="6"/>
  <c r="C1383" i="6"/>
  <c r="P1382" i="6"/>
  <c r="X1381" i="6"/>
  <c r="S1382" i="6"/>
  <c r="I1384" i="6" l="1"/>
  <c r="J1384" i="6" s="1"/>
  <c r="K1384" i="6" s="1"/>
  <c r="B1385" i="6"/>
  <c r="C1384" i="6"/>
  <c r="D1384" i="6"/>
  <c r="H1384" i="6"/>
  <c r="L1384" i="6"/>
  <c r="Y1385" i="6"/>
  <c r="X1382" i="6"/>
  <c r="S1383" i="6"/>
  <c r="C1385" i="6" l="1"/>
  <c r="Y1386" i="6"/>
  <c r="L1385" i="6"/>
  <c r="I1385" i="6"/>
  <c r="J1385" i="6" s="1"/>
  <c r="K1385" i="6" s="1"/>
  <c r="B1386" i="6"/>
  <c r="D1385" i="6"/>
  <c r="H1385" i="6"/>
  <c r="P1384" i="6"/>
  <c r="X1383" i="6"/>
  <c r="S1384" i="6"/>
  <c r="Y1387" i="6" l="1"/>
  <c r="C1386" i="6"/>
  <c r="D1386" i="6"/>
  <c r="I1386" i="6"/>
  <c r="J1386" i="6" s="1"/>
  <c r="K1386" i="6" s="1"/>
  <c r="L1386" i="6"/>
  <c r="P1386" i="6" s="1"/>
  <c r="B1387" i="6"/>
  <c r="H1386" i="6"/>
  <c r="P1385" i="6"/>
  <c r="X1384" i="6"/>
  <c r="S1385" i="6"/>
  <c r="H1387" i="6" l="1"/>
  <c r="Y1388" i="6"/>
  <c r="B1388" i="6"/>
  <c r="L1387" i="6"/>
  <c r="D1387" i="6"/>
  <c r="C1387" i="6"/>
  <c r="I1387" i="6"/>
  <c r="J1387" i="6" s="1"/>
  <c r="K1387" i="6" s="1"/>
  <c r="X1385" i="6"/>
  <c r="S1386" i="6"/>
  <c r="P1387" i="6" l="1"/>
  <c r="H1388" i="6"/>
  <c r="Y1389" i="6"/>
  <c r="L1388" i="6"/>
  <c r="C1388" i="6"/>
  <c r="B1389" i="6"/>
  <c r="I1388" i="6"/>
  <c r="J1388" i="6" s="1"/>
  <c r="K1388" i="6" s="1"/>
  <c r="D1388" i="6"/>
  <c r="X1386" i="6"/>
  <c r="S1387" i="6"/>
  <c r="D1389" i="6" l="1"/>
  <c r="C1389" i="6"/>
  <c r="Y1390" i="6"/>
  <c r="H1389" i="6"/>
  <c r="L1389" i="6"/>
  <c r="P1389" i="6" s="1"/>
  <c r="I1389" i="6"/>
  <c r="J1389" i="6" s="1"/>
  <c r="K1389" i="6" s="1"/>
  <c r="B1390" i="6"/>
  <c r="P1388" i="6"/>
  <c r="X1387" i="6"/>
  <c r="S1388" i="6"/>
  <c r="Y1391" i="6" l="1"/>
  <c r="H1390" i="6"/>
  <c r="D1390" i="6"/>
  <c r="I1390" i="6"/>
  <c r="J1390" i="6" s="1"/>
  <c r="K1390" i="6" s="1"/>
  <c r="C1390" i="6"/>
  <c r="L1390" i="6"/>
  <c r="P1390" i="6" s="1"/>
  <c r="B1391" i="6"/>
  <c r="X1388" i="6"/>
  <c r="S1389" i="6"/>
  <c r="B1392" i="6" l="1"/>
  <c r="C1391" i="6"/>
  <c r="Y1392" i="6"/>
  <c r="L1391" i="6"/>
  <c r="P1391" i="6" s="1"/>
  <c r="H1391" i="6"/>
  <c r="D1391" i="6"/>
  <c r="I1391" i="6"/>
  <c r="J1391" i="6" s="1"/>
  <c r="K1391" i="6" s="1"/>
  <c r="X1389" i="6"/>
  <c r="S1390" i="6"/>
  <c r="I1392" i="6" l="1"/>
  <c r="J1392" i="6" s="1"/>
  <c r="K1392" i="6" s="1"/>
  <c r="D1392" i="6"/>
  <c r="L1392" i="6"/>
  <c r="P1392" i="6" s="1"/>
  <c r="H1392" i="6"/>
  <c r="Y1393" i="6"/>
  <c r="B1393" i="6"/>
  <c r="C1392" i="6"/>
  <c r="X1390" i="6"/>
  <c r="S1391" i="6"/>
  <c r="B1394" i="6" l="1"/>
  <c r="I1393" i="6"/>
  <c r="J1393" i="6" s="1"/>
  <c r="K1393" i="6" s="1"/>
  <c r="H1393" i="6"/>
  <c r="C1393" i="6"/>
  <c r="Y1394" i="6"/>
  <c r="L1393" i="6"/>
  <c r="P1393" i="6" s="1"/>
  <c r="D1393" i="6"/>
  <c r="X1391" i="6"/>
  <c r="S1392" i="6"/>
  <c r="B1395" i="6" l="1"/>
  <c r="Y1395" i="6"/>
  <c r="D1394" i="6"/>
  <c r="H1394" i="6"/>
  <c r="L1394" i="6"/>
  <c r="I1394" i="6"/>
  <c r="J1394" i="6" s="1"/>
  <c r="K1394" i="6" s="1"/>
  <c r="C1394" i="6"/>
  <c r="X1392" i="6"/>
  <c r="S1393" i="6"/>
  <c r="H1395" i="6" l="1"/>
  <c r="B1396" i="6"/>
  <c r="C1395" i="6"/>
  <c r="D1395" i="6"/>
  <c r="Y1396" i="6"/>
  <c r="L1395" i="6"/>
  <c r="I1395" i="6"/>
  <c r="J1395" i="6" s="1"/>
  <c r="K1395" i="6" s="1"/>
  <c r="P1394" i="6"/>
  <c r="X1393" i="6"/>
  <c r="S1394" i="6"/>
  <c r="H1396" i="6" l="1"/>
  <c r="Y1397" i="6"/>
  <c r="L1396" i="6"/>
  <c r="C1396" i="6"/>
  <c r="B1397" i="6"/>
  <c r="I1396" i="6"/>
  <c r="J1396" i="6" s="1"/>
  <c r="K1396" i="6" s="1"/>
  <c r="D1396" i="6"/>
  <c r="P1395" i="6"/>
  <c r="X1394" i="6"/>
  <c r="S1395" i="6"/>
  <c r="L1397" i="6" l="1"/>
  <c r="P1397" i="6" s="1"/>
  <c r="Y1398" i="6"/>
  <c r="D1397" i="6"/>
  <c r="B1398" i="6"/>
  <c r="I1397" i="6"/>
  <c r="J1397" i="6" s="1"/>
  <c r="K1397" i="6" s="1"/>
  <c r="C1397" i="6"/>
  <c r="H1397" i="6"/>
  <c r="P1396" i="6"/>
  <c r="X1395" i="6"/>
  <c r="S1396" i="6"/>
  <c r="L1398" i="6" l="1"/>
  <c r="P1398" i="6" s="1"/>
  <c r="H1398" i="6"/>
  <c r="C1398" i="6"/>
  <c r="B1399" i="6"/>
  <c r="D1398" i="6"/>
  <c r="I1398" i="6"/>
  <c r="J1398" i="6" s="1"/>
  <c r="K1398" i="6" s="1"/>
  <c r="Y1399" i="6"/>
  <c r="X1396" i="6"/>
  <c r="S1397" i="6"/>
  <c r="Y1400" i="6" l="1"/>
  <c r="H1399" i="6"/>
  <c r="C1399" i="6"/>
  <c r="D1399" i="6"/>
  <c r="B1400" i="6"/>
  <c r="L1399" i="6"/>
  <c r="P1399" i="6" s="1"/>
  <c r="I1399" i="6"/>
  <c r="J1399" i="6" s="1"/>
  <c r="K1399" i="6" s="1"/>
  <c r="X1397" i="6"/>
  <c r="S1398" i="6"/>
  <c r="C1400" i="6" l="1"/>
  <c r="L1400" i="6"/>
  <c r="P1400" i="6" s="1"/>
  <c r="B1401" i="6"/>
  <c r="I1400" i="6"/>
  <c r="J1400" i="6" s="1"/>
  <c r="K1400" i="6" s="1"/>
  <c r="H1400" i="6"/>
  <c r="Y1401" i="6"/>
  <c r="D1400" i="6"/>
  <c r="X1398" i="6"/>
  <c r="S1399" i="6"/>
  <c r="I1401" i="6" l="1"/>
  <c r="J1401" i="6" s="1"/>
  <c r="K1401" i="6" s="1"/>
  <c r="C1401" i="6"/>
  <c r="B1402" i="6"/>
  <c r="H1401" i="6"/>
  <c r="D1401" i="6"/>
  <c r="Y1402" i="6"/>
  <c r="L1401" i="6"/>
  <c r="X1399" i="6"/>
  <c r="S1400" i="6"/>
  <c r="L1402" i="6" l="1"/>
  <c r="P1402" i="6" s="1"/>
  <c r="H1402" i="6"/>
  <c r="D1402" i="6"/>
  <c r="Y1403" i="6"/>
  <c r="B1403" i="6"/>
  <c r="I1402" i="6"/>
  <c r="J1402" i="6" s="1"/>
  <c r="K1402" i="6" s="1"/>
  <c r="C1402" i="6"/>
  <c r="P1401" i="6"/>
  <c r="X1400" i="6"/>
  <c r="S1401" i="6"/>
  <c r="B1404" i="6" l="1"/>
  <c r="C1403" i="6"/>
  <c r="H1403" i="6"/>
  <c r="Y1404" i="6"/>
  <c r="D1403" i="6"/>
  <c r="I1403" i="6"/>
  <c r="J1403" i="6" s="1"/>
  <c r="K1403" i="6" s="1"/>
  <c r="L1403" i="6"/>
  <c r="P1403" i="6" s="1"/>
  <c r="X1401" i="6"/>
  <c r="S1402" i="6"/>
  <c r="D1404" i="6" l="1"/>
  <c r="I1404" i="6"/>
  <c r="J1404" i="6" s="1"/>
  <c r="K1404" i="6" s="1"/>
  <c r="C1404" i="6"/>
  <c r="B1405" i="6"/>
  <c r="L1404" i="6"/>
  <c r="Y1405" i="6"/>
  <c r="H1404" i="6"/>
  <c r="X1402" i="6"/>
  <c r="S1403" i="6"/>
  <c r="L1405" i="6" l="1"/>
  <c r="H1405" i="6"/>
  <c r="B1406" i="6"/>
  <c r="C1405" i="6"/>
  <c r="I1405" i="6"/>
  <c r="J1405" i="6" s="1"/>
  <c r="K1405" i="6" s="1"/>
  <c r="Y1406" i="6"/>
  <c r="D1405" i="6"/>
  <c r="P1404" i="6"/>
  <c r="X1403" i="6"/>
  <c r="S1404" i="6"/>
  <c r="D1406" i="6" l="1"/>
  <c r="L1406" i="6"/>
  <c r="P1406" i="6" s="1"/>
  <c r="B1407" i="6"/>
  <c r="Y1407" i="6"/>
  <c r="H1406" i="6"/>
  <c r="I1406" i="6"/>
  <c r="J1406" i="6" s="1"/>
  <c r="K1406" i="6" s="1"/>
  <c r="C1406" i="6"/>
  <c r="P1405" i="6"/>
  <c r="X1404" i="6"/>
  <c r="S1405" i="6"/>
  <c r="H1407" i="6" l="1"/>
  <c r="D1407" i="6"/>
  <c r="I1407" i="6"/>
  <c r="J1407" i="6" s="1"/>
  <c r="K1407" i="6" s="1"/>
  <c r="C1407" i="6"/>
  <c r="L1407" i="6"/>
  <c r="P1407" i="6" s="1"/>
  <c r="B1408" i="6"/>
  <c r="Y1408" i="6"/>
  <c r="X1405" i="6"/>
  <c r="S1406" i="6"/>
  <c r="D1408" i="6" l="1"/>
  <c r="Y1409" i="6"/>
  <c r="I1408" i="6"/>
  <c r="J1408" i="6" s="1"/>
  <c r="K1408" i="6" s="1"/>
  <c r="L1408" i="6"/>
  <c r="H1408" i="6"/>
  <c r="C1408" i="6"/>
  <c r="B1409" i="6"/>
  <c r="X1406" i="6"/>
  <c r="S1407" i="6"/>
  <c r="D1409" i="6" l="1"/>
  <c r="B1410" i="6"/>
  <c r="L1409" i="6"/>
  <c r="P1409" i="6" s="1"/>
  <c r="I1409" i="6"/>
  <c r="J1409" i="6" s="1"/>
  <c r="K1409" i="6" s="1"/>
  <c r="Y1410" i="6"/>
  <c r="H1409" i="6"/>
  <c r="C1409" i="6"/>
  <c r="P1408" i="6"/>
  <c r="X1407" i="6"/>
  <c r="S1408" i="6"/>
  <c r="L1410" i="6" l="1"/>
  <c r="P1410" i="6" s="1"/>
  <c r="C1410" i="6"/>
  <c r="Y1411" i="6"/>
  <c r="D1410" i="6"/>
  <c r="H1410" i="6"/>
  <c r="I1410" i="6"/>
  <c r="J1410" i="6" s="1"/>
  <c r="K1410" i="6" s="1"/>
  <c r="B1411" i="6"/>
  <c r="X1408" i="6"/>
  <c r="S1409" i="6"/>
  <c r="H1411" i="6" l="1"/>
  <c r="I1411" i="6"/>
  <c r="J1411" i="6" s="1"/>
  <c r="K1411" i="6" s="1"/>
  <c r="B1412" i="6"/>
  <c r="L1411" i="6"/>
  <c r="D1411" i="6"/>
  <c r="Y1412" i="6"/>
  <c r="C1411" i="6"/>
  <c r="X1409" i="6"/>
  <c r="S1410" i="6"/>
  <c r="B1413" i="6" l="1"/>
  <c r="C1412" i="6"/>
  <c r="H1412" i="6"/>
  <c r="Y1413" i="6"/>
  <c r="L1412" i="6"/>
  <c r="P1412" i="6" s="1"/>
  <c r="I1412" i="6"/>
  <c r="J1412" i="6" s="1"/>
  <c r="K1412" i="6" s="1"/>
  <c r="D1412" i="6"/>
  <c r="P1411" i="6"/>
  <c r="X1410" i="6"/>
  <c r="S1411" i="6"/>
  <c r="L1413" i="6" l="1"/>
  <c r="C1413" i="6"/>
  <c r="I1413" i="6"/>
  <c r="J1413" i="6" s="1"/>
  <c r="K1413" i="6" s="1"/>
  <c r="B1414" i="6"/>
  <c r="D1413" i="6"/>
  <c r="H1413" i="6"/>
  <c r="Y1414" i="6"/>
  <c r="X1411" i="6"/>
  <c r="S1412" i="6"/>
  <c r="H1414" i="6" l="1"/>
  <c r="Y1415" i="6"/>
  <c r="I1414" i="6"/>
  <c r="J1414" i="6" s="1"/>
  <c r="K1414" i="6" s="1"/>
  <c r="B1415" i="6"/>
  <c r="D1414" i="6"/>
  <c r="L1414" i="6"/>
  <c r="P1414" i="6" s="1"/>
  <c r="C1414" i="6"/>
  <c r="P1413" i="6"/>
  <c r="X1412" i="6"/>
  <c r="S1413" i="6"/>
  <c r="B1416" i="6" l="1"/>
  <c r="I1415" i="6"/>
  <c r="J1415" i="6" s="1"/>
  <c r="K1415" i="6" s="1"/>
  <c r="D1415" i="6"/>
  <c r="C1415" i="6"/>
  <c r="Y1416" i="6"/>
  <c r="L1415" i="6"/>
  <c r="P1415" i="6" s="1"/>
  <c r="H1415" i="6"/>
  <c r="X1413" i="6"/>
  <c r="S1414" i="6"/>
  <c r="Y1417" i="6" l="1"/>
  <c r="H1416" i="6"/>
  <c r="L1416" i="6"/>
  <c r="P1416" i="6" s="1"/>
  <c r="I1416" i="6"/>
  <c r="J1416" i="6" s="1"/>
  <c r="K1416" i="6" s="1"/>
  <c r="B1417" i="6"/>
  <c r="C1416" i="6"/>
  <c r="D1416" i="6"/>
  <c r="X1414" i="6"/>
  <c r="S1415" i="6"/>
  <c r="D1417" i="6" l="1"/>
  <c r="B1418" i="6"/>
  <c r="H1417" i="6"/>
  <c r="Y1418" i="6"/>
  <c r="L1417" i="6"/>
  <c r="I1417" i="6"/>
  <c r="J1417" i="6" s="1"/>
  <c r="K1417" i="6" s="1"/>
  <c r="C1417" i="6"/>
  <c r="X1415" i="6"/>
  <c r="S1416" i="6"/>
  <c r="P1417" i="6" l="1"/>
  <c r="D1418" i="6"/>
  <c r="C1418" i="6"/>
  <c r="L1418" i="6"/>
  <c r="Y1419" i="6"/>
  <c r="I1418" i="6"/>
  <c r="J1418" i="6" s="1"/>
  <c r="K1418" i="6" s="1"/>
  <c r="H1418" i="6"/>
  <c r="B1419" i="6"/>
  <c r="X1416" i="6"/>
  <c r="S1417" i="6"/>
  <c r="B1420" i="6" l="1"/>
  <c r="L1419" i="6"/>
  <c r="P1419" i="6" s="1"/>
  <c r="H1419" i="6"/>
  <c r="D1419" i="6"/>
  <c r="C1419" i="6"/>
  <c r="Y1420" i="6"/>
  <c r="I1419" i="6"/>
  <c r="J1419" i="6" s="1"/>
  <c r="K1419" i="6" s="1"/>
  <c r="P1418" i="6"/>
  <c r="X1417" i="6"/>
  <c r="S1418" i="6"/>
  <c r="L1420" i="6" l="1"/>
  <c r="B1421" i="6"/>
  <c r="Y1421" i="6"/>
  <c r="C1420" i="6"/>
  <c r="I1420" i="6"/>
  <c r="J1420" i="6" s="1"/>
  <c r="K1420" i="6" s="1"/>
  <c r="H1420" i="6"/>
  <c r="D1420" i="6"/>
  <c r="X1418" i="6"/>
  <c r="S1419" i="6"/>
  <c r="H1421" i="6" l="1"/>
  <c r="D1421" i="6"/>
  <c r="C1421" i="6"/>
  <c r="L1421" i="6"/>
  <c r="P1421" i="6" s="1"/>
  <c r="I1421" i="6"/>
  <c r="J1421" i="6" s="1"/>
  <c r="K1421" i="6" s="1"/>
  <c r="Y1422" i="6"/>
  <c r="B1422" i="6"/>
  <c r="P1420" i="6"/>
  <c r="X1419" i="6"/>
  <c r="S1420" i="6"/>
  <c r="D1422" i="6" l="1"/>
  <c r="I1422" i="6"/>
  <c r="J1422" i="6" s="1"/>
  <c r="K1422" i="6" s="1"/>
  <c r="L1422" i="6"/>
  <c r="B1423" i="6"/>
  <c r="Y1423" i="6"/>
  <c r="C1422" i="6"/>
  <c r="H1422" i="6"/>
  <c r="X1420" i="6"/>
  <c r="S1421" i="6"/>
  <c r="I1423" i="6" l="1"/>
  <c r="J1423" i="6" s="1"/>
  <c r="K1423" i="6" s="1"/>
  <c r="B1424" i="6"/>
  <c r="H1423" i="6"/>
  <c r="L1423" i="6"/>
  <c r="P1423" i="6" s="1"/>
  <c r="Y1424" i="6"/>
  <c r="D1423" i="6"/>
  <c r="C1423" i="6"/>
  <c r="P1422" i="6"/>
  <c r="X1421" i="6"/>
  <c r="S1422" i="6"/>
  <c r="D1424" i="6" l="1"/>
  <c r="Y1425" i="6"/>
  <c r="H1424" i="6"/>
  <c r="I1424" i="6"/>
  <c r="J1424" i="6" s="1"/>
  <c r="K1424" i="6" s="1"/>
  <c r="L1424" i="6"/>
  <c r="C1424" i="6"/>
  <c r="B1425" i="6"/>
  <c r="X1422" i="6"/>
  <c r="S1423" i="6"/>
  <c r="C1425" i="6" l="1"/>
  <c r="I1425" i="6"/>
  <c r="J1425" i="6" s="1"/>
  <c r="K1425" i="6" s="1"/>
  <c r="Y1426" i="6"/>
  <c r="D1425" i="6"/>
  <c r="H1425" i="6"/>
  <c r="L1425" i="6"/>
  <c r="P1425" i="6" s="1"/>
  <c r="B1426" i="6"/>
  <c r="P1424" i="6"/>
  <c r="X1423" i="6"/>
  <c r="S1424" i="6"/>
  <c r="C1426" i="6" l="1"/>
  <c r="H1426" i="6"/>
  <c r="D1426" i="6"/>
  <c r="L1426" i="6"/>
  <c r="P1426" i="6" s="1"/>
  <c r="I1426" i="6"/>
  <c r="J1426" i="6" s="1"/>
  <c r="K1426" i="6" s="1"/>
  <c r="B1427" i="6"/>
  <c r="Y1427" i="6"/>
  <c r="X1424" i="6"/>
  <c r="S1425" i="6"/>
  <c r="H1427" i="6" l="1"/>
  <c r="C1427" i="6"/>
  <c r="D1427" i="6"/>
  <c r="B1428" i="6"/>
  <c r="L1427" i="6"/>
  <c r="P1427" i="6" s="1"/>
  <c r="I1427" i="6"/>
  <c r="J1427" i="6" s="1"/>
  <c r="K1427" i="6" s="1"/>
  <c r="Y1428" i="6"/>
  <c r="X1425" i="6"/>
  <c r="S1426" i="6"/>
  <c r="Y1429" i="6" l="1"/>
  <c r="D1428" i="6"/>
  <c r="L1428" i="6"/>
  <c r="P1428" i="6" s="1"/>
  <c r="C1428" i="6"/>
  <c r="B1429" i="6"/>
  <c r="I1428" i="6"/>
  <c r="J1428" i="6" s="1"/>
  <c r="K1428" i="6" s="1"/>
  <c r="H1428" i="6"/>
  <c r="X1426" i="6"/>
  <c r="S1427" i="6"/>
  <c r="C1429" i="6" l="1"/>
  <c r="Y1430" i="6"/>
  <c r="I1429" i="6"/>
  <c r="J1429" i="6" s="1"/>
  <c r="K1429" i="6" s="1"/>
  <c r="L1429" i="6"/>
  <c r="H1429" i="6"/>
  <c r="D1429" i="6"/>
  <c r="B1430" i="6"/>
  <c r="X1427" i="6"/>
  <c r="S1428" i="6"/>
  <c r="Y1431" i="6" l="1"/>
  <c r="D1430" i="6"/>
  <c r="H1430" i="6"/>
  <c r="C1430" i="6"/>
  <c r="B1431" i="6"/>
  <c r="L1430" i="6"/>
  <c r="P1430" i="6" s="1"/>
  <c r="I1430" i="6"/>
  <c r="J1430" i="6" s="1"/>
  <c r="K1430" i="6" s="1"/>
  <c r="P1429" i="6"/>
  <c r="X1428" i="6"/>
  <c r="S1429" i="6"/>
  <c r="C1431" i="6" l="1"/>
  <c r="L1431" i="6"/>
  <c r="H1431" i="6"/>
  <c r="D1431" i="6"/>
  <c r="Y1432" i="6"/>
  <c r="I1431" i="6"/>
  <c r="J1431" i="6" s="1"/>
  <c r="K1431" i="6" s="1"/>
  <c r="B1432" i="6"/>
  <c r="X1429" i="6"/>
  <c r="S1430" i="6"/>
  <c r="C1432" i="6" l="1"/>
  <c r="Y1433" i="6"/>
  <c r="I1432" i="6"/>
  <c r="J1432" i="6" s="1"/>
  <c r="K1432" i="6" s="1"/>
  <c r="D1432" i="6"/>
  <c r="H1432" i="6"/>
  <c r="B1433" i="6"/>
  <c r="L1432" i="6"/>
  <c r="P1431" i="6"/>
  <c r="X1430" i="6"/>
  <c r="S1431" i="6"/>
  <c r="P1432" i="6" l="1"/>
  <c r="D1433" i="6"/>
  <c r="I1433" i="6"/>
  <c r="J1433" i="6" s="1"/>
  <c r="K1433" i="6" s="1"/>
  <c r="B1434" i="6"/>
  <c r="Y1434" i="6"/>
  <c r="L1433" i="6"/>
  <c r="H1433" i="6"/>
  <c r="C1433" i="6"/>
  <c r="X1431" i="6"/>
  <c r="S1432" i="6"/>
  <c r="H1434" i="6" l="1"/>
  <c r="C1434" i="6"/>
  <c r="Y1435" i="6"/>
  <c r="D1434" i="6"/>
  <c r="I1434" i="6"/>
  <c r="J1434" i="6" s="1"/>
  <c r="K1434" i="6" s="1"/>
  <c r="L1434" i="6"/>
  <c r="P1434" i="6" s="1"/>
  <c r="B1435" i="6"/>
  <c r="P1433" i="6"/>
  <c r="X1432" i="6"/>
  <c r="S1433" i="6"/>
  <c r="I1435" i="6" l="1"/>
  <c r="J1435" i="6" s="1"/>
  <c r="K1435" i="6" s="1"/>
  <c r="L1435" i="6"/>
  <c r="P1435" i="6" s="1"/>
  <c r="D1435" i="6"/>
  <c r="H1435" i="6"/>
  <c r="C1435" i="6"/>
  <c r="Y1436" i="6"/>
  <c r="B1436" i="6"/>
  <c r="X1433" i="6"/>
  <c r="S1434" i="6"/>
  <c r="H1436" i="6" l="1"/>
  <c r="I1436" i="6"/>
  <c r="J1436" i="6" s="1"/>
  <c r="K1436" i="6" s="1"/>
  <c r="D1436" i="6"/>
  <c r="Y1437" i="6"/>
  <c r="C1436" i="6"/>
  <c r="L1436" i="6"/>
  <c r="P1436" i="6" s="1"/>
  <c r="B1437" i="6"/>
  <c r="X1434" i="6"/>
  <c r="S1435" i="6"/>
  <c r="I1437" i="6" l="1"/>
  <c r="J1437" i="6" s="1"/>
  <c r="K1437" i="6" s="1"/>
  <c r="L1437" i="6"/>
  <c r="C1437" i="6"/>
  <c r="H1437" i="6"/>
  <c r="B1438" i="6"/>
  <c r="Y1438" i="6"/>
  <c r="D1437" i="6"/>
  <c r="X1435" i="6"/>
  <c r="S1436" i="6"/>
  <c r="C1438" i="6" l="1"/>
  <c r="D1438" i="6"/>
  <c r="H1438" i="6"/>
  <c r="Y1439" i="6"/>
  <c r="I1438" i="6"/>
  <c r="J1438" i="6" s="1"/>
  <c r="K1438" i="6" s="1"/>
  <c r="B1439" i="6"/>
  <c r="L1438" i="6"/>
  <c r="P1438" i="6" s="1"/>
  <c r="P1437" i="6"/>
  <c r="X1436" i="6"/>
  <c r="S1437" i="6"/>
  <c r="L1439" i="6" l="1"/>
  <c r="H1439" i="6"/>
  <c r="B1440" i="6"/>
  <c r="C1439" i="6"/>
  <c r="I1439" i="6"/>
  <c r="J1439" i="6" s="1"/>
  <c r="K1439" i="6" s="1"/>
  <c r="D1439" i="6"/>
  <c r="Y1440" i="6"/>
  <c r="X1437" i="6"/>
  <c r="S1438" i="6"/>
  <c r="L1440" i="6" l="1"/>
  <c r="P1440" i="6" s="1"/>
  <c r="Y1441" i="6"/>
  <c r="C1440" i="6"/>
  <c r="I1440" i="6"/>
  <c r="J1440" i="6" s="1"/>
  <c r="K1440" i="6" s="1"/>
  <c r="D1440" i="6"/>
  <c r="B1441" i="6"/>
  <c r="H1440" i="6"/>
  <c r="P1439" i="6"/>
  <c r="X1438" i="6"/>
  <c r="S1439" i="6"/>
  <c r="Y1442" i="6" l="1"/>
  <c r="H1441" i="6"/>
  <c r="D1441" i="6"/>
  <c r="B1442" i="6"/>
  <c r="L1441" i="6"/>
  <c r="P1441" i="6" s="1"/>
  <c r="C1441" i="6"/>
  <c r="I1441" i="6"/>
  <c r="J1441" i="6" s="1"/>
  <c r="K1441" i="6" s="1"/>
  <c r="X1439" i="6"/>
  <c r="S1440" i="6"/>
  <c r="Y1443" i="6" l="1"/>
  <c r="B1443" i="6"/>
  <c r="I1442" i="6"/>
  <c r="J1442" i="6" s="1"/>
  <c r="K1442" i="6" s="1"/>
  <c r="D1442" i="6"/>
  <c r="H1442" i="6"/>
  <c r="L1442" i="6"/>
  <c r="P1442" i="6" s="1"/>
  <c r="C1442" i="6"/>
  <c r="X1440" i="6"/>
  <c r="S1441" i="6"/>
  <c r="C1443" i="6" l="1"/>
  <c r="B1444" i="6"/>
  <c r="D1443" i="6"/>
  <c r="H1443" i="6"/>
  <c r="I1443" i="6"/>
  <c r="J1443" i="6" s="1"/>
  <c r="K1443" i="6" s="1"/>
  <c r="Y1444" i="6"/>
  <c r="L1443" i="6"/>
  <c r="X1441" i="6"/>
  <c r="S1442" i="6"/>
  <c r="P1443" i="6" l="1"/>
  <c r="C1444" i="6"/>
  <c r="H1444" i="6"/>
  <c r="L1444" i="6"/>
  <c r="B1445" i="6"/>
  <c r="Y1445" i="6"/>
  <c r="D1444" i="6"/>
  <c r="I1444" i="6"/>
  <c r="J1444" i="6" s="1"/>
  <c r="K1444" i="6" s="1"/>
  <c r="X1442" i="6"/>
  <c r="S1443" i="6"/>
  <c r="Y1446" i="6" l="1"/>
  <c r="L1445" i="6"/>
  <c r="P1445" i="6" s="1"/>
  <c r="D1445" i="6"/>
  <c r="H1445" i="6"/>
  <c r="I1445" i="6"/>
  <c r="J1445" i="6" s="1"/>
  <c r="K1445" i="6" s="1"/>
  <c r="B1446" i="6"/>
  <c r="C1445" i="6"/>
  <c r="P1444" i="6"/>
  <c r="X1443" i="6"/>
  <c r="S1444" i="6"/>
  <c r="Y1447" i="6" l="1"/>
  <c r="B1447" i="6"/>
  <c r="I1446" i="6"/>
  <c r="J1446" i="6" s="1"/>
  <c r="K1446" i="6" s="1"/>
  <c r="H1446" i="6"/>
  <c r="L1446" i="6"/>
  <c r="P1446" i="6" s="1"/>
  <c r="D1446" i="6"/>
  <c r="C1446" i="6"/>
  <c r="X1444" i="6"/>
  <c r="S1445" i="6"/>
  <c r="C1447" i="6" l="1"/>
  <c r="Y1448" i="6"/>
  <c r="I1447" i="6"/>
  <c r="J1447" i="6" s="1"/>
  <c r="K1447" i="6" s="1"/>
  <c r="D1447" i="6"/>
  <c r="L1447" i="6"/>
  <c r="B1448" i="6"/>
  <c r="H1447" i="6"/>
  <c r="X1445" i="6"/>
  <c r="S1446" i="6"/>
  <c r="H1448" i="6" l="1"/>
  <c r="B1449" i="6"/>
  <c r="L1448" i="6"/>
  <c r="D1448" i="6"/>
  <c r="C1448" i="6"/>
  <c r="Y1449" i="6"/>
  <c r="I1448" i="6"/>
  <c r="J1448" i="6" s="1"/>
  <c r="K1448" i="6" s="1"/>
  <c r="P1447" i="6"/>
  <c r="X1446" i="6"/>
  <c r="S1447" i="6"/>
  <c r="B1450" i="6" l="1"/>
  <c r="I1449" i="6"/>
  <c r="J1449" i="6" s="1"/>
  <c r="K1449" i="6" s="1"/>
  <c r="H1449" i="6"/>
  <c r="D1449" i="6"/>
  <c r="C1449" i="6"/>
  <c r="L1449" i="6"/>
  <c r="Y1450" i="6"/>
  <c r="P1448" i="6"/>
  <c r="X1447" i="6"/>
  <c r="S1448" i="6"/>
  <c r="B1451" i="6" l="1"/>
  <c r="C1450" i="6"/>
  <c r="Y1451" i="6"/>
  <c r="L1450" i="6"/>
  <c r="P1450" i="6" s="1"/>
  <c r="D1450" i="6"/>
  <c r="I1450" i="6"/>
  <c r="J1450" i="6" s="1"/>
  <c r="K1450" i="6" s="1"/>
  <c r="H1450" i="6"/>
  <c r="P1449" i="6"/>
  <c r="X1448" i="6"/>
  <c r="S1449" i="6"/>
  <c r="I1451" i="6" l="1"/>
  <c r="J1451" i="6" s="1"/>
  <c r="K1451" i="6" s="1"/>
  <c r="D1451" i="6"/>
  <c r="L1451" i="6"/>
  <c r="Y1452" i="6"/>
  <c r="C1451" i="6"/>
  <c r="H1451" i="6"/>
  <c r="B1452" i="6"/>
  <c r="X1449" i="6"/>
  <c r="S1450" i="6"/>
  <c r="P1451" i="6" l="1"/>
  <c r="D1452" i="6"/>
  <c r="L1452" i="6"/>
  <c r="B1453" i="6"/>
  <c r="C1452" i="6"/>
  <c r="H1452" i="6"/>
  <c r="Y1453" i="6"/>
  <c r="I1452" i="6"/>
  <c r="J1452" i="6" s="1"/>
  <c r="K1452" i="6" s="1"/>
  <c r="X1450" i="6"/>
  <c r="S1451" i="6"/>
  <c r="D1453" i="6" l="1"/>
  <c r="B1454" i="6"/>
  <c r="Y1454" i="6"/>
  <c r="I1453" i="6"/>
  <c r="J1453" i="6" s="1"/>
  <c r="K1453" i="6" s="1"/>
  <c r="H1453" i="6"/>
  <c r="C1453" i="6"/>
  <c r="L1453" i="6"/>
  <c r="P1452" i="6"/>
  <c r="X1451" i="6"/>
  <c r="S1452" i="6"/>
  <c r="P1453" i="6" l="1"/>
  <c r="Y1455" i="6"/>
  <c r="B1455" i="6"/>
  <c r="L1454" i="6"/>
  <c r="C1454" i="6"/>
  <c r="I1454" i="6"/>
  <c r="J1454" i="6" s="1"/>
  <c r="K1454" i="6" s="1"/>
  <c r="H1454" i="6"/>
  <c r="D1454" i="6"/>
  <c r="X1452" i="6"/>
  <c r="S1453" i="6"/>
  <c r="B1456" i="6" l="1"/>
  <c r="I1455" i="6"/>
  <c r="J1455" i="6" s="1"/>
  <c r="K1455" i="6" s="1"/>
  <c r="Y1456" i="6"/>
  <c r="C1455" i="6"/>
  <c r="L1455" i="6"/>
  <c r="P1455" i="6" s="1"/>
  <c r="H1455" i="6"/>
  <c r="D1455" i="6"/>
  <c r="P1454" i="6"/>
  <c r="X1453" i="6"/>
  <c r="S1454" i="6"/>
  <c r="L1456" i="6" l="1"/>
  <c r="P1456" i="6" s="1"/>
  <c r="B1457" i="6"/>
  <c r="D1456" i="6"/>
  <c r="C1456" i="6"/>
  <c r="I1456" i="6"/>
  <c r="J1456" i="6" s="1"/>
  <c r="K1456" i="6" s="1"/>
  <c r="H1456" i="6"/>
  <c r="Y1457" i="6"/>
  <c r="X1454" i="6"/>
  <c r="S1455" i="6"/>
  <c r="I1457" i="6" l="1"/>
  <c r="J1457" i="6" s="1"/>
  <c r="K1457" i="6" s="1"/>
  <c r="D1457" i="6"/>
  <c r="B1458" i="6"/>
  <c r="C1457" i="6"/>
  <c r="Y1458" i="6"/>
  <c r="H1457" i="6"/>
  <c r="L1457" i="6"/>
  <c r="X1455" i="6"/>
  <c r="S1456" i="6"/>
  <c r="P1457" i="6" l="1"/>
  <c r="D1458" i="6"/>
  <c r="H1458" i="6"/>
  <c r="Y1459" i="6"/>
  <c r="C1458" i="6"/>
  <c r="I1458" i="6"/>
  <c r="J1458" i="6" s="1"/>
  <c r="K1458" i="6" s="1"/>
  <c r="L1458" i="6"/>
  <c r="B1459" i="6"/>
  <c r="X1456" i="6"/>
  <c r="S1457" i="6"/>
  <c r="H1459" i="6" l="1"/>
  <c r="L1459" i="6"/>
  <c r="B1460" i="6"/>
  <c r="I1459" i="6"/>
  <c r="J1459" i="6" s="1"/>
  <c r="K1459" i="6" s="1"/>
  <c r="D1459" i="6"/>
  <c r="C1459" i="6"/>
  <c r="Y1460" i="6"/>
  <c r="P1458" i="6"/>
  <c r="X1457" i="6"/>
  <c r="S1458" i="6"/>
  <c r="D1460" i="6" l="1"/>
  <c r="I1460" i="6"/>
  <c r="J1460" i="6" s="1"/>
  <c r="K1460" i="6" s="1"/>
  <c r="Y1461" i="6"/>
  <c r="L1460" i="6"/>
  <c r="P1460" i="6" s="1"/>
  <c r="H1460" i="6"/>
  <c r="C1460" i="6"/>
  <c r="B1461" i="6"/>
  <c r="P1459" i="6"/>
  <c r="X1458" i="6"/>
  <c r="S1459" i="6"/>
  <c r="I1461" i="6" l="1"/>
  <c r="J1461" i="6" s="1"/>
  <c r="K1461" i="6" s="1"/>
  <c r="L1461" i="6"/>
  <c r="P1461" i="6" s="1"/>
  <c r="B1462" i="6"/>
  <c r="H1461" i="6"/>
  <c r="C1461" i="6"/>
  <c r="D1461" i="6"/>
  <c r="Y1462" i="6"/>
  <c r="X1459" i="6"/>
  <c r="S1460" i="6"/>
  <c r="Y1463" i="6" l="1"/>
  <c r="B1463" i="6"/>
  <c r="L1462" i="6"/>
  <c r="P1462" i="6" s="1"/>
  <c r="H1462" i="6"/>
  <c r="I1462" i="6"/>
  <c r="J1462" i="6" s="1"/>
  <c r="K1462" i="6" s="1"/>
  <c r="C1462" i="6"/>
  <c r="D1462" i="6"/>
  <c r="X1460" i="6"/>
  <c r="S1461" i="6"/>
  <c r="Y1464" i="6" l="1"/>
  <c r="L1463" i="6"/>
  <c r="P1463" i="6" s="1"/>
  <c r="D1463" i="6"/>
  <c r="C1463" i="6"/>
  <c r="B1464" i="6"/>
  <c r="I1463" i="6"/>
  <c r="J1463" i="6" s="1"/>
  <c r="K1463" i="6" s="1"/>
  <c r="H1463" i="6"/>
  <c r="X1461" i="6"/>
  <c r="S1462" i="6"/>
  <c r="I1464" i="6" l="1"/>
  <c r="J1464" i="6" s="1"/>
  <c r="K1464" i="6" s="1"/>
  <c r="C1464" i="6"/>
  <c r="L1464" i="6"/>
  <c r="B1465" i="6"/>
  <c r="D1464" i="6"/>
  <c r="H1464" i="6"/>
  <c r="Y1465" i="6"/>
  <c r="X1462" i="6"/>
  <c r="S1463" i="6"/>
  <c r="Y1466" i="6" l="1"/>
  <c r="C1465" i="6"/>
  <c r="B1466" i="6"/>
  <c r="H1465" i="6"/>
  <c r="L1465" i="6"/>
  <c r="P1465" i="6" s="1"/>
  <c r="I1465" i="6"/>
  <c r="J1465" i="6" s="1"/>
  <c r="K1465" i="6" s="1"/>
  <c r="D1465" i="6"/>
  <c r="P1464" i="6"/>
  <c r="X1463" i="6"/>
  <c r="S1464" i="6"/>
  <c r="C1466" i="6" l="1"/>
  <c r="I1466" i="6"/>
  <c r="J1466" i="6" s="1"/>
  <c r="K1466" i="6" s="1"/>
  <c r="B1467" i="6"/>
  <c r="H1466" i="6"/>
  <c r="Y1467" i="6"/>
  <c r="L1466" i="6"/>
  <c r="D1466" i="6"/>
  <c r="X1464" i="6"/>
  <c r="S1465" i="6"/>
  <c r="L1467" i="6" l="1"/>
  <c r="H1467" i="6"/>
  <c r="C1467" i="6"/>
  <c r="I1467" i="6"/>
  <c r="J1467" i="6" s="1"/>
  <c r="K1467" i="6" s="1"/>
  <c r="B1468" i="6"/>
  <c r="Y1468" i="6"/>
  <c r="D1467" i="6"/>
  <c r="P1466" i="6"/>
  <c r="X1465" i="6"/>
  <c r="S1466" i="6"/>
  <c r="H1468" i="6" l="1"/>
  <c r="B1469" i="6"/>
  <c r="D1468" i="6"/>
  <c r="I1468" i="6"/>
  <c r="J1468" i="6" s="1"/>
  <c r="K1468" i="6" s="1"/>
  <c r="C1468" i="6"/>
  <c r="L1468" i="6"/>
  <c r="P1468" i="6" s="1"/>
  <c r="Y1469" i="6"/>
  <c r="P1467" i="6"/>
  <c r="X1466" i="6"/>
  <c r="S1467" i="6"/>
  <c r="D1469" i="6" l="1"/>
  <c r="L1469" i="6"/>
  <c r="Y1470" i="6"/>
  <c r="B1470" i="6"/>
  <c r="C1469" i="6"/>
  <c r="H1469" i="6"/>
  <c r="I1469" i="6"/>
  <c r="J1469" i="6" s="1"/>
  <c r="K1469" i="6" s="1"/>
  <c r="X1467" i="6"/>
  <c r="S1468" i="6"/>
  <c r="C1470" i="6" l="1"/>
  <c r="I1470" i="6"/>
  <c r="J1470" i="6" s="1"/>
  <c r="K1470" i="6" s="1"/>
  <c r="H1470" i="6"/>
  <c r="Y1471" i="6"/>
  <c r="B1471" i="6"/>
  <c r="D1470" i="6"/>
  <c r="L1470" i="6"/>
  <c r="P1470" i="6" s="1"/>
  <c r="P1469" i="6"/>
  <c r="X1468" i="6"/>
  <c r="S1469" i="6"/>
  <c r="B1472" i="6" l="1"/>
  <c r="Y1472" i="6"/>
  <c r="L1471" i="6"/>
  <c r="C1471" i="6"/>
  <c r="D1471" i="6"/>
  <c r="I1471" i="6"/>
  <c r="J1471" i="6" s="1"/>
  <c r="K1471" i="6" s="1"/>
  <c r="H1471" i="6"/>
  <c r="X1469" i="6"/>
  <c r="S1470" i="6"/>
  <c r="C1472" i="6" l="1"/>
  <c r="I1472" i="6"/>
  <c r="J1472" i="6" s="1"/>
  <c r="K1472" i="6" s="1"/>
  <c r="D1472" i="6"/>
  <c r="B1473" i="6"/>
  <c r="Y1473" i="6"/>
  <c r="L1472" i="6"/>
  <c r="H1472" i="6"/>
  <c r="P1471" i="6"/>
  <c r="X1470" i="6"/>
  <c r="S1471" i="6"/>
  <c r="B1474" i="6" l="1"/>
  <c r="C1473" i="6"/>
  <c r="I1473" i="6"/>
  <c r="J1473" i="6" s="1"/>
  <c r="K1473" i="6" s="1"/>
  <c r="H1473" i="6"/>
  <c r="D1473" i="6"/>
  <c r="L1473" i="6"/>
  <c r="P1473" i="6" s="1"/>
  <c r="Y1474" i="6"/>
  <c r="P1472" i="6"/>
  <c r="X1471" i="6"/>
  <c r="S1472" i="6"/>
  <c r="B1475" i="6" l="1"/>
  <c r="L1474" i="6"/>
  <c r="H1474" i="6"/>
  <c r="Y1475" i="6"/>
  <c r="I1474" i="6"/>
  <c r="J1474" i="6" s="1"/>
  <c r="K1474" i="6" s="1"/>
  <c r="C1474" i="6"/>
  <c r="D1474" i="6"/>
  <c r="X1472" i="6"/>
  <c r="S1473" i="6"/>
  <c r="P1474" i="6" l="1"/>
  <c r="B1476" i="6"/>
  <c r="C1475" i="6"/>
  <c r="H1475" i="6"/>
  <c r="Y1476" i="6"/>
  <c r="D1475" i="6"/>
  <c r="L1475" i="6"/>
  <c r="P1475" i="6" s="1"/>
  <c r="I1475" i="6"/>
  <c r="J1475" i="6" s="1"/>
  <c r="K1475" i="6" s="1"/>
  <c r="X1473" i="6"/>
  <c r="S1474" i="6"/>
  <c r="B1477" i="6" l="1"/>
  <c r="I1476" i="6"/>
  <c r="J1476" i="6" s="1"/>
  <c r="K1476" i="6" s="1"/>
  <c r="L1476" i="6"/>
  <c r="D1476" i="6"/>
  <c r="H1476" i="6"/>
  <c r="C1476" i="6"/>
  <c r="Y1477" i="6"/>
  <c r="X1474" i="6"/>
  <c r="S1475" i="6"/>
  <c r="P1476" i="6" l="1"/>
  <c r="C1477" i="6"/>
  <c r="B1478" i="6"/>
  <c r="I1477" i="6"/>
  <c r="J1477" i="6" s="1"/>
  <c r="K1477" i="6" s="1"/>
  <c r="H1477" i="6"/>
  <c r="D1477" i="6"/>
  <c r="L1477" i="6"/>
  <c r="Y1478" i="6"/>
  <c r="X1475" i="6"/>
  <c r="S1476" i="6"/>
  <c r="D1478" i="6" l="1"/>
  <c r="C1478" i="6"/>
  <c r="Y1479" i="6"/>
  <c r="I1478" i="6"/>
  <c r="J1478" i="6" s="1"/>
  <c r="K1478" i="6" s="1"/>
  <c r="H1478" i="6"/>
  <c r="B1479" i="6"/>
  <c r="L1478" i="6"/>
  <c r="P1477" i="6"/>
  <c r="X1476" i="6"/>
  <c r="S1477" i="6"/>
  <c r="I1479" i="6" l="1"/>
  <c r="J1479" i="6" s="1"/>
  <c r="K1479" i="6" s="1"/>
  <c r="H1479" i="6"/>
  <c r="B1480" i="6"/>
  <c r="L1479" i="6"/>
  <c r="C1479" i="6"/>
  <c r="D1479" i="6"/>
  <c r="Y1480" i="6"/>
  <c r="P1478" i="6"/>
  <c r="X1477" i="6"/>
  <c r="S1478" i="6"/>
  <c r="I1480" i="6" l="1"/>
  <c r="J1480" i="6" s="1"/>
  <c r="K1480" i="6" s="1"/>
  <c r="D1480" i="6"/>
  <c r="Y1481" i="6"/>
  <c r="L1480" i="6"/>
  <c r="P1480" i="6" s="1"/>
  <c r="B1481" i="6"/>
  <c r="H1480" i="6"/>
  <c r="C1480" i="6"/>
  <c r="P1479" i="6"/>
  <c r="X1478" i="6"/>
  <c r="S1479" i="6"/>
  <c r="Y1482" i="6" l="1"/>
  <c r="C1481" i="6"/>
  <c r="L1481" i="6"/>
  <c r="H1481" i="6"/>
  <c r="I1481" i="6"/>
  <c r="J1481" i="6" s="1"/>
  <c r="K1481" i="6" s="1"/>
  <c r="D1481" i="6"/>
  <c r="B1482" i="6"/>
  <c r="X1479" i="6"/>
  <c r="S1480" i="6"/>
  <c r="C1482" i="6" l="1"/>
  <c r="I1482" i="6"/>
  <c r="J1482" i="6" s="1"/>
  <c r="K1482" i="6" s="1"/>
  <c r="Y1483" i="6"/>
  <c r="H1482" i="6"/>
  <c r="D1482" i="6"/>
  <c r="B1483" i="6"/>
  <c r="L1482" i="6"/>
  <c r="P1482" i="6" s="1"/>
  <c r="P1481" i="6"/>
  <c r="X1480" i="6"/>
  <c r="S1481" i="6"/>
  <c r="C1483" i="6" l="1"/>
  <c r="B1484" i="6"/>
  <c r="Y1484" i="6"/>
  <c r="H1483" i="6"/>
  <c r="D1483" i="6"/>
  <c r="I1483" i="6"/>
  <c r="J1483" i="6" s="1"/>
  <c r="K1483" i="6" s="1"/>
  <c r="L1483" i="6"/>
  <c r="X1481" i="6"/>
  <c r="S1482" i="6"/>
  <c r="Y1485" i="6" l="1"/>
  <c r="L1484" i="6"/>
  <c r="B1485" i="6"/>
  <c r="I1484" i="6"/>
  <c r="J1484" i="6" s="1"/>
  <c r="K1484" i="6" s="1"/>
  <c r="C1484" i="6"/>
  <c r="D1484" i="6"/>
  <c r="H1484" i="6"/>
  <c r="P1483" i="6"/>
  <c r="X1482" i="6"/>
  <c r="S1483" i="6"/>
  <c r="B1486" i="6" l="1"/>
  <c r="D1485" i="6"/>
  <c r="H1485" i="6"/>
  <c r="Y1486" i="6"/>
  <c r="C1485" i="6"/>
  <c r="L1485" i="6"/>
  <c r="P1485" i="6" s="1"/>
  <c r="I1485" i="6"/>
  <c r="J1485" i="6" s="1"/>
  <c r="K1485" i="6" s="1"/>
  <c r="P1484" i="6"/>
  <c r="X1483" i="6"/>
  <c r="S1484" i="6"/>
  <c r="D1486" i="6" l="1"/>
  <c r="H1486" i="6"/>
  <c r="L1486" i="6"/>
  <c r="B1487" i="6"/>
  <c r="I1486" i="6"/>
  <c r="J1486" i="6" s="1"/>
  <c r="K1486" i="6" s="1"/>
  <c r="C1486" i="6"/>
  <c r="Y1487" i="6"/>
  <c r="X1484" i="6"/>
  <c r="S1485" i="6"/>
  <c r="Y1488" i="6" l="1"/>
  <c r="B1488" i="6"/>
  <c r="I1487" i="6"/>
  <c r="J1487" i="6" s="1"/>
  <c r="K1487" i="6" s="1"/>
  <c r="H1487" i="6"/>
  <c r="C1487" i="6"/>
  <c r="L1487" i="6"/>
  <c r="P1487" i="6" s="1"/>
  <c r="D1487" i="6"/>
  <c r="P1486" i="6"/>
  <c r="X1485" i="6"/>
  <c r="S1486" i="6"/>
  <c r="L1488" i="6" l="1"/>
  <c r="P1488" i="6" s="1"/>
  <c r="Y1489" i="6"/>
  <c r="B1489" i="6"/>
  <c r="D1488" i="6"/>
  <c r="I1488" i="6"/>
  <c r="J1488" i="6" s="1"/>
  <c r="K1488" i="6" s="1"/>
  <c r="H1488" i="6"/>
  <c r="C1488" i="6"/>
  <c r="X1486" i="6"/>
  <c r="S1487" i="6"/>
  <c r="B1490" i="6" l="1"/>
  <c r="D1489" i="6"/>
  <c r="I1489" i="6"/>
  <c r="J1489" i="6" s="1"/>
  <c r="K1489" i="6" s="1"/>
  <c r="L1489" i="6"/>
  <c r="H1489" i="6"/>
  <c r="C1489" i="6"/>
  <c r="Y1490" i="6"/>
  <c r="X1487" i="6"/>
  <c r="S1488" i="6"/>
  <c r="P1489" i="6" l="1"/>
  <c r="H1490" i="6"/>
  <c r="C1490" i="6"/>
  <c r="B1491" i="6"/>
  <c r="I1490" i="6"/>
  <c r="J1490" i="6" s="1"/>
  <c r="K1490" i="6" s="1"/>
  <c r="D1490" i="6"/>
  <c r="Y1491" i="6"/>
  <c r="L1490" i="6"/>
  <c r="P1490" i="6" s="1"/>
  <c r="X1488" i="6"/>
  <c r="S1489" i="6"/>
  <c r="I1491" i="6" l="1"/>
  <c r="J1491" i="6" s="1"/>
  <c r="K1491" i="6" s="1"/>
  <c r="H1491" i="6"/>
  <c r="Y1492" i="6"/>
  <c r="C1491" i="6"/>
  <c r="D1491" i="6"/>
  <c r="B1492" i="6"/>
  <c r="L1491" i="6"/>
  <c r="X1489" i="6"/>
  <c r="S1490" i="6"/>
  <c r="P1491" i="6" l="1"/>
  <c r="B1493" i="6"/>
  <c r="L1492" i="6"/>
  <c r="H1492" i="6"/>
  <c r="D1492" i="6"/>
  <c r="C1492" i="6"/>
  <c r="I1492" i="6"/>
  <c r="J1492" i="6" s="1"/>
  <c r="K1492" i="6" s="1"/>
  <c r="Y1493" i="6"/>
  <c r="X1490" i="6"/>
  <c r="S1491" i="6"/>
  <c r="C1493" i="6" l="1"/>
  <c r="D1493" i="6"/>
  <c r="I1493" i="6"/>
  <c r="J1493" i="6" s="1"/>
  <c r="K1493" i="6" s="1"/>
  <c r="L1493" i="6"/>
  <c r="H1493" i="6"/>
  <c r="B1494" i="6"/>
  <c r="Y1494" i="6"/>
  <c r="P1492" i="6"/>
  <c r="X1491" i="6"/>
  <c r="S1492" i="6"/>
  <c r="C1494" i="6" l="1"/>
  <c r="Y1495" i="6"/>
  <c r="D1494" i="6"/>
  <c r="I1494" i="6"/>
  <c r="J1494" i="6" s="1"/>
  <c r="K1494" i="6" s="1"/>
  <c r="B1495" i="6"/>
  <c r="L1494" i="6"/>
  <c r="P1494" i="6" s="1"/>
  <c r="H1494" i="6"/>
  <c r="P1493" i="6"/>
  <c r="X1492" i="6"/>
  <c r="S1493" i="6"/>
  <c r="L1495" i="6" l="1"/>
  <c r="P1495" i="6" s="1"/>
  <c r="B1496" i="6"/>
  <c r="Y1496" i="6"/>
  <c r="C1495" i="6"/>
  <c r="I1495" i="6"/>
  <c r="J1495" i="6" s="1"/>
  <c r="K1495" i="6" s="1"/>
  <c r="D1495" i="6"/>
  <c r="H1495" i="6"/>
  <c r="X1493" i="6"/>
  <c r="S1494" i="6"/>
  <c r="L1496" i="6" l="1"/>
  <c r="H1496" i="6"/>
  <c r="D1496" i="6"/>
  <c r="C1496" i="6"/>
  <c r="I1496" i="6"/>
  <c r="J1496" i="6" s="1"/>
  <c r="K1496" i="6" s="1"/>
  <c r="B1497" i="6"/>
  <c r="Y1497" i="6"/>
  <c r="X1494" i="6"/>
  <c r="S1495" i="6"/>
  <c r="D1497" i="6" l="1"/>
  <c r="B1498" i="6"/>
  <c r="Y1498" i="6"/>
  <c r="L1497" i="6"/>
  <c r="P1497" i="6" s="1"/>
  <c r="H1497" i="6"/>
  <c r="C1497" i="6"/>
  <c r="I1497" i="6"/>
  <c r="J1497" i="6" s="1"/>
  <c r="K1497" i="6" s="1"/>
  <c r="P1496" i="6"/>
  <c r="X1495" i="6"/>
  <c r="S1496" i="6"/>
  <c r="B1499" i="6" l="1"/>
  <c r="Y1499" i="6"/>
  <c r="L1498" i="6"/>
  <c r="I1498" i="6"/>
  <c r="J1498" i="6" s="1"/>
  <c r="K1498" i="6" s="1"/>
  <c r="H1498" i="6"/>
  <c r="D1498" i="6"/>
  <c r="C1498" i="6"/>
  <c r="X1496" i="6"/>
  <c r="S1497" i="6"/>
  <c r="I1499" i="6" l="1"/>
  <c r="J1499" i="6" s="1"/>
  <c r="K1499" i="6" s="1"/>
  <c r="B1500" i="6"/>
  <c r="H1499" i="6"/>
  <c r="C1499" i="6"/>
  <c r="L1499" i="6"/>
  <c r="P1499" i="6" s="1"/>
  <c r="Y1500" i="6"/>
  <c r="D1499" i="6"/>
  <c r="P1498" i="6"/>
  <c r="X1497" i="6"/>
  <c r="S1498" i="6"/>
  <c r="I1500" i="6" l="1"/>
  <c r="J1500" i="6" s="1"/>
  <c r="K1500" i="6" s="1"/>
  <c r="L1500" i="6"/>
  <c r="B1501" i="6"/>
  <c r="H1500" i="6"/>
  <c r="C1500" i="6"/>
  <c r="Y1501" i="6"/>
  <c r="D1500" i="6"/>
  <c r="X1498" i="6"/>
  <c r="S1499" i="6"/>
  <c r="C1501" i="6" l="1"/>
  <c r="I1501" i="6"/>
  <c r="J1501" i="6" s="1"/>
  <c r="K1501" i="6" s="1"/>
  <c r="H1501" i="6"/>
  <c r="L1501" i="6"/>
  <c r="P1501" i="6" s="1"/>
  <c r="D1501" i="6"/>
  <c r="B1502" i="6"/>
  <c r="Y1502" i="6"/>
  <c r="P1500" i="6"/>
  <c r="X1499" i="6"/>
  <c r="S1500" i="6"/>
  <c r="H1502" i="6" l="1"/>
  <c r="C1502" i="6"/>
  <c r="Y1503" i="6"/>
  <c r="L1502" i="6"/>
  <c r="P1502" i="6" s="1"/>
  <c r="B1503" i="6"/>
  <c r="D1502" i="6"/>
  <c r="I1502" i="6"/>
  <c r="J1502" i="6" s="1"/>
  <c r="K1502" i="6" s="1"/>
  <c r="X1500" i="6"/>
  <c r="S1501" i="6"/>
  <c r="C1503" i="6" l="1"/>
  <c r="D1503" i="6"/>
  <c r="L1503" i="6"/>
  <c r="H1503" i="6"/>
  <c r="B1504" i="6"/>
  <c r="Y1504" i="6"/>
  <c r="I1503" i="6"/>
  <c r="J1503" i="6" s="1"/>
  <c r="K1503" i="6" s="1"/>
  <c r="X1501" i="6"/>
  <c r="S1502" i="6"/>
  <c r="B1505" i="6" l="1"/>
  <c r="L1504" i="6"/>
  <c r="P1504" i="6" s="1"/>
  <c r="I1504" i="6"/>
  <c r="J1504" i="6" s="1"/>
  <c r="K1504" i="6" s="1"/>
  <c r="H1504" i="6"/>
  <c r="Y1505" i="6"/>
  <c r="C1504" i="6"/>
  <c r="D1504" i="6"/>
  <c r="P1503" i="6"/>
  <c r="X1502" i="6"/>
  <c r="S1503" i="6"/>
  <c r="Y1506" i="6" l="1"/>
  <c r="C1505" i="6"/>
  <c r="B1506" i="6"/>
  <c r="I1505" i="6"/>
  <c r="J1505" i="6" s="1"/>
  <c r="K1505" i="6" s="1"/>
  <c r="L1505" i="6"/>
  <c r="H1505" i="6"/>
  <c r="D1505" i="6"/>
  <c r="X1503" i="6"/>
  <c r="S1504" i="6"/>
  <c r="B1507" i="6" l="1"/>
  <c r="C1506" i="6"/>
  <c r="D1506" i="6"/>
  <c r="Y1507" i="6"/>
  <c r="I1506" i="6"/>
  <c r="J1506" i="6" s="1"/>
  <c r="K1506" i="6" s="1"/>
  <c r="L1506" i="6"/>
  <c r="P1506" i="6" s="1"/>
  <c r="H1506" i="6"/>
  <c r="P1505" i="6"/>
  <c r="X1504" i="6"/>
  <c r="S1505" i="6"/>
  <c r="Y1508" i="6" l="1"/>
  <c r="H1507" i="6"/>
  <c r="C1507" i="6"/>
  <c r="B1508" i="6"/>
  <c r="I1507" i="6"/>
  <c r="J1507" i="6" s="1"/>
  <c r="K1507" i="6" s="1"/>
  <c r="D1507" i="6"/>
  <c r="L1507" i="6"/>
  <c r="P1507" i="6" s="1"/>
  <c r="X1505" i="6"/>
  <c r="S1506" i="6"/>
  <c r="C1508" i="6" l="1"/>
  <c r="I1508" i="6"/>
  <c r="J1508" i="6" s="1"/>
  <c r="K1508" i="6" s="1"/>
  <c r="Y1509" i="6"/>
  <c r="B1509" i="6"/>
  <c r="D1508" i="6"/>
  <c r="H1508" i="6"/>
  <c r="L1508" i="6"/>
  <c r="X1506" i="6"/>
  <c r="S1507" i="6"/>
  <c r="P1508" i="6" l="1"/>
  <c r="D1509" i="6"/>
  <c r="H1509" i="6"/>
  <c r="L1509" i="6"/>
  <c r="Y1510" i="6"/>
  <c r="B1510" i="6"/>
  <c r="I1509" i="6"/>
  <c r="J1509" i="6" s="1"/>
  <c r="K1509" i="6" s="1"/>
  <c r="C1509" i="6"/>
  <c r="X1507" i="6"/>
  <c r="S1508" i="6"/>
  <c r="B1511" i="6" l="1"/>
  <c r="H1510" i="6"/>
  <c r="I1510" i="6"/>
  <c r="J1510" i="6" s="1"/>
  <c r="K1510" i="6" s="1"/>
  <c r="L1510" i="6"/>
  <c r="P1510" i="6" s="1"/>
  <c r="Y1511" i="6"/>
  <c r="D1510" i="6"/>
  <c r="C1510" i="6"/>
  <c r="P1509" i="6"/>
  <c r="X1508" i="6"/>
  <c r="S1509" i="6"/>
  <c r="L1511" i="6" l="1"/>
  <c r="H1511" i="6"/>
  <c r="C1511" i="6"/>
  <c r="I1511" i="6"/>
  <c r="J1511" i="6" s="1"/>
  <c r="K1511" i="6" s="1"/>
  <c r="B1512" i="6"/>
  <c r="Y1512" i="6"/>
  <c r="D1511" i="6"/>
  <c r="X1509" i="6"/>
  <c r="S1510" i="6"/>
  <c r="B1513" i="6" l="1"/>
  <c r="I1512" i="6"/>
  <c r="J1512" i="6" s="1"/>
  <c r="K1512" i="6" s="1"/>
  <c r="D1512" i="6"/>
  <c r="L1512" i="6"/>
  <c r="P1512" i="6" s="1"/>
  <c r="Y1513" i="6"/>
  <c r="C1512" i="6"/>
  <c r="H1512" i="6"/>
  <c r="P1511" i="6"/>
  <c r="X1510" i="6"/>
  <c r="S1511" i="6"/>
  <c r="H1513" i="6" l="1"/>
  <c r="B1514" i="6"/>
  <c r="C1513" i="6"/>
  <c r="L1513" i="6"/>
  <c r="P1513" i="6" s="1"/>
  <c r="Y1514" i="6"/>
  <c r="I1513" i="6"/>
  <c r="J1513" i="6" s="1"/>
  <c r="K1513" i="6" s="1"/>
  <c r="D1513" i="6"/>
  <c r="X1511" i="6"/>
  <c r="S1512" i="6"/>
  <c r="Y1515" i="6" l="1"/>
  <c r="C1514" i="6"/>
  <c r="B1515" i="6"/>
  <c r="D1514" i="6"/>
  <c r="H1514" i="6"/>
  <c r="I1514" i="6"/>
  <c r="J1514" i="6" s="1"/>
  <c r="K1514" i="6" s="1"/>
  <c r="L1514" i="6"/>
  <c r="P1514" i="6" s="1"/>
  <c r="X1512" i="6"/>
  <c r="S1513" i="6"/>
  <c r="I1515" i="6" l="1"/>
  <c r="J1515" i="6" s="1"/>
  <c r="K1515" i="6" s="1"/>
  <c r="C1515" i="6"/>
  <c r="B1516" i="6"/>
  <c r="L1515" i="6"/>
  <c r="H1515" i="6"/>
  <c r="Y1516" i="6"/>
  <c r="D1515" i="6"/>
  <c r="X1513" i="6"/>
  <c r="S1514" i="6"/>
  <c r="P1515" i="6" l="1"/>
  <c r="L1516" i="6"/>
  <c r="B1517" i="6"/>
  <c r="I1516" i="6"/>
  <c r="J1516" i="6" s="1"/>
  <c r="K1516" i="6" s="1"/>
  <c r="C1516" i="6"/>
  <c r="D1516" i="6"/>
  <c r="Y1517" i="6"/>
  <c r="H1516" i="6"/>
  <c r="X1514" i="6"/>
  <c r="S1515" i="6"/>
  <c r="I1517" i="6" l="1"/>
  <c r="J1517" i="6" s="1"/>
  <c r="K1517" i="6" s="1"/>
  <c r="B1518" i="6"/>
  <c r="D1517" i="6"/>
  <c r="Y1518" i="6"/>
  <c r="H1517" i="6"/>
  <c r="L1517" i="6"/>
  <c r="P1517" i="6" s="1"/>
  <c r="C1517" i="6"/>
  <c r="P1516" i="6"/>
  <c r="X1515" i="6"/>
  <c r="S1516" i="6"/>
  <c r="Y1519" i="6" l="1"/>
  <c r="C1518" i="6"/>
  <c r="H1518" i="6"/>
  <c r="L1518" i="6"/>
  <c r="I1518" i="6"/>
  <c r="J1518" i="6" s="1"/>
  <c r="K1518" i="6" s="1"/>
  <c r="D1518" i="6"/>
  <c r="B1519" i="6"/>
  <c r="X1516" i="6"/>
  <c r="S1517" i="6"/>
  <c r="D1519" i="6" l="1"/>
  <c r="H1519" i="6"/>
  <c r="Y1520" i="6"/>
  <c r="L1519" i="6"/>
  <c r="P1519" i="6" s="1"/>
  <c r="B1520" i="6"/>
  <c r="C1519" i="6"/>
  <c r="I1519" i="6"/>
  <c r="J1519" i="6" s="1"/>
  <c r="K1519" i="6" s="1"/>
  <c r="P1518" i="6"/>
  <c r="X1517" i="6"/>
  <c r="S1518" i="6"/>
  <c r="I1520" i="6" l="1"/>
  <c r="J1520" i="6" s="1"/>
  <c r="K1520" i="6" s="1"/>
  <c r="B1521" i="6"/>
  <c r="H1520" i="6"/>
  <c r="C1520" i="6"/>
  <c r="Y1521" i="6"/>
  <c r="L1520" i="6"/>
  <c r="P1520" i="6" s="1"/>
  <c r="D1520" i="6"/>
  <c r="X1518" i="6"/>
  <c r="S1519" i="6"/>
  <c r="H1521" i="6" l="1"/>
  <c r="Y1522" i="6"/>
  <c r="C1521" i="6"/>
  <c r="I1521" i="6"/>
  <c r="J1521" i="6" s="1"/>
  <c r="K1521" i="6" s="1"/>
  <c r="L1521" i="6"/>
  <c r="B1522" i="6"/>
  <c r="D1521" i="6"/>
  <c r="X1519" i="6"/>
  <c r="S1520" i="6"/>
  <c r="L1522" i="6" l="1"/>
  <c r="P1522" i="6" s="1"/>
  <c r="D1522" i="6"/>
  <c r="Y1523" i="6"/>
  <c r="I1522" i="6"/>
  <c r="J1522" i="6" s="1"/>
  <c r="K1522" i="6" s="1"/>
  <c r="C1522" i="6"/>
  <c r="B1523" i="6"/>
  <c r="H1522" i="6"/>
  <c r="P1521" i="6"/>
  <c r="X1520" i="6"/>
  <c r="S1521" i="6"/>
  <c r="C1523" i="6" l="1"/>
  <c r="D1523" i="6"/>
  <c r="Y1524" i="6"/>
  <c r="L1523" i="6"/>
  <c r="B1524" i="6"/>
  <c r="I1523" i="6"/>
  <c r="J1523" i="6" s="1"/>
  <c r="K1523" i="6" s="1"/>
  <c r="H1523" i="6"/>
  <c r="X1521" i="6"/>
  <c r="S1522" i="6"/>
  <c r="D1524" i="6" l="1"/>
  <c r="B1525" i="6"/>
  <c r="C1524" i="6"/>
  <c r="H1524" i="6"/>
  <c r="Y1525" i="6"/>
  <c r="I1524" i="6"/>
  <c r="J1524" i="6" s="1"/>
  <c r="K1524" i="6" s="1"/>
  <c r="L1524" i="6"/>
  <c r="P1524" i="6" s="1"/>
  <c r="P1523" i="6"/>
  <c r="X1522" i="6"/>
  <c r="S1523" i="6"/>
  <c r="D1525" i="6" l="1"/>
  <c r="L1525" i="6"/>
  <c r="B1526" i="6"/>
  <c r="Y1526" i="6"/>
  <c r="C1525" i="6"/>
  <c r="H1525" i="6"/>
  <c r="I1525" i="6"/>
  <c r="J1525" i="6" s="1"/>
  <c r="K1525" i="6" s="1"/>
  <c r="X1523" i="6"/>
  <c r="S1524" i="6"/>
  <c r="B1527" i="6" l="1"/>
  <c r="D1526" i="6"/>
  <c r="I1526" i="6"/>
  <c r="J1526" i="6" s="1"/>
  <c r="K1526" i="6" s="1"/>
  <c r="Y1527" i="6"/>
  <c r="L1526" i="6"/>
  <c r="P1526" i="6" s="1"/>
  <c r="C1526" i="6"/>
  <c r="H1526" i="6"/>
  <c r="P1525" i="6"/>
  <c r="X1524" i="6"/>
  <c r="S1525" i="6"/>
  <c r="B1528" i="6" l="1"/>
  <c r="D1527" i="6"/>
  <c r="Y1528" i="6"/>
  <c r="L1527" i="6"/>
  <c r="C1527" i="6"/>
  <c r="I1527" i="6"/>
  <c r="J1527" i="6" s="1"/>
  <c r="K1527" i="6" s="1"/>
  <c r="H1527" i="6"/>
  <c r="X1525" i="6"/>
  <c r="S1526" i="6"/>
  <c r="P1527" i="6" l="1"/>
  <c r="L1528" i="6"/>
  <c r="Y1529" i="6"/>
  <c r="H1528" i="6"/>
  <c r="B1529" i="6"/>
  <c r="I1528" i="6"/>
  <c r="J1528" i="6" s="1"/>
  <c r="K1528" i="6" s="1"/>
  <c r="C1528" i="6"/>
  <c r="D1528" i="6"/>
  <c r="X1526" i="6"/>
  <c r="S1527" i="6"/>
  <c r="D1529" i="6" l="1"/>
  <c r="H1529" i="6"/>
  <c r="B1530" i="6"/>
  <c r="Y1530" i="6"/>
  <c r="C1529" i="6"/>
  <c r="L1529" i="6"/>
  <c r="P1529" i="6" s="1"/>
  <c r="I1529" i="6"/>
  <c r="J1529" i="6" s="1"/>
  <c r="K1529" i="6" s="1"/>
  <c r="P1528" i="6"/>
  <c r="X1527" i="6"/>
  <c r="S1528" i="6"/>
  <c r="L1530" i="6" l="1"/>
  <c r="C1530" i="6"/>
  <c r="H1530" i="6"/>
  <c r="I1530" i="6"/>
  <c r="J1530" i="6" s="1"/>
  <c r="K1530" i="6" s="1"/>
  <c r="D1530" i="6"/>
  <c r="B1531" i="6"/>
  <c r="Y1531" i="6"/>
  <c r="X1528" i="6"/>
  <c r="S1529" i="6"/>
  <c r="C1531" i="6" l="1"/>
  <c r="B1532" i="6"/>
  <c r="H1531" i="6"/>
  <c r="D1531" i="6"/>
  <c r="Y1532" i="6"/>
  <c r="L1531" i="6"/>
  <c r="P1531" i="6" s="1"/>
  <c r="I1531" i="6"/>
  <c r="J1531" i="6" s="1"/>
  <c r="K1531" i="6" s="1"/>
  <c r="P1530" i="6"/>
  <c r="X1529" i="6"/>
  <c r="S1530" i="6"/>
  <c r="I1532" i="6" l="1"/>
  <c r="J1532" i="6" s="1"/>
  <c r="K1532" i="6" s="1"/>
  <c r="B1533" i="6"/>
  <c r="C1532" i="6"/>
  <c r="Y1533" i="6"/>
  <c r="L1532" i="6"/>
  <c r="H1532" i="6"/>
  <c r="D1532" i="6"/>
  <c r="X1530" i="6"/>
  <c r="S1531" i="6"/>
  <c r="P1532" i="6" l="1"/>
  <c r="C1533" i="6"/>
  <c r="B1534" i="6"/>
  <c r="L1533" i="6"/>
  <c r="P1533" i="6" s="1"/>
  <c r="H1533" i="6"/>
  <c r="Y1534" i="6"/>
  <c r="I1533" i="6"/>
  <c r="J1533" i="6" s="1"/>
  <c r="K1533" i="6" s="1"/>
  <c r="D1533" i="6"/>
  <c r="X1531" i="6"/>
  <c r="S1532" i="6"/>
  <c r="H1534" i="6" l="1"/>
  <c r="I1534" i="6"/>
  <c r="J1534" i="6" s="1"/>
  <c r="K1534" i="6" s="1"/>
  <c r="C1534" i="6"/>
  <c r="Y1535" i="6"/>
  <c r="L1534" i="6"/>
  <c r="B1535" i="6"/>
  <c r="D1534" i="6"/>
  <c r="X1532" i="6"/>
  <c r="S1533" i="6"/>
  <c r="H1535" i="6" l="1"/>
  <c r="L1535" i="6"/>
  <c r="P1535" i="6" s="1"/>
  <c r="B1536" i="6"/>
  <c r="I1535" i="6"/>
  <c r="J1535" i="6" s="1"/>
  <c r="K1535" i="6" s="1"/>
  <c r="Y1536" i="6"/>
  <c r="C1535" i="6"/>
  <c r="D1535" i="6"/>
  <c r="P1534" i="6"/>
  <c r="X1533" i="6"/>
  <c r="S1534" i="6"/>
  <c r="D1536" i="6" l="1"/>
  <c r="Y1537" i="6"/>
  <c r="H1536" i="6"/>
  <c r="B1537" i="6"/>
  <c r="C1536" i="6"/>
  <c r="L1536" i="6"/>
  <c r="P1536" i="6" s="1"/>
  <c r="I1536" i="6"/>
  <c r="J1536" i="6" s="1"/>
  <c r="K1536" i="6" s="1"/>
  <c r="X1534" i="6"/>
  <c r="S1535" i="6"/>
  <c r="D1537" i="6" l="1"/>
  <c r="I1537" i="6"/>
  <c r="J1537" i="6" s="1"/>
  <c r="K1537" i="6" s="1"/>
  <c r="L1537" i="6"/>
  <c r="Y1538" i="6"/>
  <c r="C1537" i="6"/>
  <c r="H1537" i="6"/>
  <c r="B1538" i="6"/>
  <c r="X1535" i="6"/>
  <c r="S1536" i="6"/>
  <c r="L1538" i="6" l="1"/>
  <c r="P1538" i="6" s="1"/>
  <c r="C1538" i="6"/>
  <c r="D1538" i="6"/>
  <c r="H1538" i="6"/>
  <c r="B1539" i="6"/>
  <c r="Y1539" i="6"/>
  <c r="I1538" i="6"/>
  <c r="J1538" i="6" s="1"/>
  <c r="K1538" i="6" s="1"/>
  <c r="P1537" i="6"/>
  <c r="X1536" i="6"/>
  <c r="S1537" i="6"/>
  <c r="B1540" i="6" l="1"/>
  <c r="L1539" i="6"/>
  <c r="P1539" i="6" s="1"/>
  <c r="D1539" i="6"/>
  <c r="I1539" i="6"/>
  <c r="J1539" i="6" s="1"/>
  <c r="K1539" i="6" s="1"/>
  <c r="Y1540" i="6"/>
  <c r="C1539" i="6"/>
  <c r="H1539" i="6"/>
  <c r="X1537" i="6"/>
  <c r="S1538" i="6"/>
  <c r="H1540" i="6" l="1"/>
  <c r="L1540" i="6"/>
  <c r="C1540" i="6"/>
  <c r="D1540" i="6"/>
  <c r="B1541" i="6"/>
  <c r="Y1541" i="6"/>
  <c r="I1540" i="6"/>
  <c r="J1540" i="6" s="1"/>
  <c r="K1540" i="6" s="1"/>
  <c r="X1538" i="6"/>
  <c r="S1539" i="6"/>
  <c r="H1541" i="6" l="1"/>
  <c r="B1542" i="6"/>
  <c r="Y1542" i="6"/>
  <c r="C1541" i="6"/>
  <c r="L1541" i="6"/>
  <c r="P1541" i="6" s="1"/>
  <c r="I1541" i="6"/>
  <c r="J1541" i="6" s="1"/>
  <c r="K1541" i="6" s="1"/>
  <c r="D1541" i="6"/>
  <c r="P1540" i="6"/>
  <c r="X1539" i="6"/>
  <c r="S1540" i="6"/>
  <c r="I1542" i="6" l="1"/>
  <c r="J1542" i="6" s="1"/>
  <c r="K1542" i="6" s="1"/>
  <c r="D1542" i="6"/>
  <c r="B1543" i="6"/>
  <c r="C1542" i="6"/>
  <c r="Y1543" i="6"/>
  <c r="L1542" i="6"/>
  <c r="H1542" i="6"/>
  <c r="X1540" i="6"/>
  <c r="S1541" i="6"/>
  <c r="B1544" i="6" l="1"/>
  <c r="Y1544" i="6"/>
  <c r="C1543" i="6"/>
  <c r="L1543" i="6"/>
  <c r="H1543" i="6"/>
  <c r="I1543" i="6"/>
  <c r="J1543" i="6" s="1"/>
  <c r="K1543" i="6" s="1"/>
  <c r="D1543" i="6"/>
  <c r="P1542" i="6"/>
  <c r="X1541" i="6"/>
  <c r="S1542" i="6"/>
  <c r="H1544" i="6" l="1"/>
  <c r="L1544" i="6"/>
  <c r="P1544" i="6" s="1"/>
  <c r="I1544" i="6"/>
  <c r="J1544" i="6" s="1"/>
  <c r="K1544" i="6" s="1"/>
  <c r="Y1545" i="6"/>
  <c r="C1544" i="6"/>
  <c r="B1545" i="6"/>
  <c r="D1544" i="6"/>
  <c r="P1543" i="6"/>
  <c r="X1542" i="6"/>
  <c r="S1543" i="6"/>
  <c r="Y1546" i="6" l="1"/>
  <c r="B1546" i="6"/>
  <c r="L1545" i="6"/>
  <c r="H1545" i="6"/>
  <c r="D1545" i="6"/>
  <c r="C1545" i="6"/>
  <c r="I1545" i="6"/>
  <c r="J1545" i="6" s="1"/>
  <c r="K1545" i="6" s="1"/>
  <c r="X1543" i="6"/>
  <c r="S1544" i="6"/>
  <c r="P1545" i="6" l="1"/>
  <c r="Y1547" i="6"/>
  <c r="D1546" i="6"/>
  <c r="L1546" i="6"/>
  <c r="H1546" i="6"/>
  <c r="I1546" i="6"/>
  <c r="J1546" i="6" s="1"/>
  <c r="K1546" i="6" s="1"/>
  <c r="C1546" i="6"/>
  <c r="B1547" i="6"/>
  <c r="X1544" i="6"/>
  <c r="S1545" i="6"/>
  <c r="L1547" i="6" l="1"/>
  <c r="P1547" i="6" s="1"/>
  <c r="B1548" i="6"/>
  <c r="C1547" i="6"/>
  <c r="H1547" i="6"/>
  <c r="Y1548" i="6"/>
  <c r="I1547" i="6"/>
  <c r="J1547" i="6" s="1"/>
  <c r="K1547" i="6" s="1"/>
  <c r="D1547" i="6"/>
  <c r="P1546" i="6"/>
  <c r="X1545" i="6"/>
  <c r="S1546" i="6"/>
  <c r="C1548" i="6" l="1"/>
  <c r="L1548" i="6"/>
  <c r="P1548" i="6" s="1"/>
  <c r="D1548" i="6"/>
  <c r="H1548" i="6"/>
  <c r="I1548" i="6"/>
  <c r="J1548" i="6" s="1"/>
  <c r="K1548" i="6" s="1"/>
  <c r="Y1549" i="6"/>
  <c r="B1549" i="6"/>
  <c r="X1546" i="6"/>
  <c r="S1547" i="6"/>
  <c r="L1549" i="6" l="1"/>
  <c r="P1549" i="6" s="1"/>
  <c r="C1549" i="6"/>
  <c r="Y1550" i="6"/>
  <c r="I1549" i="6"/>
  <c r="J1549" i="6" s="1"/>
  <c r="K1549" i="6" s="1"/>
  <c r="D1549" i="6"/>
  <c r="H1549" i="6"/>
  <c r="B1550" i="6"/>
  <c r="X1547" i="6"/>
  <c r="S1548" i="6"/>
  <c r="C1550" i="6" l="1"/>
  <c r="I1550" i="6"/>
  <c r="J1550" i="6" s="1"/>
  <c r="K1550" i="6" s="1"/>
  <c r="Y1551" i="6"/>
  <c r="L1550" i="6"/>
  <c r="P1550" i="6" s="1"/>
  <c r="D1550" i="6"/>
  <c r="B1551" i="6"/>
  <c r="H1550" i="6"/>
  <c r="X1548" i="6"/>
  <c r="S1549" i="6"/>
  <c r="H1551" i="6" l="1"/>
  <c r="B1552" i="6"/>
  <c r="D1551" i="6"/>
  <c r="C1551" i="6"/>
  <c r="L1551" i="6"/>
  <c r="P1551" i="6" s="1"/>
  <c r="Y1552" i="6"/>
  <c r="I1551" i="6"/>
  <c r="J1551" i="6" s="1"/>
  <c r="K1551" i="6" s="1"/>
  <c r="X1549" i="6"/>
  <c r="S1550" i="6"/>
  <c r="C1552" i="6" l="1"/>
  <c r="Y1553" i="6"/>
  <c r="H1552" i="6"/>
  <c r="I1552" i="6"/>
  <c r="J1552" i="6" s="1"/>
  <c r="K1552" i="6" s="1"/>
  <c r="L1552" i="6"/>
  <c r="P1552" i="6" s="1"/>
  <c r="D1552" i="6"/>
  <c r="B1553" i="6"/>
  <c r="X1550" i="6"/>
  <c r="S1551" i="6"/>
  <c r="C1553" i="6" l="1"/>
  <c r="Y1554" i="6"/>
  <c r="D1553" i="6"/>
  <c r="H1553" i="6"/>
  <c r="I1553" i="6"/>
  <c r="J1553" i="6" s="1"/>
  <c r="K1553" i="6" s="1"/>
  <c r="L1553" i="6"/>
  <c r="B1554" i="6"/>
  <c r="X1551" i="6"/>
  <c r="S1552" i="6"/>
  <c r="H1554" i="6" l="1"/>
  <c r="B1555" i="6"/>
  <c r="I1554" i="6"/>
  <c r="J1554" i="6" s="1"/>
  <c r="K1554" i="6" s="1"/>
  <c r="C1554" i="6"/>
  <c r="Y1555" i="6"/>
  <c r="D1554" i="6"/>
  <c r="L1554" i="6"/>
  <c r="P1554" i="6" s="1"/>
  <c r="P1553" i="6"/>
  <c r="X1552" i="6"/>
  <c r="S1553" i="6"/>
  <c r="D1555" i="6" l="1"/>
  <c r="B1556" i="6"/>
  <c r="L1555" i="6"/>
  <c r="Y1556" i="6"/>
  <c r="I1555" i="6"/>
  <c r="J1555" i="6" s="1"/>
  <c r="K1555" i="6" s="1"/>
  <c r="H1555" i="6"/>
  <c r="C1555" i="6"/>
  <c r="X1553" i="6"/>
  <c r="S1554" i="6"/>
  <c r="P1555" i="6" l="1"/>
  <c r="D1556" i="6"/>
  <c r="L1556" i="6"/>
  <c r="H1556" i="6"/>
  <c r="C1556" i="6"/>
  <c r="B1557" i="6"/>
  <c r="I1556" i="6"/>
  <c r="J1556" i="6" s="1"/>
  <c r="K1556" i="6" s="1"/>
  <c r="Y1557" i="6"/>
  <c r="X1554" i="6"/>
  <c r="S1555" i="6"/>
  <c r="C1557" i="6" l="1"/>
  <c r="D1557" i="6"/>
  <c r="L1557" i="6"/>
  <c r="P1557" i="6" s="1"/>
  <c r="Y1558" i="6"/>
  <c r="B1558" i="6"/>
  <c r="I1557" i="6"/>
  <c r="J1557" i="6" s="1"/>
  <c r="K1557" i="6" s="1"/>
  <c r="H1557" i="6"/>
  <c r="P1556" i="6"/>
  <c r="X1555" i="6"/>
  <c r="S1556" i="6"/>
  <c r="I1558" i="6" l="1"/>
  <c r="J1558" i="6" s="1"/>
  <c r="K1558" i="6" s="1"/>
  <c r="Y1559" i="6"/>
  <c r="H1558" i="6"/>
  <c r="L1558" i="6"/>
  <c r="P1558" i="6" s="1"/>
  <c r="D1558" i="6"/>
  <c r="C1558" i="6"/>
  <c r="B1559" i="6"/>
  <c r="X1556" i="6"/>
  <c r="S1557" i="6"/>
  <c r="Y1560" i="6" l="1"/>
  <c r="D1559" i="6"/>
  <c r="H1559" i="6"/>
  <c r="C1559" i="6"/>
  <c r="I1559" i="6"/>
  <c r="J1559" i="6" s="1"/>
  <c r="K1559" i="6" s="1"/>
  <c r="B1560" i="6"/>
  <c r="L1559" i="6"/>
  <c r="P1559" i="6" s="1"/>
  <c r="X1557" i="6"/>
  <c r="S1558" i="6"/>
  <c r="L1560" i="6" l="1"/>
  <c r="P1560" i="6" s="1"/>
  <c r="Y1561" i="6"/>
  <c r="H1560" i="6"/>
  <c r="I1560" i="6"/>
  <c r="J1560" i="6" s="1"/>
  <c r="K1560" i="6" s="1"/>
  <c r="B1561" i="6"/>
  <c r="C1560" i="6"/>
  <c r="D1560" i="6"/>
  <c r="X1558" i="6"/>
  <c r="S1559" i="6"/>
  <c r="Y1562" i="6" l="1"/>
  <c r="D1561" i="6"/>
  <c r="C1561" i="6"/>
  <c r="L1561" i="6"/>
  <c r="P1561" i="6" s="1"/>
  <c r="H1561" i="6"/>
  <c r="I1561" i="6"/>
  <c r="J1561" i="6" s="1"/>
  <c r="K1561" i="6" s="1"/>
  <c r="B1562" i="6"/>
  <c r="X1559" i="6"/>
  <c r="S1560" i="6"/>
  <c r="Y1563" i="6" l="1"/>
  <c r="D1562" i="6"/>
  <c r="I1562" i="6"/>
  <c r="J1562" i="6" s="1"/>
  <c r="K1562" i="6" s="1"/>
  <c r="H1562" i="6"/>
  <c r="L1562" i="6"/>
  <c r="C1562" i="6"/>
  <c r="B1563" i="6"/>
  <c r="X1560" i="6"/>
  <c r="S1561" i="6"/>
  <c r="L1563" i="6" l="1"/>
  <c r="P1563" i="6" s="1"/>
  <c r="Y1564" i="6"/>
  <c r="I1563" i="6"/>
  <c r="J1563" i="6" s="1"/>
  <c r="K1563" i="6" s="1"/>
  <c r="H1563" i="6"/>
  <c r="D1563" i="6"/>
  <c r="C1563" i="6"/>
  <c r="B1564" i="6"/>
  <c r="P1562" i="6"/>
  <c r="X1561" i="6"/>
  <c r="S1562" i="6"/>
  <c r="L1564" i="6" l="1"/>
  <c r="P1564" i="6" s="1"/>
  <c r="Y1565" i="6"/>
  <c r="B1565" i="6"/>
  <c r="C1564" i="6"/>
  <c r="I1564" i="6"/>
  <c r="J1564" i="6" s="1"/>
  <c r="K1564" i="6" s="1"/>
  <c r="H1564" i="6"/>
  <c r="D1564" i="6"/>
  <c r="X1562" i="6"/>
  <c r="S1563" i="6"/>
  <c r="C1565" i="6" l="1"/>
  <c r="L1565" i="6"/>
  <c r="D1565" i="6"/>
  <c r="H1565" i="6"/>
  <c r="Y1566" i="6"/>
  <c r="B1566" i="6"/>
  <c r="I1565" i="6"/>
  <c r="J1565" i="6" s="1"/>
  <c r="K1565" i="6" s="1"/>
  <c r="X1563" i="6"/>
  <c r="S1564" i="6"/>
  <c r="B1567" i="6" l="1"/>
  <c r="C1566" i="6"/>
  <c r="L1566" i="6"/>
  <c r="P1566" i="6" s="1"/>
  <c r="D1566" i="6"/>
  <c r="Y1567" i="6"/>
  <c r="H1566" i="6"/>
  <c r="I1566" i="6"/>
  <c r="J1566" i="6" s="1"/>
  <c r="K1566" i="6" s="1"/>
  <c r="P1565" i="6"/>
  <c r="X1564" i="6"/>
  <c r="S1565" i="6"/>
  <c r="C1567" i="6" l="1"/>
  <c r="D1567" i="6"/>
  <c r="L1567" i="6"/>
  <c r="I1567" i="6"/>
  <c r="J1567" i="6" s="1"/>
  <c r="K1567" i="6" s="1"/>
  <c r="H1567" i="6"/>
  <c r="Y1568" i="6"/>
  <c r="B1568" i="6"/>
  <c r="X1565" i="6"/>
  <c r="S1566" i="6"/>
  <c r="D1568" i="6" l="1"/>
  <c r="C1568" i="6"/>
  <c r="H1568" i="6"/>
  <c r="I1568" i="6"/>
  <c r="J1568" i="6" s="1"/>
  <c r="K1568" i="6" s="1"/>
  <c r="L1568" i="6"/>
  <c r="P1568" i="6" s="1"/>
  <c r="B1569" i="6"/>
  <c r="Y1569" i="6"/>
  <c r="P1567" i="6"/>
  <c r="X1566" i="6"/>
  <c r="S1567" i="6"/>
  <c r="H1569" i="6" l="1"/>
  <c r="Y1570" i="6"/>
  <c r="I1569" i="6"/>
  <c r="J1569" i="6" s="1"/>
  <c r="K1569" i="6" s="1"/>
  <c r="D1569" i="6"/>
  <c r="B1570" i="6"/>
  <c r="L1569" i="6"/>
  <c r="C1569" i="6"/>
  <c r="X1567" i="6"/>
  <c r="S1568" i="6"/>
  <c r="P1569" i="6" l="1"/>
  <c r="D1570" i="6"/>
  <c r="C1570" i="6"/>
  <c r="H1570" i="6"/>
  <c r="L1570" i="6"/>
  <c r="Y1571" i="6"/>
  <c r="B1571" i="6"/>
  <c r="I1570" i="6"/>
  <c r="J1570" i="6" s="1"/>
  <c r="K1570" i="6" s="1"/>
  <c r="X1568" i="6"/>
  <c r="S1569" i="6"/>
  <c r="D1571" i="6" l="1"/>
  <c r="B1572" i="6"/>
  <c r="Y1572" i="6"/>
  <c r="C1571" i="6"/>
  <c r="H1571" i="6"/>
  <c r="L1571" i="6"/>
  <c r="P1571" i="6" s="1"/>
  <c r="I1571" i="6"/>
  <c r="J1571" i="6" s="1"/>
  <c r="K1571" i="6" s="1"/>
  <c r="P1570" i="6"/>
  <c r="X1569" i="6"/>
  <c r="S1570" i="6"/>
  <c r="D1572" i="6" l="1"/>
  <c r="C1572" i="6"/>
  <c r="B1573" i="6"/>
  <c r="Y1573" i="6"/>
  <c r="I1572" i="6"/>
  <c r="J1572" i="6" s="1"/>
  <c r="K1572" i="6" s="1"/>
  <c r="L1572" i="6"/>
  <c r="H1572" i="6"/>
  <c r="X1570" i="6"/>
  <c r="S1571" i="6"/>
  <c r="H1573" i="6" l="1"/>
  <c r="I1573" i="6"/>
  <c r="J1573" i="6" s="1"/>
  <c r="K1573" i="6" s="1"/>
  <c r="C1573" i="6"/>
  <c r="L1573" i="6"/>
  <c r="P1573" i="6" s="1"/>
  <c r="D1573" i="6"/>
  <c r="Y1574" i="6"/>
  <c r="B1574" i="6"/>
  <c r="P1572" i="6"/>
  <c r="X1571" i="6"/>
  <c r="S1572" i="6"/>
  <c r="L1574" i="6" l="1"/>
  <c r="B1575" i="6"/>
  <c r="I1574" i="6"/>
  <c r="J1574" i="6" s="1"/>
  <c r="K1574" i="6" s="1"/>
  <c r="H1574" i="6"/>
  <c r="C1574" i="6"/>
  <c r="D1574" i="6"/>
  <c r="Y1575" i="6"/>
  <c r="X1572" i="6"/>
  <c r="S1573" i="6"/>
  <c r="I1575" i="6" l="1"/>
  <c r="J1575" i="6" s="1"/>
  <c r="K1575" i="6" s="1"/>
  <c r="L1575" i="6"/>
  <c r="P1575" i="6" s="1"/>
  <c r="D1575" i="6"/>
  <c r="H1575" i="6"/>
  <c r="B1576" i="6"/>
  <c r="C1575" i="6"/>
  <c r="Y1576" i="6"/>
  <c r="P1574" i="6"/>
  <c r="X1573" i="6"/>
  <c r="S1574" i="6"/>
  <c r="C1576" i="6" l="1"/>
  <c r="D1576" i="6"/>
  <c r="H1576" i="6"/>
  <c r="I1576" i="6"/>
  <c r="J1576" i="6" s="1"/>
  <c r="K1576" i="6" s="1"/>
  <c r="Y1577" i="6"/>
  <c r="L1576" i="6"/>
  <c r="P1576" i="6" s="1"/>
  <c r="B1577" i="6"/>
  <c r="X1574" i="6"/>
  <c r="S1575" i="6"/>
  <c r="Y1578" i="6" l="1"/>
  <c r="L1577" i="6"/>
  <c r="P1577" i="6" s="1"/>
  <c r="H1577" i="6"/>
  <c r="D1577" i="6"/>
  <c r="C1577" i="6"/>
  <c r="B1578" i="6"/>
  <c r="I1577" i="6"/>
  <c r="J1577" i="6" s="1"/>
  <c r="K1577" i="6" s="1"/>
  <c r="X1575" i="6"/>
  <c r="S1576" i="6"/>
  <c r="B1579" i="6" l="1"/>
  <c r="L1578" i="6"/>
  <c r="P1578" i="6" s="1"/>
  <c r="D1578" i="6"/>
  <c r="C1578" i="6"/>
  <c r="I1578" i="6"/>
  <c r="J1578" i="6" s="1"/>
  <c r="K1578" i="6" s="1"/>
  <c r="Y1579" i="6"/>
  <c r="H1578" i="6"/>
  <c r="X1576" i="6"/>
  <c r="S1577" i="6"/>
  <c r="D1579" i="6" l="1"/>
  <c r="H1579" i="6"/>
  <c r="C1579" i="6"/>
  <c r="L1579" i="6"/>
  <c r="B1580" i="6"/>
  <c r="I1579" i="6"/>
  <c r="J1579" i="6" s="1"/>
  <c r="K1579" i="6" s="1"/>
  <c r="Y1580" i="6"/>
  <c r="X1577" i="6"/>
  <c r="S1578" i="6"/>
  <c r="C1580" i="6" l="1"/>
  <c r="B1581" i="6"/>
  <c r="L1580" i="6"/>
  <c r="P1580" i="6" s="1"/>
  <c r="D1580" i="6"/>
  <c r="H1580" i="6"/>
  <c r="Y1581" i="6"/>
  <c r="I1580" i="6"/>
  <c r="J1580" i="6" s="1"/>
  <c r="K1580" i="6" s="1"/>
  <c r="P1579" i="6"/>
  <c r="X1578" i="6"/>
  <c r="S1579" i="6"/>
  <c r="H1581" i="6" l="1"/>
  <c r="I1581" i="6"/>
  <c r="J1581" i="6" s="1"/>
  <c r="K1581" i="6" s="1"/>
  <c r="L1581" i="6"/>
  <c r="C1581" i="6"/>
  <c r="Y1582" i="6"/>
  <c r="B1582" i="6"/>
  <c r="D1581" i="6"/>
  <c r="X1579" i="6"/>
  <c r="S1580" i="6"/>
  <c r="C1582" i="6" l="1"/>
  <c r="L1582" i="6"/>
  <c r="P1582" i="6" s="1"/>
  <c r="H1582" i="6"/>
  <c r="I1582" i="6"/>
  <c r="J1582" i="6" s="1"/>
  <c r="K1582" i="6" s="1"/>
  <c r="D1582" i="6"/>
  <c r="B1583" i="6"/>
  <c r="Y1583" i="6"/>
  <c r="P1581" i="6"/>
  <c r="X1580" i="6"/>
  <c r="S1581" i="6"/>
  <c r="H1583" i="6" l="1"/>
  <c r="B1584" i="6"/>
  <c r="C1583" i="6"/>
  <c r="Y1584" i="6"/>
  <c r="L1583" i="6"/>
  <c r="P1583" i="6" s="1"/>
  <c r="I1583" i="6"/>
  <c r="J1583" i="6" s="1"/>
  <c r="K1583" i="6" s="1"/>
  <c r="D1583" i="6"/>
  <c r="X1581" i="6"/>
  <c r="S1582" i="6"/>
  <c r="H1584" i="6" l="1"/>
  <c r="C1584" i="6"/>
  <c r="D1584" i="6"/>
  <c r="L1584" i="6"/>
  <c r="B1585" i="6"/>
  <c r="I1584" i="6"/>
  <c r="J1584" i="6" s="1"/>
  <c r="K1584" i="6" s="1"/>
  <c r="Y1585" i="6"/>
  <c r="X1582" i="6"/>
  <c r="S1583" i="6"/>
  <c r="D1585" i="6" l="1"/>
  <c r="B1586" i="6"/>
  <c r="C1585" i="6"/>
  <c r="H1585" i="6"/>
  <c r="Y1586" i="6"/>
  <c r="I1585" i="6"/>
  <c r="J1585" i="6" s="1"/>
  <c r="K1585" i="6" s="1"/>
  <c r="L1585" i="6"/>
  <c r="P1585" i="6" s="1"/>
  <c r="P1584" i="6"/>
  <c r="X1583" i="6"/>
  <c r="S1584" i="6"/>
  <c r="Y1587" i="6" l="1"/>
  <c r="I1586" i="6"/>
  <c r="J1586" i="6" s="1"/>
  <c r="K1586" i="6" s="1"/>
  <c r="D1586" i="6"/>
  <c r="B1587" i="6"/>
  <c r="C1586" i="6"/>
  <c r="H1586" i="6"/>
  <c r="L1586" i="6"/>
  <c r="P1586" i="6" s="1"/>
  <c r="X1584" i="6"/>
  <c r="S1585" i="6"/>
  <c r="H1587" i="6" l="1"/>
  <c r="C1587" i="6"/>
  <c r="B1588" i="6"/>
  <c r="D1587" i="6"/>
  <c r="Y1588" i="6"/>
  <c r="I1587" i="6"/>
  <c r="J1587" i="6" s="1"/>
  <c r="K1587" i="6" s="1"/>
  <c r="L1587" i="6"/>
  <c r="X1585" i="6"/>
  <c r="S1586" i="6"/>
  <c r="P1587" i="6" l="1"/>
  <c r="D1588" i="6"/>
  <c r="Y1589" i="6"/>
  <c r="L1588" i="6"/>
  <c r="I1588" i="6"/>
  <c r="J1588" i="6" s="1"/>
  <c r="K1588" i="6" s="1"/>
  <c r="B1589" i="6"/>
  <c r="C1588" i="6"/>
  <c r="H1588" i="6"/>
  <c r="X1586" i="6"/>
  <c r="S1587" i="6"/>
  <c r="C1589" i="6" l="1"/>
  <c r="L1589" i="6"/>
  <c r="P1589" i="6" s="1"/>
  <c r="I1589" i="6"/>
  <c r="J1589" i="6" s="1"/>
  <c r="K1589" i="6" s="1"/>
  <c r="D1589" i="6"/>
  <c r="Y1590" i="6"/>
  <c r="H1589" i="6"/>
  <c r="B1590" i="6"/>
  <c r="P1588" i="6"/>
  <c r="X1587" i="6"/>
  <c r="S1588" i="6"/>
  <c r="Y1591" i="6" l="1"/>
  <c r="C1590" i="6"/>
  <c r="B1591" i="6"/>
  <c r="D1590" i="6"/>
  <c r="H1590" i="6"/>
  <c r="L1590" i="6"/>
  <c r="P1590" i="6" s="1"/>
  <c r="I1590" i="6"/>
  <c r="J1590" i="6" s="1"/>
  <c r="K1590" i="6" s="1"/>
  <c r="X1588" i="6"/>
  <c r="S1589" i="6"/>
  <c r="D1591" i="6" l="1"/>
  <c r="B1592" i="6"/>
  <c r="Y1592" i="6"/>
  <c r="I1591" i="6"/>
  <c r="J1591" i="6" s="1"/>
  <c r="K1591" i="6" s="1"/>
  <c r="L1591" i="6"/>
  <c r="H1591" i="6"/>
  <c r="C1591" i="6"/>
  <c r="X1589" i="6"/>
  <c r="S1590" i="6"/>
  <c r="L1592" i="6" l="1"/>
  <c r="C1592" i="6"/>
  <c r="D1592" i="6"/>
  <c r="B1593" i="6"/>
  <c r="H1592" i="6"/>
  <c r="I1592" i="6"/>
  <c r="J1592" i="6" s="1"/>
  <c r="K1592" i="6" s="1"/>
  <c r="Y1593" i="6"/>
  <c r="P1591" i="6"/>
  <c r="X1590" i="6"/>
  <c r="S1591" i="6"/>
  <c r="L1593" i="6" l="1"/>
  <c r="P1593" i="6" s="1"/>
  <c r="C1593" i="6"/>
  <c r="Y1594" i="6"/>
  <c r="D1593" i="6"/>
  <c r="B1594" i="6"/>
  <c r="I1593" i="6"/>
  <c r="J1593" i="6" s="1"/>
  <c r="K1593" i="6" s="1"/>
  <c r="H1593" i="6"/>
  <c r="P1592" i="6"/>
  <c r="X1591" i="6"/>
  <c r="S1592" i="6"/>
  <c r="B1595" i="6" l="1"/>
  <c r="Y1595" i="6"/>
  <c r="D1594" i="6"/>
  <c r="C1594" i="6"/>
  <c r="I1594" i="6"/>
  <c r="J1594" i="6" s="1"/>
  <c r="K1594" i="6" s="1"/>
  <c r="H1594" i="6"/>
  <c r="L1594" i="6"/>
  <c r="P1594" i="6" s="1"/>
  <c r="X1592" i="6"/>
  <c r="S1593" i="6"/>
  <c r="D1595" i="6" l="1"/>
  <c r="C1595" i="6"/>
  <c r="Y1596" i="6"/>
  <c r="I1595" i="6"/>
  <c r="J1595" i="6" s="1"/>
  <c r="K1595" i="6" s="1"/>
  <c r="B1596" i="6"/>
  <c r="H1595" i="6"/>
  <c r="L1595" i="6"/>
  <c r="X1593" i="6"/>
  <c r="S1594" i="6"/>
  <c r="D1596" i="6" l="1"/>
  <c r="L1596" i="6"/>
  <c r="H1596" i="6"/>
  <c r="C1596" i="6"/>
  <c r="B1597" i="6"/>
  <c r="Y1597" i="6"/>
  <c r="I1596" i="6"/>
  <c r="J1596" i="6" s="1"/>
  <c r="K1596" i="6" s="1"/>
  <c r="P1595" i="6"/>
  <c r="X1594" i="6"/>
  <c r="S1595" i="6"/>
  <c r="B1598" i="6" l="1"/>
  <c r="Y1598" i="6"/>
  <c r="D1597" i="6"/>
  <c r="I1597" i="6"/>
  <c r="J1597" i="6" s="1"/>
  <c r="K1597" i="6" s="1"/>
  <c r="L1597" i="6"/>
  <c r="P1597" i="6" s="1"/>
  <c r="C1597" i="6"/>
  <c r="H1597" i="6"/>
  <c r="P1596" i="6"/>
  <c r="X1595" i="6"/>
  <c r="S1596" i="6"/>
  <c r="B1599" i="6" l="1"/>
  <c r="D1598" i="6"/>
  <c r="C1598" i="6"/>
  <c r="Y1599" i="6"/>
  <c r="H1598" i="6"/>
  <c r="L1598" i="6"/>
  <c r="I1598" i="6"/>
  <c r="J1598" i="6" s="1"/>
  <c r="K1598" i="6" s="1"/>
  <c r="X1596" i="6"/>
  <c r="S1597" i="6"/>
  <c r="P1598" i="6" l="1"/>
  <c r="L1599" i="6"/>
  <c r="Y1600" i="6"/>
  <c r="H1599" i="6"/>
  <c r="B1600" i="6"/>
  <c r="I1599" i="6"/>
  <c r="J1599" i="6" s="1"/>
  <c r="K1599" i="6" s="1"/>
  <c r="D1599" i="6"/>
  <c r="C1599" i="6"/>
  <c r="X1597" i="6"/>
  <c r="S1598" i="6"/>
  <c r="C1600" i="6" l="1"/>
  <c r="D1600" i="6"/>
  <c r="H1600" i="6"/>
  <c r="Y1601" i="6"/>
  <c r="I1600" i="6"/>
  <c r="J1600" i="6" s="1"/>
  <c r="K1600" i="6" s="1"/>
  <c r="B1601" i="6"/>
  <c r="L1600" i="6"/>
  <c r="P1600" i="6" s="1"/>
  <c r="P1599" i="6"/>
  <c r="X1598" i="6"/>
  <c r="S1599" i="6"/>
  <c r="Y1602" i="6" l="1"/>
  <c r="L1601" i="6"/>
  <c r="H1601" i="6"/>
  <c r="B1602" i="6"/>
  <c r="I1601" i="6"/>
  <c r="J1601" i="6" s="1"/>
  <c r="K1601" i="6" s="1"/>
  <c r="D1601" i="6"/>
  <c r="C1601" i="6"/>
  <c r="X1599" i="6"/>
  <c r="S1600" i="6"/>
  <c r="H1602" i="6" l="1"/>
  <c r="L1602" i="6"/>
  <c r="P1602" i="6" s="1"/>
  <c r="Y1603" i="6"/>
  <c r="I1602" i="6"/>
  <c r="J1602" i="6" s="1"/>
  <c r="K1602" i="6" s="1"/>
  <c r="D1602" i="6"/>
  <c r="C1602" i="6"/>
  <c r="B1603" i="6"/>
  <c r="P1601" i="6"/>
  <c r="X1600" i="6"/>
  <c r="S1601" i="6"/>
  <c r="B1604" i="6" l="1"/>
  <c r="H1603" i="6"/>
  <c r="L1603" i="6"/>
  <c r="P1603" i="6" s="1"/>
  <c r="I1603" i="6"/>
  <c r="J1603" i="6" s="1"/>
  <c r="K1603" i="6" s="1"/>
  <c r="Y1604" i="6"/>
  <c r="D1603" i="6"/>
  <c r="C1603" i="6"/>
  <c r="X1601" i="6"/>
  <c r="S1602" i="6"/>
  <c r="H1604" i="6" l="1"/>
  <c r="Y1605" i="6"/>
  <c r="D1604" i="6"/>
  <c r="L1604" i="6"/>
  <c r="B1605" i="6"/>
  <c r="C1604" i="6"/>
  <c r="I1604" i="6"/>
  <c r="J1604" i="6" s="1"/>
  <c r="K1604" i="6" s="1"/>
  <c r="X1602" i="6"/>
  <c r="S1603" i="6"/>
  <c r="H1605" i="6" l="1"/>
  <c r="D1605" i="6"/>
  <c r="Y1606" i="6"/>
  <c r="B1606" i="6"/>
  <c r="C1605" i="6"/>
  <c r="I1605" i="6"/>
  <c r="J1605" i="6" s="1"/>
  <c r="K1605" i="6" s="1"/>
  <c r="L1605" i="6"/>
  <c r="P1605" i="6" s="1"/>
  <c r="P1604" i="6"/>
  <c r="X1603" i="6"/>
  <c r="S1604" i="6"/>
  <c r="D1606" i="6" l="1"/>
  <c r="I1606" i="6"/>
  <c r="J1606" i="6" s="1"/>
  <c r="K1606" i="6" s="1"/>
  <c r="L1606" i="6"/>
  <c r="C1606" i="6"/>
  <c r="Y1607" i="6"/>
  <c r="B1607" i="6"/>
  <c r="H1606" i="6"/>
  <c r="X1604" i="6"/>
  <c r="S1605" i="6"/>
  <c r="H1607" i="6" l="1"/>
  <c r="C1607" i="6"/>
  <c r="I1607" i="6"/>
  <c r="J1607" i="6" s="1"/>
  <c r="K1607" i="6" s="1"/>
  <c r="L1607" i="6"/>
  <c r="P1607" i="6" s="1"/>
  <c r="D1607" i="6"/>
  <c r="B1608" i="6"/>
  <c r="Y1608" i="6"/>
  <c r="P1606" i="6"/>
  <c r="X1605" i="6"/>
  <c r="S1606" i="6"/>
  <c r="L1608" i="6" l="1"/>
  <c r="P1608" i="6" s="1"/>
  <c r="H1608" i="6"/>
  <c r="I1608" i="6"/>
  <c r="J1608" i="6" s="1"/>
  <c r="K1608" i="6" s="1"/>
  <c r="Y1609" i="6"/>
  <c r="C1608" i="6"/>
  <c r="D1608" i="6"/>
  <c r="B1609" i="6"/>
  <c r="X1606" i="6"/>
  <c r="S1607" i="6"/>
  <c r="L1609" i="6" l="1"/>
  <c r="P1609" i="6" s="1"/>
  <c r="C1609" i="6"/>
  <c r="B1610" i="6"/>
  <c r="Y1610" i="6"/>
  <c r="I1609" i="6"/>
  <c r="J1609" i="6" s="1"/>
  <c r="K1609" i="6" s="1"/>
  <c r="H1609" i="6"/>
  <c r="D1609" i="6"/>
  <c r="X1607" i="6"/>
  <c r="S1608" i="6"/>
  <c r="Y1611" i="6" l="1"/>
  <c r="D1610" i="6"/>
  <c r="I1610" i="6"/>
  <c r="J1610" i="6" s="1"/>
  <c r="K1610" i="6" s="1"/>
  <c r="C1610" i="6"/>
  <c r="L1610" i="6"/>
  <c r="P1610" i="6" s="1"/>
  <c r="H1610" i="6"/>
  <c r="B1611" i="6"/>
  <c r="X1608" i="6"/>
  <c r="S1609" i="6"/>
  <c r="I1611" i="6" l="1"/>
  <c r="J1611" i="6" s="1"/>
  <c r="K1611" i="6" s="1"/>
  <c r="C1611" i="6"/>
  <c r="D1611" i="6"/>
  <c r="B1612" i="6"/>
  <c r="H1611" i="6"/>
  <c r="L1611" i="6"/>
  <c r="P1611" i="6" s="1"/>
  <c r="Y1612" i="6"/>
  <c r="X1609" i="6"/>
  <c r="S1610" i="6"/>
  <c r="C1612" i="6" l="1"/>
  <c r="B1613" i="6"/>
  <c r="D1612" i="6"/>
  <c r="H1612" i="6"/>
  <c r="L1612" i="6"/>
  <c r="Y1613" i="6"/>
  <c r="I1612" i="6"/>
  <c r="J1612" i="6" s="1"/>
  <c r="K1612" i="6" s="1"/>
  <c r="X1610" i="6"/>
  <c r="S1611" i="6"/>
  <c r="H1613" i="6" l="1"/>
  <c r="Y1614" i="6"/>
  <c r="I1613" i="6"/>
  <c r="J1613" i="6" s="1"/>
  <c r="K1613" i="6" s="1"/>
  <c r="L1613" i="6"/>
  <c r="C1613" i="6"/>
  <c r="D1613" i="6"/>
  <c r="B1614" i="6"/>
  <c r="P1612" i="6"/>
  <c r="X1611" i="6"/>
  <c r="S1612" i="6"/>
  <c r="Y1615" i="6" l="1"/>
  <c r="H1614" i="6"/>
  <c r="I1614" i="6"/>
  <c r="J1614" i="6" s="1"/>
  <c r="K1614" i="6" s="1"/>
  <c r="C1614" i="6"/>
  <c r="D1614" i="6"/>
  <c r="B1615" i="6"/>
  <c r="L1614" i="6"/>
  <c r="P1614" i="6" s="1"/>
  <c r="P1613" i="6"/>
  <c r="X1612" i="6"/>
  <c r="S1613" i="6"/>
  <c r="C1615" i="6" l="1"/>
  <c r="L1615" i="6"/>
  <c r="H1615" i="6"/>
  <c r="Y1616" i="6"/>
  <c r="B1616" i="6"/>
  <c r="I1615" i="6"/>
  <c r="J1615" i="6" s="1"/>
  <c r="K1615" i="6" s="1"/>
  <c r="D1615" i="6"/>
  <c r="X1613" i="6"/>
  <c r="S1614" i="6"/>
  <c r="Y1617" i="6" l="1"/>
  <c r="H1616" i="6"/>
  <c r="D1616" i="6"/>
  <c r="C1616" i="6"/>
  <c r="I1616" i="6"/>
  <c r="J1616" i="6" s="1"/>
  <c r="K1616" i="6" s="1"/>
  <c r="B1617" i="6"/>
  <c r="L1616" i="6"/>
  <c r="P1616" i="6" s="1"/>
  <c r="P1615" i="6"/>
  <c r="X1614" i="6"/>
  <c r="S1615" i="6"/>
  <c r="C1617" i="6" l="1"/>
  <c r="B1618" i="6"/>
  <c r="Y1618" i="6"/>
  <c r="I1617" i="6"/>
  <c r="J1617" i="6" s="1"/>
  <c r="K1617" i="6" s="1"/>
  <c r="H1617" i="6"/>
  <c r="L1617" i="6"/>
  <c r="D1617" i="6"/>
  <c r="X1615" i="6"/>
  <c r="S1616" i="6"/>
  <c r="B1619" i="6" l="1"/>
  <c r="D1618" i="6"/>
  <c r="C1618" i="6"/>
  <c r="Y1619" i="6"/>
  <c r="H1618" i="6"/>
  <c r="L1618" i="6"/>
  <c r="I1618" i="6"/>
  <c r="J1618" i="6" s="1"/>
  <c r="K1618" i="6" s="1"/>
  <c r="P1617" i="6"/>
  <c r="X1616" i="6"/>
  <c r="S1617" i="6"/>
  <c r="Y1620" i="6" l="1"/>
  <c r="H1619" i="6"/>
  <c r="I1619" i="6"/>
  <c r="J1619" i="6" s="1"/>
  <c r="K1619" i="6" s="1"/>
  <c r="C1619" i="6"/>
  <c r="D1619" i="6"/>
  <c r="B1620" i="6"/>
  <c r="L1619" i="6"/>
  <c r="P1618" i="6"/>
  <c r="X1617" i="6"/>
  <c r="S1618" i="6"/>
  <c r="L1620" i="6" l="1"/>
  <c r="P1620" i="6" s="1"/>
  <c r="D1620" i="6"/>
  <c r="H1620" i="6"/>
  <c r="Y1621" i="6"/>
  <c r="B1621" i="6"/>
  <c r="I1620" i="6"/>
  <c r="J1620" i="6" s="1"/>
  <c r="K1620" i="6" s="1"/>
  <c r="C1620" i="6"/>
  <c r="P1619" i="6"/>
  <c r="X1618" i="6"/>
  <c r="S1619" i="6"/>
  <c r="I1621" i="6" l="1"/>
  <c r="J1621" i="6" s="1"/>
  <c r="K1621" i="6" s="1"/>
  <c r="L1621" i="6"/>
  <c r="P1621" i="6" s="1"/>
  <c r="B1622" i="6"/>
  <c r="C1621" i="6"/>
  <c r="D1621" i="6"/>
  <c r="H1621" i="6"/>
  <c r="Y1622" i="6"/>
  <c r="X1619" i="6"/>
  <c r="S1620" i="6"/>
  <c r="H1622" i="6" l="1"/>
  <c r="B1623" i="6"/>
  <c r="I1622" i="6"/>
  <c r="J1622" i="6" s="1"/>
  <c r="K1622" i="6" s="1"/>
  <c r="D1622" i="6"/>
  <c r="C1622" i="6"/>
  <c r="L1622" i="6"/>
  <c r="P1622" i="6" s="1"/>
  <c r="Y1623" i="6"/>
  <c r="X1620" i="6"/>
  <c r="S1621" i="6"/>
  <c r="C1623" i="6" l="1"/>
  <c r="D1623" i="6"/>
  <c r="Y1624" i="6"/>
  <c r="H1623" i="6"/>
  <c r="L1623" i="6"/>
  <c r="B1624" i="6"/>
  <c r="I1623" i="6"/>
  <c r="J1623" i="6" s="1"/>
  <c r="K1623" i="6" s="1"/>
  <c r="X1621" i="6"/>
  <c r="S1622" i="6"/>
  <c r="H1624" i="6" l="1"/>
  <c r="I1624" i="6"/>
  <c r="J1624" i="6" s="1"/>
  <c r="K1624" i="6" s="1"/>
  <c r="L1624" i="6"/>
  <c r="P1624" i="6" s="1"/>
  <c r="D1624" i="6"/>
  <c r="Y1625" i="6"/>
  <c r="B1625" i="6"/>
  <c r="C1624" i="6"/>
  <c r="P1623" i="6"/>
  <c r="X1622" i="6"/>
  <c r="S1623" i="6"/>
  <c r="C1625" i="6" l="1"/>
  <c r="L1625" i="6"/>
  <c r="P1625" i="6" s="1"/>
  <c r="D1625" i="6"/>
  <c r="B1626" i="6"/>
  <c r="Y1626" i="6"/>
  <c r="H1625" i="6"/>
  <c r="I1625" i="6"/>
  <c r="J1625" i="6" s="1"/>
  <c r="K1625" i="6" s="1"/>
  <c r="X1623" i="6"/>
  <c r="S1624" i="6"/>
  <c r="L1626" i="6" l="1"/>
  <c r="P1626" i="6" s="1"/>
  <c r="B1627" i="6"/>
  <c r="Y1627" i="6"/>
  <c r="I1626" i="6"/>
  <c r="J1626" i="6" s="1"/>
  <c r="K1626" i="6" s="1"/>
  <c r="H1626" i="6"/>
  <c r="D1626" i="6"/>
  <c r="C1626" i="6"/>
  <c r="X1624" i="6"/>
  <c r="S1625" i="6"/>
  <c r="Y1628" i="6" l="1"/>
  <c r="B1628" i="6"/>
  <c r="H1627" i="6"/>
  <c r="I1627" i="6"/>
  <c r="J1627" i="6" s="1"/>
  <c r="K1627" i="6" s="1"/>
  <c r="C1627" i="6"/>
  <c r="L1627" i="6"/>
  <c r="P1627" i="6" s="1"/>
  <c r="D1627" i="6"/>
  <c r="X1625" i="6"/>
  <c r="S1626" i="6"/>
  <c r="H1628" i="6" l="1"/>
  <c r="C1628" i="6"/>
  <c r="D1628" i="6"/>
  <c r="Y1629" i="6"/>
  <c r="L1628" i="6"/>
  <c r="P1628" i="6" s="1"/>
  <c r="B1629" i="6"/>
  <c r="I1628" i="6"/>
  <c r="J1628" i="6" s="1"/>
  <c r="K1628" i="6" s="1"/>
  <c r="X1626" i="6"/>
  <c r="S1627" i="6"/>
  <c r="Y1630" i="6" l="1"/>
  <c r="B1630" i="6"/>
  <c r="D1629" i="6"/>
  <c r="L1629" i="6"/>
  <c r="H1629" i="6"/>
  <c r="C1629" i="6"/>
  <c r="I1629" i="6"/>
  <c r="J1629" i="6" s="1"/>
  <c r="K1629" i="6" s="1"/>
  <c r="X1627" i="6"/>
  <c r="S1628" i="6"/>
  <c r="P1629" i="6" l="1"/>
  <c r="D1630" i="6"/>
  <c r="Y1631" i="6"/>
  <c r="H1630" i="6"/>
  <c r="I1630" i="6"/>
  <c r="J1630" i="6" s="1"/>
  <c r="K1630" i="6" s="1"/>
  <c r="C1630" i="6"/>
  <c r="B1631" i="6"/>
  <c r="L1630" i="6"/>
  <c r="X1628" i="6"/>
  <c r="S1629" i="6"/>
  <c r="I1631" i="6" l="1"/>
  <c r="J1631" i="6" s="1"/>
  <c r="K1631" i="6" s="1"/>
  <c r="B1632" i="6"/>
  <c r="D1631" i="6"/>
  <c r="Y1632" i="6"/>
  <c r="C1631" i="6"/>
  <c r="H1631" i="6"/>
  <c r="L1631" i="6"/>
  <c r="P1631" i="6" s="1"/>
  <c r="P1630" i="6"/>
  <c r="X1629" i="6"/>
  <c r="S1630" i="6"/>
  <c r="C1632" i="6" l="1"/>
  <c r="I1632" i="6"/>
  <c r="J1632" i="6" s="1"/>
  <c r="K1632" i="6" s="1"/>
  <c r="H1632" i="6"/>
  <c r="Y1633" i="6"/>
  <c r="L1632" i="6"/>
  <c r="D1632" i="6"/>
  <c r="B1633" i="6"/>
  <c r="X1630" i="6"/>
  <c r="S1631" i="6"/>
  <c r="L1633" i="6" l="1"/>
  <c r="P1633" i="6" s="1"/>
  <c r="C1633" i="6"/>
  <c r="D1633" i="6"/>
  <c r="Y1634" i="6"/>
  <c r="I1633" i="6"/>
  <c r="J1633" i="6" s="1"/>
  <c r="K1633" i="6" s="1"/>
  <c r="B1634" i="6"/>
  <c r="H1633" i="6"/>
  <c r="P1632" i="6"/>
  <c r="X1631" i="6"/>
  <c r="S1632" i="6"/>
  <c r="L1634" i="6" l="1"/>
  <c r="P1634" i="6" s="1"/>
  <c r="I1634" i="6"/>
  <c r="J1634" i="6" s="1"/>
  <c r="K1634" i="6" s="1"/>
  <c r="H1634" i="6"/>
  <c r="D1634" i="6"/>
  <c r="B1635" i="6"/>
  <c r="C1634" i="6"/>
  <c r="Y1635" i="6"/>
  <c r="X1632" i="6"/>
  <c r="S1633" i="6"/>
  <c r="D1635" i="6" l="1"/>
  <c r="H1635" i="6"/>
  <c r="B1636" i="6"/>
  <c r="C1635" i="6"/>
  <c r="I1635" i="6"/>
  <c r="J1635" i="6" s="1"/>
  <c r="K1635" i="6" s="1"/>
  <c r="L1635" i="6"/>
  <c r="P1635" i="6" s="1"/>
  <c r="Y1636" i="6"/>
  <c r="X1633" i="6"/>
  <c r="S1634" i="6"/>
  <c r="H1636" i="6" l="1"/>
  <c r="C1636" i="6"/>
  <c r="L1636" i="6"/>
  <c r="Y1637" i="6"/>
  <c r="D1636" i="6"/>
  <c r="I1636" i="6"/>
  <c r="J1636" i="6" s="1"/>
  <c r="K1636" i="6" s="1"/>
  <c r="B1637" i="6"/>
  <c r="X1634" i="6"/>
  <c r="S1635" i="6"/>
  <c r="B1638" i="6" l="1"/>
  <c r="C1637" i="6"/>
  <c r="Y1638" i="6"/>
  <c r="D1637" i="6"/>
  <c r="I1637" i="6"/>
  <c r="J1637" i="6" s="1"/>
  <c r="K1637" i="6" s="1"/>
  <c r="L1637" i="6"/>
  <c r="P1637" i="6" s="1"/>
  <c r="H1637" i="6"/>
  <c r="P1636" i="6"/>
  <c r="X1635" i="6"/>
  <c r="S1636" i="6"/>
  <c r="B1639" i="6" l="1"/>
  <c r="H1638" i="6"/>
  <c r="D1638" i="6"/>
  <c r="I1638" i="6"/>
  <c r="J1638" i="6" s="1"/>
  <c r="K1638" i="6" s="1"/>
  <c r="Y1639" i="6"/>
  <c r="C1638" i="6"/>
  <c r="L1638" i="6"/>
  <c r="X1636" i="6"/>
  <c r="S1637" i="6"/>
  <c r="Y1640" i="6" l="1"/>
  <c r="L1639" i="6"/>
  <c r="B1640" i="6"/>
  <c r="C1639" i="6"/>
  <c r="D1639" i="6"/>
  <c r="I1639" i="6"/>
  <c r="J1639" i="6" s="1"/>
  <c r="K1639" i="6" s="1"/>
  <c r="H1639" i="6"/>
  <c r="P1638" i="6"/>
  <c r="X1637" i="6"/>
  <c r="S1638" i="6"/>
  <c r="H1640" i="6" l="1"/>
  <c r="C1640" i="6"/>
  <c r="I1640" i="6"/>
  <c r="J1640" i="6" s="1"/>
  <c r="K1640" i="6" s="1"/>
  <c r="D1640" i="6"/>
  <c r="L1640" i="6"/>
  <c r="P1640" i="6" s="1"/>
  <c r="B1641" i="6"/>
  <c r="Y1641" i="6"/>
  <c r="P1639" i="6"/>
  <c r="X1638" i="6"/>
  <c r="S1639" i="6"/>
  <c r="B1642" i="6" l="1"/>
  <c r="I1641" i="6"/>
  <c r="J1641" i="6" s="1"/>
  <c r="K1641" i="6" s="1"/>
  <c r="H1641" i="6"/>
  <c r="D1641" i="6"/>
  <c r="C1641" i="6"/>
  <c r="Y1642" i="6"/>
  <c r="L1641" i="6"/>
  <c r="P1641" i="6" s="1"/>
  <c r="X1639" i="6"/>
  <c r="S1640" i="6"/>
  <c r="D1642" i="6" l="1"/>
  <c r="Y1643" i="6"/>
  <c r="H1642" i="6"/>
  <c r="I1642" i="6"/>
  <c r="J1642" i="6" s="1"/>
  <c r="K1642" i="6" s="1"/>
  <c r="B1643" i="6"/>
  <c r="L1642" i="6"/>
  <c r="C1642" i="6"/>
  <c r="X1640" i="6"/>
  <c r="S1641" i="6"/>
  <c r="D1643" i="6" l="1"/>
  <c r="Y1644" i="6"/>
  <c r="I1643" i="6"/>
  <c r="J1643" i="6" s="1"/>
  <c r="K1643" i="6" s="1"/>
  <c r="H1643" i="6"/>
  <c r="B1644" i="6"/>
  <c r="C1643" i="6"/>
  <c r="L1643" i="6"/>
  <c r="P1643" i="6" s="1"/>
  <c r="P1642" i="6"/>
  <c r="X1641" i="6"/>
  <c r="S1642" i="6"/>
  <c r="C1644" i="6" l="1"/>
  <c r="L1644" i="6"/>
  <c r="P1644" i="6" s="1"/>
  <c r="Y1645" i="6"/>
  <c r="I1644" i="6"/>
  <c r="J1644" i="6" s="1"/>
  <c r="K1644" i="6" s="1"/>
  <c r="H1644" i="6"/>
  <c r="B1645" i="6"/>
  <c r="D1644" i="6"/>
  <c r="X1642" i="6"/>
  <c r="S1643" i="6"/>
  <c r="B1646" i="6" l="1"/>
  <c r="I1645" i="6"/>
  <c r="J1645" i="6" s="1"/>
  <c r="K1645" i="6" s="1"/>
  <c r="Y1646" i="6"/>
  <c r="C1645" i="6"/>
  <c r="H1645" i="6"/>
  <c r="L1645" i="6"/>
  <c r="P1645" i="6" s="1"/>
  <c r="D1645" i="6"/>
  <c r="X1643" i="6"/>
  <c r="S1644" i="6"/>
  <c r="I1646" i="6" l="1"/>
  <c r="J1646" i="6" s="1"/>
  <c r="K1646" i="6" s="1"/>
  <c r="D1646" i="6"/>
  <c r="H1646" i="6"/>
  <c r="C1646" i="6"/>
  <c r="B1647" i="6"/>
  <c r="Y1647" i="6"/>
  <c r="L1646" i="6"/>
  <c r="X1644" i="6"/>
  <c r="S1645" i="6"/>
  <c r="C1647" i="6" l="1"/>
  <c r="Y1648" i="6"/>
  <c r="H1647" i="6"/>
  <c r="L1647" i="6"/>
  <c r="P1647" i="6" s="1"/>
  <c r="B1648" i="6"/>
  <c r="I1647" i="6"/>
  <c r="J1647" i="6" s="1"/>
  <c r="K1647" i="6" s="1"/>
  <c r="D1647" i="6"/>
  <c r="P1646" i="6"/>
  <c r="X1645" i="6"/>
  <c r="S1646" i="6"/>
  <c r="D1648" i="6" l="1"/>
  <c r="C1648" i="6"/>
  <c r="L1648" i="6"/>
  <c r="P1648" i="6" s="1"/>
  <c r="Y1649" i="6"/>
  <c r="H1648" i="6"/>
  <c r="I1648" i="6"/>
  <c r="J1648" i="6" s="1"/>
  <c r="K1648" i="6" s="1"/>
  <c r="B1649" i="6"/>
  <c r="X1646" i="6"/>
  <c r="S1647" i="6"/>
  <c r="L1649" i="6" l="1"/>
  <c r="Y1650" i="6"/>
  <c r="B1650" i="6"/>
  <c r="D1649" i="6"/>
  <c r="C1649" i="6"/>
  <c r="H1649" i="6"/>
  <c r="I1649" i="6"/>
  <c r="J1649" i="6" s="1"/>
  <c r="K1649" i="6" s="1"/>
  <c r="X1647" i="6"/>
  <c r="S1648" i="6"/>
  <c r="L1650" i="6" l="1"/>
  <c r="P1650" i="6" s="1"/>
  <c r="B1651" i="6"/>
  <c r="H1650" i="6"/>
  <c r="C1650" i="6"/>
  <c r="Y1651" i="6"/>
  <c r="D1650" i="6"/>
  <c r="I1650" i="6"/>
  <c r="J1650" i="6" s="1"/>
  <c r="K1650" i="6" s="1"/>
  <c r="P1649" i="6"/>
  <c r="X1648" i="6"/>
  <c r="S1649" i="6"/>
  <c r="I1651" i="6" l="1"/>
  <c r="J1651" i="6" s="1"/>
  <c r="K1651" i="6" s="1"/>
  <c r="C1651" i="6"/>
  <c r="D1651" i="6"/>
  <c r="H1651" i="6"/>
  <c r="L1651" i="6"/>
  <c r="P1651" i="6" s="1"/>
  <c r="B1652" i="6"/>
  <c r="Y1652" i="6"/>
  <c r="X1649" i="6"/>
  <c r="S1650" i="6"/>
  <c r="C1652" i="6" l="1"/>
  <c r="B1653" i="6"/>
  <c r="D1652" i="6"/>
  <c r="Y1653" i="6"/>
  <c r="I1652" i="6"/>
  <c r="J1652" i="6" s="1"/>
  <c r="K1652" i="6" s="1"/>
  <c r="H1652" i="6"/>
  <c r="L1652" i="6"/>
  <c r="P1652" i="6" s="1"/>
  <c r="X1650" i="6"/>
  <c r="S1651" i="6"/>
  <c r="D1653" i="6" l="1"/>
  <c r="L1653" i="6"/>
  <c r="H1653" i="6"/>
  <c r="I1653" i="6"/>
  <c r="J1653" i="6" s="1"/>
  <c r="K1653" i="6" s="1"/>
  <c r="Y1654" i="6"/>
  <c r="B1654" i="6"/>
  <c r="C1653" i="6"/>
  <c r="X1651" i="6"/>
  <c r="S1652" i="6"/>
  <c r="D1654" i="6" l="1"/>
  <c r="I1654" i="6"/>
  <c r="J1654" i="6" s="1"/>
  <c r="K1654" i="6" s="1"/>
  <c r="L1654" i="6"/>
  <c r="P1654" i="6" s="1"/>
  <c r="B1655" i="6"/>
  <c r="H1654" i="6"/>
  <c r="C1654" i="6"/>
  <c r="Y1655" i="6"/>
  <c r="P1653" i="6"/>
  <c r="X1652" i="6"/>
  <c r="S1653" i="6"/>
  <c r="B1656" i="6" l="1"/>
  <c r="Y1656" i="6"/>
  <c r="C1655" i="6"/>
  <c r="D1655" i="6"/>
  <c r="L1655" i="6"/>
  <c r="P1655" i="6" s="1"/>
  <c r="I1655" i="6"/>
  <c r="J1655" i="6" s="1"/>
  <c r="K1655" i="6" s="1"/>
  <c r="H1655" i="6"/>
  <c r="X1653" i="6"/>
  <c r="S1654" i="6"/>
  <c r="H1656" i="6" l="1"/>
  <c r="Y1657" i="6"/>
  <c r="D1656" i="6"/>
  <c r="C1656" i="6"/>
  <c r="I1656" i="6"/>
  <c r="J1656" i="6" s="1"/>
  <c r="K1656" i="6" s="1"/>
  <c r="B1657" i="6"/>
  <c r="L1656" i="6"/>
  <c r="X1654" i="6"/>
  <c r="S1655" i="6"/>
  <c r="C1657" i="6" l="1"/>
  <c r="Y1658" i="6"/>
  <c r="D1657" i="6"/>
  <c r="L1657" i="6"/>
  <c r="I1657" i="6"/>
  <c r="J1657" i="6" s="1"/>
  <c r="K1657" i="6" s="1"/>
  <c r="H1657" i="6"/>
  <c r="B1658" i="6"/>
  <c r="P1656" i="6"/>
  <c r="X1655" i="6"/>
  <c r="S1656" i="6"/>
  <c r="D1658" i="6" l="1"/>
  <c r="H1658" i="6"/>
  <c r="I1658" i="6"/>
  <c r="J1658" i="6" s="1"/>
  <c r="K1658" i="6" s="1"/>
  <c r="B1659" i="6"/>
  <c r="Y1659" i="6"/>
  <c r="C1658" i="6"/>
  <c r="L1658" i="6"/>
  <c r="P1658" i="6" s="1"/>
  <c r="P1657" i="6"/>
  <c r="X1656" i="6"/>
  <c r="S1657" i="6"/>
  <c r="C1659" i="6" l="1"/>
  <c r="H1659" i="6"/>
  <c r="Y1660" i="6"/>
  <c r="I1659" i="6"/>
  <c r="J1659" i="6" s="1"/>
  <c r="K1659" i="6" s="1"/>
  <c r="B1660" i="6"/>
  <c r="D1659" i="6"/>
  <c r="L1659" i="6"/>
  <c r="X1657" i="6"/>
  <c r="S1658" i="6"/>
  <c r="L1660" i="6" l="1"/>
  <c r="H1660" i="6"/>
  <c r="B1661" i="6"/>
  <c r="D1660" i="6"/>
  <c r="Y1661" i="6"/>
  <c r="C1660" i="6"/>
  <c r="I1660" i="6"/>
  <c r="J1660" i="6" s="1"/>
  <c r="K1660" i="6" s="1"/>
  <c r="P1659" i="6"/>
  <c r="X1658" i="6"/>
  <c r="S1659" i="6"/>
  <c r="D1661" i="6" l="1"/>
  <c r="H1661" i="6"/>
  <c r="B1662" i="6"/>
  <c r="Y1662" i="6"/>
  <c r="L1661" i="6"/>
  <c r="P1661" i="6" s="1"/>
  <c r="C1661" i="6"/>
  <c r="I1661" i="6"/>
  <c r="J1661" i="6" s="1"/>
  <c r="K1661" i="6" s="1"/>
  <c r="P1660" i="6"/>
  <c r="X1659" i="6"/>
  <c r="S1660" i="6"/>
  <c r="I1662" i="6" l="1"/>
  <c r="J1662" i="6" s="1"/>
  <c r="K1662" i="6" s="1"/>
  <c r="H1662" i="6"/>
  <c r="Y1663" i="6"/>
  <c r="L1662" i="6"/>
  <c r="B1663" i="6"/>
  <c r="D1662" i="6"/>
  <c r="C1662" i="6"/>
  <c r="X1660" i="6"/>
  <c r="S1661" i="6"/>
  <c r="C1663" i="6" l="1"/>
  <c r="H1663" i="6"/>
  <c r="D1663" i="6"/>
  <c r="L1663" i="6"/>
  <c r="P1663" i="6" s="1"/>
  <c r="I1663" i="6"/>
  <c r="J1663" i="6" s="1"/>
  <c r="K1663" i="6" s="1"/>
  <c r="B1664" i="6"/>
  <c r="Y1664" i="6"/>
  <c r="P1662" i="6"/>
  <c r="X1661" i="6"/>
  <c r="S1662" i="6"/>
  <c r="B1665" i="6" l="1"/>
  <c r="I1664" i="6"/>
  <c r="J1664" i="6" s="1"/>
  <c r="K1664" i="6" s="1"/>
  <c r="D1664" i="6"/>
  <c r="H1664" i="6"/>
  <c r="L1664" i="6"/>
  <c r="P1664" i="6" s="1"/>
  <c r="Y1665" i="6"/>
  <c r="C1664" i="6"/>
  <c r="X1662" i="6"/>
  <c r="S1663" i="6"/>
  <c r="C1665" i="6" l="1"/>
  <c r="H1665" i="6"/>
  <c r="B1666" i="6"/>
  <c r="I1665" i="6"/>
  <c r="J1665" i="6" s="1"/>
  <c r="K1665" i="6" s="1"/>
  <c r="Y1666" i="6"/>
  <c r="L1665" i="6"/>
  <c r="P1665" i="6" s="1"/>
  <c r="D1665" i="6"/>
  <c r="X1663" i="6"/>
  <c r="S1664" i="6"/>
  <c r="H1666" i="6" l="1"/>
  <c r="D1666" i="6"/>
  <c r="I1666" i="6"/>
  <c r="J1666" i="6" s="1"/>
  <c r="K1666" i="6" s="1"/>
  <c r="L1666" i="6"/>
  <c r="P1666" i="6" s="1"/>
  <c r="C1666" i="6"/>
  <c r="B1667" i="6"/>
  <c r="Y1667" i="6"/>
  <c r="X1664" i="6"/>
  <c r="S1665" i="6"/>
  <c r="B1668" i="6" l="1"/>
  <c r="C1667" i="6"/>
  <c r="H1667" i="6"/>
  <c r="Y1668" i="6"/>
  <c r="D1667" i="6"/>
  <c r="L1667" i="6"/>
  <c r="I1667" i="6"/>
  <c r="J1667" i="6" s="1"/>
  <c r="K1667" i="6" s="1"/>
  <c r="X1665" i="6"/>
  <c r="S1666" i="6"/>
  <c r="P1667" i="6" l="1"/>
  <c r="L1668" i="6"/>
  <c r="C1668" i="6"/>
  <c r="I1668" i="6"/>
  <c r="J1668" i="6" s="1"/>
  <c r="K1668" i="6" s="1"/>
  <c r="Y1669" i="6"/>
  <c r="H1668" i="6"/>
  <c r="D1668" i="6"/>
  <c r="B1669" i="6"/>
  <c r="X1666" i="6"/>
  <c r="S1667" i="6"/>
  <c r="D1669" i="6" l="1"/>
  <c r="Y1670" i="6"/>
  <c r="I1669" i="6"/>
  <c r="J1669" i="6" s="1"/>
  <c r="K1669" i="6" s="1"/>
  <c r="H1669" i="6"/>
  <c r="B1670" i="6"/>
  <c r="C1669" i="6"/>
  <c r="L1669" i="6"/>
  <c r="P1669" i="6" s="1"/>
  <c r="P1668" i="6"/>
  <c r="X1667" i="6"/>
  <c r="S1668" i="6"/>
  <c r="I1670" i="6" l="1"/>
  <c r="J1670" i="6" s="1"/>
  <c r="K1670" i="6" s="1"/>
  <c r="L1670" i="6"/>
  <c r="B1671" i="6"/>
  <c r="Y1671" i="6"/>
  <c r="C1670" i="6"/>
  <c r="D1670" i="6"/>
  <c r="H1670" i="6"/>
  <c r="X1668" i="6"/>
  <c r="S1669" i="6"/>
  <c r="L1671" i="6" l="1"/>
  <c r="P1671" i="6" s="1"/>
  <c r="D1671" i="6"/>
  <c r="H1671" i="6"/>
  <c r="C1671" i="6"/>
  <c r="I1671" i="6"/>
  <c r="J1671" i="6" s="1"/>
  <c r="K1671" i="6" s="1"/>
  <c r="Y1672" i="6"/>
  <c r="B1672" i="6"/>
  <c r="P1670" i="6"/>
  <c r="X1669" i="6"/>
  <c r="S1670" i="6"/>
  <c r="L1672" i="6" l="1"/>
  <c r="P1672" i="6" s="1"/>
  <c r="I1672" i="6"/>
  <c r="J1672" i="6" s="1"/>
  <c r="K1672" i="6" s="1"/>
  <c r="B1673" i="6"/>
  <c r="H1672" i="6"/>
  <c r="D1672" i="6"/>
  <c r="C1672" i="6"/>
  <c r="Y1673" i="6"/>
  <c r="X1670" i="6"/>
  <c r="S1671" i="6"/>
  <c r="B1674" i="6" l="1"/>
  <c r="D1673" i="6"/>
  <c r="Y1674" i="6"/>
  <c r="C1673" i="6"/>
  <c r="I1673" i="6"/>
  <c r="J1673" i="6" s="1"/>
  <c r="K1673" i="6" s="1"/>
  <c r="H1673" i="6"/>
  <c r="L1673" i="6"/>
  <c r="P1673" i="6" s="1"/>
  <c r="X1671" i="6"/>
  <c r="S1672" i="6"/>
  <c r="H1674" i="6" l="1"/>
  <c r="L1674" i="6"/>
  <c r="I1674" i="6"/>
  <c r="J1674" i="6" s="1"/>
  <c r="K1674" i="6" s="1"/>
  <c r="D1674" i="6"/>
  <c r="C1674" i="6"/>
  <c r="Y1675" i="6"/>
  <c r="B1675" i="6"/>
  <c r="X1672" i="6"/>
  <c r="S1673" i="6"/>
  <c r="I1675" i="6" l="1"/>
  <c r="J1675" i="6" s="1"/>
  <c r="K1675" i="6" s="1"/>
  <c r="L1675" i="6"/>
  <c r="P1675" i="6" s="1"/>
  <c r="H1675" i="6"/>
  <c r="Y1676" i="6"/>
  <c r="D1675" i="6"/>
  <c r="B1676" i="6"/>
  <c r="C1675" i="6"/>
  <c r="P1674" i="6"/>
  <c r="X1673" i="6"/>
  <c r="S1674" i="6"/>
  <c r="I1676" i="6" l="1"/>
  <c r="J1676" i="6" s="1"/>
  <c r="K1676" i="6" s="1"/>
  <c r="B1677" i="6"/>
  <c r="H1676" i="6"/>
  <c r="C1676" i="6"/>
  <c r="Y1677" i="6"/>
  <c r="D1676" i="6"/>
  <c r="L1676" i="6"/>
  <c r="P1676" i="6" s="1"/>
  <c r="X1674" i="6"/>
  <c r="S1675" i="6"/>
  <c r="C1677" i="6" l="1"/>
  <c r="Y1678" i="6"/>
  <c r="I1677" i="6"/>
  <c r="J1677" i="6" s="1"/>
  <c r="K1677" i="6" s="1"/>
  <c r="H1677" i="6"/>
  <c r="D1677" i="6"/>
  <c r="B1678" i="6"/>
  <c r="L1677" i="6"/>
  <c r="X1675" i="6"/>
  <c r="S1676" i="6"/>
  <c r="P1677" i="6" l="1"/>
  <c r="H1678" i="6"/>
  <c r="C1678" i="6"/>
  <c r="Y1679" i="6"/>
  <c r="L1678" i="6"/>
  <c r="D1678" i="6"/>
  <c r="I1678" i="6"/>
  <c r="J1678" i="6" s="1"/>
  <c r="K1678" i="6" s="1"/>
  <c r="B1679" i="6"/>
  <c r="X1676" i="6"/>
  <c r="S1677" i="6"/>
  <c r="Y1680" i="6" l="1"/>
  <c r="I1679" i="6"/>
  <c r="J1679" i="6" s="1"/>
  <c r="K1679" i="6" s="1"/>
  <c r="C1679" i="6"/>
  <c r="B1680" i="6"/>
  <c r="L1679" i="6"/>
  <c r="P1679" i="6" s="1"/>
  <c r="H1679" i="6"/>
  <c r="D1679" i="6"/>
  <c r="P1678" i="6"/>
  <c r="X1677" i="6"/>
  <c r="S1678" i="6"/>
  <c r="H1680" i="6" l="1"/>
  <c r="B1681" i="6"/>
  <c r="Y1681" i="6"/>
  <c r="C1680" i="6"/>
  <c r="D1680" i="6"/>
  <c r="I1680" i="6"/>
  <c r="J1680" i="6" s="1"/>
  <c r="K1680" i="6" s="1"/>
  <c r="L1680" i="6"/>
  <c r="X1678" i="6"/>
  <c r="S1679" i="6"/>
  <c r="L1681" i="6" l="1"/>
  <c r="P1681" i="6" s="1"/>
  <c r="B1682" i="6"/>
  <c r="I1681" i="6"/>
  <c r="J1681" i="6" s="1"/>
  <c r="K1681" i="6" s="1"/>
  <c r="Y1682" i="6"/>
  <c r="H1681" i="6"/>
  <c r="C1681" i="6"/>
  <c r="D1681" i="6"/>
  <c r="P1680" i="6"/>
  <c r="X1679" i="6"/>
  <c r="S1680" i="6"/>
  <c r="L1682" i="6" l="1"/>
  <c r="P1682" i="6" s="1"/>
  <c r="I1682" i="6"/>
  <c r="J1682" i="6" s="1"/>
  <c r="K1682" i="6" s="1"/>
  <c r="D1682" i="6"/>
  <c r="Y1683" i="6"/>
  <c r="C1682" i="6"/>
  <c r="H1682" i="6"/>
  <c r="B1683" i="6"/>
  <c r="X1680" i="6"/>
  <c r="S1681" i="6"/>
  <c r="Y1684" i="6" l="1"/>
  <c r="H1683" i="6"/>
  <c r="B1684" i="6"/>
  <c r="D1683" i="6"/>
  <c r="I1683" i="6"/>
  <c r="J1683" i="6" s="1"/>
  <c r="K1683" i="6" s="1"/>
  <c r="C1683" i="6"/>
  <c r="L1683" i="6"/>
  <c r="P1683" i="6" s="1"/>
  <c r="X1681" i="6"/>
  <c r="S1682" i="6"/>
  <c r="D1684" i="6" l="1"/>
  <c r="H1684" i="6"/>
  <c r="C1684" i="6"/>
  <c r="I1684" i="6"/>
  <c r="J1684" i="6" s="1"/>
  <c r="K1684" i="6" s="1"/>
  <c r="L1684" i="6"/>
  <c r="P1684" i="6" s="1"/>
  <c r="B1685" i="6"/>
  <c r="Y1685" i="6"/>
  <c r="X1682" i="6"/>
  <c r="S1683" i="6"/>
  <c r="D1685" i="6" l="1"/>
  <c r="Y1686" i="6"/>
  <c r="B1686" i="6"/>
  <c r="C1685" i="6"/>
  <c r="I1685" i="6"/>
  <c r="J1685" i="6" s="1"/>
  <c r="K1685" i="6" s="1"/>
  <c r="H1685" i="6"/>
  <c r="L1685" i="6"/>
  <c r="X1683" i="6"/>
  <c r="S1684" i="6"/>
  <c r="B1687" i="6" l="1"/>
  <c r="D1686" i="6"/>
  <c r="H1686" i="6"/>
  <c r="I1686" i="6"/>
  <c r="J1686" i="6" s="1"/>
  <c r="K1686" i="6" s="1"/>
  <c r="Y1687" i="6"/>
  <c r="L1686" i="6"/>
  <c r="C1686" i="6"/>
  <c r="P1685" i="6"/>
  <c r="X1684" i="6"/>
  <c r="S1685" i="6"/>
  <c r="L1687" i="6" l="1"/>
  <c r="H1687" i="6"/>
  <c r="C1687" i="6"/>
  <c r="D1687" i="6"/>
  <c r="Y1688" i="6"/>
  <c r="B1688" i="6"/>
  <c r="I1687" i="6"/>
  <c r="J1687" i="6" s="1"/>
  <c r="K1687" i="6" s="1"/>
  <c r="P1686" i="6"/>
  <c r="X1685" i="6"/>
  <c r="S1686" i="6"/>
  <c r="D1688" i="6" l="1"/>
  <c r="H1688" i="6"/>
  <c r="C1688" i="6"/>
  <c r="I1688" i="6"/>
  <c r="J1688" i="6" s="1"/>
  <c r="K1688" i="6" s="1"/>
  <c r="B1689" i="6"/>
  <c r="L1688" i="6"/>
  <c r="P1688" i="6" s="1"/>
  <c r="Y1689" i="6"/>
  <c r="P1687" i="6"/>
  <c r="X1686" i="6"/>
  <c r="S1687" i="6"/>
  <c r="Y1690" i="6" l="1"/>
  <c r="B1690" i="6"/>
  <c r="C1689" i="6"/>
  <c r="L1689" i="6"/>
  <c r="P1689" i="6" s="1"/>
  <c r="D1689" i="6"/>
  <c r="H1689" i="6"/>
  <c r="I1689" i="6"/>
  <c r="J1689" i="6" s="1"/>
  <c r="K1689" i="6" s="1"/>
  <c r="X1687" i="6"/>
  <c r="S1688" i="6"/>
  <c r="C1690" i="6" l="1"/>
  <c r="L1690" i="6"/>
  <c r="I1690" i="6"/>
  <c r="J1690" i="6" s="1"/>
  <c r="K1690" i="6" s="1"/>
  <c r="Y1691" i="6"/>
  <c r="D1690" i="6"/>
  <c r="B1691" i="6"/>
  <c r="H1690" i="6"/>
  <c r="X1688" i="6"/>
  <c r="S1689" i="6"/>
  <c r="H1691" i="6" l="1"/>
  <c r="D1691" i="6"/>
  <c r="Y1692" i="6"/>
  <c r="B1692" i="6"/>
  <c r="C1691" i="6"/>
  <c r="L1691" i="6"/>
  <c r="P1691" i="6" s="1"/>
  <c r="I1691" i="6"/>
  <c r="J1691" i="6" s="1"/>
  <c r="K1691" i="6" s="1"/>
  <c r="P1690" i="6"/>
  <c r="X1689" i="6"/>
  <c r="S1690" i="6"/>
  <c r="C1692" i="6" l="1"/>
  <c r="D1692" i="6"/>
  <c r="B1693" i="6"/>
  <c r="L1692" i="6"/>
  <c r="I1692" i="6"/>
  <c r="J1692" i="6" s="1"/>
  <c r="K1692" i="6" s="1"/>
  <c r="Y1693" i="6"/>
  <c r="H1692" i="6"/>
  <c r="X1690" i="6"/>
  <c r="S1691" i="6"/>
  <c r="I1693" i="6" l="1"/>
  <c r="J1693" i="6" s="1"/>
  <c r="K1693" i="6" s="1"/>
  <c r="L1693" i="6"/>
  <c r="P1693" i="6" s="1"/>
  <c r="Y1694" i="6"/>
  <c r="C1693" i="6"/>
  <c r="D1693" i="6"/>
  <c r="H1693" i="6"/>
  <c r="B1694" i="6"/>
  <c r="P1692" i="6"/>
  <c r="X1691" i="6"/>
  <c r="S1692" i="6"/>
  <c r="B1695" i="6" l="1"/>
  <c r="L1694" i="6"/>
  <c r="C1694" i="6"/>
  <c r="Y1695" i="6"/>
  <c r="I1694" i="6"/>
  <c r="J1694" i="6" s="1"/>
  <c r="K1694" i="6" s="1"/>
  <c r="D1694" i="6"/>
  <c r="H1694" i="6"/>
  <c r="X1692" i="6"/>
  <c r="S1693" i="6"/>
  <c r="P1694" i="6" l="1"/>
  <c r="Y1696" i="6"/>
  <c r="C1695" i="6"/>
  <c r="L1695" i="6"/>
  <c r="P1695" i="6" s="1"/>
  <c r="D1695" i="6"/>
  <c r="I1695" i="6"/>
  <c r="J1695" i="6" s="1"/>
  <c r="K1695" i="6" s="1"/>
  <c r="B1696" i="6"/>
  <c r="H1695" i="6"/>
  <c r="X1693" i="6"/>
  <c r="S1694" i="6"/>
  <c r="C1696" i="6" l="1"/>
  <c r="B1697" i="6"/>
  <c r="D1696" i="6"/>
  <c r="Y1697" i="6"/>
  <c r="L1696" i="6"/>
  <c r="P1696" i="6" s="1"/>
  <c r="H1696" i="6"/>
  <c r="I1696" i="6"/>
  <c r="J1696" i="6" s="1"/>
  <c r="K1696" i="6" s="1"/>
  <c r="X1694" i="6"/>
  <c r="S1695" i="6"/>
  <c r="D1697" i="6" l="1"/>
  <c r="H1697" i="6"/>
  <c r="L1697" i="6"/>
  <c r="P1697" i="6" s="1"/>
  <c r="I1697" i="6"/>
  <c r="J1697" i="6" s="1"/>
  <c r="K1697" i="6" s="1"/>
  <c r="B1698" i="6"/>
  <c r="Y1698" i="6"/>
  <c r="C1697" i="6"/>
  <c r="X1695" i="6"/>
  <c r="S1696" i="6"/>
  <c r="B1699" i="6" l="1"/>
  <c r="D1698" i="6"/>
  <c r="Y1699" i="6"/>
  <c r="C1698" i="6"/>
  <c r="H1698" i="6"/>
  <c r="I1698" i="6"/>
  <c r="J1698" i="6" s="1"/>
  <c r="K1698" i="6" s="1"/>
  <c r="L1698" i="6"/>
  <c r="X1696" i="6"/>
  <c r="S1697" i="6"/>
  <c r="L1699" i="6" l="1"/>
  <c r="Y1700" i="6"/>
  <c r="H1699" i="6"/>
  <c r="B1700" i="6"/>
  <c r="D1699" i="6"/>
  <c r="I1699" i="6"/>
  <c r="J1699" i="6" s="1"/>
  <c r="K1699" i="6" s="1"/>
  <c r="C1699" i="6"/>
  <c r="P1698" i="6"/>
  <c r="X1697" i="6"/>
  <c r="S1698" i="6"/>
  <c r="Y1701" i="6" l="1"/>
  <c r="H1700" i="6"/>
  <c r="B1701" i="6"/>
  <c r="I1700" i="6"/>
  <c r="J1700" i="6" s="1"/>
  <c r="K1700" i="6" s="1"/>
  <c r="D1700" i="6"/>
  <c r="L1700" i="6"/>
  <c r="P1700" i="6" s="1"/>
  <c r="C1700" i="6"/>
  <c r="P1699" i="6"/>
  <c r="X1698" i="6"/>
  <c r="S1699" i="6"/>
  <c r="B1702" i="6" l="1"/>
  <c r="H1701" i="6"/>
  <c r="C1701" i="6"/>
  <c r="I1701" i="6"/>
  <c r="J1701" i="6" s="1"/>
  <c r="K1701" i="6" s="1"/>
  <c r="L1701" i="6"/>
  <c r="D1701" i="6"/>
  <c r="Y1702" i="6"/>
  <c r="X1699" i="6"/>
  <c r="S1700" i="6"/>
  <c r="D1702" i="6" l="1"/>
  <c r="Y1703" i="6"/>
  <c r="L1702" i="6"/>
  <c r="I1702" i="6"/>
  <c r="J1702" i="6" s="1"/>
  <c r="K1702" i="6" s="1"/>
  <c r="H1702" i="6"/>
  <c r="C1702" i="6"/>
  <c r="B1703" i="6"/>
  <c r="P1701" i="6"/>
  <c r="X1700" i="6"/>
  <c r="S1701" i="6"/>
  <c r="I1703" i="6" l="1"/>
  <c r="J1703" i="6" s="1"/>
  <c r="K1703" i="6" s="1"/>
  <c r="Y1704" i="6"/>
  <c r="H1703" i="6"/>
  <c r="C1703" i="6"/>
  <c r="D1703" i="6"/>
  <c r="L1703" i="6"/>
  <c r="P1703" i="6" s="1"/>
  <c r="B1704" i="6"/>
  <c r="P1702" i="6"/>
  <c r="X1701" i="6"/>
  <c r="S1702" i="6"/>
  <c r="H1704" i="6" l="1"/>
  <c r="C1704" i="6"/>
  <c r="D1704" i="6"/>
  <c r="L1704" i="6"/>
  <c r="P1704" i="6" s="1"/>
  <c r="Y1705" i="6"/>
  <c r="B1705" i="6"/>
  <c r="I1704" i="6"/>
  <c r="J1704" i="6" s="1"/>
  <c r="K1704" i="6" s="1"/>
  <c r="X1702" i="6"/>
  <c r="S1703" i="6"/>
  <c r="D1705" i="6" l="1"/>
  <c r="H1705" i="6"/>
  <c r="L1705" i="6"/>
  <c r="P1705" i="6" s="1"/>
  <c r="I1705" i="6"/>
  <c r="J1705" i="6" s="1"/>
  <c r="K1705" i="6" s="1"/>
  <c r="B1706" i="6"/>
  <c r="Y1706" i="6"/>
  <c r="C1705" i="6"/>
  <c r="X1703" i="6"/>
  <c r="S1704" i="6"/>
  <c r="I1706" i="6" l="1"/>
  <c r="J1706" i="6" s="1"/>
  <c r="K1706" i="6" s="1"/>
  <c r="B1707" i="6"/>
  <c r="H1706" i="6"/>
  <c r="C1706" i="6"/>
  <c r="L1706" i="6"/>
  <c r="D1706" i="6"/>
  <c r="Y1707" i="6"/>
  <c r="X1704" i="6"/>
  <c r="S1705" i="6"/>
  <c r="C1707" i="6" l="1"/>
  <c r="D1707" i="6"/>
  <c r="H1707" i="6"/>
  <c r="L1707" i="6"/>
  <c r="B1708" i="6"/>
  <c r="I1707" i="6"/>
  <c r="J1707" i="6" s="1"/>
  <c r="K1707" i="6" s="1"/>
  <c r="Y1708" i="6"/>
  <c r="P1706" i="6"/>
  <c r="X1705" i="6"/>
  <c r="S1706" i="6"/>
  <c r="H1708" i="6" l="1"/>
  <c r="I1708" i="6"/>
  <c r="J1708" i="6" s="1"/>
  <c r="K1708" i="6" s="1"/>
  <c r="B1709" i="6"/>
  <c r="C1708" i="6"/>
  <c r="D1708" i="6"/>
  <c r="L1708" i="6"/>
  <c r="P1708" i="6" s="1"/>
  <c r="Y1709" i="6"/>
  <c r="P1707" i="6"/>
  <c r="X1706" i="6"/>
  <c r="S1707" i="6"/>
  <c r="C1709" i="6" l="1"/>
  <c r="D1709" i="6"/>
  <c r="B1710" i="6"/>
  <c r="Y1710" i="6"/>
  <c r="L1709" i="6"/>
  <c r="P1709" i="6" s="1"/>
  <c r="I1709" i="6"/>
  <c r="J1709" i="6" s="1"/>
  <c r="K1709" i="6" s="1"/>
  <c r="H1709" i="6"/>
  <c r="X1707" i="6"/>
  <c r="S1708" i="6"/>
  <c r="C1710" i="6" l="1"/>
  <c r="L1710" i="6"/>
  <c r="H1710" i="6"/>
  <c r="B1711" i="6"/>
  <c r="Y1711" i="6"/>
  <c r="D1710" i="6"/>
  <c r="I1710" i="6"/>
  <c r="J1710" i="6" s="1"/>
  <c r="K1710" i="6" s="1"/>
  <c r="X1708" i="6"/>
  <c r="S1709" i="6"/>
  <c r="C1711" i="6" l="1"/>
  <c r="H1711" i="6"/>
  <c r="B1712" i="6"/>
  <c r="L1711" i="6"/>
  <c r="P1711" i="6" s="1"/>
  <c r="D1711" i="6"/>
  <c r="I1711" i="6"/>
  <c r="J1711" i="6" s="1"/>
  <c r="K1711" i="6" s="1"/>
  <c r="Y1712" i="6"/>
  <c r="P1710" i="6"/>
  <c r="X1709" i="6"/>
  <c r="S1710" i="6"/>
  <c r="C1712" i="6" l="1"/>
  <c r="H1712" i="6"/>
  <c r="L1712" i="6"/>
  <c r="P1712" i="6" s="1"/>
  <c r="B1713" i="6"/>
  <c r="I1712" i="6"/>
  <c r="J1712" i="6" s="1"/>
  <c r="K1712" i="6" s="1"/>
  <c r="D1712" i="6"/>
  <c r="Y1713" i="6"/>
  <c r="X1710" i="6"/>
  <c r="S1711" i="6"/>
  <c r="H1713" i="6" l="1"/>
  <c r="L1713" i="6"/>
  <c r="P1713" i="6" s="1"/>
  <c r="I1713" i="6"/>
  <c r="J1713" i="6" s="1"/>
  <c r="K1713" i="6" s="1"/>
  <c r="Y1714" i="6"/>
  <c r="B1714" i="6"/>
  <c r="C1713" i="6"/>
  <c r="D1713" i="6"/>
  <c r="X1711" i="6"/>
  <c r="S1712" i="6"/>
  <c r="C1714" i="6" l="1"/>
  <c r="Y1715" i="6"/>
  <c r="H1714" i="6"/>
  <c r="I1714" i="6"/>
  <c r="J1714" i="6" s="1"/>
  <c r="K1714" i="6" s="1"/>
  <c r="B1715" i="6"/>
  <c r="D1714" i="6"/>
  <c r="L1714" i="6"/>
  <c r="P1714" i="6" s="1"/>
  <c r="X1712" i="6"/>
  <c r="S1713" i="6"/>
  <c r="C1715" i="6" l="1"/>
  <c r="L1715" i="6"/>
  <c r="P1715" i="6" s="1"/>
  <c r="I1715" i="6"/>
  <c r="J1715" i="6" s="1"/>
  <c r="K1715" i="6" s="1"/>
  <c r="H1715" i="6"/>
  <c r="B1716" i="6"/>
  <c r="D1715" i="6"/>
  <c r="Y1716" i="6"/>
  <c r="X1713" i="6"/>
  <c r="S1714" i="6"/>
  <c r="L1716" i="6" l="1"/>
  <c r="P1716" i="6" s="1"/>
  <c r="Y1717" i="6"/>
  <c r="D1716" i="6"/>
  <c r="C1716" i="6"/>
  <c r="B1717" i="6"/>
  <c r="I1716" i="6"/>
  <c r="J1716" i="6" s="1"/>
  <c r="K1716" i="6" s="1"/>
  <c r="H1716" i="6"/>
  <c r="X1714" i="6"/>
  <c r="S1715" i="6"/>
  <c r="L1717" i="6" l="1"/>
  <c r="P1717" i="6" s="1"/>
  <c r="H1717" i="6"/>
  <c r="C1717" i="6"/>
  <c r="I1717" i="6"/>
  <c r="J1717" i="6" s="1"/>
  <c r="K1717" i="6" s="1"/>
  <c r="D1717" i="6"/>
  <c r="Y1718" i="6"/>
  <c r="B1718" i="6"/>
  <c r="X1715" i="6"/>
  <c r="S1716" i="6"/>
  <c r="L1718" i="6" l="1"/>
  <c r="P1718" i="6" s="1"/>
  <c r="D1718" i="6"/>
  <c r="H1718" i="6"/>
  <c r="I1718" i="6"/>
  <c r="J1718" i="6" s="1"/>
  <c r="K1718" i="6" s="1"/>
  <c r="B1719" i="6"/>
  <c r="Y1719" i="6"/>
  <c r="C1718" i="6"/>
  <c r="X1716" i="6"/>
  <c r="S1717" i="6"/>
  <c r="B1720" i="6" l="1"/>
  <c r="D1719" i="6"/>
  <c r="I1719" i="6"/>
  <c r="J1719" i="6" s="1"/>
  <c r="K1719" i="6" s="1"/>
  <c r="C1719" i="6"/>
  <c r="H1719" i="6"/>
  <c r="L1719" i="6"/>
  <c r="Y1720" i="6"/>
  <c r="X1717" i="6"/>
  <c r="S1718" i="6"/>
  <c r="P1719" i="6" l="1"/>
  <c r="H1720" i="6"/>
  <c r="Y1721" i="6"/>
  <c r="D1720" i="6"/>
  <c r="B1721" i="6"/>
  <c r="C1720" i="6"/>
  <c r="I1720" i="6"/>
  <c r="J1720" i="6" s="1"/>
  <c r="K1720" i="6" s="1"/>
  <c r="L1720" i="6"/>
  <c r="X1718" i="6"/>
  <c r="S1719" i="6"/>
  <c r="H1721" i="6" l="1"/>
  <c r="L1721" i="6"/>
  <c r="P1721" i="6" s="1"/>
  <c r="B1722" i="6"/>
  <c r="Y1722" i="6"/>
  <c r="I1721" i="6"/>
  <c r="J1721" i="6" s="1"/>
  <c r="K1721" i="6" s="1"/>
  <c r="D1721" i="6"/>
  <c r="C1721" i="6"/>
  <c r="P1720" i="6"/>
  <c r="X1719" i="6"/>
  <c r="S1720" i="6"/>
  <c r="B1723" i="6" l="1"/>
  <c r="C1722" i="6"/>
  <c r="H1722" i="6"/>
  <c r="L1722" i="6"/>
  <c r="P1722" i="6" s="1"/>
  <c r="Y1723" i="6"/>
  <c r="I1722" i="6"/>
  <c r="J1722" i="6" s="1"/>
  <c r="K1722" i="6" s="1"/>
  <c r="D1722" i="6"/>
  <c r="X1720" i="6"/>
  <c r="S1721" i="6"/>
  <c r="H1723" i="6" l="1"/>
  <c r="I1723" i="6"/>
  <c r="J1723" i="6" s="1"/>
  <c r="K1723" i="6" s="1"/>
  <c r="Y1724" i="6"/>
  <c r="L1723" i="6"/>
  <c r="B1724" i="6"/>
  <c r="C1723" i="6"/>
  <c r="D1723" i="6"/>
  <c r="X1721" i="6"/>
  <c r="S1722" i="6"/>
  <c r="D1724" i="6" l="1"/>
  <c r="L1724" i="6"/>
  <c r="P1724" i="6" s="1"/>
  <c r="Y1725" i="6"/>
  <c r="B1725" i="6"/>
  <c r="C1724" i="6"/>
  <c r="I1724" i="6"/>
  <c r="J1724" i="6" s="1"/>
  <c r="K1724" i="6" s="1"/>
  <c r="H1724" i="6"/>
  <c r="P1723" i="6"/>
  <c r="X1722" i="6"/>
  <c r="S1723" i="6"/>
  <c r="Y1726" i="6" l="1"/>
  <c r="C1725" i="6"/>
  <c r="D1725" i="6"/>
  <c r="H1725" i="6"/>
  <c r="I1725" i="6"/>
  <c r="J1725" i="6" s="1"/>
  <c r="K1725" i="6" s="1"/>
  <c r="L1725" i="6"/>
  <c r="P1725" i="6" s="1"/>
  <c r="B1726" i="6"/>
  <c r="X1723" i="6"/>
  <c r="S1724" i="6"/>
  <c r="B1727" i="6" l="1"/>
  <c r="I1726" i="6"/>
  <c r="J1726" i="6" s="1"/>
  <c r="K1726" i="6" s="1"/>
  <c r="C1726" i="6"/>
  <c r="H1726" i="6"/>
  <c r="Y1727" i="6"/>
  <c r="D1726" i="6"/>
  <c r="L1726" i="6"/>
  <c r="P1726" i="6" s="1"/>
  <c r="X1724" i="6"/>
  <c r="S1725" i="6"/>
  <c r="C1727" i="6" l="1"/>
  <c r="Y1728" i="6"/>
  <c r="B1728" i="6"/>
  <c r="H1727" i="6"/>
  <c r="L1727" i="6"/>
  <c r="D1727" i="6"/>
  <c r="I1727" i="6"/>
  <c r="J1727" i="6" s="1"/>
  <c r="K1727" i="6" s="1"/>
  <c r="X1725" i="6"/>
  <c r="S1726" i="6"/>
  <c r="C1728" i="6" l="1"/>
  <c r="L1728" i="6"/>
  <c r="B1729" i="6"/>
  <c r="D1728" i="6"/>
  <c r="H1728" i="6"/>
  <c r="Y1729" i="6"/>
  <c r="I1728" i="6"/>
  <c r="J1728" i="6" s="1"/>
  <c r="K1728" i="6" s="1"/>
  <c r="P1727" i="6"/>
  <c r="X1726" i="6"/>
  <c r="S1727" i="6"/>
  <c r="B1730" i="6" l="1"/>
  <c r="H1729" i="6"/>
  <c r="Y1730" i="6"/>
  <c r="I1729" i="6"/>
  <c r="J1729" i="6" s="1"/>
  <c r="K1729" i="6" s="1"/>
  <c r="C1729" i="6"/>
  <c r="L1729" i="6"/>
  <c r="P1729" i="6" s="1"/>
  <c r="D1729" i="6"/>
  <c r="P1728" i="6"/>
  <c r="X1727" i="6"/>
  <c r="S1728" i="6"/>
  <c r="C1730" i="6" l="1"/>
  <c r="Y1731" i="6"/>
  <c r="I1730" i="6"/>
  <c r="J1730" i="6" s="1"/>
  <c r="K1730" i="6" s="1"/>
  <c r="B1731" i="6"/>
  <c r="D1730" i="6"/>
  <c r="H1730" i="6"/>
  <c r="L1730" i="6"/>
  <c r="P1730" i="6" s="1"/>
  <c r="X1728" i="6"/>
  <c r="S1729" i="6"/>
  <c r="Y1732" i="6" l="1"/>
  <c r="D1731" i="6"/>
  <c r="C1731" i="6"/>
  <c r="L1731" i="6"/>
  <c r="H1731" i="6"/>
  <c r="B1732" i="6"/>
  <c r="I1731" i="6"/>
  <c r="J1731" i="6" s="1"/>
  <c r="K1731" i="6" s="1"/>
  <c r="X1729" i="6"/>
  <c r="S1730" i="6"/>
  <c r="L1732" i="6" l="1"/>
  <c r="P1732" i="6" s="1"/>
  <c r="H1732" i="6"/>
  <c r="Y1733" i="6"/>
  <c r="B1733" i="6"/>
  <c r="I1732" i="6"/>
  <c r="J1732" i="6" s="1"/>
  <c r="K1732" i="6" s="1"/>
  <c r="D1732" i="6"/>
  <c r="C1732" i="6"/>
  <c r="P1731" i="6"/>
  <c r="X1730" i="6"/>
  <c r="S1731" i="6"/>
  <c r="L1733" i="6" l="1"/>
  <c r="P1733" i="6" s="1"/>
  <c r="C1733" i="6"/>
  <c r="Y1734" i="6"/>
  <c r="I1733" i="6"/>
  <c r="J1733" i="6" s="1"/>
  <c r="K1733" i="6" s="1"/>
  <c r="B1734" i="6"/>
  <c r="H1733" i="6"/>
  <c r="D1733" i="6"/>
  <c r="X1731" i="6"/>
  <c r="S1732" i="6"/>
  <c r="I1734" i="6" l="1"/>
  <c r="J1734" i="6" s="1"/>
  <c r="K1734" i="6" s="1"/>
  <c r="H1734" i="6"/>
  <c r="D1734" i="6"/>
  <c r="C1734" i="6"/>
  <c r="Y1735" i="6"/>
  <c r="L1734" i="6"/>
  <c r="P1734" i="6" s="1"/>
  <c r="B1735" i="6"/>
  <c r="X1732" i="6"/>
  <c r="S1733" i="6"/>
  <c r="Y1736" i="6" l="1"/>
  <c r="C1735" i="6"/>
  <c r="L1735" i="6"/>
  <c r="P1735" i="6" s="1"/>
  <c r="I1735" i="6"/>
  <c r="J1735" i="6" s="1"/>
  <c r="K1735" i="6" s="1"/>
  <c r="D1735" i="6"/>
  <c r="H1735" i="6"/>
  <c r="B1736" i="6"/>
  <c r="X1733" i="6"/>
  <c r="S1734" i="6"/>
  <c r="L1736" i="6" l="1"/>
  <c r="P1736" i="6" s="1"/>
  <c r="I1736" i="6"/>
  <c r="J1736" i="6" s="1"/>
  <c r="K1736" i="6" s="1"/>
  <c r="B1737" i="6"/>
  <c r="Y1737" i="6"/>
  <c r="D1736" i="6"/>
  <c r="C1736" i="6"/>
  <c r="H1736" i="6"/>
  <c r="X1734" i="6"/>
  <c r="S1735" i="6"/>
  <c r="H1737" i="6" l="1"/>
  <c r="L1737" i="6"/>
  <c r="P1737" i="6" s="1"/>
  <c r="D1737" i="6"/>
  <c r="Y1738" i="6"/>
  <c r="B1738" i="6"/>
  <c r="C1737" i="6"/>
  <c r="I1737" i="6"/>
  <c r="J1737" i="6" s="1"/>
  <c r="K1737" i="6" s="1"/>
  <c r="X1735" i="6"/>
  <c r="S1736" i="6"/>
  <c r="L1738" i="6" l="1"/>
  <c r="P1738" i="6" s="1"/>
  <c r="C1738" i="6"/>
  <c r="I1738" i="6"/>
  <c r="J1738" i="6" s="1"/>
  <c r="K1738" i="6" s="1"/>
  <c r="H1738" i="6"/>
  <c r="D1738" i="6"/>
  <c r="Y1739" i="6"/>
  <c r="B1739" i="6"/>
  <c r="X1736" i="6"/>
  <c r="S1737" i="6"/>
  <c r="Y1740" i="6" l="1"/>
  <c r="L1739" i="6"/>
  <c r="P1739" i="6" s="1"/>
  <c r="D1739" i="6"/>
  <c r="B1740" i="6"/>
  <c r="C1739" i="6"/>
  <c r="H1739" i="6"/>
  <c r="I1739" i="6"/>
  <c r="J1739" i="6" s="1"/>
  <c r="K1739" i="6" s="1"/>
  <c r="X1737" i="6"/>
  <c r="S1738" i="6"/>
  <c r="C1740" i="6" l="1"/>
  <c r="D1740" i="6"/>
  <c r="I1740" i="6"/>
  <c r="J1740" i="6" s="1"/>
  <c r="K1740" i="6" s="1"/>
  <c r="H1740" i="6"/>
  <c r="Y1741" i="6"/>
  <c r="B1741" i="6"/>
  <c r="L1740" i="6"/>
  <c r="X1738" i="6"/>
  <c r="S1739" i="6"/>
  <c r="P1740" i="6" l="1"/>
  <c r="B1742" i="6"/>
  <c r="C1741" i="6"/>
  <c r="I1741" i="6"/>
  <c r="J1741" i="6" s="1"/>
  <c r="K1741" i="6" s="1"/>
  <c r="D1741" i="6"/>
  <c r="H1741" i="6"/>
  <c r="Y1742" i="6"/>
  <c r="L1741" i="6"/>
  <c r="P1741" i="6" s="1"/>
  <c r="X1739" i="6"/>
  <c r="S1740" i="6"/>
  <c r="H1742" i="6" l="1"/>
  <c r="D1742" i="6"/>
  <c r="I1742" i="6"/>
  <c r="J1742" i="6" s="1"/>
  <c r="K1742" i="6" s="1"/>
  <c r="L1742" i="6"/>
  <c r="B1743" i="6"/>
  <c r="Y1743" i="6"/>
  <c r="C1742" i="6"/>
  <c r="X1740" i="6"/>
  <c r="S1741" i="6"/>
  <c r="Y1744" i="6" l="1"/>
  <c r="L1743" i="6"/>
  <c r="P1743" i="6" s="1"/>
  <c r="I1743" i="6"/>
  <c r="J1743" i="6" s="1"/>
  <c r="K1743" i="6" s="1"/>
  <c r="D1743" i="6"/>
  <c r="B1744" i="6"/>
  <c r="C1743" i="6"/>
  <c r="H1743" i="6"/>
  <c r="P1742" i="6"/>
  <c r="X1741" i="6"/>
  <c r="S1742" i="6"/>
  <c r="C1744" i="6" l="1"/>
  <c r="L1744" i="6"/>
  <c r="Y1745" i="6"/>
  <c r="I1744" i="6"/>
  <c r="J1744" i="6" s="1"/>
  <c r="K1744" i="6" s="1"/>
  <c r="B1745" i="6"/>
  <c r="H1744" i="6"/>
  <c r="D1744" i="6"/>
  <c r="X1742" i="6"/>
  <c r="S1743" i="6"/>
  <c r="B1746" i="6" l="1"/>
  <c r="I1745" i="6"/>
  <c r="J1745" i="6" s="1"/>
  <c r="K1745" i="6" s="1"/>
  <c r="L1745" i="6"/>
  <c r="P1745" i="6" s="1"/>
  <c r="H1745" i="6"/>
  <c r="Y1746" i="6"/>
  <c r="D1745" i="6"/>
  <c r="C1745" i="6"/>
  <c r="P1744" i="6"/>
  <c r="X1743" i="6"/>
  <c r="S1744" i="6"/>
  <c r="I1746" i="6" l="1"/>
  <c r="J1746" i="6" s="1"/>
  <c r="K1746" i="6" s="1"/>
  <c r="B1747" i="6"/>
  <c r="D1746" i="6"/>
  <c r="Y1747" i="6"/>
  <c r="H1746" i="6"/>
  <c r="L1746" i="6"/>
  <c r="C1746" i="6"/>
  <c r="X1744" i="6"/>
  <c r="S1745" i="6"/>
  <c r="I1747" i="6" l="1"/>
  <c r="J1747" i="6" s="1"/>
  <c r="K1747" i="6" s="1"/>
  <c r="H1747" i="6"/>
  <c r="Y1748" i="6"/>
  <c r="D1747" i="6"/>
  <c r="B1748" i="6"/>
  <c r="L1747" i="6"/>
  <c r="P1747" i="6" s="1"/>
  <c r="C1747" i="6"/>
  <c r="P1746" i="6"/>
  <c r="X1745" i="6"/>
  <c r="S1746" i="6"/>
  <c r="I1748" i="6" l="1"/>
  <c r="J1748" i="6" s="1"/>
  <c r="K1748" i="6" s="1"/>
  <c r="Y1749" i="6"/>
  <c r="C1748" i="6"/>
  <c r="D1748" i="6"/>
  <c r="B1749" i="6"/>
  <c r="L1748" i="6"/>
  <c r="P1748" i="6" s="1"/>
  <c r="H1748" i="6"/>
  <c r="X1746" i="6"/>
  <c r="S1747" i="6"/>
  <c r="D1749" i="6" l="1"/>
  <c r="B1750" i="6"/>
  <c r="H1749" i="6"/>
  <c r="I1749" i="6"/>
  <c r="J1749" i="6" s="1"/>
  <c r="K1749" i="6" s="1"/>
  <c r="Y1750" i="6"/>
  <c r="C1749" i="6"/>
  <c r="L1749" i="6"/>
  <c r="X1747" i="6"/>
  <c r="S1748" i="6"/>
  <c r="P1749" i="6" l="1"/>
  <c r="Y1751" i="6"/>
  <c r="B1751" i="6"/>
  <c r="D1750" i="6"/>
  <c r="L1750" i="6"/>
  <c r="P1750" i="6" s="1"/>
  <c r="I1750" i="6"/>
  <c r="J1750" i="6" s="1"/>
  <c r="K1750" i="6" s="1"/>
  <c r="C1750" i="6"/>
  <c r="H1750" i="6"/>
  <c r="X1748" i="6"/>
  <c r="S1749" i="6"/>
  <c r="I1751" i="6" l="1"/>
  <c r="J1751" i="6" s="1"/>
  <c r="K1751" i="6" s="1"/>
  <c r="Y1752" i="6"/>
  <c r="C1751" i="6"/>
  <c r="H1751" i="6"/>
  <c r="D1751" i="6"/>
  <c r="B1752" i="6"/>
  <c r="L1751" i="6"/>
  <c r="P1751" i="6" s="1"/>
  <c r="X1749" i="6"/>
  <c r="S1750" i="6"/>
  <c r="B1753" i="6" l="1"/>
  <c r="I1752" i="6"/>
  <c r="J1752" i="6" s="1"/>
  <c r="K1752" i="6" s="1"/>
  <c r="Y1753" i="6"/>
  <c r="C1752" i="6"/>
  <c r="H1752" i="6"/>
  <c r="D1752" i="6"/>
  <c r="L1752" i="6"/>
  <c r="X1750" i="6"/>
  <c r="S1751" i="6"/>
  <c r="P1752" i="6" l="1"/>
  <c r="B1754" i="6"/>
  <c r="I1753" i="6"/>
  <c r="J1753" i="6" s="1"/>
  <c r="K1753" i="6" s="1"/>
  <c r="H1753" i="6"/>
  <c r="Y1754" i="6"/>
  <c r="L1753" i="6"/>
  <c r="C1753" i="6"/>
  <c r="D1753" i="6"/>
  <c r="X1751" i="6"/>
  <c r="S1752" i="6"/>
  <c r="B1755" i="6" l="1"/>
  <c r="Y1755" i="6"/>
  <c r="I1754" i="6"/>
  <c r="J1754" i="6" s="1"/>
  <c r="K1754" i="6" s="1"/>
  <c r="H1754" i="6"/>
  <c r="L1754" i="6"/>
  <c r="D1754" i="6"/>
  <c r="C1754" i="6"/>
  <c r="P1753" i="6"/>
  <c r="X1752" i="6"/>
  <c r="S1753" i="6"/>
  <c r="L1755" i="6" l="1"/>
  <c r="I1755" i="6"/>
  <c r="J1755" i="6" s="1"/>
  <c r="K1755" i="6" s="1"/>
  <c r="H1755" i="6"/>
  <c r="B1756" i="6"/>
  <c r="C1755" i="6"/>
  <c r="Y1756" i="6"/>
  <c r="D1755" i="6"/>
  <c r="P1754" i="6"/>
  <c r="X1753" i="6"/>
  <c r="S1754" i="6"/>
  <c r="I1756" i="6" l="1"/>
  <c r="J1756" i="6" s="1"/>
  <c r="K1756" i="6" s="1"/>
  <c r="C1756" i="6"/>
  <c r="B1757" i="6"/>
  <c r="D1756" i="6"/>
  <c r="H1756" i="6"/>
  <c r="L1756" i="6"/>
  <c r="P1756" i="6" s="1"/>
  <c r="Y1757" i="6"/>
  <c r="P1755" i="6"/>
  <c r="X1754" i="6"/>
  <c r="S1755" i="6"/>
  <c r="H1757" i="6" l="1"/>
  <c r="I1757" i="6"/>
  <c r="J1757" i="6" s="1"/>
  <c r="K1757" i="6" s="1"/>
  <c r="L1757" i="6"/>
  <c r="Y1758" i="6"/>
  <c r="D1757" i="6"/>
  <c r="B1758" i="6"/>
  <c r="C1757" i="6"/>
  <c r="X1755" i="6"/>
  <c r="S1756" i="6"/>
  <c r="Y1759" i="6" l="1"/>
  <c r="H1758" i="6"/>
  <c r="L1758" i="6"/>
  <c r="P1758" i="6" s="1"/>
  <c r="D1758" i="6"/>
  <c r="I1758" i="6"/>
  <c r="J1758" i="6" s="1"/>
  <c r="K1758" i="6" s="1"/>
  <c r="B1759" i="6"/>
  <c r="C1758" i="6"/>
  <c r="P1757" i="6"/>
  <c r="X1756" i="6"/>
  <c r="S1757" i="6"/>
  <c r="I1759" i="6" l="1"/>
  <c r="J1759" i="6" s="1"/>
  <c r="K1759" i="6" s="1"/>
  <c r="Y1760" i="6"/>
  <c r="C1759" i="6"/>
  <c r="H1759" i="6"/>
  <c r="B1760" i="6"/>
  <c r="D1759" i="6"/>
  <c r="L1759" i="6"/>
  <c r="P1759" i="6" s="1"/>
  <c r="X1757" i="6"/>
  <c r="S1758" i="6"/>
  <c r="L1760" i="6" l="1"/>
  <c r="I1760" i="6"/>
  <c r="J1760" i="6" s="1"/>
  <c r="K1760" i="6" s="1"/>
  <c r="C1760" i="6"/>
  <c r="B1761" i="6"/>
  <c r="Y1761" i="6"/>
  <c r="H1760" i="6"/>
  <c r="D1760" i="6"/>
  <c r="X1758" i="6"/>
  <c r="S1759" i="6"/>
  <c r="I1761" i="6" l="1"/>
  <c r="J1761" i="6" s="1"/>
  <c r="K1761" i="6" s="1"/>
  <c r="L1761" i="6"/>
  <c r="P1761" i="6" s="1"/>
  <c r="Y1762" i="6"/>
  <c r="B1762" i="6"/>
  <c r="C1761" i="6"/>
  <c r="H1761" i="6"/>
  <c r="D1761" i="6"/>
  <c r="P1760" i="6"/>
  <c r="X1759" i="6"/>
  <c r="S1760" i="6"/>
  <c r="I1762" i="6" l="1"/>
  <c r="J1762" i="6" s="1"/>
  <c r="K1762" i="6" s="1"/>
  <c r="H1762" i="6"/>
  <c r="L1762" i="6"/>
  <c r="P1762" i="6" s="1"/>
  <c r="Y1763" i="6"/>
  <c r="B1763" i="6"/>
  <c r="D1762" i="6"/>
  <c r="C1762" i="6"/>
  <c r="X1760" i="6"/>
  <c r="S1761" i="6"/>
  <c r="L1763" i="6" l="1"/>
  <c r="P1763" i="6" s="1"/>
  <c r="Y1764" i="6"/>
  <c r="H1763" i="6"/>
  <c r="C1763" i="6"/>
  <c r="B1764" i="6"/>
  <c r="I1763" i="6"/>
  <c r="J1763" i="6" s="1"/>
  <c r="K1763" i="6" s="1"/>
  <c r="D1763" i="6"/>
  <c r="X1761" i="6"/>
  <c r="S1762" i="6"/>
  <c r="L1764" i="6" l="1"/>
  <c r="P1764" i="6" s="1"/>
  <c r="C1764" i="6"/>
  <c r="Y1765" i="6"/>
  <c r="D1764" i="6"/>
  <c r="B1765" i="6"/>
  <c r="I1764" i="6"/>
  <c r="J1764" i="6" s="1"/>
  <c r="K1764" i="6" s="1"/>
  <c r="H1764" i="6"/>
  <c r="X1762" i="6"/>
  <c r="S1763" i="6"/>
  <c r="H1765" i="6" l="1"/>
  <c r="B1766" i="6"/>
  <c r="D1765" i="6"/>
  <c r="L1765" i="6"/>
  <c r="P1765" i="6" s="1"/>
  <c r="Y1766" i="6"/>
  <c r="I1765" i="6"/>
  <c r="J1765" i="6" s="1"/>
  <c r="K1765" i="6" s="1"/>
  <c r="C1765" i="6"/>
  <c r="X1763" i="6"/>
  <c r="S1764" i="6"/>
  <c r="C1766" i="6" l="1"/>
  <c r="B1767" i="6"/>
  <c r="D1766" i="6"/>
  <c r="Y1767" i="6"/>
  <c r="L1766" i="6"/>
  <c r="I1766" i="6"/>
  <c r="J1766" i="6" s="1"/>
  <c r="K1766" i="6" s="1"/>
  <c r="H1766" i="6"/>
  <c r="X1764" i="6"/>
  <c r="S1765" i="6"/>
  <c r="H1767" i="6" l="1"/>
  <c r="C1767" i="6"/>
  <c r="I1767" i="6"/>
  <c r="J1767" i="6" s="1"/>
  <c r="K1767" i="6" s="1"/>
  <c r="D1767" i="6"/>
  <c r="Y1768" i="6"/>
  <c r="L1767" i="6"/>
  <c r="B1768" i="6"/>
  <c r="P1766" i="6"/>
  <c r="X1765" i="6"/>
  <c r="S1766" i="6"/>
  <c r="Y1769" i="6" l="1"/>
  <c r="C1768" i="6"/>
  <c r="I1768" i="6"/>
  <c r="J1768" i="6" s="1"/>
  <c r="K1768" i="6" s="1"/>
  <c r="L1768" i="6"/>
  <c r="P1768" i="6" s="1"/>
  <c r="D1768" i="6"/>
  <c r="B1769" i="6"/>
  <c r="H1768" i="6"/>
  <c r="P1767" i="6"/>
  <c r="X1766" i="6"/>
  <c r="S1767" i="6"/>
  <c r="I1769" i="6" l="1"/>
  <c r="J1769" i="6" s="1"/>
  <c r="K1769" i="6" s="1"/>
  <c r="Y1770" i="6"/>
  <c r="B1770" i="6"/>
  <c r="L1769" i="6"/>
  <c r="P1769" i="6" s="1"/>
  <c r="H1769" i="6"/>
  <c r="D1769" i="6"/>
  <c r="C1769" i="6"/>
  <c r="X1767" i="6"/>
  <c r="S1768" i="6"/>
  <c r="I1770" i="6" l="1"/>
  <c r="J1770" i="6" s="1"/>
  <c r="K1770" i="6" s="1"/>
  <c r="D1770" i="6"/>
  <c r="Y1771" i="6"/>
  <c r="B1771" i="6"/>
  <c r="C1770" i="6"/>
  <c r="L1770" i="6"/>
  <c r="H1770" i="6"/>
  <c r="X1768" i="6"/>
  <c r="S1769" i="6"/>
  <c r="H1771" i="6" l="1"/>
  <c r="L1771" i="6"/>
  <c r="D1771" i="6"/>
  <c r="C1771" i="6"/>
  <c r="I1771" i="6"/>
  <c r="J1771" i="6" s="1"/>
  <c r="K1771" i="6" s="1"/>
  <c r="Y1772" i="6"/>
  <c r="B1772" i="6"/>
  <c r="P1770" i="6"/>
  <c r="X1769" i="6"/>
  <c r="S1770" i="6"/>
  <c r="L1772" i="6" l="1"/>
  <c r="P1772" i="6" s="1"/>
  <c r="I1772" i="6"/>
  <c r="J1772" i="6" s="1"/>
  <c r="K1772" i="6" s="1"/>
  <c r="C1772" i="6"/>
  <c r="Y1773" i="6"/>
  <c r="B1773" i="6"/>
  <c r="H1772" i="6"/>
  <c r="D1772" i="6"/>
  <c r="P1771" i="6"/>
  <c r="X1770" i="6"/>
  <c r="S1771" i="6"/>
  <c r="I1773" i="6" l="1"/>
  <c r="J1773" i="6" s="1"/>
  <c r="K1773" i="6" s="1"/>
  <c r="C1773" i="6"/>
  <c r="D1773" i="6"/>
  <c r="Y1774" i="6"/>
  <c r="B1774" i="6"/>
  <c r="H1773" i="6"/>
  <c r="L1773" i="6"/>
  <c r="P1773" i="6" s="1"/>
  <c r="X1771" i="6"/>
  <c r="S1772" i="6"/>
  <c r="D1774" i="6" l="1"/>
  <c r="Y1775" i="6"/>
  <c r="B1775" i="6"/>
  <c r="L1774" i="6"/>
  <c r="H1774" i="6"/>
  <c r="I1774" i="6"/>
  <c r="J1774" i="6" s="1"/>
  <c r="K1774" i="6" s="1"/>
  <c r="C1774" i="6"/>
  <c r="X1772" i="6"/>
  <c r="S1773" i="6"/>
  <c r="C1775" i="6" l="1"/>
  <c r="B1776" i="6"/>
  <c r="H1775" i="6"/>
  <c r="Y1776" i="6"/>
  <c r="L1775" i="6"/>
  <c r="I1775" i="6"/>
  <c r="J1775" i="6" s="1"/>
  <c r="K1775" i="6" s="1"/>
  <c r="D1775" i="6"/>
  <c r="P1774" i="6"/>
  <c r="X1773" i="6"/>
  <c r="S1774" i="6"/>
  <c r="Y1777" i="6" l="1"/>
  <c r="L1776" i="6"/>
  <c r="I1776" i="6"/>
  <c r="J1776" i="6" s="1"/>
  <c r="K1776" i="6" s="1"/>
  <c r="C1776" i="6"/>
  <c r="B1777" i="6"/>
  <c r="D1776" i="6"/>
  <c r="H1776" i="6"/>
  <c r="P1775" i="6"/>
  <c r="X1774" i="6"/>
  <c r="S1775" i="6"/>
  <c r="I1777" i="6" l="1"/>
  <c r="J1777" i="6" s="1"/>
  <c r="K1777" i="6" s="1"/>
  <c r="H1777" i="6"/>
  <c r="B1778" i="6"/>
  <c r="D1777" i="6"/>
  <c r="Y1778" i="6"/>
  <c r="L1777" i="6"/>
  <c r="P1777" i="6" s="1"/>
  <c r="C1777" i="6"/>
  <c r="P1776" i="6"/>
  <c r="X1775" i="6"/>
  <c r="S1776" i="6"/>
  <c r="D1778" i="6" l="1"/>
  <c r="B1779" i="6"/>
  <c r="I1778" i="6"/>
  <c r="J1778" i="6" s="1"/>
  <c r="K1778" i="6" s="1"/>
  <c r="H1778" i="6"/>
  <c r="C1778" i="6"/>
  <c r="L1778" i="6"/>
  <c r="Y1779" i="6"/>
  <c r="X1776" i="6"/>
  <c r="S1777" i="6"/>
  <c r="L1779" i="6" l="1"/>
  <c r="H1779" i="6"/>
  <c r="Y1780" i="6"/>
  <c r="D1779" i="6"/>
  <c r="C1779" i="6"/>
  <c r="B1780" i="6"/>
  <c r="I1779" i="6"/>
  <c r="J1779" i="6" s="1"/>
  <c r="K1779" i="6" s="1"/>
  <c r="P1778" i="6"/>
  <c r="X1777" i="6"/>
  <c r="S1778" i="6"/>
  <c r="Y1781" i="6" l="1"/>
  <c r="I1780" i="6"/>
  <c r="J1780" i="6" s="1"/>
  <c r="K1780" i="6" s="1"/>
  <c r="H1780" i="6"/>
  <c r="L1780" i="6"/>
  <c r="P1780" i="6" s="1"/>
  <c r="D1780" i="6"/>
  <c r="C1780" i="6"/>
  <c r="B1781" i="6"/>
  <c r="P1779" i="6"/>
  <c r="X1778" i="6"/>
  <c r="S1779" i="6"/>
  <c r="H1781" i="6" l="1"/>
  <c r="I1781" i="6"/>
  <c r="J1781" i="6" s="1"/>
  <c r="K1781" i="6" s="1"/>
  <c r="B1782" i="6"/>
  <c r="C1781" i="6"/>
  <c r="D1781" i="6"/>
  <c r="L1781" i="6"/>
  <c r="P1781" i="6" s="1"/>
  <c r="Y1782" i="6"/>
  <c r="X1779" i="6"/>
  <c r="S1780" i="6"/>
  <c r="D1782" i="6" l="1"/>
  <c r="C1782" i="6"/>
  <c r="Y1783" i="6"/>
  <c r="H1782" i="6"/>
  <c r="I1782" i="6"/>
  <c r="J1782" i="6" s="1"/>
  <c r="K1782" i="6" s="1"/>
  <c r="L1782" i="6"/>
  <c r="B1783" i="6"/>
  <c r="X1780" i="6"/>
  <c r="S1781" i="6"/>
  <c r="B1784" i="6" l="1"/>
  <c r="L1783" i="6"/>
  <c r="P1783" i="6" s="1"/>
  <c r="I1783" i="6"/>
  <c r="J1783" i="6" s="1"/>
  <c r="K1783" i="6" s="1"/>
  <c r="C1783" i="6"/>
  <c r="D1783" i="6"/>
  <c r="Y1784" i="6"/>
  <c r="H1783" i="6"/>
  <c r="P1782" i="6"/>
  <c r="X1781" i="6"/>
  <c r="S1782" i="6"/>
  <c r="H1784" i="6" l="1"/>
  <c r="L1784" i="6"/>
  <c r="D1784" i="6"/>
  <c r="C1784" i="6"/>
  <c r="Y1785" i="6"/>
  <c r="B1785" i="6"/>
  <c r="I1784" i="6"/>
  <c r="J1784" i="6" s="1"/>
  <c r="K1784" i="6" s="1"/>
  <c r="X1782" i="6"/>
  <c r="S1783" i="6"/>
  <c r="D1785" i="6" l="1"/>
  <c r="I1785" i="6"/>
  <c r="J1785" i="6" s="1"/>
  <c r="K1785" i="6" s="1"/>
  <c r="B1786" i="6"/>
  <c r="H1785" i="6"/>
  <c r="C1785" i="6"/>
  <c r="Y1786" i="6"/>
  <c r="L1785" i="6"/>
  <c r="P1785" i="6" s="1"/>
  <c r="P1784" i="6"/>
  <c r="X1783" i="6"/>
  <c r="S1784" i="6"/>
  <c r="C1786" i="6" l="1"/>
  <c r="B1787" i="6"/>
  <c r="D1786" i="6"/>
  <c r="I1786" i="6"/>
  <c r="J1786" i="6" s="1"/>
  <c r="K1786" i="6" s="1"/>
  <c r="L1786" i="6"/>
  <c r="Y1787" i="6"/>
  <c r="H1786" i="6"/>
  <c r="X1784" i="6"/>
  <c r="S1785" i="6"/>
  <c r="H1787" i="6" l="1"/>
  <c r="B1788" i="6"/>
  <c r="Y1788" i="6"/>
  <c r="D1787" i="6"/>
  <c r="C1787" i="6"/>
  <c r="I1787" i="6"/>
  <c r="J1787" i="6" s="1"/>
  <c r="K1787" i="6" s="1"/>
  <c r="L1787" i="6"/>
  <c r="P1786" i="6"/>
  <c r="X1785" i="6"/>
  <c r="S1786" i="6"/>
  <c r="I1788" i="6" l="1"/>
  <c r="J1788" i="6" s="1"/>
  <c r="K1788" i="6" s="1"/>
  <c r="L1788" i="6"/>
  <c r="B1789" i="6"/>
  <c r="D1788" i="6"/>
  <c r="Y1789" i="6"/>
  <c r="H1788" i="6"/>
  <c r="C1788" i="6"/>
  <c r="P1787" i="6"/>
  <c r="X1786" i="6"/>
  <c r="S1787" i="6"/>
  <c r="Y1790" i="6" l="1"/>
  <c r="B1790" i="6"/>
  <c r="H1789" i="6"/>
  <c r="D1789" i="6"/>
  <c r="I1789" i="6"/>
  <c r="J1789" i="6" s="1"/>
  <c r="K1789" i="6" s="1"/>
  <c r="L1789" i="6"/>
  <c r="P1789" i="6" s="1"/>
  <c r="C1789" i="6"/>
  <c r="P1788" i="6"/>
  <c r="X1787" i="6"/>
  <c r="S1788" i="6"/>
  <c r="L1790" i="6" l="1"/>
  <c r="B1791" i="6"/>
  <c r="C1790" i="6"/>
  <c r="D1790" i="6"/>
  <c r="I1790" i="6"/>
  <c r="J1790" i="6" s="1"/>
  <c r="K1790" i="6" s="1"/>
  <c r="Y1791" i="6"/>
  <c r="H1790" i="6"/>
  <c r="X1788" i="6"/>
  <c r="S1789" i="6"/>
  <c r="C1791" i="6" l="1"/>
  <c r="H1791" i="6"/>
  <c r="I1791" i="6"/>
  <c r="J1791" i="6" s="1"/>
  <c r="K1791" i="6" s="1"/>
  <c r="Y1792" i="6"/>
  <c r="L1791" i="6"/>
  <c r="P1791" i="6" s="1"/>
  <c r="B1792" i="6"/>
  <c r="D1791" i="6"/>
  <c r="P1790" i="6"/>
  <c r="X1789" i="6"/>
  <c r="S1790" i="6"/>
  <c r="D1792" i="6" l="1"/>
  <c r="B1793" i="6"/>
  <c r="I1792" i="6"/>
  <c r="J1792" i="6" s="1"/>
  <c r="K1792" i="6" s="1"/>
  <c r="C1792" i="6"/>
  <c r="Y1793" i="6"/>
  <c r="L1792" i="6"/>
  <c r="H1792" i="6"/>
  <c r="X1790" i="6"/>
  <c r="S1791" i="6"/>
  <c r="P1792" i="6" l="1"/>
  <c r="I1793" i="6"/>
  <c r="J1793" i="6" s="1"/>
  <c r="K1793" i="6" s="1"/>
  <c r="D1793" i="6"/>
  <c r="Y1794" i="6"/>
  <c r="B1794" i="6"/>
  <c r="L1793" i="6"/>
  <c r="H1793" i="6"/>
  <c r="C1793" i="6"/>
  <c r="X1791" i="6"/>
  <c r="S1792" i="6"/>
  <c r="Y1795" i="6" l="1"/>
  <c r="D1794" i="6"/>
  <c r="C1794" i="6"/>
  <c r="L1794" i="6"/>
  <c r="H1794" i="6"/>
  <c r="I1794" i="6"/>
  <c r="J1794" i="6" s="1"/>
  <c r="K1794" i="6" s="1"/>
  <c r="B1795" i="6"/>
  <c r="P1793" i="6"/>
  <c r="X1792" i="6"/>
  <c r="S1793" i="6"/>
  <c r="Y1796" i="6" l="1"/>
  <c r="L1795" i="6"/>
  <c r="P1795" i="6" s="1"/>
  <c r="D1795" i="6"/>
  <c r="B1796" i="6"/>
  <c r="I1795" i="6"/>
  <c r="J1795" i="6" s="1"/>
  <c r="K1795" i="6" s="1"/>
  <c r="C1795" i="6"/>
  <c r="H1795" i="6"/>
  <c r="P1794" i="6"/>
  <c r="X1793" i="6"/>
  <c r="S1794" i="6"/>
  <c r="Y1797" i="6" l="1"/>
  <c r="C1796" i="6"/>
  <c r="I1796" i="6"/>
  <c r="J1796" i="6" s="1"/>
  <c r="K1796" i="6" s="1"/>
  <c r="H1796" i="6"/>
  <c r="B1797" i="6"/>
  <c r="D1796" i="6"/>
  <c r="L1796" i="6"/>
  <c r="P1796" i="6" s="1"/>
  <c r="X1794" i="6"/>
  <c r="S1795" i="6"/>
  <c r="H1797" i="6" l="1"/>
  <c r="B1798" i="6"/>
  <c r="Y1798" i="6"/>
  <c r="I1797" i="6"/>
  <c r="J1797" i="6" s="1"/>
  <c r="K1797" i="6" s="1"/>
  <c r="D1797" i="6"/>
  <c r="L1797" i="6"/>
  <c r="C1797" i="6"/>
  <c r="X1795" i="6"/>
  <c r="S1796" i="6"/>
  <c r="P1797" i="6" l="1"/>
  <c r="L1798" i="6"/>
  <c r="P1798" i="6" s="1"/>
  <c r="B1799" i="6"/>
  <c r="H1798" i="6"/>
  <c r="C1798" i="6"/>
  <c r="Y1799" i="6"/>
  <c r="D1798" i="6"/>
  <c r="I1798" i="6"/>
  <c r="J1798" i="6" s="1"/>
  <c r="K1798" i="6" s="1"/>
  <c r="X1796" i="6"/>
  <c r="S1797" i="6"/>
  <c r="Y1800" i="6" l="1"/>
  <c r="I1799" i="6"/>
  <c r="J1799" i="6" s="1"/>
  <c r="K1799" i="6" s="1"/>
  <c r="D1799" i="6"/>
  <c r="L1799" i="6"/>
  <c r="B1800" i="6"/>
  <c r="C1799" i="6"/>
  <c r="H1799" i="6"/>
  <c r="X1797" i="6"/>
  <c r="S1798" i="6"/>
  <c r="Y1801" i="6" l="1"/>
  <c r="L1800" i="6"/>
  <c r="P1800" i="6" s="1"/>
  <c r="D1800" i="6"/>
  <c r="B1801" i="6"/>
  <c r="H1800" i="6"/>
  <c r="I1800" i="6"/>
  <c r="J1800" i="6" s="1"/>
  <c r="K1800" i="6" s="1"/>
  <c r="C1800" i="6"/>
  <c r="P1799" i="6"/>
  <c r="X1798" i="6"/>
  <c r="S1799" i="6"/>
  <c r="D1801" i="6" l="1"/>
  <c r="Y1802" i="6"/>
  <c r="B1802" i="6"/>
  <c r="L1801" i="6"/>
  <c r="P1801" i="6" s="1"/>
  <c r="H1801" i="6"/>
  <c r="I1801" i="6"/>
  <c r="J1801" i="6" s="1"/>
  <c r="K1801" i="6" s="1"/>
  <c r="C1801" i="6"/>
  <c r="X1799" i="6"/>
  <c r="S1800" i="6"/>
  <c r="L1802" i="6" l="1"/>
  <c r="I1802" i="6"/>
  <c r="J1802" i="6" s="1"/>
  <c r="K1802" i="6" s="1"/>
  <c r="Y1803" i="6"/>
  <c r="D1802" i="6"/>
  <c r="C1802" i="6"/>
  <c r="H1802" i="6"/>
  <c r="B1803" i="6"/>
  <c r="X1800" i="6"/>
  <c r="S1801" i="6"/>
  <c r="D1803" i="6" l="1"/>
  <c r="C1803" i="6"/>
  <c r="H1803" i="6"/>
  <c r="B1804" i="6"/>
  <c r="I1803" i="6"/>
  <c r="J1803" i="6" s="1"/>
  <c r="K1803" i="6" s="1"/>
  <c r="Y1804" i="6"/>
  <c r="L1803" i="6"/>
  <c r="P1803" i="6" s="1"/>
  <c r="P1802" i="6"/>
  <c r="X1801" i="6"/>
  <c r="S1802" i="6"/>
  <c r="Y1805" i="6" l="1"/>
  <c r="B1805" i="6"/>
  <c r="C1804" i="6"/>
  <c r="L1804" i="6"/>
  <c r="D1804" i="6"/>
  <c r="H1804" i="6"/>
  <c r="I1804" i="6"/>
  <c r="J1804" i="6" s="1"/>
  <c r="K1804" i="6" s="1"/>
  <c r="X1802" i="6"/>
  <c r="S1803" i="6"/>
  <c r="C1805" i="6" l="1"/>
  <c r="D1805" i="6"/>
  <c r="H1805" i="6"/>
  <c r="I1805" i="6"/>
  <c r="J1805" i="6" s="1"/>
  <c r="K1805" i="6" s="1"/>
  <c r="B1806" i="6"/>
  <c r="L1805" i="6"/>
  <c r="Y1806" i="6"/>
  <c r="P1804" i="6"/>
  <c r="X1803" i="6"/>
  <c r="S1804" i="6"/>
  <c r="D1806" i="6" l="1"/>
  <c r="Y1807" i="6"/>
  <c r="L1806" i="6"/>
  <c r="I1806" i="6"/>
  <c r="J1806" i="6" s="1"/>
  <c r="K1806" i="6" s="1"/>
  <c r="B1807" i="6"/>
  <c r="C1806" i="6"/>
  <c r="H1806" i="6"/>
  <c r="P1805" i="6"/>
  <c r="X1804" i="6"/>
  <c r="S1805" i="6"/>
  <c r="Y1808" i="6" l="1"/>
  <c r="B1808" i="6"/>
  <c r="L1807" i="6"/>
  <c r="P1807" i="6" s="1"/>
  <c r="D1807" i="6"/>
  <c r="H1807" i="6"/>
  <c r="I1807" i="6"/>
  <c r="J1807" i="6" s="1"/>
  <c r="K1807" i="6" s="1"/>
  <c r="C1807" i="6"/>
  <c r="P1806" i="6"/>
  <c r="X1805" i="6"/>
  <c r="S1806" i="6"/>
  <c r="D1808" i="6" l="1"/>
  <c r="B1809" i="6"/>
  <c r="L1808" i="6"/>
  <c r="C1808" i="6"/>
  <c r="H1808" i="6"/>
  <c r="I1808" i="6"/>
  <c r="J1808" i="6" s="1"/>
  <c r="K1808" i="6" s="1"/>
  <c r="Y1809" i="6"/>
  <c r="X1806" i="6"/>
  <c r="S1807" i="6"/>
  <c r="C1809" i="6" l="1"/>
  <c r="B1810" i="6"/>
  <c r="Y1810" i="6"/>
  <c r="L1809" i="6"/>
  <c r="I1809" i="6"/>
  <c r="J1809" i="6" s="1"/>
  <c r="K1809" i="6" s="1"/>
  <c r="H1809" i="6"/>
  <c r="D1809" i="6"/>
  <c r="P1808" i="6"/>
  <c r="X1807" i="6"/>
  <c r="S1808" i="6"/>
  <c r="B1811" i="6" l="1"/>
  <c r="C1810" i="6"/>
  <c r="D1810" i="6"/>
  <c r="H1810" i="6"/>
  <c r="Y1811" i="6"/>
  <c r="I1810" i="6"/>
  <c r="J1810" i="6" s="1"/>
  <c r="K1810" i="6" s="1"/>
  <c r="L1810" i="6"/>
  <c r="P1810" i="6" s="1"/>
  <c r="P1809" i="6"/>
  <c r="X1808" i="6"/>
  <c r="S1809" i="6"/>
  <c r="D1811" i="6" l="1"/>
  <c r="H1811" i="6"/>
  <c r="C1811" i="6"/>
  <c r="B1812" i="6"/>
  <c r="L1811" i="6"/>
  <c r="I1811" i="6"/>
  <c r="J1811" i="6" s="1"/>
  <c r="K1811" i="6" s="1"/>
  <c r="Y1812" i="6"/>
  <c r="X1809" i="6"/>
  <c r="S1810" i="6"/>
  <c r="P1811" i="6" l="1"/>
  <c r="H1812" i="6"/>
  <c r="B1813" i="6"/>
  <c r="L1812" i="6"/>
  <c r="C1812" i="6"/>
  <c r="I1812" i="6"/>
  <c r="J1812" i="6" s="1"/>
  <c r="K1812" i="6" s="1"/>
  <c r="D1812" i="6"/>
  <c r="Y1813" i="6"/>
  <c r="X1810" i="6"/>
  <c r="S1811" i="6"/>
  <c r="Y1814" i="6" l="1"/>
  <c r="B1814" i="6"/>
  <c r="I1813" i="6"/>
  <c r="J1813" i="6" s="1"/>
  <c r="K1813" i="6" s="1"/>
  <c r="H1813" i="6"/>
  <c r="C1813" i="6"/>
  <c r="D1813" i="6"/>
  <c r="L1813" i="6"/>
  <c r="P1812" i="6"/>
  <c r="X1811" i="6"/>
  <c r="S1812" i="6"/>
  <c r="L1814" i="6" l="1"/>
  <c r="B1815" i="6"/>
  <c r="Y1815" i="6"/>
  <c r="H1814" i="6"/>
  <c r="I1814" i="6"/>
  <c r="J1814" i="6" s="1"/>
  <c r="K1814" i="6" s="1"/>
  <c r="C1814" i="6"/>
  <c r="D1814" i="6"/>
  <c r="P1813" i="6"/>
  <c r="X1812" i="6"/>
  <c r="S1813" i="6"/>
  <c r="I1815" i="6" l="1"/>
  <c r="J1815" i="6" s="1"/>
  <c r="K1815" i="6" s="1"/>
  <c r="B1816" i="6"/>
  <c r="C1815" i="6"/>
  <c r="Y1816" i="6"/>
  <c r="H1815" i="6"/>
  <c r="D1815" i="6"/>
  <c r="L1815" i="6"/>
  <c r="P1815" i="6" s="1"/>
  <c r="P1814" i="6"/>
  <c r="X1813" i="6"/>
  <c r="S1814" i="6"/>
  <c r="D1816" i="6" l="1"/>
  <c r="B1817" i="6"/>
  <c r="L1816" i="6"/>
  <c r="C1816" i="6"/>
  <c r="I1816" i="6"/>
  <c r="J1816" i="6" s="1"/>
  <c r="K1816" i="6" s="1"/>
  <c r="Y1817" i="6"/>
  <c r="H1816" i="6"/>
  <c r="X1814" i="6"/>
  <c r="S1815" i="6"/>
  <c r="D1817" i="6" l="1"/>
  <c r="H1817" i="6"/>
  <c r="L1817" i="6"/>
  <c r="I1817" i="6"/>
  <c r="J1817" i="6" s="1"/>
  <c r="K1817" i="6" s="1"/>
  <c r="C1817" i="6"/>
  <c r="Y1818" i="6"/>
  <c r="B1818" i="6"/>
  <c r="P1816" i="6"/>
  <c r="X1815" i="6"/>
  <c r="S1816" i="6"/>
  <c r="D1818" i="6" l="1"/>
  <c r="L1818" i="6"/>
  <c r="P1818" i="6" s="1"/>
  <c r="Y1819" i="6"/>
  <c r="B1819" i="6"/>
  <c r="H1818" i="6"/>
  <c r="C1818" i="6"/>
  <c r="I1818" i="6"/>
  <c r="J1818" i="6" s="1"/>
  <c r="K1818" i="6" s="1"/>
  <c r="P1817" i="6"/>
  <c r="X1816" i="6"/>
  <c r="S1817" i="6"/>
  <c r="D1819" i="6" l="1"/>
  <c r="I1819" i="6"/>
  <c r="J1819" i="6" s="1"/>
  <c r="K1819" i="6" s="1"/>
  <c r="L1819" i="6"/>
  <c r="P1819" i="6" s="1"/>
  <c r="B1820" i="6"/>
  <c r="C1819" i="6"/>
  <c r="H1819" i="6"/>
  <c r="Y1820" i="6"/>
  <c r="X1817" i="6"/>
  <c r="S1818" i="6"/>
  <c r="D1820" i="6" l="1"/>
  <c r="Y1821" i="6"/>
  <c r="H1820" i="6"/>
  <c r="I1820" i="6"/>
  <c r="J1820" i="6" s="1"/>
  <c r="K1820" i="6" s="1"/>
  <c r="C1820" i="6"/>
  <c r="L1820" i="6"/>
  <c r="P1820" i="6" s="1"/>
  <c r="B1821" i="6"/>
  <c r="X1818" i="6"/>
  <c r="S1819" i="6"/>
  <c r="H1821" i="6" l="1"/>
  <c r="C1821" i="6"/>
  <c r="L1821" i="6"/>
  <c r="P1821" i="6" s="1"/>
  <c r="Y1822" i="6"/>
  <c r="I1821" i="6"/>
  <c r="J1821" i="6" s="1"/>
  <c r="K1821" i="6" s="1"/>
  <c r="B1822" i="6"/>
  <c r="D1821" i="6"/>
  <c r="X1819" i="6"/>
  <c r="S1820" i="6"/>
  <c r="L1822" i="6" l="1"/>
  <c r="P1822" i="6" s="1"/>
  <c r="Y1823" i="6"/>
  <c r="I1822" i="6"/>
  <c r="J1822" i="6" s="1"/>
  <c r="K1822" i="6" s="1"/>
  <c r="C1822" i="6"/>
  <c r="H1822" i="6"/>
  <c r="D1822" i="6"/>
  <c r="B1823" i="6"/>
  <c r="X1820" i="6"/>
  <c r="S1821" i="6"/>
  <c r="Y1824" i="6" l="1"/>
  <c r="H1823" i="6"/>
  <c r="L1823" i="6"/>
  <c r="P1823" i="6" s="1"/>
  <c r="I1823" i="6"/>
  <c r="J1823" i="6" s="1"/>
  <c r="K1823" i="6" s="1"/>
  <c r="C1823" i="6"/>
  <c r="B1824" i="6"/>
  <c r="D1823" i="6"/>
  <c r="X1821" i="6"/>
  <c r="S1822" i="6"/>
  <c r="L1824" i="6" l="1"/>
  <c r="Y1825" i="6"/>
  <c r="D1824" i="6"/>
  <c r="H1824" i="6"/>
  <c r="C1824" i="6"/>
  <c r="B1825" i="6"/>
  <c r="I1824" i="6"/>
  <c r="J1824" i="6" s="1"/>
  <c r="K1824" i="6" s="1"/>
  <c r="X1822" i="6"/>
  <c r="S1823" i="6"/>
  <c r="H1825" i="6" l="1"/>
  <c r="D1825" i="6"/>
  <c r="I1825" i="6"/>
  <c r="J1825" i="6" s="1"/>
  <c r="K1825" i="6" s="1"/>
  <c r="Y1826" i="6"/>
  <c r="C1825" i="6"/>
  <c r="B1826" i="6"/>
  <c r="L1825" i="6"/>
  <c r="P1825" i="6" s="1"/>
  <c r="P1824" i="6"/>
  <c r="X1823" i="6"/>
  <c r="S1824" i="6"/>
  <c r="H1826" i="6" l="1"/>
  <c r="L1826" i="6"/>
  <c r="C1826" i="6"/>
  <c r="D1826" i="6"/>
  <c r="Y1827" i="6"/>
  <c r="B1827" i="6"/>
  <c r="I1826" i="6"/>
  <c r="J1826" i="6" s="1"/>
  <c r="K1826" i="6" s="1"/>
  <c r="X1824" i="6"/>
  <c r="S1825" i="6"/>
  <c r="Y1828" i="6" l="1"/>
  <c r="B1828" i="6"/>
  <c r="D1827" i="6"/>
  <c r="L1827" i="6"/>
  <c r="P1827" i="6" s="1"/>
  <c r="I1827" i="6"/>
  <c r="J1827" i="6" s="1"/>
  <c r="K1827" i="6" s="1"/>
  <c r="C1827" i="6"/>
  <c r="H1827" i="6"/>
  <c r="P1826" i="6"/>
  <c r="X1825" i="6"/>
  <c r="S1826" i="6"/>
  <c r="I1828" i="6" l="1"/>
  <c r="J1828" i="6" s="1"/>
  <c r="K1828" i="6" s="1"/>
  <c r="B1829" i="6"/>
  <c r="D1828" i="6"/>
  <c r="L1828" i="6"/>
  <c r="H1828" i="6"/>
  <c r="C1828" i="6"/>
  <c r="Y1829" i="6"/>
  <c r="X1826" i="6"/>
  <c r="S1827" i="6"/>
  <c r="L1829" i="6" l="1"/>
  <c r="C1829" i="6"/>
  <c r="H1829" i="6"/>
  <c r="I1829" i="6"/>
  <c r="J1829" i="6" s="1"/>
  <c r="K1829" i="6" s="1"/>
  <c r="Y1830" i="6"/>
  <c r="B1830" i="6"/>
  <c r="D1829" i="6"/>
  <c r="P1828" i="6"/>
  <c r="X1827" i="6"/>
  <c r="S1828" i="6"/>
  <c r="C1830" i="6" l="1"/>
  <c r="L1830" i="6"/>
  <c r="P1830" i="6" s="1"/>
  <c r="H1830" i="6"/>
  <c r="Y1831" i="6"/>
  <c r="B1831" i="6"/>
  <c r="D1830" i="6"/>
  <c r="I1830" i="6"/>
  <c r="J1830" i="6" s="1"/>
  <c r="K1830" i="6" s="1"/>
  <c r="P1829" i="6"/>
  <c r="X1828" i="6"/>
  <c r="S1829" i="6"/>
  <c r="L1831" i="6" l="1"/>
  <c r="P1831" i="6" s="1"/>
  <c r="B1832" i="6"/>
  <c r="I1831" i="6"/>
  <c r="J1831" i="6" s="1"/>
  <c r="K1831" i="6" s="1"/>
  <c r="Y1832" i="6"/>
  <c r="H1831" i="6"/>
  <c r="C1831" i="6"/>
  <c r="D1831" i="6"/>
  <c r="X1829" i="6"/>
  <c r="S1830" i="6"/>
  <c r="Y1833" i="6" l="1"/>
  <c r="B1833" i="6"/>
  <c r="L1832" i="6"/>
  <c r="P1832" i="6" s="1"/>
  <c r="H1832" i="6"/>
  <c r="I1832" i="6"/>
  <c r="J1832" i="6" s="1"/>
  <c r="K1832" i="6" s="1"/>
  <c r="C1832" i="6"/>
  <c r="D1832" i="6"/>
  <c r="X1830" i="6"/>
  <c r="S1831" i="6"/>
  <c r="Y1834" i="6" l="1"/>
  <c r="D1833" i="6"/>
  <c r="H1833" i="6"/>
  <c r="L1833" i="6"/>
  <c r="B1834" i="6"/>
  <c r="I1833" i="6"/>
  <c r="J1833" i="6" s="1"/>
  <c r="K1833" i="6" s="1"/>
  <c r="C1833" i="6"/>
  <c r="X1831" i="6"/>
  <c r="S1832" i="6"/>
  <c r="C1834" i="6" l="1"/>
  <c r="L1834" i="6"/>
  <c r="P1834" i="6" s="1"/>
  <c r="I1834" i="6"/>
  <c r="J1834" i="6" s="1"/>
  <c r="K1834" i="6" s="1"/>
  <c r="Y1835" i="6"/>
  <c r="D1834" i="6"/>
  <c r="B1835" i="6"/>
  <c r="H1834" i="6"/>
  <c r="P1833" i="6"/>
  <c r="X1832" i="6"/>
  <c r="S1833" i="6"/>
  <c r="D1835" i="6" l="1"/>
  <c r="H1835" i="6"/>
  <c r="L1835" i="6"/>
  <c r="P1835" i="6" s="1"/>
  <c r="C1835" i="6"/>
  <c r="Y1836" i="6"/>
  <c r="I1835" i="6"/>
  <c r="J1835" i="6" s="1"/>
  <c r="K1835" i="6" s="1"/>
  <c r="B1836" i="6"/>
  <c r="X1833" i="6"/>
  <c r="S1834" i="6"/>
  <c r="B1837" i="6" l="1"/>
  <c r="I1836" i="6"/>
  <c r="J1836" i="6" s="1"/>
  <c r="K1836" i="6" s="1"/>
  <c r="L1836" i="6"/>
  <c r="P1836" i="6" s="1"/>
  <c r="D1836" i="6"/>
  <c r="H1836" i="6"/>
  <c r="Y1837" i="6"/>
  <c r="C1836" i="6"/>
  <c r="X1834" i="6"/>
  <c r="S1835" i="6"/>
  <c r="C1837" i="6" l="1"/>
  <c r="B1838" i="6"/>
  <c r="L1837" i="6"/>
  <c r="D1837" i="6"/>
  <c r="I1837" i="6"/>
  <c r="J1837" i="6" s="1"/>
  <c r="K1837" i="6" s="1"/>
  <c r="H1837" i="6"/>
  <c r="Y1838" i="6"/>
  <c r="X1835" i="6"/>
  <c r="S1836" i="6"/>
  <c r="B1839" i="6" l="1"/>
  <c r="L1838" i="6"/>
  <c r="H1838" i="6"/>
  <c r="Y1839" i="6"/>
  <c r="D1838" i="6"/>
  <c r="I1838" i="6"/>
  <c r="J1838" i="6" s="1"/>
  <c r="K1838" i="6" s="1"/>
  <c r="C1838" i="6"/>
  <c r="P1837" i="6"/>
  <c r="X1836" i="6"/>
  <c r="S1837" i="6"/>
  <c r="H1839" i="6" l="1"/>
  <c r="L1839" i="6"/>
  <c r="P1839" i="6" s="1"/>
  <c r="C1839" i="6"/>
  <c r="I1839" i="6"/>
  <c r="J1839" i="6" s="1"/>
  <c r="K1839" i="6" s="1"/>
  <c r="B1840" i="6"/>
  <c r="Y1840" i="6"/>
  <c r="D1839" i="6"/>
  <c r="P1838" i="6"/>
  <c r="X1837" i="6"/>
  <c r="S1838" i="6"/>
  <c r="H1840" i="6" l="1"/>
  <c r="B1841" i="6"/>
  <c r="C1840" i="6"/>
  <c r="Y1841" i="6"/>
  <c r="I1840" i="6"/>
  <c r="J1840" i="6" s="1"/>
  <c r="K1840" i="6" s="1"/>
  <c r="D1840" i="6"/>
  <c r="L1840" i="6"/>
  <c r="X1838" i="6"/>
  <c r="S1839" i="6"/>
  <c r="P1840" i="6" l="1"/>
  <c r="I1841" i="6"/>
  <c r="J1841" i="6" s="1"/>
  <c r="K1841" i="6" s="1"/>
  <c r="B1842" i="6"/>
  <c r="L1841" i="6"/>
  <c r="Y1842" i="6"/>
  <c r="D1841" i="6"/>
  <c r="H1841" i="6"/>
  <c r="C1841" i="6"/>
  <c r="X1839" i="6"/>
  <c r="S1840" i="6"/>
  <c r="Y1843" i="6" l="1"/>
  <c r="I1842" i="6"/>
  <c r="J1842" i="6" s="1"/>
  <c r="K1842" i="6" s="1"/>
  <c r="C1842" i="6"/>
  <c r="L1842" i="6"/>
  <c r="H1842" i="6"/>
  <c r="B1843" i="6"/>
  <c r="D1842" i="6"/>
  <c r="P1841" i="6"/>
  <c r="X1840" i="6"/>
  <c r="S1841" i="6"/>
  <c r="D1843" i="6" l="1"/>
  <c r="B1844" i="6"/>
  <c r="H1843" i="6"/>
  <c r="I1843" i="6"/>
  <c r="J1843" i="6" s="1"/>
  <c r="K1843" i="6" s="1"/>
  <c r="C1843" i="6"/>
  <c r="L1843" i="6"/>
  <c r="P1843" i="6" s="1"/>
  <c r="Y1844" i="6"/>
  <c r="P1842" i="6"/>
  <c r="X1841" i="6"/>
  <c r="S1842" i="6"/>
  <c r="H1844" i="6" l="1"/>
  <c r="Y1845" i="6"/>
  <c r="C1844" i="6"/>
  <c r="I1844" i="6"/>
  <c r="J1844" i="6" s="1"/>
  <c r="K1844" i="6" s="1"/>
  <c r="L1844" i="6"/>
  <c r="D1844" i="6"/>
  <c r="B1845" i="6"/>
  <c r="X1842" i="6"/>
  <c r="S1843" i="6"/>
  <c r="H1845" i="6" l="1"/>
  <c r="B1846" i="6"/>
  <c r="C1845" i="6"/>
  <c r="Y1846" i="6"/>
  <c r="D1845" i="6"/>
  <c r="L1845" i="6"/>
  <c r="P1845" i="6" s="1"/>
  <c r="I1845" i="6"/>
  <c r="J1845" i="6" s="1"/>
  <c r="K1845" i="6" s="1"/>
  <c r="P1844" i="6"/>
  <c r="X1843" i="6"/>
  <c r="S1844" i="6"/>
  <c r="H1846" i="6" l="1"/>
  <c r="I1846" i="6"/>
  <c r="J1846" i="6" s="1"/>
  <c r="K1846" i="6" s="1"/>
  <c r="C1846" i="6"/>
  <c r="L1846" i="6"/>
  <c r="D1846" i="6"/>
  <c r="B1847" i="6"/>
  <c r="Y1847" i="6"/>
  <c r="X1844" i="6"/>
  <c r="S1845" i="6"/>
  <c r="H1847" i="6" l="1"/>
  <c r="L1847" i="6"/>
  <c r="P1847" i="6" s="1"/>
  <c r="I1847" i="6"/>
  <c r="J1847" i="6" s="1"/>
  <c r="K1847" i="6" s="1"/>
  <c r="D1847" i="6"/>
  <c r="B1848" i="6"/>
  <c r="C1847" i="6"/>
  <c r="Y1848" i="6"/>
  <c r="P1846" i="6"/>
  <c r="X1845" i="6"/>
  <c r="S1846" i="6"/>
  <c r="B1849" i="6" l="1"/>
  <c r="C1848" i="6"/>
  <c r="L1848" i="6"/>
  <c r="I1848" i="6"/>
  <c r="J1848" i="6" s="1"/>
  <c r="K1848" i="6" s="1"/>
  <c r="D1848" i="6"/>
  <c r="H1848" i="6"/>
  <c r="Y1849" i="6"/>
  <c r="X1846" i="6"/>
  <c r="S1847" i="6"/>
  <c r="P1848" i="6" l="1"/>
  <c r="L1849" i="6"/>
  <c r="H1849" i="6"/>
  <c r="I1849" i="6"/>
  <c r="J1849" i="6" s="1"/>
  <c r="K1849" i="6" s="1"/>
  <c r="B1850" i="6"/>
  <c r="Y1850" i="6"/>
  <c r="D1849" i="6"/>
  <c r="C1849" i="6"/>
  <c r="X1847" i="6"/>
  <c r="S1848" i="6"/>
  <c r="C1850" i="6" l="1"/>
  <c r="B1851" i="6"/>
  <c r="L1850" i="6"/>
  <c r="P1850" i="6" s="1"/>
  <c r="D1850" i="6"/>
  <c r="I1850" i="6"/>
  <c r="J1850" i="6" s="1"/>
  <c r="K1850" i="6" s="1"/>
  <c r="Y1851" i="6"/>
  <c r="H1850" i="6"/>
  <c r="P1849" i="6"/>
  <c r="X1848" i="6"/>
  <c r="S1849" i="6"/>
  <c r="B1852" i="6" l="1"/>
  <c r="D1851" i="6"/>
  <c r="I1851" i="6"/>
  <c r="J1851" i="6" s="1"/>
  <c r="K1851" i="6" s="1"/>
  <c r="C1851" i="6"/>
  <c r="Y1852" i="6"/>
  <c r="L1851" i="6"/>
  <c r="P1851" i="6" s="1"/>
  <c r="H1851" i="6"/>
  <c r="X1849" i="6"/>
  <c r="S1850" i="6"/>
  <c r="D1852" i="6" l="1"/>
  <c r="I1852" i="6"/>
  <c r="J1852" i="6" s="1"/>
  <c r="K1852" i="6" s="1"/>
  <c r="L1852" i="6"/>
  <c r="B1853" i="6"/>
  <c r="C1852" i="6"/>
  <c r="Y1853" i="6"/>
  <c r="H1852" i="6"/>
  <c r="X1850" i="6"/>
  <c r="S1851" i="6"/>
  <c r="L1853" i="6" l="1"/>
  <c r="P1853" i="6" s="1"/>
  <c r="D1853" i="6"/>
  <c r="C1853" i="6"/>
  <c r="Y1854" i="6"/>
  <c r="H1853" i="6"/>
  <c r="I1853" i="6"/>
  <c r="J1853" i="6" s="1"/>
  <c r="K1853" i="6" s="1"/>
  <c r="B1854" i="6"/>
  <c r="P1852" i="6"/>
  <c r="X1851" i="6"/>
  <c r="S1852" i="6"/>
  <c r="H1854" i="6" l="1"/>
  <c r="Y1855" i="6"/>
  <c r="Y5" i="6" s="1"/>
  <c r="N15" i="6" s="1"/>
  <c r="B1" i="6" s="1"/>
  <c r="D1854" i="6"/>
  <c r="C1854" i="6"/>
  <c r="L1854" i="6"/>
  <c r="P1854" i="6" s="1"/>
  <c r="I1854" i="6"/>
  <c r="J1854" i="6" s="1"/>
  <c r="K1854" i="6" s="1"/>
  <c r="B1855" i="6"/>
  <c r="X1852" i="6"/>
  <c r="S1853" i="6"/>
  <c r="L1855" i="6" l="1"/>
  <c r="P1855" i="6" s="1"/>
  <c r="B1856" i="6"/>
  <c r="D1855" i="6"/>
  <c r="I1855" i="6"/>
  <c r="J1855" i="6" s="1"/>
  <c r="K1855" i="6" s="1"/>
  <c r="C1855" i="6"/>
  <c r="H1855" i="6"/>
  <c r="X1853" i="6"/>
  <c r="S1854" i="6"/>
  <c r="C1856" i="6" l="1"/>
  <c r="L1856" i="6"/>
  <c r="H1856" i="6"/>
  <c r="I1856" i="6"/>
  <c r="J1856" i="6" s="1"/>
  <c r="D1856" i="6"/>
  <c r="X1854" i="6"/>
  <c r="S1855" i="6"/>
  <c r="X1855" i="6" s="1"/>
  <c r="X6" i="6" s="1"/>
  <c r="J1857" i="6" l="1"/>
  <c r="K1856" i="6"/>
  <c r="K1857" i="6" s="1"/>
  <c r="P1856" i="6"/>
  <c r="L1857" i="6"/>
  <c r="P1857" i="6" s="1"/>
  <c r="AP31" i="3" l="1"/>
  <c r="AP32" i="3" s="1"/>
  <c r="AP33" i="3" l="1"/>
  <c r="AP34" i="3" s="1"/>
  <c r="AP35" i="3" s="1"/>
  <c r="AP36" i="3" s="1"/>
  <c r="AP37" i="3" s="1"/>
  <c r="AP38" i="3" s="1"/>
  <c r="AP39" i="3" s="1"/>
  <c r="AP40" i="3" s="1"/>
  <c r="AP41" i="3" s="1"/>
  <c r="AP42" i="3" s="1"/>
  <c r="AP43" i="3" s="1"/>
  <c r="AP44" i="3" s="1"/>
  <c r="AP45" i="3" s="1"/>
  <c r="AP46" i="3" s="1"/>
  <c r="AP47" i="3" s="1"/>
  <c r="AP48" i="3" s="1"/>
  <c r="AP49" i="3" s="1"/>
  <c r="AP50" i="3" s="1"/>
  <c r="AP51" i="3" s="1"/>
  <c r="AP52" i="3" s="1"/>
  <c r="AP53" i="3" l="1"/>
  <c r="AP54" i="3" s="1"/>
  <c r="AP55" i="3" s="1"/>
  <c r="AP56" i="3" s="1"/>
  <c r="AP57" i="3" s="1"/>
  <c r="AP58" i="3" s="1"/>
  <c r="AP59" i="3" s="1"/>
  <c r="AP60" i="3" s="1"/>
  <c r="AP61" i="3" s="1"/>
  <c r="AP62" i="3" s="1"/>
  <c r="AP63" i="3" s="1"/>
  <c r="AP64" i="3" s="1"/>
  <c r="AP65" i="3" s="1"/>
  <c r="AP66" i="3" s="1"/>
  <c r="AP67" i="3" s="1"/>
  <c r="AP68" i="3" s="1"/>
  <c r="AP69" i="3" s="1"/>
  <c r="AP70" i="3" s="1"/>
  <c r="AP71" i="3" s="1"/>
  <c r="AP72" i="3" s="1"/>
  <c r="AP73" i="3" s="1"/>
  <c r="AP74" i="3" s="1"/>
  <c r="AP75" i="3" s="1"/>
  <c r="AP76" i="3" s="1"/>
  <c r="AP77" i="3" s="1"/>
  <c r="AP78" i="3" s="1"/>
  <c r="AP79" i="3" s="1"/>
  <c r="AP80" i="3" s="1"/>
  <c r="AP81" i="3" s="1"/>
  <c r="AP82" i="3" s="1"/>
  <c r="AP83" i="3" s="1"/>
  <c r="AP84" i="3" s="1"/>
  <c r="AP85" i="3" s="1"/>
  <c r="AP86" i="3" s="1"/>
  <c r="AP87" i="3" s="1"/>
  <c r="AP88" i="3" s="1"/>
  <c r="AP89" i="3" s="1"/>
  <c r="AP90" i="3" s="1"/>
  <c r="AP91" i="3" s="1"/>
  <c r="AP92" i="3" s="1"/>
  <c r="AP93" i="3" s="1"/>
  <c r="AP94" i="3" s="1"/>
  <c r="AP95" i="3" s="1"/>
  <c r="AP96" i="3" s="1"/>
  <c r="AP97" i="3" s="1"/>
  <c r="AP98" i="3" s="1"/>
  <c r="AP99" i="3" s="1"/>
  <c r="AZ8" i="3"/>
  <c r="BA8" i="3" s="1"/>
  <c r="AZ7" i="3"/>
  <c r="A9" i="19" s="1"/>
  <c r="AZ96" i="3"/>
  <c r="AZ9" i="3"/>
  <c r="BA9" i="3" s="1"/>
  <c r="AZ10" i="3"/>
  <c r="BA10" i="3" s="1"/>
  <c r="AZ13" i="3"/>
  <c r="BA13" i="3" s="1"/>
  <c r="AZ14" i="3"/>
  <c r="BA14" i="3" s="1"/>
  <c r="AZ11" i="3"/>
  <c r="BA11" i="3" s="1"/>
  <c r="AZ15" i="3"/>
  <c r="BA15" i="3" s="1"/>
  <c r="AZ12" i="3"/>
  <c r="BA12" i="3" s="1"/>
  <c r="BA7" i="3"/>
  <c r="AZ40" i="3"/>
  <c r="AZ26" i="3"/>
  <c r="AZ39" i="3"/>
  <c r="AZ28" i="3"/>
  <c r="AZ24" i="3"/>
  <c r="A26" i="19" s="1"/>
  <c r="AZ19" i="3"/>
  <c r="AZ43" i="3"/>
  <c r="BA43" i="3" s="1"/>
  <c r="AZ50" i="3"/>
  <c r="AZ20" i="3"/>
  <c r="AZ32" i="3"/>
  <c r="AZ47" i="3"/>
  <c r="AZ17" i="3"/>
  <c r="AZ22" i="3"/>
  <c r="AZ35" i="3"/>
  <c r="AZ51" i="3"/>
  <c r="BA51" i="3" s="1"/>
  <c r="AZ21" i="3"/>
  <c r="AZ45" i="3"/>
  <c r="AZ34" i="3"/>
  <c r="AZ36" i="3"/>
  <c r="AZ48" i="3"/>
  <c r="AZ46" i="3"/>
  <c r="AZ18" i="3"/>
  <c r="AZ31" i="3"/>
  <c r="AZ42" i="3"/>
  <c r="AZ37" i="3"/>
  <c r="AZ16" i="3"/>
  <c r="AZ30" i="3"/>
  <c r="AZ25" i="3"/>
  <c r="AZ27" i="3"/>
  <c r="AZ38" i="3"/>
  <c r="AZ33" i="3"/>
  <c r="AZ44" i="3"/>
  <c r="AZ49" i="3"/>
  <c r="AZ41" i="3"/>
  <c r="AZ23" i="3"/>
  <c r="AZ29" i="3"/>
  <c r="AZ55" i="3"/>
  <c r="AZ58" i="3"/>
  <c r="AZ61" i="3"/>
  <c r="AZ59" i="3"/>
  <c r="AZ60" i="3"/>
  <c r="AZ53" i="3"/>
  <c r="AZ54" i="3"/>
  <c r="AZ62" i="3"/>
  <c r="AZ57" i="3"/>
  <c r="AZ63" i="3"/>
  <c r="AZ52" i="3"/>
  <c r="AZ64" i="3"/>
  <c r="AZ66" i="3"/>
  <c r="AZ65" i="3"/>
  <c r="AZ67" i="3"/>
  <c r="AZ68" i="3"/>
  <c r="AZ85" i="3"/>
  <c r="AZ71" i="3"/>
  <c r="AZ84" i="3"/>
  <c r="AZ72" i="3"/>
  <c r="AZ69" i="3"/>
  <c r="AZ87" i="3"/>
  <c r="AZ82" i="3"/>
  <c r="AZ79" i="3"/>
  <c r="AZ74" i="3"/>
  <c r="AZ80" i="3"/>
  <c r="AZ90" i="3"/>
  <c r="AZ73" i="3"/>
  <c r="AZ88" i="3"/>
  <c r="AZ86" i="3"/>
  <c r="AZ77" i="3"/>
  <c r="AZ81" i="3"/>
  <c r="AZ75" i="3"/>
  <c r="AZ89" i="3"/>
  <c r="AZ91" i="3"/>
  <c r="AZ76" i="3"/>
  <c r="AZ78" i="3"/>
  <c r="AZ70" i="3"/>
  <c r="AZ83" i="3"/>
  <c r="A10" i="19"/>
  <c r="AZ98" i="3" l="1"/>
  <c r="AZ99" i="3"/>
  <c r="AZ94" i="3"/>
  <c r="AZ92" i="3"/>
  <c r="BA92" i="3" s="1"/>
  <c r="BD92" i="3" s="1"/>
  <c r="AZ95" i="3"/>
  <c r="BA95" i="3" s="1"/>
  <c r="AZ93" i="3"/>
  <c r="BA93" i="3" s="1"/>
  <c r="BD93" i="3" s="1"/>
  <c r="AZ97" i="3"/>
  <c r="BA97" i="3" s="1"/>
  <c r="AZ56" i="3"/>
  <c r="A12" i="19"/>
  <c r="A15" i="19"/>
  <c r="BA96" i="3"/>
  <c r="A98" i="19"/>
  <c r="BA98" i="3"/>
  <c r="A100" i="19"/>
  <c r="BA99" i="3"/>
  <c r="A101" i="19"/>
  <c r="BA94" i="3"/>
  <c r="A96" i="19"/>
  <c r="A97" i="19"/>
  <c r="A13" i="19"/>
  <c r="A17" i="19"/>
  <c r="A16" i="19"/>
  <c r="A11" i="19"/>
  <c r="A14" i="19"/>
  <c r="A41" i="19"/>
  <c r="A18" i="19"/>
  <c r="A37" i="19"/>
  <c r="A28" i="19"/>
  <c r="A66" i="19"/>
  <c r="A57" i="19"/>
  <c r="A39" i="19"/>
  <c r="A24" i="19"/>
  <c r="A42" i="19"/>
  <c r="BA77" i="3"/>
  <c r="BA38" i="3"/>
  <c r="BD38" i="3" s="1"/>
  <c r="BA68" i="3"/>
  <c r="B70" i="19" s="1"/>
  <c r="E70" i="19" s="1"/>
  <c r="BA27" i="3"/>
  <c r="B29" i="19" s="1"/>
  <c r="BA45" i="3"/>
  <c r="B47" i="19" s="1"/>
  <c r="BA24" i="3"/>
  <c r="B26" i="19" s="1"/>
  <c r="BA80" i="3"/>
  <c r="BA53" i="3"/>
  <c r="B55" i="19" s="1"/>
  <c r="E55" i="19" s="1"/>
  <c r="BA19" i="3"/>
  <c r="B21" i="19" s="1"/>
  <c r="BA70" i="3"/>
  <c r="BA72" i="3"/>
  <c r="BA59" i="3"/>
  <c r="B61" i="19" s="1"/>
  <c r="E61" i="19" s="1"/>
  <c r="BA25" i="3"/>
  <c r="BA21" i="3"/>
  <c r="B23" i="19" s="1"/>
  <c r="E23" i="19" s="1"/>
  <c r="BA28" i="3"/>
  <c r="B30" i="19" s="1"/>
  <c r="E30" i="19" s="1"/>
  <c r="BA84" i="3"/>
  <c r="BA65" i="3"/>
  <c r="B67" i="19" s="1"/>
  <c r="E67" i="19" s="1"/>
  <c r="BA61" i="3"/>
  <c r="B63" i="19" s="1"/>
  <c r="E63" i="19" s="1"/>
  <c r="B53" i="19"/>
  <c r="E53" i="19" s="1"/>
  <c r="BA39" i="3"/>
  <c r="B41" i="19" s="1"/>
  <c r="E41" i="19" s="1"/>
  <c r="BA87" i="3"/>
  <c r="BA66" i="3"/>
  <c r="B68" i="19" s="1"/>
  <c r="E68" i="19" s="1"/>
  <c r="BA58" i="3"/>
  <c r="B60" i="19" s="1"/>
  <c r="E60" i="19" s="1"/>
  <c r="BA16" i="3"/>
  <c r="B18" i="19" s="1"/>
  <c r="E18" i="19" s="1"/>
  <c r="BA35" i="3"/>
  <c r="B37" i="19" s="1"/>
  <c r="E37" i="19" s="1"/>
  <c r="BA26" i="3"/>
  <c r="BA91" i="3"/>
  <c r="BA88" i="3"/>
  <c r="BA89" i="3"/>
  <c r="BA69" i="3"/>
  <c r="BA64" i="3"/>
  <c r="B66" i="19" s="1"/>
  <c r="BA55" i="3"/>
  <c r="B57" i="19" s="1"/>
  <c r="E57" i="19" s="1"/>
  <c r="BA37" i="3"/>
  <c r="B39" i="19" s="1"/>
  <c r="E39" i="19" s="1"/>
  <c r="BA22" i="3"/>
  <c r="B24" i="19" s="1"/>
  <c r="E24" i="19" s="1"/>
  <c r="BA40" i="3"/>
  <c r="B42" i="19" s="1"/>
  <c r="BA82" i="3"/>
  <c r="BA73" i="3"/>
  <c r="BA42" i="3"/>
  <c r="B44" i="19" s="1"/>
  <c r="E44" i="19" s="1"/>
  <c r="BA17" i="3"/>
  <c r="BD17" i="3" s="1"/>
  <c r="BA75" i="3"/>
  <c r="BA63" i="3"/>
  <c r="B65" i="19" s="1"/>
  <c r="E65" i="19" s="1"/>
  <c r="BA23" i="3"/>
  <c r="B25" i="19" s="1"/>
  <c r="E25" i="19" s="1"/>
  <c r="BA31" i="3"/>
  <c r="BD31" i="3" s="1"/>
  <c r="BA47" i="3"/>
  <c r="B49" i="19" s="1"/>
  <c r="E49" i="19" s="1"/>
  <c r="BA86" i="3"/>
  <c r="BA74" i="3"/>
  <c r="BA71" i="3"/>
  <c r="BA56" i="3"/>
  <c r="BD56" i="3" s="1"/>
  <c r="BA41" i="3"/>
  <c r="B43" i="19" s="1"/>
  <c r="E43" i="19" s="1"/>
  <c r="BA18" i="3"/>
  <c r="B20" i="19" s="1"/>
  <c r="E20" i="19" s="1"/>
  <c r="BA78" i="3"/>
  <c r="BA90" i="3"/>
  <c r="BA85" i="3"/>
  <c r="BA57" i="3"/>
  <c r="B59" i="19" s="1"/>
  <c r="BA20" i="3"/>
  <c r="B22" i="19" s="1"/>
  <c r="BA76" i="3"/>
  <c r="BA81" i="3"/>
  <c r="BA62" i="3"/>
  <c r="B64" i="19" s="1"/>
  <c r="E64" i="19" s="1"/>
  <c r="BA48" i="3"/>
  <c r="BD48" i="3" s="1"/>
  <c r="BA50" i="3"/>
  <c r="B52" i="19" s="1"/>
  <c r="E52" i="19" s="1"/>
  <c r="BA83" i="3"/>
  <c r="BA79" i="3"/>
  <c r="BA54" i="3"/>
  <c r="BD54" i="3" s="1"/>
  <c r="BA33" i="3"/>
  <c r="B35" i="19" s="1"/>
  <c r="BA36" i="3"/>
  <c r="BD36" i="3" s="1"/>
  <c r="B45" i="19"/>
  <c r="A29" i="19"/>
  <c r="A45" i="19"/>
  <c r="A47" i="19"/>
  <c r="A34" i="19"/>
  <c r="BA32" i="3"/>
  <c r="B34" i="19" s="1"/>
  <c r="A51" i="19"/>
  <c r="BA49" i="3"/>
  <c r="B51" i="19" s="1"/>
  <c r="A48" i="19"/>
  <c r="BA46" i="3"/>
  <c r="B48" i="19" s="1"/>
  <c r="A46" i="19"/>
  <c r="BA44" i="3"/>
  <c r="B46" i="19" s="1"/>
  <c r="E46" i="19" s="1"/>
  <c r="A54" i="19"/>
  <c r="BA52" i="3"/>
  <c r="B54" i="19" s="1"/>
  <c r="A31" i="19"/>
  <c r="BA29" i="3"/>
  <c r="A36" i="19"/>
  <c r="BA34" i="3"/>
  <c r="B36" i="19" s="1"/>
  <c r="E36" i="19" s="1"/>
  <c r="A62" i="19"/>
  <c r="BA60" i="3"/>
  <c r="BD60" i="3" s="1"/>
  <c r="A69" i="19"/>
  <c r="BA67" i="3"/>
  <c r="BD67" i="3" s="1"/>
  <c r="A32" i="19"/>
  <c r="BA30" i="3"/>
  <c r="A68" i="19"/>
  <c r="A70" i="19"/>
  <c r="A38" i="19"/>
  <c r="A60" i="19"/>
  <c r="A23" i="19"/>
  <c r="A35" i="19"/>
  <c r="A27" i="19"/>
  <c r="A52" i="19"/>
  <c r="A43" i="19"/>
  <c r="A22" i="19"/>
  <c r="A20" i="19"/>
  <c r="A65" i="19"/>
  <c r="A59" i="19"/>
  <c r="A61" i="19"/>
  <c r="A56" i="19"/>
  <c r="A21" i="19"/>
  <c r="A30" i="19"/>
  <c r="A19" i="19"/>
  <c r="A63" i="19"/>
  <c r="A53" i="19"/>
  <c r="A55" i="19"/>
  <c r="A67" i="19"/>
  <c r="A40" i="19"/>
  <c r="A64" i="19"/>
  <c r="A44" i="19"/>
  <c r="A33" i="19"/>
  <c r="A25" i="19"/>
  <c r="A49" i="19"/>
  <c r="A50" i="19"/>
  <c r="A58" i="19"/>
  <c r="B10" i="19"/>
  <c r="E10" i="19" s="1"/>
  <c r="BD8" i="3"/>
  <c r="B12" i="19"/>
  <c r="A84" i="19"/>
  <c r="A74" i="19"/>
  <c r="A92" i="19"/>
  <c r="A79" i="19"/>
  <c r="A72" i="19"/>
  <c r="A81" i="19"/>
  <c r="A95" i="19"/>
  <c r="A93" i="19"/>
  <c r="A89" i="19"/>
  <c r="B16" i="19"/>
  <c r="B15" i="19"/>
  <c r="A71" i="19"/>
  <c r="B13" i="19"/>
  <c r="A73" i="19"/>
  <c r="B11" i="19"/>
  <c r="B9" i="19"/>
  <c r="E9" i="19" s="1"/>
  <c r="B17" i="19"/>
  <c r="E17" i="19" s="1"/>
  <c r="A85" i="19"/>
  <c r="A88" i="19"/>
  <c r="A75" i="19"/>
  <c r="A76" i="19"/>
  <c r="A83" i="19"/>
  <c r="A82" i="19"/>
  <c r="A86" i="19"/>
  <c r="A90" i="19"/>
  <c r="A80" i="19"/>
  <c r="A91" i="19"/>
  <c r="A87" i="19"/>
  <c r="A77" i="19"/>
  <c r="B14" i="19"/>
  <c r="E14" i="19" s="1"/>
  <c r="A78" i="19"/>
  <c r="A94" i="19"/>
  <c r="AZ3" i="3" l="1"/>
  <c r="BB38" i="3" s="1"/>
  <c r="A99" i="19"/>
  <c r="BB42" i="3"/>
  <c r="C44" i="19" s="1"/>
  <c r="I44" i="19" s="1"/>
  <c r="BD97" i="3"/>
  <c r="B99" i="19"/>
  <c r="E99" i="19" s="1"/>
  <c r="BD95" i="3"/>
  <c r="B97" i="19"/>
  <c r="E97" i="19" s="1"/>
  <c r="BD94" i="3"/>
  <c r="B96" i="19"/>
  <c r="E96" i="19" s="1"/>
  <c r="BD99" i="3"/>
  <c r="B101" i="19"/>
  <c r="E101" i="19" s="1"/>
  <c r="BD98" i="3"/>
  <c r="B100" i="19"/>
  <c r="E100" i="19" s="1"/>
  <c r="BD96" i="3"/>
  <c r="B98" i="19"/>
  <c r="E98" i="19" s="1"/>
  <c r="BC98" i="3"/>
  <c r="D100" i="19" s="1"/>
  <c r="F100" i="19" s="1"/>
  <c r="BC94" i="3"/>
  <c r="D96" i="19" s="1"/>
  <c r="B40" i="19"/>
  <c r="E40" i="19" s="1"/>
  <c r="BD58" i="3"/>
  <c r="BD53" i="3"/>
  <c r="BC33" i="3"/>
  <c r="BC86" i="3"/>
  <c r="D88" i="19" s="1"/>
  <c r="BC48" i="3"/>
  <c r="D50" i="19" s="1"/>
  <c r="BC88" i="3"/>
  <c r="D90" i="19" s="1"/>
  <c r="BC67" i="3"/>
  <c r="D69" i="19" s="1"/>
  <c r="BC84" i="3"/>
  <c r="D86" i="19" s="1"/>
  <c r="BC40" i="3"/>
  <c r="BC30" i="3"/>
  <c r="D32" i="19" s="1"/>
  <c r="BC63" i="3"/>
  <c r="D65" i="19" s="1"/>
  <c r="BC22" i="3"/>
  <c r="D24" i="19" s="1"/>
  <c r="BC27" i="3"/>
  <c r="BC46" i="3"/>
  <c r="D48" i="19" s="1"/>
  <c r="BC56" i="3"/>
  <c r="D58" i="19" s="1"/>
  <c r="BC66" i="3"/>
  <c r="D68" i="19" s="1"/>
  <c r="BC12" i="3"/>
  <c r="BC8" i="3"/>
  <c r="D10" i="19" s="1"/>
  <c r="BC49" i="3"/>
  <c r="D51" i="19" s="1"/>
  <c r="B58" i="19"/>
  <c r="E58" i="19" s="1"/>
  <c r="B28" i="19"/>
  <c r="BD35" i="3"/>
  <c r="BD37" i="3"/>
  <c r="BD39" i="3"/>
  <c r="BD42" i="3"/>
  <c r="BD18" i="3"/>
  <c r="B56" i="19"/>
  <c r="E56" i="19" s="1"/>
  <c r="BD55" i="3"/>
  <c r="BD51" i="3"/>
  <c r="B38" i="19"/>
  <c r="E38" i="19" s="1"/>
  <c r="BD50" i="3"/>
  <c r="BD47" i="3"/>
  <c r="BD63" i="3"/>
  <c r="B50" i="19"/>
  <c r="E50" i="19" s="1"/>
  <c r="BD66" i="3"/>
  <c r="B27" i="19"/>
  <c r="E27" i="19" s="1"/>
  <c r="BD41" i="3"/>
  <c r="B19" i="19"/>
  <c r="E19" i="19" s="1"/>
  <c r="B33" i="19"/>
  <c r="E33" i="19" s="1"/>
  <c r="BD59" i="3"/>
  <c r="BD23" i="3"/>
  <c r="BD65" i="3"/>
  <c r="B62" i="19"/>
  <c r="E62" i="19" s="1"/>
  <c r="B32" i="19"/>
  <c r="E32" i="19" s="1"/>
  <c r="BD34" i="3"/>
  <c r="B31" i="19"/>
  <c r="B69" i="19"/>
  <c r="E69" i="19" s="1"/>
  <c r="BD44" i="3"/>
  <c r="BD68" i="3"/>
  <c r="BB44" i="3"/>
  <c r="C46" i="19" s="1"/>
  <c r="I46" i="19" s="1"/>
  <c r="BB54" i="3"/>
  <c r="C56" i="19" s="1"/>
  <c r="BD28" i="3"/>
  <c r="BB57" i="3"/>
  <c r="C59" i="19" s="1"/>
  <c r="I59" i="19" s="1"/>
  <c r="BD61" i="3"/>
  <c r="BB21" i="3"/>
  <c r="C23" i="19" s="1"/>
  <c r="I23" i="19" s="1"/>
  <c r="BB61" i="3"/>
  <c r="C63" i="19" s="1"/>
  <c r="I63" i="19" s="1"/>
  <c r="BB45" i="3"/>
  <c r="C47" i="19" s="1"/>
  <c r="I47" i="19" s="1"/>
  <c r="BB31" i="3"/>
  <c r="C33" i="19" s="1"/>
  <c r="I33" i="19" s="1"/>
  <c r="BB19" i="3"/>
  <c r="C21" i="19" s="1"/>
  <c r="I21" i="19" s="1"/>
  <c r="BB62" i="3"/>
  <c r="C64" i="19" s="1"/>
  <c r="I64" i="19" s="1"/>
  <c r="BB36" i="3"/>
  <c r="C38" i="19" s="1"/>
  <c r="I38" i="19" s="1"/>
  <c r="BB13" i="3"/>
  <c r="C15" i="19" s="1"/>
  <c r="BD64" i="3"/>
  <c r="BB37" i="3"/>
  <c r="C39" i="19" s="1"/>
  <c r="I39" i="19" s="1"/>
  <c r="BB23" i="3"/>
  <c r="C25" i="19" s="1"/>
  <c r="BB53" i="3"/>
  <c r="C55" i="19" s="1"/>
  <c r="I55" i="19" s="1"/>
  <c r="BB11" i="3"/>
  <c r="C13" i="19" s="1"/>
  <c r="BB33" i="3"/>
  <c r="C35" i="19" s="1"/>
  <c r="I35" i="19" s="1"/>
  <c r="C40" i="19"/>
  <c r="I40" i="19" s="1"/>
  <c r="BB67" i="3"/>
  <c r="C69" i="19" s="1"/>
  <c r="I69" i="19" s="1"/>
  <c r="BB41" i="3"/>
  <c r="C43" i="19" s="1"/>
  <c r="I43" i="19" s="1"/>
  <c r="BB22" i="3"/>
  <c r="C24" i="19" s="1"/>
  <c r="BB77" i="3"/>
  <c r="C79" i="19" s="1"/>
  <c r="I79" i="19" s="1"/>
  <c r="BB71" i="3"/>
  <c r="C73" i="19" s="1"/>
  <c r="BB69" i="3"/>
  <c r="C71" i="19" s="1"/>
  <c r="I71" i="19" s="1"/>
  <c r="BB88" i="3"/>
  <c r="C90" i="19" s="1"/>
  <c r="I90" i="19" s="1"/>
  <c r="BB86" i="3"/>
  <c r="C88" i="19" s="1"/>
  <c r="I88" i="19" s="1"/>
  <c r="BB87" i="3"/>
  <c r="C89" i="19" s="1"/>
  <c r="I89" i="19" s="1"/>
  <c r="BB89" i="3"/>
  <c r="C91" i="19" s="1"/>
  <c r="I91" i="19" s="1"/>
  <c r="B79" i="19"/>
  <c r="E79" i="19" s="1"/>
  <c r="BD77" i="3"/>
  <c r="B78" i="19"/>
  <c r="E78" i="19" s="1"/>
  <c r="BD76" i="3"/>
  <c r="B82" i="19"/>
  <c r="E82" i="19" s="1"/>
  <c r="BD80" i="3"/>
  <c r="BD79" i="3"/>
  <c r="B81" i="19"/>
  <c r="E81" i="19" s="1"/>
  <c r="B93" i="19"/>
  <c r="E93" i="19" s="1"/>
  <c r="BD91" i="3"/>
  <c r="B86" i="19"/>
  <c r="E86" i="19" s="1"/>
  <c r="BD84" i="3"/>
  <c r="B71" i="19"/>
  <c r="E71" i="19" s="1"/>
  <c r="BD73" i="3"/>
  <c r="B75" i="19"/>
  <c r="E75" i="19" s="1"/>
  <c r="B94" i="19"/>
  <c r="E94" i="19" s="1"/>
  <c r="BD88" i="3"/>
  <c r="B90" i="19"/>
  <c r="E90" i="19" s="1"/>
  <c r="BD72" i="3"/>
  <c r="B74" i="19"/>
  <c r="E74" i="19" s="1"/>
  <c r="BD89" i="3"/>
  <c r="B91" i="19"/>
  <c r="E91" i="19" s="1"/>
  <c r="BD87" i="3"/>
  <c r="B89" i="19"/>
  <c r="E89" i="19" s="1"/>
  <c r="BD78" i="3"/>
  <c r="B80" i="19"/>
  <c r="E80" i="19" s="1"/>
  <c r="B83" i="19"/>
  <c r="E83" i="19" s="1"/>
  <c r="BD81" i="3"/>
  <c r="BD74" i="3"/>
  <c r="B76" i="19"/>
  <c r="E76" i="19" s="1"/>
  <c r="B95" i="19"/>
  <c r="E95" i="19" s="1"/>
  <c r="B72" i="19"/>
  <c r="E72" i="19" s="1"/>
  <c r="BD70" i="3"/>
  <c r="B77" i="19"/>
  <c r="E77" i="19" s="1"/>
  <c r="BD75" i="3"/>
  <c r="BD83" i="3"/>
  <c r="B85" i="19"/>
  <c r="E85" i="19" s="1"/>
  <c r="BD86" i="3"/>
  <c r="B88" i="19"/>
  <c r="E88" i="19" s="1"/>
  <c r="BD71" i="3"/>
  <c r="B73" i="19"/>
  <c r="E73" i="19" s="1"/>
  <c r="B92" i="19"/>
  <c r="E92" i="19" s="1"/>
  <c r="BD90" i="3"/>
  <c r="B87" i="19"/>
  <c r="E87" i="19" s="1"/>
  <c r="BD85" i="3"/>
  <c r="BD82" i="3"/>
  <c r="B84" i="19"/>
  <c r="E84" i="19" s="1"/>
  <c r="BC73" i="3" l="1"/>
  <c r="D75" i="19" s="1"/>
  <c r="BC85" i="3"/>
  <c r="D87" i="19" s="1"/>
  <c r="BC28" i="3"/>
  <c r="D30" i="19" s="1"/>
  <c r="BC55" i="3"/>
  <c r="D57" i="19" s="1"/>
  <c r="BC95" i="3"/>
  <c r="D97" i="19" s="1"/>
  <c r="BB93" i="3"/>
  <c r="C95" i="19" s="1"/>
  <c r="I95" i="19" s="1"/>
  <c r="BB73" i="3"/>
  <c r="C75" i="19" s="1"/>
  <c r="I75" i="19" s="1"/>
  <c r="BB72" i="3"/>
  <c r="C74" i="19" s="1"/>
  <c r="I74" i="19" s="1"/>
  <c r="BB59" i="3"/>
  <c r="C61" i="19" s="1"/>
  <c r="I61" i="19" s="1"/>
  <c r="BB12" i="3"/>
  <c r="C14" i="19" s="1"/>
  <c r="BB43" i="3"/>
  <c r="C45" i="19" s="1"/>
  <c r="I45" i="19" s="1"/>
  <c r="BC79" i="3"/>
  <c r="D81" i="19" s="1"/>
  <c r="F81" i="19" s="1"/>
  <c r="BC37" i="3"/>
  <c r="D39" i="19" s="1"/>
  <c r="BC65" i="3"/>
  <c r="D67" i="19" s="1"/>
  <c r="BC90" i="3"/>
  <c r="D92" i="19" s="1"/>
  <c r="BC91" i="3"/>
  <c r="D93" i="19" s="1"/>
  <c r="BC59" i="3"/>
  <c r="D61" i="19" s="1"/>
  <c r="F61" i="19" s="1"/>
  <c r="BC69" i="3"/>
  <c r="D71" i="19" s="1"/>
  <c r="F71" i="19" s="1"/>
  <c r="BC92" i="3"/>
  <c r="D94" i="19" s="1"/>
  <c r="F94" i="19" s="1"/>
  <c r="BB94" i="3"/>
  <c r="C96" i="19" s="1"/>
  <c r="I96" i="19" s="1"/>
  <c r="BB70" i="3"/>
  <c r="C72" i="19" s="1"/>
  <c r="I72" i="19" s="1"/>
  <c r="BB78" i="3"/>
  <c r="C80" i="19" s="1"/>
  <c r="I80" i="19" s="1"/>
  <c r="BB34" i="3"/>
  <c r="C36" i="19" s="1"/>
  <c r="BB30" i="3"/>
  <c r="C32" i="19" s="1"/>
  <c r="BB24" i="3"/>
  <c r="C26" i="19" s="1"/>
  <c r="BB63" i="3"/>
  <c r="C65" i="19" s="1"/>
  <c r="I65" i="19" s="1"/>
  <c r="BD46" i="3"/>
  <c r="BC36" i="3"/>
  <c r="D38" i="19" s="1"/>
  <c r="BC87" i="3"/>
  <c r="D89" i="19" s="1"/>
  <c r="F89" i="19" s="1"/>
  <c r="BC77" i="3"/>
  <c r="D79" i="19" s="1"/>
  <c r="F79" i="19" s="1"/>
  <c r="BC24" i="3"/>
  <c r="BD24" i="3" s="1"/>
  <c r="BC25" i="3"/>
  <c r="D27" i="19" s="1"/>
  <c r="BC64" i="3"/>
  <c r="D66" i="19" s="1"/>
  <c r="BC57" i="3"/>
  <c r="BC93" i="3"/>
  <c r="D95" i="19" s="1"/>
  <c r="BB39" i="3"/>
  <c r="C41" i="19" s="1"/>
  <c r="I41" i="19" s="1"/>
  <c r="BB79" i="3"/>
  <c r="C81" i="19" s="1"/>
  <c r="I81" i="19" s="1"/>
  <c r="BB27" i="3"/>
  <c r="C29" i="19" s="1"/>
  <c r="BC68" i="3"/>
  <c r="BC31" i="3"/>
  <c r="D33" i="19" s="1"/>
  <c r="BC38" i="3"/>
  <c r="D40" i="19" s="1"/>
  <c r="BB29" i="3"/>
  <c r="C31" i="19" s="1"/>
  <c r="I31" i="19" s="1"/>
  <c r="BB51" i="3"/>
  <c r="C53" i="19" s="1"/>
  <c r="I53" i="19" s="1"/>
  <c r="BB14" i="3"/>
  <c r="C16" i="19" s="1"/>
  <c r="I16" i="19" s="1"/>
  <c r="BB68" i="3"/>
  <c r="C70" i="19" s="1"/>
  <c r="I70" i="19" s="1"/>
  <c r="BC19" i="3"/>
  <c r="D21" i="19" s="1"/>
  <c r="BC11" i="3"/>
  <c r="D13" i="19" s="1"/>
  <c r="I13" i="19" s="1"/>
  <c r="BC58" i="3"/>
  <c r="D60" i="19" s="1"/>
  <c r="F60" i="19" s="1"/>
  <c r="BC61" i="3"/>
  <c r="BC51" i="3"/>
  <c r="D53" i="19" s="1"/>
  <c r="BC21" i="3"/>
  <c r="D23" i="19" s="1"/>
  <c r="BC71" i="3"/>
  <c r="D73" i="19" s="1"/>
  <c r="BC7" i="3"/>
  <c r="D9" i="19" s="1"/>
  <c r="F9" i="19" s="1"/>
  <c r="BB98" i="3"/>
  <c r="C100" i="19" s="1"/>
  <c r="I100" i="19" s="1"/>
  <c r="BB18" i="3"/>
  <c r="C20" i="19" s="1"/>
  <c r="I20" i="19" s="1"/>
  <c r="BC43" i="3"/>
  <c r="D45" i="19" s="1"/>
  <c r="BC99" i="3"/>
  <c r="D101" i="19" s="1"/>
  <c r="F101" i="19" s="1"/>
  <c r="BB74" i="3"/>
  <c r="C76" i="19" s="1"/>
  <c r="I76" i="19" s="1"/>
  <c r="BB50" i="3"/>
  <c r="C52" i="19" s="1"/>
  <c r="I52" i="19" s="1"/>
  <c r="BB60" i="3"/>
  <c r="C62" i="19" s="1"/>
  <c r="I62" i="19" s="1"/>
  <c r="BB25" i="3"/>
  <c r="C27" i="19" s="1"/>
  <c r="BB66" i="3"/>
  <c r="C68" i="19" s="1"/>
  <c r="BB28" i="3"/>
  <c r="C30" i="19" s="1"/>
  <c r="I30" i="19" s="1"/>
  <c r="BC80" i="3"/>
  <c r="D82" i="19" s="1"/>
  <c r="BC14" i="3"/>
  <c r="BC78" i="3"/>
  <c r="D80" i="19" s="1"/>
  <c r="BC16" i="3"/>
  <c r="D18" i="19" s="1"/>
  <c r="BC35" i="3"/>
  <c r="D37" i="19" s="1"/>
  <c r="BC39" i="3"/>
  <c r="D41" i="19" s="1"/>
  <c r="F41" i="19" s="1"/>
  <c r="BC50" i="3"/>
  <c r="D52" i="19" s="1"/>
  <c r="F52" i="19" s="1"/>
  <c r="BC83" i="3"/>
  <c r="D85" i="19" s="1"/>
  <c r="F85" i="19" s="1"/>
  <c r="BB97" i="3"/>
  <c r="C99" i="19" s="1"/>
  <c r="I99" i="19" s="1"/>
  <c r="BC18" i="3"/>
  <c r="D20" i="19" s="1"/>
  <c r="BB32" i="3"/>
  <c r="C34" i="19" s="1"/>
  <c r="I34" i="19" s="1"/>
  <c r="BB16" i="3"/>
  <c r="C18" i="19" s="1"/>
  <c r="BB56" i="3"/>
  <c r="C58" i="19" s="1"/>
  <c r="I58" i="19" s="1"/>
  <c r="BB35" i="3"/>
  <c r="C37" i="19" s="1"/>
  <c r="I37" i="19" s="1"/>
  <c r="BC72" i="3"/>
  <c r="D74" i="19" s="1"/>
  <c r="BC13" i="3"/>
  <c r="D15" i="19" s="1"/>
  <c r="I15" i="19" s="1"/>
  <c r="BC41" i="3"/>
  <c r="D43" i="19" s="1"/>
  <c r="F43" i="19" s="1"/>
  <c r="BC52" i="3"/>
  <c r="BD52" i="3" s="1"/>
  <c r="BC89" i="3"/>
  <c r="D91" i="19" s="1"/>
  <c r="F91" i="19" s="1"/>
  <c r="BC26" i="3"/>
  <c r="BC54" i="3"/>
  <c r="D56" i="19" s="1"/>
  <c r="I56" i="19" s="1"/>
  <c r="BB96" i="3"/>
  <c r="C98" i="19" s="1"/>
  <c r="I98" i="19" s="1"/>
  <c r="BC74" i="3"/>
  <c r="D76" i="19" s="1"/>
  <c r="BC60" i="3"/>
  <c r="D62" i="19" s="1"/>
  <c r="BB99" i="3"/>
  <c r="C101" i="19" s="1"/>
  <c r="I101" i="19" s="1"/>
  <c r="BB91" i="3"/>
  <c r="C93" i="19" s="1"/>
  <c r="I93" i="19" s="1"/>
  <c r="BB48" i="3"/>
  <c r="C50" i="19" s="1"/>
  <c r="I50" i="19" s="1"/>
  <c r="BB84" i="3"/>
  <c r="C86" i="19" s="1"/>
  <c r="I86" i="19" s="1"/>
  <c r="BC20" i="3"/>
  <c r="BD20" i="3" s="1"/>
  <c r="BC42" i="3"/>
  <c r="D44" i="19" s="1"/>
  <c r="F44" i="19" s="1"/>
  <c r="BC44" i="3"/>
  <c r="D46" i="19" s="1"/>
  <c r="F46" i="19" s="1"/>
  <c r="BC97" i="3"/>
  <c r="D99" i="19" s="1"/>
  <c r="F99" i="19" s="1"/>
  <c r="BB95" i="3"/>
  <c r="C97" i="19" s="1"/>
  <c r="I97" i="19" s="1"/>
  <c r="BB58" i="3"/>
  <c r="C60" i="19" s="1"/>
  <c r="I60" i="19" s="1"/>
  <c r="BC15" i="3"/>
  <c r="BC29" i="3"/>
  <c r="D31" i="19" s="1"/>
  <c r="BC17" i="3"/>
  <c r="D19" i="19" s="1"/>
  <c r="F19" i="19" s="1"/>
  <c r="BB75" i="3"/>
  <c r="C77" i="19" s="1"/>
  <c r="I77" i="19" s="1"/>
  <c r="BB10" i="3"/>
  <c r="C12" i="19" s="1"/>
  <c r="I12" i="19" s="1"/>
  <c r="BB64" i="3"/>
  <c r="C66" i="19" s="1"/>
  <c r="I66" i="19" s="1"/>
  <c r="BB20" i="3"/>
  <c r="C22" i="19" s="1"/>
  <c r="I22" i="19" s="1"/>
  <c r="BC9" i="3"/>
  <c r="BD9" i="3" s="1"/>
  <c r="BC45" i="3"/>
  <c r="D47" i="19" s="1"/>
  <c r="BC62" i="3"/>
  <c r="BB80" i="3"/>
  <c r="C82" i="19" s="1"/>
  <c r="I82" i="19" s="1"/>
  <c r="BB90" i="3"/>
  <c r="C92" i="19" s="1"/>
  <c r="I92" i="19" s="1"/>
  <c r="BB9" i="3"/>
  <c r="C11" i="19" s="1"/>
  <c r="I11" i="19" s="1"/>
  <c r="BB76" i="3"/>
  <c r="C78" i="19" s="1"/>
  <c r="I78" i="19" s="1"/>
  <c r="BB81" i="3"/>
  <c r="C83" i="19" s="1"/>
  <c r="I83" i="19" s="1"/>
  <c r="BB47" i="3"/>
  <c r="C49" i="19" s="1"/>
  <c r="I49" i="19" s="1"/>
  <c r="BB40" i="3"/>
  <c r="C42" i="19" s="1"/>
  <c r="I42" i="19" s="1"/>
  <c r="BB85" i="3"/>
  <c r="C87" i="19" s="1"/>
  <c r="I87" i="19" s="1"/>
  <c r="BB8" i="3"/>
  <c r="C10" i="19" s="1"/>
  <c r="I10" i="19" s="1"/>
  <c r="BB46" i="3"/>
  <c r="C48" i="19" s="1"/>
  <c r="I48" i="19" s="1"/>
  <c r="BB55" i="3"/>
  <c r="C57" i="19" s="1"/>
  <c r="I57" i="19" s="1"/>
  <c r="BB52" i="3"/>
  <c r="C54" i="19" s="1"/>
  <c r="I54" i="19" s="1"/>
  <c r="BB15" i="3"/>
  <c r="C17" i="19" s="1"/>
  <c r="I17" i="19" s="1"/>
  <c r="BB49" i="3"/>
  <c r="C51" i="19" s="1"/>
  <c r="I51" i="19" s="1"/>
  <c r="BC81" i="3"/>
  <c r="D83" i="19" s="1"/>
  <c r="BC10" i="3"/>
  <c r="D12" i="19" s="1"/>
  <c r="BC23" i="3"/>
  <c r="BC34" i="3"/>
  <c r="D36" i="19" s="1"/>
  <c r="BB83" i="3"/>
  <c r="C85" i="19" s="1"/>
  <c r="I85" i="19" s="1"/>
  <c r="BB82" i="3"/>
  <c r="C84" i="19" s="1"/>
  <c r="I84" i="19" s="1"/>
  <c r="BB26" i="3"/>
  <c r="C28" i="19" s="1"/>
  <c r="I28" i="19" s="1"/>
  <c r="BB65" i="3"/>
  <c r="C67" i="19" s="1"/>
  <c r="I67" i="19" s="1"/>
  <c r="BB17" i="3"/>
  <c r="C19" i="19" s="1"/>
  <c r="I19" i="19" s="1"/>
  <c r="BB7" i="3"/>
  <c r="C9" i="19" s="1"/>
  <c r="I9" i="19" s="1"/>
  <c r="BC76" i="3"/>
  <c r="D78" i="19" s="1"/>
  <c r="F78" i="19" s="1"/>
  <c r="BC82" i="3"/>
  <c r="D84" i="19" s="1"/>
  <c r="F84" i="19" s="1"/>
  <c r="BC70" i="3"/>
  <c r="D72" i="19" s="1"/>
  <c r="BC32" i="3"/>
  <c r="BC47" i="3"/>
  <c r="D49" i="19" s="1"/>
  <c r="F49" i="19" s="1"/>
  <c r="BC53" i="3"/>
  <c r="D55" i="19" s="1"/>
  <c r="F55" i="19" s="1"/>
  <c r="BC75" i="3"/>
  <c r="D77" i="19" s="1"/>
  <c r="F77" i="19" s="1"/>
  <c r="BC96" i="3"/>
  <c r="D98" i="19" s="1"/>
  <c r="F98" i="19" s="1"/>
  <c r="BB92" i="3"/>
  <c r="C94" i="19" s="1"/>
  <c r="I94" i="19" s="1"/>
  <c r="F97" i="19"/>
  <c r="F96" i="19"/>
  <c r="BD43" i="3"/>
  <c r="BD49" i="3"/>
  <c r="F82" i="19"/>
  <c r="F83" i="19"/>
  <c r="F87" i="19"/>
  <c r="F86" i="19"/>
  <c r="F88" i="19"/>
  <c r="F90" i="19"/>
  <c r="F80" i="19"/>
  <c r="I36" i="19"/>
  <c r="I32" i="19"/>
  <c r="I18" i="19"/>
  <c r="D25" i="19"/>
  <c r="D17" i="19"/>
  <c r="BD15" i="3"/>
  <c r="BD29" i="3"/>
  <c r="D16" i="19"/>
  <c r="BD14" i="3"/>
  <c r="BD30" i="3"/>
  <c r="BD25" i="3"/>
  <c r="I27" i="19"/>
  <c r="BD22" i="3"/>
  <c r="I26" i="19"/>
  <c r="I24" i="19"/>
  <c r="BD10" i="3"/>
  <c r="D70" i="19"/>
  <c r="D63" i="19"/>
  <c r="D14" i="19"/>
  <c r="BD12" i="3"/>
  <c r="I25" i="19"/>
  <c r="BD11" i="3"/>
  <c r="D22" i="19"/>
  <c r="BD21" i="3"/>
  <c r="BD7" i="3"/>
  <c r="BD16" i="3"/>
  <c r="I68" i="19"/>
  <c r="F73" i="19"/>
  <c r="F74" i="19"/>
  <c r="I73" i="19"/>
  <c r="F75" i="19"/>
  <c r="F95" i="19"/>
  <c r="F37" i="19"/>
  <c r="F33" i="19"/>
  <c r="F57" i="19"/>
  <c r="F93" i="19"/>
  <c r="F92" i="19"/>
  <c r="F62" i="19"/>
  <c r="F76" i="19"/>
  <c r="F39" i="19"/>
  <c r="F67" i="19"/>
  <c r="F50" i="19"/>
  <c r="F53" i="19"/>
  <c r="F69" i="19"/>
  <c r="F40" i="19"/>
  <c r="F72" i="19"/>
  <c r="F58" i="19"/>
  <c r="F68" i="19"/>
  <c r="F65" i="19"/>
  <c r="F38" i="19"/>
  <c r="F10" i="19"/>
  <c r="D64" i="19"/>
  <c r="BD62" i="3"/>
  <c r="D35" i="19"/>
  <c r="BD33" i="3"/>
  <c r="D29" i="19"/>
  <c r="I29" i="19" s="1"/>
  <c r="BD27" i="3"/>
  <c r="BD19" i="3"/>
  <c r="BD69" i="3"/>
  <c r="D42" i="19"/>
  <c r="BD40" i="3"/>
  <c r="D59" i="19"/>
  <c r="BD57" i="3"/>
  <c r="BD45" i="3"/>
  <c r="BD13" i="3"/>
  <c r="I14" i="19" l="1"/>
  <c r="D11" i="19"/>
  <c r="J9" i="19"/>
  <c r="J10" i="19" s="1"/>
  <c r="D28" i="19"/>
  <c r="BD26" i="3"/>
  <c r="D54" i="19"/>
  <c r="D34" i="19"/>
  <c r="BD32" i="3"/>
  <c r="F56" i="19"/>
  <c r="D26" i="19"/>
  <c r="E11" i="19"/>
  <c r="J11" i="19" s="1"/>
  <c r="E12" i="19" s="1"/>
  <c r="F63" i="19"/>
  <c r="K2" i="19"/>
  <c r="K3" i="19" s="1"/>
  <c r="F70" i="19"/>
  <c r="F11" i="19" l="1"/>
  <c r="J12" i="19"/>
  <c r="F12" i="19"/>
  <c r="F14" i="19"/>
  <c r="F64" i="19"/>
  <c r="AC7" i="19"/>
  <c r="AC8" i="19" s="1"/>
  <c r="AC9" i="19" s="1"/>
  <c r="AC10" i="19" s="1"/>
  <c r="AC11" i="19" s="1"/>
  <c r="AC12" i="19" s="1"/>
  <c r="AC13" i="19" s="1"/>
  <c r="AC14" i="19" s="1"/>
  <c r="AC15" i="19" s="1"/>
  <c r="AC16" i="19" s="1"/>
  <c r="AC17" i="19" s="1"/>
  <c r="AC18" i="19" s="1"/>
  <c r="AD8" i="19"/>
  <c r="AD9" i="19" s="1"/>
  <c r="AD10" i="19" s="1"/>
  <c r="AD11" i="19" s="1"/>
  <c r="AD12" i="19" s="1"/>
  <c r="AD13" i="19" s="1"/>
  <c r="AD14" i="19" s="1"/>
  <c r="AD15" i="19" s="1"/>
  <c r="AD16" i="19" s="1"/>
  <c r="AD17" i="19" s="1"/>
  <c r="AD18" i="19" s="1"/>
  <c r="AD19" i="19" s="1"/>
  <c r="AD20" i="19" s="1"/>
  <c r="AD21" i="19" s="1"/>
  <c r="AD22" i="19" s="1"/>
  <c r="AD23" i="19" s="1"/>
  <c r="AD24" i="19" s="1"/>
  <c r="AD25" i="19" s="1"/>
  <c r="AD26" i="19" s="1"/>
  <c r="AD27" i="19" s="1"/>
  <c r="AD28" i="19" s="1"/>
  <c r="AD29" i="19" s="1"/>
  <c r="AD30" i="19" s="1"/>
  <c r="AD31" i="19" s="1"/>
  <c r="AD32" i="19" s="1"/>
  <c r="AD33" i="19" s="1"/>
  <c r="AD34" i="19" s="1"/>
  <c r="AD35" i="19" s="1"/>
  <c r="AD36" i="19" s="1"/>
  <c r="AD37" i="19" s="1"/>
  <c r="AD38" i="19" s="1"/>
  <c r="AD39" i="19" s="1"/>
  <c r="AD40" i="19" s="1"/>
  <c r="AD41" i="19" s="1"/>
  <c r="AD42" i="19" s="1"/>
  <c r="AD43" i="19" s="1"/>
  <c r="AD44" i="19" s="1"/>
  <c r="AD45" i="19" s="1"/>
  <c r="AD46" i="19" s="1"/>
  <c r="AD47" i="19" s="1"/>
  <c r="AD48" i="19" s="1"/>
  <c r="AD49" i="19" s="1"/>
  <c r="AD50" i="19" s="1"/>
  <c r="AD51" i="19" s="1"/>
  <c r="AD52" i="19" s="1"/>
  <c r="AD53" i="19" s="1"/>
  <c r="AD54" i="19" s="1"/>
  <c r="AD55" i="19" s="1"/>
  <c r="AD56" i="19" s="1"/>
  <c r="AD57" i="19" s="1"/>
  <c r="AD58" i="19" s="1"/>
  <c r="AD59" i="19" s="1"/>
  <c r="AD60" i="19" s="1"/>
  <c r="AD61" i="19" s="1"/>
  <c r="AD62" i="19" s="1"/>
  <c r="AD63" i="19" s="1"/>
  <c r="AD64" i="19" s="1"/>
  <c r="AD65" i="19" s="1"/>
  <c r="AD66" i="19" s="1"/>
  <c r="AD67" i="19" s="1"/>
  <c r="AD68" i="19" s="1"/>
  <c r="AD69" i="19" s="1"/>
  <c r="AD70" i="19" s="1"/>
  <c r="AD71" i="19" s="1"/>
  <c r="AD72" i="19" s="1"/>
  <c r="AD73" i="19" s="1"/>
  <c r="AD74" i="19" s="1"/>
  <c r="AD75" i="19" s="1"/>
  <c r="AD76" i="19" s="1"/>
  <c r="AD77" i="19" s="1"/>
  <c r="AD78" i="19" s="1"/>
  <c r="AD79" i="19" s="1"/>
  <c r="AD80" i="19" s="1"/>
  <c r="AD81" i="19" s="1"/>
  <c r="AD82" i="19" s="1"/>
  <c r="AD83" i="19" s="1"/>
  <c r="AD84" i="19" s="1"/>
  <c r="AD85" i="19" s="1"/>
  <c r="AD86" i="19" s="1"/>
  <c r="AD87" i="19" s="1"/>
  <c r="AD88" i="19" s="1"/>
  <c r="AD89" i="19" s="1"/>
  <c r="AD90" i="19" s="1"/>
  <c r="AD91" i="19" s="1"/>
  <c r="AD92" i="19" s="1"/>
  <c r="AD93" i="19" s="1"/>
  <c r="AD94" i="19" s="1"/>
  <c r="AD95" i="19" s="1"/>
  <c r="AD96" i="19" s="1"/>
  <c r="AD97" i="19" s="1"/>
  <c r="AD98" i="19" s="1"/>
  <c r="AD99" i="19" s="1"/>
  <c r="AD100" i="19" s="1"/>
  <c r="AD101" i="19" s="1"/>
  <c r="AC19" i="19" l="1"/>
  <c r="AC20" i="19" s="1"/>
  <c r="AC21" i="19" s="1"/>
  <c r="AC22" i="19" s="1"/>
  <c r="AC23" i="19" s="1"/>
  <c r="AC24" i="19" s="1"/>
  <c r="AC25" i="19" s="1"/>
  <c r="AC26" i="19" s="1"/>
  <c r="AC27" i="19" s="1"/>
  <c r="AC28" i="19" s="1"/>
  <c r="AC29" i="19" s="1"/>
  <c r="AC30" i="19" s="1"/>
  <c r="AC31" i="19" s="1"/>
  <c r="AC32" i="19" s="1"/>
  <c r="AC33" i="19" s="1"/>
  <c r="AC34" i="19" s="1"/>
  <c r="AC35" i="19" s="1"/>
  <c r="AC36" i="19" s="1"/>
  <c r="AC37" i="19" s="1"/>
  <c r="AC38" i="19" s="1"/>
  <c r="AC39" i="19" s="1"/>
  <c r="AC40" i="19" s="1"/>
  <c r="AC41" i="19" s="1"/>
  <c r="AC42" i="19" s="1"/>
  <c r="AC43" i="19" s="1"/>
  <c r="AC44" i="19" s="1"/>
  <c r="AC45" i="19" s="1"/>
  <c r="AC46" i="19" s="1"/>
  <c r="AC47" i="19" s="1"/>
  <c r="AC48" i="19" s="1"/>
  <c r="AC49" i="19" s="1"/>
  <c r="AC50" i="19" s="1"/>
  <c r="AC51" i="19" s="1"/>
  <c r="AC52" i="19" s="1"/>
  <c r="AC53" i="19" s="1"/>
  <c r="AC54" i="19" s="1"/>
  <c r="AC55" i="19" s="1"/>
  <c r="AC56" i="19" s="1"/>
  <c r="AC57" i="19" s="1"/>
  <c r="AC58" i="19" s="1"/>
  <c r="AC59" i="19" s="1"/>
  <c r="AC60" i="19" s="1"/>
  <c r="AC61" i="19" s="1"/>
  <c r="AC62" i="19" s="1"/>
  <c r="AC63" i="19" s="1"/>
  <c r="AC64" i="19" s="1"/>
  <c r="AC65" i="19" s="1"/>
  <c r="AC66" i="19" s="1"/>
  <c r="AC67" i="19" s="1"/>
  <c r="AC68" i="19" s="1"/>
  <c r="AC69" i="19" s="1"/>
  <c r="AC70" i="19" s="1"/>
  <c r="AC71" i="19" s="1"/>
  <c r="AC72" i="19" s="1"/>
  <c r="AC73" i="19" s="1"/>
  <c r="AC74" i="19" s="1"/>
  <c r="AC75" i="19" s="1"/>
  <c r="AC76" i="19" s="1"/>
  <c r="AC77" i="19" s="1"/>
  <c r="AC78" i="19" s="1"/>
  <c r="AC79" i="19" s="1"/>
  <c r="AC80" i="19" s="1"/>
  <c r="AC81" i="19" s="1"/>
  <c r="AC82" i="19" s="1"/>
  <c r="AC83" i="19" s="1"/>
  <c r="AC84" i="19" s="1"/>
  <c r="AC85" i="19" s="1"/>
  <c r="AC86" i="19" s="1"/>
  <c r="AC87" i="19" s="1"/>
  <c r="AC88" i="19" s="1"/>
  <c r="AC89" i="19" s="1"/>
  <c r="AC90" i="19" s="1"/>
  <c r="AC91" i="19" s="1"/>
  <c r="AC92" i="19" s="1"/>
  <c r="AC93" i="19" s="1"/>
  <c r="AC94" i="19" s="1"/>
  <c r="AC95" i="19" s="1"/>
  <c r="AC96" i="19" s="1"/>
  <c r="AC97" i="19" s="1"/>
  <c r="AC98" i="19" s="1"/>
  <c r="AC99" i="19" s="1"/>
  <c r="AC100" i="19" s="1"/>
  <c r="AC101" i="19" s="1"/>
  <c r="E13" i="19"/>
  <c r="F13" i="19" s="1"/>
  <c r="J13" i="19" l="1"/>
  <c r="J14" i="19" s="1"/>
  <c r="E15" i="19" l="1"/>
  <c r="F15" i="19" s="1"/>
  <c r="F17" i="19"/>
  <c r="J15" i="19" l="1"/>
  <c r="F23" i="19"/>
  <c r="J16" i="19" l="1"/>
  <c r="J17" i="19" s="1"/>
  <c r="J18" i="19" s="1"/>
  <c r="J19" i="19" s="1"/>
  <c r="E16" i="19"/>
  <c r="F16" i="19" s="1"/>
  <c r="F18" i="19"/>
  <c r="J20" i="19"/>
  <c r="E21" i="19" l="1"/>
  <c r="F21" i="19" s="1"/>
  <c r="F20" i="19"/>
  <c r="F24" i="19"/>
  <c r="J21" i="19" l="1"/>
  <c r="F36" i="19"/>
  <c r="G42" i="18"/>
  <c r="H42" i="18" s="1"/>
  <c r="AN20" i="3"/>
  <c r="AN4" i="3" s="1"/>
  <c r="AN5" i="3" s="1"/>
  <c r="B20" i="18"/>
  <c r="J22" i="19" l="1"/>
  <c r="J23" i="19" s="1"/>
  <c r="J24" i="19" s="1"/>
  <c r="J25" i="19" s="1"/>
  <c r="E22" i="19"/>
  <c r="F22" i="19" s="1"/>
  <c r="E26" i="19"/>
  <c r="J26" i="19" s="1"/>
  <c r="G20" i="18"/>
  <c r="O20" i="18" s="1"/>
  <c r="I20" i="18"/>
  <c r="P20" i="18" s="1"/>
  <c r="P21" i="18" s="1"/>
  <c r="F25" i="19"/>
  <c r="E20" i="18"/>
  <c r="I22" i="18" l="1"/>
  <c r="P22" i="18" s="1"/>
  <c r="I23" i="18"/>
  <c r="L20" i="18"/>
  <c r="G21" i="18"/>
  <c r="O21" i="18" s="1"/>
  <c r="E21" i="18"/>
  <c r="F21" i="18" s="1"/>
  <c r="F20" i="18"/>
  <c r="P23" i="18" l="1"/>
  <c r="P24" i="18" s="1"/>
  <c r="P25" i="18" s="1"/>
  <c r="P26" i="18" s="1"/>
  <c r="P27" i="18" s="1"/>
  <c r="H21" i="18"/>
  <c r="I28" i="18"/>
  <c r="I29" i="18"/>
  <c r="G22" i="18"/>
  <c r="O22" i="18" s="1"/>
  <c r="L21" i="18"/>
  <c r="F26" i="19"/>
  <c r="H20" i="18"/>
  <c r="P28" i="18" l="1"/>
  <c r="P29" i="18" s="1"/>
  <c r="P30" i="18" s="1"/>
  <c r="I33" i="18"/>
  <c r="G23" i="18"/>
  <c r="O23" i="18" s="1"/>
  <c r="G24" i="18"/>
  <c r="E22" i="18"/>
  <c r="J27" i="19"/>
  <c r="J28" i="19" l="1"/>
  <c r="E29" i="19" s="1"/>
  <c r="E28" i="19"/>
  <c r="F28" i="19" s="1"/>
  <c r="I31" i="18"/>
  <c r="P31" i="18" s="1"/>
  <c r="P32" i="18" s="1"/>
  <c r="P33" i="18" s="1"/>
  <c r="P34" i="18" s="1"/>
  <c r="P35" i="18" s="1"/>
  <c r="P36" i="18" s="1"/>
  <c r="L22" i="18"/>
  <c r="O24" i="18"/>
  <c r="E23" i="18"/>
  <c r="F23" i="18" s="1"/>
  <c r="H23" i="18" s="1"/>
  <c r="G25" i="18"/>
  <c r="E24" i="18"/>
  <c r="F24" i="18" s="1"/>
  <c r="H24" i="18" s="1"/>
  <c r="F22" i="18"/>
  <c r="I37" i="18" l="1"/>
  <c r="P37" i="18" s="1"/>
  <c r="P38" i="18" s="1"/>
  <c r="P39" i="18" s="1"/>
  <c r="P40" i="18" s="1"/>
  <c r="I50" i="18"/>
  <c r="L23" i="18"/>
  <c r="L24" i="18" s="1"/>
  <c r="O25" i="18"/>
  <c r="O26" i="18" s="1"/>
  <c r="G27" i="18"/>
  <c r="H22" i="18"/>
  <c r="F29" i="19"/>
  <c r="J29" i="19"/>
  <c r="J30" i="19" s="1"/>
  <c r="F27" i="19"/>
  <c r="P41" i="18" l="1"/>
  <c r="P42" i="18" s="1"/>
  <c r="P43" i="18" s="1"/>
  <c r="P44" i="18" s="1"/>
  <c r="P45" i="18" s="1"/>
  <c r="P46" i="18" s="1"/>
  <c r="P47" i="18" s="1"/>
  <c r="P48" i="18" s="1"/>
  <c r="P49" i="18" s="1"/>
  <c r="P50" i="18" s="1"/>
  <c r="I41" i="18"/>
  <c r="E31" i="19"/>
  <c r="J31" i="19" s="1"/>
  <c r="I55" i="18"/>
  <c r="O27" i="18"/>
  <c r="G28" i="18"/>
  <c r="E25" i="18"/>
  <c r="L25" i="18" s="1"/>
  <c r="L26" i="18" s="1"/>
  <c r="F30" i="19"/>
  <c r="P51" i="18" l="1"/>
  <c r="P52" i="18" s="1"/>
  <c r="P53" i="18" s="1"/>
  <c r="P54" i="18" s="1"/>
  <c r="I51" i="18"/>
  <c r="P55" i="18"/>
  <c r="P56" i="18" s="1"/>
  <c r="I57" i="18" s="1"/>
  <c r="P57" i="18"/>
  <c r="I60" i="18"/>
  <c r="O28" i="18"/>
  <c r="G29" i="18" s="1"/>
  <c r="G30" i="18"/>
  <c r="E27" i="18"/>
  <c r="F27" i="18" s="1"/>
  <c r="H27" i="18" s="1"/>
  <c r="F25" i="18"/>
  <c r="F31" i="19"/>
  <c r="P58" i="18" l="1"/>
  <c r="P59" i="18" s="1"/>
  <c r="I58" i="18"/>
  <c r="P60" i="18"/>
  <c r="I61" i="18" s="1"/>
  <c r="P61" i="18"/>
  <c r="P62" i="18" s="1"/>
  <c r="P63" i="18" s="1"/>
  <c r="P64" i="18" s="1"/>
  <c r="P65" i="18" s="1"/>
  <c r="I67" i="18"/>
  <c r="O29" i="18"/>
  <c r="O30" i="18" s="1"/>
  <c r="G31" i="18" s="1"/>
  <c r="L27" i="18"/>
  <c r="H25" i="18"/>
  <c r="J32" i="19"/>
  <c r="J33" i="19" s="1"/>
  <c r="E34" i="19" s="1"/>
  <c r="I66" i="18" l="1"/>
  <c r="P66" i="18" s="1"/>
  <c r="P67" i="18" s="1"/>
  <c r="P68" i="18" s="1"/>
  <c r="O31" i="18"/>
  <c r="O32" i="18" s="1"/>
  <c r="G33" i="18" s="1"/>
  <c r="E28" i="18"/>
  <c r="L28" i="18" s="1"/>
  <c r="F32" i="19"/>
  <c r="I69" i="18" l="1"/>
  <c r="P69" i="18" s="1"/>
  <c r="P70" i="18" s="1"/>
  <c r="P71" i="18" s="1"/>
  <c r="O33" i="18"/>
  <c r="O34" i="18" s="1"/>
  <c r="O35" i="18" s="1"/>
  <c r="O36" i="18" s="1"/>
  <c r="E29" i="18"/>
  <c r="F29" i="18" s="1"/>
  <c r="H29" i="18" s="1"/>
  <c r="E30" i="18"/>
  <c r="F30" i="18" s="1"/>
  <c r="H30" i="18" s="1"/>
  <c r="F28" i="18"/>
  <c r="F34" i="19"/>
  <c r="J34" i="19"/>
  <c r="I72" i="18" l="1"/>
  <c r="P72" i="18"/>
  <c r="P73" i="18" s="1"/>
  <c r="P74" i="18" s="1"/>
  <c r="P75" i="18" s="1"/>
  <c r="P76" i="18" s="1"/>
  <c r="P77" i="18" s="1"/>
  <c r="P78" i="18" s="1"/>
  <c r="P79" i="18" s="1"/>
  <c r="P80" i="18" s="1"/>
  <c r="P81" i="18" s="1"/>
  <c r="P82" i="18" s="1"/>
  <c r="P83" i="18" s="1"/>
  <c r="P84" i="18" s="1"/>
  <c r="P85" i="18" s="1"/>
  <c r="P86" i="18" s="1"/>
  <c r="P87" i="18" s="1"/>
  <c r="P88" i="18" s="1"/>
  <c r="P89" i="18" s="1"/>
  <c r="P90" i="18" s="1"/>
  <c r="P91" i="18" s="1"/>
  <c r="P92" i="18" s="1"/>
  <c r="P93" i="18" s="1"/>
  <c r="P94" i="18" s="1"/>
  <c r="P95" i="18" s="1"/>
  <c r="P96" i="18" s="1"/>
  <c r="P97" i="18" s="1"/>
  <c r="P98" i="18" s="1"/>
  <c r="G37" i="18"/>
  <c r="O37" i="18" s="1"/>
  <c r="O38" i="18" s="1"/>
  <c r="O39" i="18" s="1"/>
  <c r="O40" i="18" s="1"/>
  <c r="G41" i="18" s="1"/>
  <c r="E35" i="19"/>
  <c r="J35" i="19" s="1"/>
  <c r="J36" i="19" s="1"/>
  <c r="J37" i="19" s="1"/>
  <c r="J38" i="19" s="1"/>
  <c r="J39" i="19" s="1"/>
  <c r="J40" i="19" s="1"/>
  <c r="J41" i="19" s="1"/>
  <c r="L29" i="18"/>
  <c r="L30" i="18" s="1"/>
  <c r="H28" i="18"/>
  <c r="O41" i="18" l="1"/>
  <c r="O42" i="18" s="1"/>
  <c r="O43" i="18" s="1"/>
  <c r="O44" i="18" s="1"/>
  <c r="O45" i="18" s="1"/>
  <c r="O46" i="18" s="1"/>
  <c r="O47" i="18" s="1"/>
  <c r="O48" i="18" s="1"/>
  <c r="O49" i="18" s="1"/>
  <c r="G50" i="18"/>
  <c r="F35" i="19"/>
  <c r="E42" i="19"/>
  <c r="F42" i="19" s="1"/>
  <c r="E31" i="18"/>
  <c r="L31" i="18" s="1"/>
  <c r="L32" i="18" s="1"/>
  <c r="O50" i="18" l="1"/>
  <c r="J42" i="19"/>
  <c r="J43" i="19" s="1"/>
  <c r="J44" i="19" s="1"/>
  <c r="E47" i="19"/>
  <c r="F47" i="19" s="1"/>
  <c r="G55" i="18"/>
  <c r="E33" i="18"/>
  <c r="F31" i="18"/>
  <c r="O51" i="18" l="1"/>
  <c r="O52" i="18" s="1"/>
  <c r="O53" i="18" s="1"/>
  <c r="O54" i="18" s="1"/>
  <c r="G51" i="18"/>
  <c r="O55" i="18"/>
  <c r="O56" i="18" s="1"/>
  <c r="G57" i="18" s="1"/>
  <c r="O57" i="18"/>
  <c r="E45" i="19"/>
  <c r="F45" i="19" s="1"/>
  <c r="G60" i="18"/>
  <c r="E59" i="19"/>
  <c r="L33" i="18"/>
  <c r="L34" i="18" s="1"/>
  <c r="L35" i="18" s="1"/>
  <c r="L36" i="18" s="1"/>
  <c r="F33" i="18"/>
  <c r="H33" i="18" s="1"/>
  <c r="H31" i="18"/>
  <c r="O58" i="18" l="1"/>
  <c r="O59" i="18" s="1"/>
  <c r="G58" i="18"/>
  <c r="J45" i="19"/>
  <c r="J46" i="19" s="1"/>
  <c r="J47" i="19" s="1"/>
  <c r="O60" i="18"/>
  <c r="G61" i="18" s="1"/>
  <c r="E37" i="18"/>
  <c r="F37" i="18" s="1"/>
  <c r="H37" i="18" s="1"/>
  <c r="O61" i="18"/>
  <c r="O62" i="18" s="1"/>
  <c r="O63" i="18" s="1"/>
  <c r="O64" i="18" s="1"/>
  <c r="O65" i="18" s="1"/>
  <c r="E51" i="19"/>
  <c r="F51" i="19" s="1"/>
  <c r="F59" i="19"/>
  <c r="E66" i="19"/>
  <c r="F66" i="19" s="1"/>
  <c r="G67" i="18"/>
  <c r="J48" i="19" l="1"/>
  <c r="J49" i="19" s="1"/>
  <c r="J50" i="19" s="1"/>
  <c r="E48" i="19"/>
  <c r="F48" i="19" s="1"/>
  <c r="G66" i="18"/>
  <c r="O66" i="18" s="1"/>
  <c r="O67" i="18" s="1"/>
  <c r="O68" i="18" s="1"/>
  <c r="J51" i="19"/>
  <c r="J52" i="19" s="1"/>
  <c r="J53" i="19" s="1"/>
  <c r="L37" i="18"/>
  <c r="L38" i="18" s="1"/>
  <c r="L39" i="18" s="1"/>
  <c r="L40" i="18" s="1"/>
  <c r="E50" i="18"/>
  <c r="F50" i="18" s="1"/>
  <c r="H50" i="18" s="1"/>
  <c r="L41" i="18" l="1"/>
  <c r="L42" i="18" s="1"/>
  <c r="L43" i="18" s="1"/>
  <c r="L44" i="18" s="1"/>
  <c r="L45" i="18" s="1"/>
  <c r="L46" i="18" s="1"/>
  <c r="L47" i="18" s="1"/>
  <c r="L48" i="18" s="1"/>
  <c r="L49" i="18" s="1"/>
  <c r="E41" i="18"/>
  <c r="F41" i="18" s="1"/>
  <c r="J54" i="19"/>
  <c r="J55" i="19" s="1"/>
  <c r="J56" i="19" s="1"/>
  <c r="J57" i="19" s="1"/>
  <c r="J58" i="19" s="1"/>
  <c r="J59" i="19" s="1"/>
  <c r="J60" i="19" s="1"/>
  <c r="J61" i="19" s="1"/>
  <c r="J62" i="19" s="1"/>
  <c r="J63" i="19" s="1"/>
  <c r="J64" i="19" s="1"/>
  <c r="J65" i="19" s="1"/>
  <c r="J66" i="19" s="1"/>
  <c r="J67" i="19" s="1"/>
  <c r="J68" i="19" s="1"/>
  <c r="J69" i="19" s="1"/>
  <c r="J70" i="19" s="1"/>
  <c r="J71" i="19" s="1"/>
  <c r="J72" i="19" s="1"/>
  <c r="J73" i="19" s="1"/>
  <c r="J74" i="19" s="1"/>
  <c r="J75" i="19" s="1"/>
  <c r="J76" i="19" s="1"/>
  <c r="J77" i="19" s="1"/>
  <c r="J78" i="19" s="1"/>
  <c r="J79" i="19" s="1"/>
  <c r="J80" i="19" s="1"/>
  <c r="J81" i="19" s="1"/>
  <c r="J82" i="19" s="1"/>
  <c r="J83" i="19" s="1"/>
  <c r="J84" i="19" s="1"/>
  <c r="J85" i="19" s="1"/>
  <c r="J86" i="19" s="1"/>
  <c r="J87" i="19" s="1"/>
  <c r="J88" i="19" s="1"/>
  <c r="J89" i="19" s="1"/>
  <c r="J90" i="19" s="1"/>
  <c r="J91" i="19" s="1"/>
  <c r="J92" i="19" s="1"/>
  <c r="J93" i="19" s="1"/>
  <c r="J94" i="19" s="1"/>
  <c r="J95" i="19" s="1"/>
  <c r="J96" i="19" s="1"/>
  <c r="J97" i="19" s="1"/>
  <c r="J98" i="19" s="1"/>
  <c r="J99" i="19" s="1"/>
  <c r="J100" i="19" s="1"/>
  <c r="J101" i="19" s="1"/>
  <c r="E54" i="19"/>
  <c r="G69" i="18"/>
  <c r="O69" i="18" s="1"/>
  <c r="O70" i="18" s="1"/>
  <c r="O71" i="18" s="1"/>
  <c r="L50" i="18"/>
  <c r="E55" i="18"/>
  <c r="F55" i="18" s="1"/>
  <c r="H55" i="18" s="1"/>
  <c r="H41" i="18"/>
  <c r="F54" i="19" l="1"/>
  <c r="N9" i="1"/>
  <c r="L51" i="18"/>
  <c r="L52" i="18" s="1"/>
  <c r="L53" i="18" s="1"/>
  <c r="L54" i="18" s="1"/>
  <c r="E51" i="18"/>
  <c r="F51" i="18" s="1"/>
  <c r="H51" i="18" s="1"/>
  <c r="G72" i="18"/>
  <c r="O72" i="18"/>
  <c r="O73" i="18" s="1"/>
  <c r="O74" i="18" s="1"/>
  <c r="O75" i="18" s="1"/>
  <c r="O76" i="18" s="1"/>
  <c r="O77" i="18" s="1"/>
  <c r="O78" i="18" s="1"/>
  <c r="O79" i="18" s="1"/>
  <c r="O80" i="18" s="1"/>
  <c r="O81" i="18" s="1"/>
  <c r="O82" i="18" s="1"/>
  <c r="O83" i="18" s="1"/>
  <c r="O84" i="18" s="1"/>
  <c r="O85" i="18" s="1"/>
  <c r="O86" i="18" s="1"/>
  <c r="O87" i="18" s="1"/>
  <c r="O88" i="18" s="1"/>
  <c r="O89" i="18" s="1"/>
  <c r="O90" i="18" s="1"/>
  <c r="O91" i="18" s="1"/>
  <c r="O92" i="18" s="1"/>
  <c r="O93" i="18" s="1"/>
  <c r="O94" i="18" s="1"/>
  <c r="O95" i="18" s="1"/>
  <c r="O96" i="18" s="1"/>
  <c r="O97" i="18" s="1"/>
  <c r="O98" i="18" s="1"/>
  <c r="L55" i="18"/>
  <c r="L56" i="18" s="1"/>
  <c r="E60" i="18"/>
  <c r="E57" i="18" l="1"/>
  <c r="F57" i="18" s="1"/>
  <c r="H57" i="18" s="1"/>
  <c r="F60" i="18"/>
  <c r="E67" i="18"/>
  <c r="L57" i="18" l="1"/>
  <c r="E61" i="18"/>
  <c r="F61" i="18" s="1"/>
  <c r="H61" i="18" s="1"/>
  <c r="F67" i="18"/>
  <c r="H67" i="18" s="1"/>
  <c r="H60" i="18"/>
  <c r="L58" i="18" l="1"/>
  <c r="L59" i="18" s="1"/>
  <c r="L60" i="18" s="1"/>
  <c r="E58" i="18"/>
  <c r="F58" i="18" s="1"/>
  <c r="H58" i="18" s="1"/>
  <c r="L61" i="18"/>
  <c r="L62" i="18" s="1"/>
  <c r="L63" i="18" s="1"/>
  <c r="L64" i="18" s="1"/>
  <c r="L65" i="18" s="1"/>
  <c r="E69" i="18"/>
  <c r="F69" i="18" s="1"/>
  <c r="H69" i="18" s="1"/>
  <c r="E72" i="18"/>
  <c r="E66" i="18" l="1"/>
  <c r="F66" i="18" s="1"/>
  <c r="H66" i="18" s="1"/>
  <c r="F72" i="18"/>
  <c r="E101" i="18"/>
  <c r="L66" i="18" l="1"/>
  <c r="L67" i="18" s="1"/>
  <c r="L68" i="18" s="1"/>
  <c r="L69" i="18" s="1"/>
  <c r="L70" i="18" s="1"/>
  <c r="L71" i="18" s="1"/>
  <c r="L72" i="18" s="1"/>
  <c r="L73" i="18" s="1"/>
  <c r="L74" i="18" s="1"/>
  <c r="L75" i="18" s="1"/>
  <c r="L76" i="18" s="1"/>
  <c r="L77" i="18" s="1"/>
  <c r="L78" i="18" s="1"/>
  <c r="L79" i="18" s="1"/>
  <c r="L80" i="18" s="1"/>
  <c r="L81" i="18" s="1"/>
  <c r="L82" i="18" s="1"/>
  <c r="L83" i="18" s="1"/>
  <c r="L84" i="18" s="1"/>
  <c r="L85" i="18" s="1"/>
  <c r="L86" i="18" s="1"/>
  <c r="L87" i="18" s="1"/>
  <c r="L88" i="18" s="1"/>
  <c r="L89" i="18" s="1"/>
  <c r="L90" i="18" s="1"/>
  <c r="L91" i="18" s="1"/>
  <c r="L92" i="18" s="1"/>
  <c r="L93" i="18" s="1"/>
  <c r="L94" i="18" s="1"/>
  <c r="L95" i="18" s="1"/>
  <c r="L96" i="18" s="1"/>
  <c r="L97" i="18" s="1"/>
  <c r="L98" i="18" s="1"/>
  <c r="N10" i="1"/>
  <c r="I2" i="1" s="1"/>
  <c r="H72" i="18"/>
  <c r="H101" i="18" s="1"/>
  <c r="F101" i="18"/>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<sst xmlns="http://schemas.openxmlformats.org/spreadsheetml/2006/main" count="465" uniqueCount="338">
  <si>
    <t>Der Ausdruck dieser Projektabrechnung benötigt mehr als eine Seite. Zum Ausdrucken passen Sie bitte den Druckbereich für dieses Konto an, indem Sie zunächst von Feld B3 bis zum Feld mit dem Total alle Zellen markieren und klicken Sie anschliessend unter Datei/Druckbereich/Druckbereich festlegen. Drucken Sie das Kontenblatt aus und markieren Sie nachher von Zeile 3 bis 39 alles und klicken Sie nocheinmal auf Datei/Druckbereich/Druckbereich festlegen.</t>
  </si>
  <si>
    <t>Sollkonto</t>
  </si>
  <si>
    <t>Habenkonto</t>
  </si>
  <si>
    <t>Konto im Kontenplan einfügen (ohne Kontenplangenerator)</t>
  </si>
  <si>
    <t>Abschluss und Eröffnung eines weiteren Geschäftsjahres: Eine Übersicht</t>
  </si>
  <si>
    <t>Projektabrechnung/ Mannschaftsabrechnung im Verein</t>
  </si>
  <si>
    <t>Bitte erste Zeile im Kontoauszug korrekt ausfüllen.</t>
  </si>
  <si>
    <t>Aufwandstitel Sverweis</t>
  </si>
  <si>
    <t>Ertragstitel Sverweis</t>
  </si>
  <si>
    <t>Aufwandtitel</t>
  </si>
  <si>
    <t>Konto:</t>
  </si>
  <si>
    <t>Aufbereitung Eröffnungsbuchungen</t>
  </si>
  <si>
    <t xml:space="preserve">Nummer Eröffnungskonto: </t>
  </si>
  <si>
    <t xml:space="preserve">Anzahl Konten mit Beträgen: </t>
  </si>
  <si>
    <t>Status noch nicht ok. Bitte vor Kopie der Eröffnungsbuchungen in das neue Geschäftsjahr noch die Fehlermeldungen im Journal überprüfen.</t>
  </si>
  <si>
    <t>Fehlermeldungen und Texte</t>
  </si>
  <si>
    <t>Jahresabschluss und Wiedereröffnung</t>
  </si>
  <si>
    <t>Projekte/ Mannschaften oder Events abrechnen (nur mit Zusatzmodul 'Projektabrechnung')</t>
  </si>
  <si>
    <t>Revision einer Buchhaltung eines Vereins</t>
  </si>
  <si>
    <t>In Bilanz Eröffnungsbuchungen automatisiert</t>
  </si>
  <si>
    <t>Bedingte Formatierungen in ER, Budget und Bilanz angepasst</t>
  </si>
  <si>
    <t>Hilfelinks leicht angepasst</t>
  </si>
  <si>
    <t>Budget angepasst</t>
  </si>
  <si>
    <t>Für diese Version 3_0 neu (unvollständig):</t>
  </si>
  <si>
    <t>Verschlüsselung angepasst</t>
  </si>
  <si>
    <t>Darstellungsfehler (Gewinn wird nicht angezeigt bei mehr Erfolgskonten)</t>
  </si>
  <si>
    <t>Makro zum Druckbereich angepasst</t>
  </si>
  <si>
    <t>Für Folgeversion</t>
  </si>
  <si>
    <t>Grafiken optimieren</t>
  </si>
  <si>
    <t>Für Version 2_04 neu (unvollständig)</t>
  </si>
  <si>
    <t>Von bis in Projektauszug integriert</t>
  </si>
  <si>
    <t>Zeilen einfügen</t>
  </si>
  <si>
    <t>Kopierschutz (Verhinderung Zeilen in Bilanz, ER, Budget einfügen) verbessert)</t>
  </si>
  <si>
    <t>Druckbereich</t>
  </si>
  <si>
    <t>Der Ausdruck dieses Kontoauszugs benötigt rund</t>
  </si>
  <si>
    <t>Ausdruckbuttons</t>
  </si>
  <si>
    <t xml:space="preserve">(In der angegebenen Zeitspanne) keine Buchungen vorhanden in </t>
  </si>
  <si>
    <t>Fehler- und Warnmeldungen</t>
  </si>
  <si>
    <t>(fakultativ)</t>
  </si>
  <si>
    <t>Fehlermeldungen</t>
  </si>
  <si>
    <t>Bitte Kontenplan (korrekt) erstellen</t>
  </si>
  <si>
    <t>Bitte gültige Kontonummer im hellgelben Feld oben eingeben. Die #NV-Zeichen werden dann verschwinden</t>
  </si>
  <si>
    <t>Bitte Vereins-/Firmennamen im Register Journal eingeben</t>
  </si>
  <si>
    <t>Vereinsname</t>
  </si>
  <si>
    <t>Aktivtitel</t>
  </si>
  <si>
    <t>Passivtitel</t>
  </si>
  <si>
    <t>Aufwandstitel</t>
  </si>
  <si>
    <t>Ertragstitel</t>
  </si>
  <si>
    <t>Check</t>
  </si>
  <si>
    <t>Aktivkonto</t>
  </si>
  <si>
    <t>Passivkonto</t>
  </si>
  <si>
    <t>Aufwandskonto</t>
  </si>
  <si>
    <t>Ertragskonto</t>
  </si>
  <si>
    <t>xqz</t>
  </si>
  <si>
    <t>int. Nr. 1</t>
  </si>
  <si>
    <t>int. Nr.</t>
  </si>
  <si>
    <t>Kontokategorie</t>
  </si>
  <si>
    <t>Titel</t>
  </si>
  <si>
    <t>Nr.</t>
  </si>
  <si>
    <t>Kontobezeichnung</t>
  </si>
  <si>
    <t>Eventuelle Fehlermeldungen werden untenstehend ausgegeben</t>
  </si>
  <si>
    <t>Passiven</t>
  </si>
  <si>
    <t>Datum</t>
  </si>
  <si>
    <t>Buchungssatz</t>
  </si>
  <si>
    <t>Betrag</t>
  </si>
  <si>
    <t>Text</t>
  </si>
  <si>
    <t>Soll</t>
  </si>
  <si>
    <t>Haben</t>
  </si>
  <si>
    <t>Check:</t>
  </si>
  <si>
    <t>Stand:</t>
  </si>
  <si>
    <t xml:space="preserve"> </t>
  </si>
  <si>
    <t>Abschlusstabelle</t>
  </si>
  <si>
    <t>Konten</t>
  </si>
  <si>
    <t>Probebilanz</t>
  </si>
  <si>
    <t>Saldenbilanz</t>
  </si>
  <si>
    <t>Schlussbilanz I</t>
  </si>
  <si>
    <t>Erfolgsrechnung</t>
  </si>
  <si>
    <t>Schlussbilanz II</t>
  </si>
  <si>
    <t>Aufwand</t>
  </si>
  <si>
    <t>Ertrag</t>
  </si>
  <si>
    <t>Aktiven</t>
  </si>
  <si>
    <t>Total</t>
  </si>
  <si>
    <t>Saldo</t>
  </si>
  <si>
    <t>Ist Vorjahr</t>
  </si>
  <si>
    <t>vierstellige Kontonr.</t>
  </si>
  <si>
    <t>Kontonummer:</t>
  </si>
  <si>
    <t>Beleg Nr.</t>
  </si>
  <si>
    <t>Hinweis: In diesem Tabellenblatt werden die Berechnungen getätigt. Bitte nicht verändern.</t>
  </si>
  <si>
    <t>Name</t>
  </si>
  <si>
    <t>Bilanz</t>
  </si>
  <si>
    <t>Schl</t>
  </si>
  <si>
    <t>Mann</t>
  </si>
  <si>
    <t>Kontoausz</t>
  </si>
  <si>
    <t>Bitte lösen Sie eine gültige Lizenz bei: vereinsbuchhaltung@bluemail.ch. Ohne gültige Lizenz sind Bilanz und Erfolgsrechnung unbrauchbar.</t>
  </si>
  <si>
    <t>Projekt</t>
  </si>
  <si>
    <t>Projektnummer:</t>
  </si>
  <si>
    <t>Projeknr.</t>
  </si>
  <si>
    <t>Projektliste</t>
  </si>
  <si>
    <t>Projektname</t>
  </si>
  <si>
    <t>Seite(n). Zum Ausdrucken passen Sie bitte den Druckbereich für dieses Konto an, indem Sie zunächst von Feld B3 bis zum Feld mit dem Total alle Zellen markieren und klicken Sie anschliessend unter Seitenlayout Druckbereich/Druckbereich festlegen (Excel 97/2003 unter Datei/Druckbereich/Druckbereich festlegen). Um den Druckbereich wieder auf eine Seite zurückzusetzen markieren Sie alles von Zelle B3 bis zur Zelle L39. Tipp: Wenn Sie alle Konten der Buchhaltung ausdrucken wollen, drucken Sie zunächst alle jene aus, welche auf einer Seite Platz haben.</t>
  </si>
  <si>
    <t>+</t>
  </si>
  <si>
    <t>-</t>
  </si>
  <si>
    <t>Bemerkung (fakultativ)</t>
  </si>
  <si>
    <t>virtueller Saldo</t>
  </si>
  <si>
    <t>Sollbetrag</t>
  </si>
  <si>
    <t>Habenbetrag</t>
  </si>
  <si>
    <t xml:space="preserve">Folgende Links verweisen auf die Website. Sie dienen dazu, rasch Hilfe für gezielte Themen zu holen. </t>
  </si>
  <si>
    <t>Hinweis: Die Erklärungen erheben keinen Anspruch auf ein vollständiges Benutzerhandbuch, in dem alle Excel-Optionen besprochen werden und viel Buchhaltungs-Know-how vermittelt wird.</t>
  </si>
  <si>
    <t>Bitte beachten Sie auch die Hinweise in den Registern und die Warn- und Fehlermeldungen.</t>
  </si>
  <si>
    <t>vereinsbuchhaltung.ch: Hilfelinks</t>
  </si>
  <si>
    <t>Vorhandenes Konto im Kontenplan ändern</t>
  </si>
  <si>
    <t>Eröffnung eines neuen Geschäftsjahres</t>
  </si>
  <si>
    <t>Faustregeln zur täglichen Verbuchung</t>
  </si>
  <si>
    <t>Allgemeines Buchhaltungs-Know-how</t>
  </si>
  <si>
    <t>Erweiterung Buchhaltungssoftware</t>
  </si>
  <si>
    <t>Kontenplan</t>
  </si>
  <si>
    <t>Die Buchhaltung führen</t>
  </si>
  <si>
    <t>Weiteres Know-how</t>
  </si>
  <si>
    <t>fakultativ: Auszug von (Datum)</t>
  </si>
  <si>
    <t>fakultativ: Auszug bis (Datum)</t>
  </si>
  <si>
    <t>eventuelle Warnungen/Fehlermeldungen</t>
  </si>
  <si>
    <t>Speichertipps und Speicherung dieser Datei so dass mehrere Personen darauf zugreifen können</t>
  </si>
  <si>
    <t>Sie enthält wichtige Formeln und ist deswegen passwortgeschützt</t>
  </si>
  <si>
    <t>Verlängern Sie Ihre Lizenz unter www.vereinsbuchhaltung.ch/lizenzverlaengerung. Bilanz/ER gehen ohne Lizenz verloren; Buchungen nicht.</t>
  </si>
  <si>
    <t>Lizenz gilt bis:</t>
  </si>
  <si>
    <t>Aufwand und Ertragskonten können gemischt werden (KMU-Kontenplan wird möglich)</t>
  </si>
  <si>
    <t>Für Version 3.05 (Januar 2024)</t>
  </si>
  <si>
    <t>Lizenzbedinungen oben in grün und Lizenzzeile in Journal</t>
  </si>
  <si>
    <t>Entwickelt wird immer auf der Version mit 3000 Buchungen</t>
  </si>
  <si>
    <t>Angepasst muss nach jedem Entwicklungsschritt</t>
  </si>
  <si>
    <t>Kommentar ganz unten im Journal (wer mehr Buchungen möchte …)</t>
  </si>
  <si>
    <t>Für Version 4 Januar 2026</t>
  </si>
  <si>
    <t>Abstand zwischen Konnten und Gewinn / Verlust in Bilanz ER</t>
  </si>
  <si>
    <t>Fehlermeldung ergänzt bei Bilanzübertragung, wenn Konto 2800 nicht existiert</t>
  </si>
  <si>
    <t>Durch das Einfügen von Zeilen oder andere Fehleingaben können Fehler entstehen. Solange sich Ihre vereinsbuchhaltungs-Version öffnen lässt, können die Daten von Journal und Kontenplan gerettet werden - auch wenn die Lizenz bereits abgelaufen sein sollte. Kopieren Sie im Falle von Fehlfunktionen die Einträge in den gelben Zellen von Journal und Kontenplan in eine weitere Sicherheitskopie und fahren Sie weiter mit Ihren Buchungen.</t>
  </si>
  <si>
    <t>Kasse</t>
  </si>
  <si>
    <t>Erstes Aufwandkto</t>
  </si>
  <si>
    <t>Gewinn-Verlustverbuchung über Passivkonto Nr:</t>
  </si>
  <si>
    <t>Die Anzahl der Zeilen in allen Tabellenblättern ausser in Hilfelinks (je nach Version)</t>
  </si>
  <si>
    <t>AutoFilter dort erlaubt, wo es sinnvoll ist</t>
  </si>
  <si>
    <t>Projektabrechnung: Automatisiert herausfinden, welches erste Erfolgskonto ist</t>
  </si>
  <si>
    <t>entwickelt von Andreas Liebrich</t>
  </si>
  <si>
    <t>Kdn. Nr.</t>
  </si>
  <si>
    <t>Musterverein</t>
  </si>
  <si>
    <t>Diese Tabelle ist nicht zum Drucken durch Anwender:innen gemacht.</t>
  </si>
  <si>
    <t>Drucken: Dieser Kontoauszug hat auf einer A4-Seite Platz. Tipp 1: Passen Sie die Breite der Spalten bei Bedarf an. Tipp 2: Speichern Sie nach Abschluss des Geschäftsjahres alle Konten einzeln als .pdf ab.</t>
  </si>
  <si>
    <t>Einige Hinweise für Anwender:innen präzisiert.</t>
  </si>
  <si>
    <t>Kundennummer wird bei Lizenzierung verlangt.</t>
  </si>
  <si>
    <t>Druckoption Kontoauszug verbessert</t>
  </si>
  <si>
    <t>AKTIVEN</t>
  </si>
  <si>
    <t>ER neu dargestellt</t>
  </si>
  <si>
    <t>Erfolgskonten</t>
  </si>
  <si>
    <t>Subtotalberechnung</t>
  </si>
  <si>
    <t>Aus techn. Gründen geht diese Formel nicht bis unten</t>
  </si>
  <si>
    <t>Sub-Check</t>
  </si>
  <si>
    <t>Erfolg Bilanz</t>
  </si>
  <si>
    <t>Erfolg Sub</t>
  </si>
  <si>
    <t>Nr</t>
  </si>
  <si>
    <t>intern</t>
  </si>
  <si>
    <t>+/- Vorjahr</t>
  </si>
  <si>
    <t>Bezeichnung</t>
  </si>
  <si>
    <t>T_ER</t>
  </si>
  <si>
    <t>Verkettung Bezeichnungen</t>
  </si>
  <si>
    <t>Hier werden die gleichen Zeilen wie in der Abschlusstabelle verwendet</t>
  </si>
  <si>
    <t>T_B</t>
  </si>
  <si>
    <t>SVERWEIS-Berechnugen</t>
  </si>
  <si>
    <t>Bilanz neu dargestellt</t>
  </si>
  <si>
    <t>Zähler</t>
  </si>
  <si>
    <r>
      <t xml:space="preserve">Know how:
- Zum Drucken können Sie den Druckbereich im Menüband 'Seitenlayout' anpassen.
- Die Tabelle kann als Bilanz inklusive Vorjahresvergleich verwendet werden. Wenn Sie den Vorjahresvergleich nicht benötigen, blenden Sie die Spalten E und F mittels Rechtsklick auf die entsprechenden Buchstaben in der Spaltenleiste aus. 
Die gelben Zellen enthalten Formeln, welche überschrieben werden können. Tipp: Bevor Sie mit Eingeben der Vorjahreswerte starten, machen Sie eine Sicherheitskopie. 
Den Blattschutz können Sie ohne Passwort auf eigenes Risiko aufheben (Tab Überprüfen/Blattschutz aufheben; Excel 97/2003 Extras/Blattschutz), was aber nicht empfohlen ist.
</t>
    </r>
    <r>
      <rPr>
        <sz val="10"/>
        <color theme="3" tint="-0.249977111117893"/>
        <rFont val="Arial"/>
        <family val="2"/>
      </rPr>
      <t xml:space="preserve">- Achtung: Cut und Paste sowie Zeilen einfügen kann auch hier zu Fehlern führen. </t>
    </r>
  </si>
  <si>
    <t>Aus Calc</t>
  </si>
  <si>
    <t>Angezeigter Verlust Gewinn</t>
  </si>
  <si>
    <t>Check in Journal</t>
  </si>
  <si>
    <t>Gewinn/Verlust</t>
  </si>
  <si>
    <r>
      <rPr>
        <b/>
        <sz val="10"/>
        <rFont val="Arial"/>
        <family val="2"/>
      </rPr>
      <t>Know-how</t>
    </r>
    <r>
      <rPr>
        <sz val="10"/>
        <rFont val="Arial"/>
        <family val="2"/>
      </rPr>
      <t xml:space="preserve">
- Was in diesem Programm als 'Projekt' bezeichnet wird, kann in einem Sportverein eine  Mannschaft sein oder in einem Musikverein ein Konzert/ Auftritt/ Event. Selbstverständlich können auch andere Einheiten als 'Projekt' bezeichnet werden. Profis würden in diesem Zusammenhang möglicherweise von Kostenträgern sprechen.
- Zeile 4 (oberste Zeile) muss ausgefüllt werden, damit die Projektliste funktioniert.
- Die Projektnummern müssen aufsteigend sein
- Sofern man sich entschliesst, ein oder mehrere Projekte zu definieren, bedeutet dies nicht, dass jeder Buchungssatz im Journal mit einer Projektnummer versehen werden muss. Entscheidend ist, dass alle Buchungen, die mit dem Projekt zusammenhängen im Journal in der blauen Spalte die entsprechende Projektnummer haben.
- Ziel soll es sein, in Zukunft keine eigene Abrechnung mehr für ein Projekt zu erstellen. 
- Jedes Projekt muss einen eindeutigen Namen tragen. Zwei Projekte mit demselben Namen sind im Projektauszug problematisch.
</t>
    </r>
  </si>
  <si>
    <t>Projektnr</t>
  </si>
  <si>
    <t>Fehlerhinweis in Journal wenn Projektnummer nicht in Projektliste</t>
  </si>
  <si>
    <t>Kommentar in Kontenplan ganz unten (wer mehr Konten möchte…)</t>
  </si>
  <si>
    <t>Anzahl Titel</t>
  </si>
  <si>
    <t>https://www.vereinsbuchhaltung.ch/kontenplan-erstellen</t>
  </si>
  <si>
    <t>Erstellen des Kontenplans (mit und ohne Kontenplangenerator) und Musterkontenpläne zum Anpassen</t>
  </si>
  <si>
    <t>https://www.vereinsbuchhaltung.ch/konto-im-kontenplan-einfuegen</t>
  </si>
  <si>
    <t>https://www.vereinsbuchhaltung.ch/vorhandenes-konto-aendern</t>
  </si>
  <si>
    <t>https://www.vereinsbuchhaltung.ch/konto-im-kontenplan-loeschen</t>
  </si>
  <si>
    <t>Vorhandenes Konto im Kontenplan löschen</t>
  </si>
  <si>
    <t>https://www.vereinsbuchhaltung.ch/buchhaltung-eroeffnen</t>
  </si>
  <si>
    <t>https://www.vereinsbuchhaltung.ch/wichtiges-zu-buchungssaetzen</t>
  </si>
  <si>
    <t>https://www.vereinsbuchhaltung.ch/buchhaltungsabschluss-uebersicht</t>
  </si>
  <si>
    <t>https://www.vereinsbuchhaltung.ch/revision-von-vereinen</t>
  </si>
  <si>
    <t>https://www.vereinsbuchhaltung.ch/projekt-mannschaftsabrechnung</t>
  </si>
  <si>
    <t>Offenposten-Methode</t>
  </si>
  <si>
    <t>https://www.vereinsbuchhaltung.ch/offen-posten-methode</t>
  </si>
  <si>
    <t>https://www.vereinsbuchhaltung.ch/faq-haeufige-fragen-und-antworten</t>
  </si>
  <si>
    <t>https://www.vereinsbuchhaltung.ch/erweiterung-buchhaltungssoftware</t>
  </si>
  <si>
    <t>https://buchen.ch/#Modul-A-2-System-doppelte-Buchhaltung-Konten-Arten-Abschluss-Bilanz-Erfolgsrechnung-Gewinn-Verlust-Verbuchung-Eroeffnung-Kontenrahmen-Geschaeftsfall-Auswirkung-Erfolg-Liquiditaet-Beleg-Kontierung-Uebersicht-Grobgliederung-Vermoegen-Umlauf-Anlage-Kapital-Fremd-Eigen-Bilanzsumme</t>
  </si>
  <si>
    <t>https://www.vereinsbuchhaltung.ch/cloud-buchhaltung-oder-cloud-speich</t>
  </si>
  <si>
    <t>https://buechhaltig.ch/</t>
  </si>
  <si>
    <t>Diverse Fragen und Antworten zur Software</t>
  </si>
  <si>
    <t>Angepasste Hilfelinks</t>
  </si>
  <si>
    <t>Darstellung Bilanz und ER modernisiert (wobei Calc stark umgestellt wurde)</t>
  </si>
  <si>
    <t>Aufbereitung Bilanz</t>
  </si>
  <si>
    <t>Aufbereitung Erfolgsrechnung</t>
  </si>
  <si>
    <t>Budget und ER</t>
  </si>
  <si>
    <t>Journal</t>
  </si>
  <si>
    <t>Projektlistenfehler</t>
  </si>
  <si>
    <t>Zellen ausblenden</t>
  </si>
  <si>
    <t>Blätter schützen</t>
  </si>
  <si>
    <t>Cursor an richtigen Ort in Blättern stellen</t>
  </si>
  <si>
    <t>Schweizer QR-Rechnung generieren</t>
  </si>
  <si>
    <t>https://www.postfinance.ch/de/unternehmen/produkte/rechnungen/qrrechnung/qr-generator.html#/</t>
  </si>
  <si>
    <t>Bitte Journal auf Fehlermeldungen prüfen.</t>
  </si>
  <si>
    <r>
      <rPr>
        <b/>
        <sz val="10"/>
        <rFont val="Arial"/>
        <family val="2"/>
      </rPr>
      <t>Wichtig:</t>
    </r>
    <r>
      <rPr>
        <sz val="10"/>
        <rFont val="Arial"/>
        <family val="2"/>
      </rPr>
      <t xml:space="preserve"> Kopieren Sie beim Übertragen in die neue Version nur die gelben Zellen. Den Rest rechnet Excel.</t>
    </r>
  </si>
  <si>
    <t>https://member.veb.ch/hubfs/01_Content/03_Dokumente/01_Broschueren/SwissAccounting_leitfaden_vereine.pdf</t>
  </si>
  <si>
    <t>Vereins-Know-how inklusive Wissen zum Rechnungswesen</t>
  </si>
  <si>
    <r>
      <t xml:space="preserve">Know-how:
</t>
    </r>
    <r>
      <rPr>
        <sz val="10"/>
        <rFont val="Arial"/>
        <family val="2"/>
      </rPr>
      <t>In dieser Spalte werden Fehler rot und Warnungen orange ausgegeben. Fehler müssen korrigiert werden. Es können nicht alle Fehler automatisch gefunden werden (z.B. ob ein korrektes Datum, der korrekte Betrag des Belegs oder die richtige/n Kontonummer/n eingetragen werden.)</t>
    </r>
  </si>
  <si>
    <r>
      <t xml:space="preserve">Know-how
</t>
    </r>
    <r>
      <rPr>
        <b/>
        <sz val="10"/>
        <color indexed="62"/>
        <rFont val="Arial"/>
        <family val="2"/>
      </rPr>
      <t xml:space="preserve">- Cut und Paste sowie das Löschen und Einfügen von Zeilen führt zu Fehlern in der vereinsbuchhaltung, Copy und Paste ist innerhalb der hellgelben Zellen problemlos.
</t>
    </r>
    <r>
      <rPr>
        <sz val="10"/>
        <color indexed="62"/>
        <rFont val="Arial"/>
        <family val="2"/>
      </rPr>
      <t>- Jedes Konto muss einen</t>
    </r>
    <r>
      <rPr>
        <b/>
        <sz val="10"/>
        <color indexed="62"/>
        <rFont val="Arial"/>
        <family val="2"/>
      </rPr>
      <t xml:space="preserve"> eindeutigen Namen </t>
    </r>
    <r>
      <rPr>
        <sz val="10"/>
        <color indexed="62"/>
        <rFont val="Arial"/>
        <family val="2"/>
      </rPr>
      <t>tragen. Zwei Konten mit demselben Namen sind im Kontoauszug problematisch.</t>
    </r>
    <r>
      <rPr>
        <b/>
        <sz val="10"/>
        <color indexed="62"/>
        <rFont val="Arial"/>
        <family val="2"/>
      </rPr>
      <t xml:space="preserve">
- Zunächst werden alle Aktivkonten, dann alle Passivkonten eingefügt. Eine andere Reihenfolge der Bilanzkonten ist buchhalterisch nicht sinnvoll und führt zu Fehlern. 
- Aufwands- und Ertragskonten können abwechselnd eingetragen werden.</t>
    </r>
    <r>
      <rPr>
        <b/>
        <sz val="10"/>
        <rFont val="Arial"/>
        <family val="2"/>
      </rPr>
      <t xml:space="preserve">
</t>
    </r>
    <r>
      <rPr>
        <sz val="10"/>
        <rFont val="Arial"/>
        <family val="2"/>
      </rPr>
      <t>- Wenn Sie Titel für Kontengruppen (z.B. Flüssige Mittel) direkt oberhalb der entsprechenden Kontengruppen setzen wollen, nutzen Sie dazu die Spalte D und lassen den Rest der Zeile leer. Die Titel werden in der Bilanz und in der Erfolgsrechnung mit Subtotal für die jeweilige Gruppe ausgegeben.
- Wollen Sie ein Konto in den Kontenplan eingeben, nutzen Sie dazu die Spalten C für die Kontenkategorie, E für die vierstellige Kontonummer und F für die Kontobezeichnung. Gültige Kontokategorien sind 'Aktivkonto', 'Passivkonto', 'Aufwandskonto' oder 'Ertragskonto'. Minus-Aktivkonten sind als 'Aktivkonto', Ertragsminderungen sind als 'Ertragskonto' einzugeben.
- Die oberste Eingabezeile des Kontenplans (Zeile 9) muss genutzt werden. Im Kontenplan dürfen nur ganz am Ende leere Zeilen bleiben.</t>
    </r>
  </si>
  <si>
    <t>Checks Bilanz ER</t>
  </si>
  <si>
    <t>Berechnung Bilanzsumme</t>
  </si>
  <si>
    <t>PASSIVEN</t>
  </si>
  <si>
    <t>Gewinn / Verlust</t>
  </si>
  <si>
    <r>
      <t>Know how:</t>
    </r>
    <r>
      <rPr>
        <sz val="10"/>
        <rFont val="Arial"/>
        <family val="2"/>
      </rPr>
      <t xml:space="preserve">
- Budgetzahlen und Vorjahreswert bitte erst eingeben, wenn Kontenplan während des laufenden Jahres nicht mehr verändert wird ist.
- Zum Drucken können Sie den Druckbereich im Menüband 'Seitenlayout' anpassen.
- Die Tabelle kann als Erfolgsrechnung, Budgetvergleich Vorjahr und zwecks Budget verwendet werden. Wenn Sie das Budget nicht benötigen, blenden Sie die Spalten E, F und I mittels Rechtsklick auf die entsprechenden Buchstaben in der Spaltenleiste aus. Gleichermassen können Sie auch die Spalten G und H (Vorjahreswerte) ausblenden. 
Die gelben Zellen enthalten Formeln, welche aber überschrieben werden können. Tipp: Bevor Sie mit Eingeben des Budgets des aktuellen / des Folgejahrs oder der Vorjahreswerte starten, machen Sie eine Sicherheitskopie. 
Den Blattschutz können Sie ohne Passwort auf eigenes Risiko aufheben (Tab Überprüfen/Blattschutz aufheben), was aber nicht empfohlen ist.
</t>
    </r>
    <r>
      <rPr>
        <b/>
        <sz val="10"/>
        <color indexed="18"/>
        <rFont val="Arial"/>
        <family val="2"/>
      </rPr>
      <t>- Achtung: Cut und Paste sowie Zeilen einfügen kann auch hier zu Fehlern führen.</t>
    </r>
    <r>
      <rPr>
        <sz val="10"/>
        <rFont val="Arial"/>
        <family val="2"/>
      </rPr>
      <t xml:space="preserve"> </t>
    </r>
  </si>
  <si>
    <t>Event 1</t>
  </si>
  <si>
    <t>Projekt 2</t>
  </si>
  <si>
    <t>Version 4.0 vom Februar 2026</t>
  </si>
  <si>
    <t>Wenn die Buchhaltung bereits abgeschlossen ist, tragen Sie bitte nebenan das Datum des Abschlusses ein. ==&gt;</t>
  </si>
  <si>
    <t>Eröffnungsbuchungen für Folgegeschäftsjahr
- Auf Feld AC6 können Sie die Belegnr. für alle verändern (Beleg ist ausgedruckte Bilanz dieser Seite). In Feld AD6 können Sie das Datum verändern. Buchungssätze wenn nötig, erst nach Übertrag in neues Geschäftsjahr verändern.
- Folgejahr eröffnen: Legen Sie zunächst  eine Kopie dieses Excel-Files an und benennen Sie es nach dem Folgejahr. Löschen Sie alle Buchungssätze in der angefertigen Folgejahres-Kopie und kehren Sie in diese Datei zurück. Die Buchungssätze ab Zeile 6 können mittels Copy und 'Werte einfügen' (Start, Dreieck unterhalb Schaltfläche 'Einfügen' wählen und dann Schaltfläche mit Zahlen 123 wählen) ins Journal des folgenden Geschäftsjahr übertragen werden. Voraussetzung dafür ist, dass derselbe Kontenplan wie dieser Datei verwendet wird.</t>
  </si>
  <si>
    <t>Kundennr</t>
  </si>
  <si>
    <t>Sollten Sie noch mehr Konten/ Zeilen benötigen, schreiben Sie eine E-Mail an vereinsbuchhaltung@bluemail.ch. Sie werden gegen ein kleines Entgelt eine grössere Version erhalten. Bitte nennen Sie die Kundennr., welche Sie im Register Calc in der Druckansicht finden. Zur Druckansicht kommen Sie, indem Sie im Register Calc  Strg.+P / Ctrl.+P betätigen.</t>
  </si>
  <si>
    <t>Untenstehend finden Sie Hinweise</t>
  </si>
  <si>
    <t>vereinsbuchhaltung.ch: Erste Schritte</t>
  </si>
  <si>
    <t xml:space="preserve">Untenstehend erhalten Sie Hinweise, wie Sie für einen Test der Software pragmatisch vorgehen könnten. 
Hinweis: Diese Seite ist über die normale Druckfunktion von Excel druckbar. </t>
  </si>
  <si>
    <t>Erste Schritte für Ihren Test:</t>
  </si>
  <si>
    <t>0. Orientieren Sie sich an folgenden Schritten für Ihren ersten Test und das Kennenlernen der Software.</t>
  </si>
  <si>
    <t xml:space="preserve">1. Geben Sie im Register Journal (s. Leiste unten, viertes Register von links) ganz oben im gelben Feld </t>
  </si>
  <si>
    <t xml:space="preserve">    den Namen des Vereins/ der Firma ein.</t>
  </si>
  <si>
    <r>
      <rPr>
        <sz val="10"/>
        <rFont val="Arial"/>
        <family val="2"/>
      </rPr>
      <t xml:space="preserve">    Diesen finden Sie unter: </t>
    </r>
    <r>
      <rPr>
        <u/>
        <sz val="10"/>
        <color rgb="FF0000FF"/>
        <rFont val="Arial"/>
        <family val="2"/>
      </rPr>
      <t>https://www.vereinsbuchhaltung.ch/kontenplan-erstellen</t>
    </r>
  </si>
  <si>
    <t xml:space="preserve">3. Im Register Journal können Sie in den gelben Feldern Buchungssätze erfassen. Nutzen Sie dazu die im </t>
  </si>
  <si>
    <t xml:space="preserve">    Kontenplan vorhandenen Kontonummern.</t>
  </si>
  <si>
    <t xml:space="preserve">4. Schauen Sie sich das Resultat im Register Bilanz und Erfolgsrechnung an. Drucken Sie bei Bedarf </t>
  </si>
  <si>
    <t xml:space="preserve">    Bilanz und Erfolgsrechnung mit der normalen Druckfunktion von Excel aus.</t>
  </si>
  <si>
    <t xml:space="preserve">5. Geben Sie im Register Kontoauszug eine Kontonummer ein, auf welche Sie gebucht haben. Das </t>
  </si>
  <si>
    <t xml:space="preserve">    Programm liefert Ihnen alle auf diesem Konto erfassten Buchungen mit Angaben zum Saldo. Wenn Sie</t>
  </si>
  <si>
    <t xml:space="preserve">    möchten, können Sie den Kontoauszug ausdrucken und ihn bezüglich des Datums </t>
  </si>
  <si>
    <t xml:space="preserve">    (Eingabe in den gelben Feldern) einschränken.</t>
  </si>
  <si>
    <t>6. Die blau eingefärbten Register dienen der Projekt (Mannschafts- oder Eventabrechnung). Wenn</t>
  </si>
  <si>
    <t xml:space="preserve">    Sie von dieser Option gebrauch machen möchten, geben Sie ein Projekt mit einer Nummer ein und </t>
  </si>
  <si>
    <t xml:space="preserve">    geben im Journal in der blauen Spalte die Projektnummer bei den betreffenden Buchungs- </t>
  </si>
  <si>
    <t xml:space="preserve">    sätzen ein. Schauen Sie sich das Resultat im Register Projektabrechnung an.</t>
  </si>
  <si>
    <t>7. Bei Fragen helfen Ihnen die Hinweise in den verschiedenen Registern und  die Hilfelinks nebenan weiter.</t>
  </si>
  <si>
    <t>8. Falls Sie Interesse an einer Bestellung einer lizenzierten Version mit bis zu 3000 Buchungen haben:</t>
  </si>
  <si>
    <r>
      <rPr>
        <sz val="10"/>
        <rFont val="Arial"/>
        <family val="2"/>
      </rPr>
      <t xml:space="preserve">    Die aktuellen Preise finden Sie unter: </t>
    </r>
    <r>
      <rPr>
        <u/>
        <sz val="10"/>
        <color rgb="FF0000FF"/>
        <rFont val="Arial"/>
        <family val="2"/>
      </rPr>
      <t>https://www.vereinsbuchhaltung.ch/preise-versand</t>
    </r>
  </si>
  <si>
    <t>Test</t>
  </si>
  <si>
    <t>Referenzen betrachten</t>
  </si>
  <si>
    <t>Hier Vereins-/ oder Firmennamen eingeben</t>
  </si>
  <si>
    <t>Die Testversion ist voll funktionsfähig und enthält Platz für 75 Buchungen in 100 Konten. Bestellungen für die grössere, lizenzierte Version (bis 3000 Buchungen in 350 Konten) kann mit diesem Link auf vereinsbuchhaltung.ch/bestellformular erworben werden.</t>
  </si>
  <si>
    <t>Postkonto</t>
  </si>
  <si>
    <t>Bankkonto</t>
  </si>
  <si>
    <t>Bankkonto 2</t>
  </si>
  <si>
    <t>Forderungen</t>
  </si>
  <si>
    <t>Debitoren allgemein</t>
  </si>
  <si>
    <t>Debitoren Mitglieder</t>
  </si>
  <si>
    <t>Transitorische Aktiven</t>
  </si>
  <si>
    <t>Lager</t>
  </si>
  <si>
    <t>Diverses Material</t>
  </si>
  <si>
    <t>Mobiliar</t>
  </si>
  <si>
    <t>Fahrzeuge</t>
  </si>
  <si>
    <t>Fremdkapital</t>
  </si>
  <si>
    <t>Kreditoren CHF</t>
  </si>
  <si>
    <t>weitere Kreditoren</t>
  </si>
  <si>
    <t>Transitorische Passiven</t>
  </si>
  <si>
    <t>Darlehen</t>
  </si>
  <si>
    <t>Rückstellungen</t>
  </si>
  <si>
    <t>Eigenkapital</t>
  </si>
  <si>
    <t>Vereinskapital</t>
  </si>
  <si>
    <t>Reserven</t>
  </si>
  <si>
    <t>Beiträge Aktivmitglieder</t>
  </si>
  <si>
    <t>Gönnerbeiträge</t>
  </si>
  <si>
    <t>Beiträge Hauptsponsoren</t>
  </si>
  <si>
    <t>Beiträge weitere Sponsoren</t>
  </si>
  <si>
    <t>Versicherungen</t>
  </si>
  <si>
    <t>Spesen Vorstand</t>
  </si>
  <si>
    <t>sonstige Spesen</t>
  </si>
  <si>
    <t>Zinsaufwand</t>
  </si>
  <si>
    <t>Abschreibungen</t>
  </si>
  <si>
    <t>Zinsertrag</t>
  </si>
  <si>
    <t>Eröffnungskonto</t>
  </si>
  <si>
    <t>Erstes Ertragskonto</t>
  </si>
  <si>
    <t>Erstes Erfolgskonto</t>
  </si>
  <si>
    <t>Sollten Sie noch mehr Buchungen/ Zeilen benötigen, bestellen Sie unter www.vereinsbuchhaltung.ch/bestellformular eine grössere, lizenzierte Version.</t>
  </si>
  <si>
    <t>Die bestehenden Buchungssätze in den gelben Zellen und die Einträge in den gelben Zellen im Register Kontenplan können Sie mit Copy (Kopieren) und Paste (Einfügen) in die grössere, lizenzpflichtige Version bringen</t>
  </si>
  <si>
    <t>Projekt 1</t>
  </si>
  <si>
    <t>Testbuchung zum Überschreiben</t>
  </si>
  <si>
    <r>
      <rPr>
        <sz val="10"/>
        <rFont val="Arial"/>
        <family val="2"/>
      </rPr>
      <t xml:space="preserve">     (z.B. zu Musikverein oder für Freelancer) auf </t>
    </r>
    <r>
      <rPr>
        <u/>
        <sz val="10"/>
        <color indexed="12"/>
        <rFont val="Arial"/>
        <family val="2"/>
      </rPr>
      <t>https://www.vereinsbuchhaltung.ch/softwaredownloads.</t>
    </r>
  </si>
  <si>
    <t>2. Schauen Sie sich die eingetragenen Konten im Register Kontenplan (s. Leiste unten, zweites Register von Links) an.</t>
  </si>
  <si>
    <t xml:space="preserve">    Die eingegebenen Beispielkonten können Sie verändern. Sie finden weitere Musterkontenpläne</t>
  </si>
  <si>
    <r>
      <rPr>
        <sz val="10"/>
        <rFont val="Arial"/>
        <family val="2"/>
      </rPr>
      <t xml:space="preserve">    Alternativ können Sie Ihren Kontenplan auch mittels des kostenlosen </t>
    </r>
    <r>
      <rPr>
        <u/>
        <sz val="10"/>
        <color rgb="FF0000FF"/>
        <rFont val="Arial"/>
        <family val="2"/>
      </rPr>
      <t>Kontenplangenerators</t>
    </r>
    <r>
      <rPr>
        <sz val="10"/>
        <color indexed="12"/>
        <rFont val="Arial"/>
        <family val="2"/>
      </rPr>
      <t xml:space="preserve"> </t>
    </r>
    <r>
      <rPr>
        <sz val="10"/>
        <rFont val="Arial"/>
        <family val="2"/>
      </rPr>
      <t xml:space="preserve">erstellen. </t>
    </r>
  </si>
  <si>
    <t>Umlaufvermögen</t>
  </si>
  <si>
    <t>liquide Mittel</t>
  </si>
  <si>
    <t>Kontokorrent mit Verband</t>
  </si>
  <si>
    <t>Material (Noten, Uniformen etc.)</t>
  </si>
  <si>
    <t>Instrumente</t>
  </si>
  <si>
    <t>Anlagevermögen</t>
  </si>
  <si>
    <t>Mobiliar Auftritte (Fahne etc.)</t>
  </si>
  <si>
    <t>Depot Uniformen</t>
  </si>
  <si>
    <t>Depot Instrumente</t>
  </si>
  <si>
    <t>Gewinnvortrag / Verlustvortrag</t>
  </si>
  <si>
    <t>Aufwände für Auftritte</t>
  </si>
  <si>
    <t>Aufwände für Zuzüger</t>
  </si>
  <si>
    <t>Werbeaufwand Auftritte</t>
  </si>
  <si>
    <t>Einkauf für Auftritt</t>
  </si>
  <si>
    <t>Spesen für Auftritt</t>
  </si>
  <si>
    <t>div. Aufwände Konzerte</t>
  </si>
  <si>
    <t>Ertrag aus Auftritten</t>
  </si>
  <si>
    <t>Ertrag aus Ticketverkauf/ Kollekte</t>
  </si>
  <si>
    <t>Vergütung Auftritt</t>
  </si>
  <si>
    <t>Nettoertrag Cafeteria/Bar etc.</t>
  </si>
  <si>
    <t>diverse Erträge Auftritt</t>
  </si>
  <si>
    <t>Aufwände allgemein</t>
  </si>
  <si>
    <t>Verbandsbeiträge</t>
  </si>
  <si>
    <t>Mietzinsaufwand (Probelokal etc.)</t>
  </si>
  <si>
    <t>Aufwand für Dirigent</t>
  </si>
  <si>
    <t>Aufwand für Noten</t>
  </si>
  <si>
    <t>Aufwand für Vereinsinstrumente</t>
  </si>
  <si>
    <t>Probewochenende</t>
  </si>
  <si>
    <t>Vereinsreise</t>
  </si>
  <si>
    <t>Heft des Vereins</t>
  </si>
  <si>
    <t>Spesen Dirigent</t>
  </si>
  <si>
    <t>Spesen Mitglieder</t>
  </si>
  <si>
    <t>Bank-, Post-Spesen</t>
  </si>
  <si>
    <t>Aufwand GV und Dankeschön</t>
  </si>
  <si>
    <t>diverse wiederkehrende Aufwände</t>
  </si>
  <si>
    <t>Ertrag aus Beiträgen Dritter</t>
  </si>
  <si>
    <t>Beiträge Nachwuchs</t>
  </si>
  <si>
    <t>Beiräge Passivmitglieder</t>
  </si>
  <si>
    <t>Inserate Vereinszeitschrift</t>
  </si>
  <si>
    <t>Weitere Erträge</t>
  </si>
  <si>
    <t>Subventionen</t>
  </si>
  <si>
    <t>diverse Erträge</t>
  </si>
  <si>
    <t>20XX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</si>
</sst>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dd/mm/yyyy;@"/>
    <numFmt numFmtId="165" formatCode="_ * #,##0.0000_ ;_ * \-#,##0.0000_ ;_ * &quot;-&quot;??_ ;_ @_ "/>
    <numFmt numFmtId="166" formatCode="_ * #,##0.00000_ ;_ * \-#,##0.00000_ ;_ * &quot;-&quot;??_ ;_ @_ "/>
  </numFmts>
  <fonts count="34" x14ac:knownFonts="1">
    <font>
      <sz val="10"/>
      <name val="Arial"/>
    </font>
    <font>
      <sz val="11"/>
      <color theme="1"/>
      <name val="Calibri"/>
      <family val="2"/>
      <scheme val="minor"/>
    </font>
    <font>
      <sz val="10"/>
      <name val="Arial"/>
      <family val="2"/>
    </font>
    <font>
      <b/>
      <sz val="10"/>
      <name val="Arial"/>
      <family val="2"/>
    </font>
    <font>
      <sz val="10"/>
      <name val="Arial"/>
      <family val="2"/>
    </font>
    <font>
      <b/>
      <sz val="12"/>
      <name val="Arial"/>
      <family val="2"/>
    </font>
    <font>
      <sz val="8"/>
      <name val="Arial"/>
      <family val="2"/>
    </font>
    <font>
      <b/>
      <sz val="10"/>
      <name val="Arial"/>
      <family val="2"/>
    </font>
    <font>
      <b/>
      <sz val="10"/>
      <color indexed="62"/>
      <name val="Arial"/>
      <family val="2"/>
    </font>
    <font>
      <sz val="14"/>
      <name val="Arial"/>
      <family val="2"/>
    </font>
    <font>
      <b/>
      <sz val="14"/>
      <name val="Arial"/>
      <family val="2"/>
    </font>
    <font>
      <b/>
      <sz val="11"/>
      <name val="Arial"/>
      <family val="2"/>
    </font>
    <font>
      <sz val="11"/>
      <name val="Arial"/>
      <family val="2"/>
    </font>
    <font>
      <sz val="10"/>
      <color indexed="9"/>
      <name val="Arial"/>
      <family val="2"/>
    </font>
    <font>
      <b/>
      <sz val="10"/>
      <color indexed="9"/>
      <name val="Arial"/>
      <family val="2"/>
    </font>
    <font>
      <sz val="8"/>
      <color indexed="9"/>
      <name val="Arial"/>
      <family val="2"/>
    </font>
    <font>
      <sz val="8"/>
      <color indexed="8"/>
      <name val="Arial"/>
      <family val="2"/>
    </font>
    <font>
      <b/>
      <sz val="8"/>
      <name val="Arial"/>
      <family val="2"/>
    </font>
    <font>
      <b/>
      <sz val="10"/>
      <color indexed="18"/>
      <name val="Arial"/>
      <family val="2"/>
    </font>
    <font>
      <u/>
      <sz val="10"/>
      <color indexed="12"/>
      <name val="Arial"/>
      <family val="2"/>
    </font>
    <font>
      <sz val="10"/>
      <color indexed="62"/>
      <name val="Arial"/>
      <family val="2"/>
    </font>
    <font>
      <sz val="8"/>
      <name val="Arial"/>
      <family val="2"/>
    </font>
    <font>
      <sz val="10"/>
      <color indexed="22"/>
      <name val="Arial"/>
      <family val="2"/>
    </font>
    <font>
      <sz val="10"/>
      <color indexed="9"/>
      <name val="Arial"/>
      <family val="2"/>
    </font>
    <font>
      <sz val="16"/>
      <color indexed="18"/>
      <name val="Verdana"/>
      <family val="2"/>
    </font>
    <font>
      <b/>
      <sz val="20"/>
      <name val="Arial"/>
      <family val="2"/>
    </font>
    <font>
      <sz val="10"/>
      <name val="Arial"/>
      <family val="2"/>
    </font>
    <font>
      <sz val="10"/>
      <color theme="0"/>
      <name val="Arial"/>
      <family val="2"/>
    </font>
    <font>
      <sz val="10"/>
      <color rgb="FFFF0000"/>
      <name val="Arial"/>
      <family val="2"/>
    </font>
    <font>
      <b/>
      <sz val="11"/>
      <color theme="0"/>
      <name val="Arial"/>
      <family val="2"/>
    </font>
    <font>
      <sz val="10"/>
      <color theme="3" tint="-0.249977111117893"/>
      <name val="Arial"/>
      <family val="2"/>
    </font>
    <font>
      <u/>
      <sz val="10"/>
      <name val="Arial"/>
      <family val="2"/>
    </font>
    <font>
      <u/>
      <sz val="10"/>
      <color rgb="FF0000FF"/>
      <name val="Arial"/>
      <family val="2"/>
    </font>
    <font>
      <sz val="10"/>
      <color indexed="12"/>
      <name val="Arial"/>
      <family val="2"/>
    </font>
  </fonts>
  <fills count="22">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22"/>
        <bgColor indexed="64"/>
      </patternFill>
    </fill>
    <fill>
      <patternFill patternType="solid">
        <fgColor indexed="51"/>
        <bgColor indexed="64"/>
      </patternFill>
    </fill>
    <fill>
      <patternFill patternType="solid">
        <fgColor indexed="53"/>
        <bgColor indexed="64"/>
      </patternFill>
    </fill>
    <fill>
      <patternFill patternType="solid">
        <fgColor rgb="FF92D050"/>
        <bgColor indexed="64"/>
      </patternFill>
    </fill>
    <fill>
      <patternFill patternType="solid">
        <fgColor theme="6" tint="-0.499984740745262"/>
        <bgColor indexed="64"/>
      </patternFill>
    </fill>
    <fill>
      <patternFill patternType="solid">
        <fgColor rgb="FFCCFFFF"/>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0" tint="-0.249977111117893"/>
        <bgColor indexed="64"/>
      </patternFill>
    </fill>
    <fill>
      <patternFill patternType="solid">
        <fgColor rgb="FFFFC000"/>
        <bgColor indexed="64"/>
      </patternFill>
    </fill>
    <fill>
      <patternFill patternType="solid">
        <fgColor rgb="FF00B0F0"/>
        <bgColor indexed="64"/>
      </patternFill>
    </fill>
    <fill>
      <patternFill patternType="solid">
        <fgColor rgb="FF800000"/>
        <bgColor indexed="64"/>
      </patternFill>
    </fill>
    <fill>
      <patternFill patternType="solid">
        <fgColor rgb="FFFFFF00"/>
        <bgColor indexed="64"/>
      </patternFill>
    </fill>
  </fills>
  <borders count="84">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n">
        <color indexed="64"/>
      </top>
      <bottom/>
      <diagonal/>
    </border>
    <border>
      <left style="hair">
        <color indexed="22"/>
      </left>
      <right style="hair">
        <color indexed="22"/>
      </right>
      <top style="hair">
        <color indexed="22"/>
      </top>
      <bottom style="hair">
        <color indexed="22"/>
      </bottom>
      <diagonal/>
    </border>
    <border>
      <left style="medium">
        <color indexed="64"/>
      </left>
      <right style="medium">
        <color indexed="64"/>
      </right>
      <top/>
      <bottom/>
      <diagonal/>
    </border>
    <border>
      <left style="medium">
        <color indexed="64"/>
      </left>
      <right style="thin">
        <color indexed="64"/>
      </right>
      <top/>
      <bottom/>
      <diagonal/>
    </border>
    <border>
      <left/>
      <right style="medium">
        <color indexed="64"/>
      </right>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medium">
        <color indexed="64"/>
      </left>
      <right style="medium">
        <color indexed="64"/>
      </right>
      <top style="thin">
        <color indexed="9"/>
      </top>
      <bottom style="thin">
        <color indexed="9"/>
      </bottom>
      <diagonal/>
    </border>
    <border>
      <left/>
      <right style="thin">
        <color indexed="9"/>
      </right>
      <top style="thin">
        <color indexed="9"/>
      </top>
      <bottom style="thin">
        <color indexed="9"/>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diagonal/>
    </border>
    <border>
      <left style="medium">
        <color indexed="64"/>
      </left>
      <right/>
      <top/>
      <bottom/>
      <diagonal/>
    </border>
    <border>
      <left style="thin">
        <color indexed="64"/>
      </left>
      <right style="medium">
        <color indexed="64"/>
      </right>
      <top/>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double">
        <color indexed="64"/>
      </bottom>
      <diagonal/>
    </border>
    <border>
      <left/>
      <right style="medium">
        <color indexed="64"/>
      </right>
      <top/>
      <bottom style="double">
        <color indexed="64"/>
      </bottom>
      <diagonal/>
    </border>
    <border>
      <left/>
      <right style="thin">
        <color indexed="64"/>
      </right>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indexed="22"/>
      </left>
      <right/>
      <top style="thin">
        <color indexed="22"/>
      </top>
      <bottom style="thin">
        <color indexed="22"/>
      </bottom>
      <diagonal/>
    </border>
    <border>
      <left/>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style="thin">
        <color indexed="64"/>
      </bottom>
      <diagonal/>
    </border>
    <border>
      <left/>
      <right style="thin">
        <color indexed="22"/>
      </right>
      <top style="thin">
        <color indexed="22"/>
      </top>
      <bottom style="thin">
        <color indexed="22"/>
      </bottom>
      <diagonal/>
    </border>
    <border>
      <left style="dashed">
        <color indexed="22"/>
      </left>
      <right style="dashed">
        <color indexed="22"/>
      </right>
      <top style="dashed">
        <color indexed="22"/>
      </top>
      <bottom style="dashed">
        <color indexed="22"/>
      </bottom>
      <diagonal/>
    </border>
    <border>
      <left style="dashed">
        <color indexed="22"/>
      </left>
      <right style="dashed">
        <color indexed="22"/>
      </right>
      <top/>
      <bottom style="dashed">
        <color indexed="22"/>
      </bottom>
      <diagonal/>
    </border>
    <border>
      <left style="thin">
        <color indexed="9"/>
      </left>
      <right style="thin">
        <color indexed="9"/>
      </right>
      <top style="thin">
        <color indexed="22"/>
      </top>
      <bottom style="thin">
        <color indexed="64"/>
      </bottom>
      <diagonal/>
    </border>
    <border>
      <left style="thin">
        <color indexed="22"/>
      </left>
      <right style="thin">
        <color indexed="22"/>
      </right>
      <top/>
      <bottom style="thin">
        <color indexed="22"/>
      </bottom>
      <diagonal/>
    </border>
    <border>
      <left style="thin">
        <color indexed="9"/>
      </left>
      <right/>
      <top style="thin">
        <color indexed="22"/>
      </top>
      <bottom style="thin">
        <color indexed="64"/>
      </bottom>
      <diagonal/>
    </border>
    <border>
      <left style="thin">
        <color indexed="9"/>
      </left>
      <right style="thin">
        <color indexed="9"/>
      </right>
      <top/>
      <bottom/>
      <diagonal/>
    </border>
    <border>
      <left style="thin">
        <color indexed="9"/>
      </left>
      <right style="thin">
        <color indexed="9"/>
      </right>
      <top/>
      <bottom style="thin">
        <color indexed="64"/>
      </bottom>
      <diagonal/>
    </border>
    <border>
      <left/>
      <right/>
      <top style="medium">
        <color indexed="64"/>
      </top>
      <bottom style="thin">
        <color indexed="64"/>
      </bottom>
      <diagonal/>
    </border>
    <border>
      <left style="dashed">
        <color indexed="22"/>
      </left>
      <right/>
      <top style="dashed">
        <color indexed="22"/>
      </top>
      <bottom style="dashed">
        <color indexed="22"/>
      </bottom>
      <diagonal/>
    </border>
    <border>
      <left/>
      <right style="dashed">
        <color indexed="22"/>
      </right>
      <top style="dashed">
        <color indexed="22"/>
      </top>
      <bottom style="dashed">
        <color indexed="22"/>
      </bottom>
      <diagonal/>
    </border>
    <border>
      <left/>
      <right/>
      <top style="dashed">
        <color indexed="22"/>
      </top>
      <bottom style="dashed">
        <color indexed="22"/>
      </bottom>
      <diagonal/>
    </border>
    <border>
      <left style="dashed">
        <color indexed="22"/>
      </left>
      <right/>
      <top/>
      <bottom style="dashed">
        <color indexed="22"/>
      </bottom>
      <diagonal/>
    </border>
    <border>
      <left/>
      <right/>
      <top/>
      <bottom style="dashed">
        <color indexed="22"/>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9"/>
      </top>
      <bottom style="thin">
        <color indexed="9"/>
      </bottom>
      <diagonal/>
    </border>
    <border>
      <left style="thin">
        <color indexed="64"/>
      </left>
      <right/>
      <top/>
      <bottom/>
      <diagonal/>
    </border>
    <border>
      <left style="thin">
        <color indexed="9"/>
      </left>
      <right style="thin">
        <color indexed="64"/>
      </right>
      <top style="thin">
        <color indexed="64"/>
      </top>
      <bottom style="thin">
        <color indexed="64"/>
      </bottom>
      <diagonal/>
    </border>
    <border>
      <left style="thin">
        <color indexed="22"/>
      </left>
      <right/>
      <top/>
      <bottom/>
      <diagonal/>
    </border>
    <border>
      <left style="thin">
        <color indexed="22"/>
      </left>
      <right style="thin">
        <color indexed="22"/>
      </right>
      <top/>
      <bottom/>
      <diagonal/>
    </border>
    <border>
      <left/>
      <right/>
      <top/>
      <bottom style="thin">
        <color indexed="22"/>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style="dashed">
        <color indexed="22"/>
      </right>
      <top/>
      <bottom style="dashed">
        <color indexed="22"/>
      </bottom>
      <diagonal/>
    </border>
    <border>
      <left/>
      <right style="thin">
        <color indexed="64"/>
      </right>
      <top/>
      <bottom style="medium">
        <color indexed="64"/>
      </bottom>
      <diagonal/>
    </border>
    <border>
      <left/>
      <right/>
      <top/>
      <bottom style="thin">
        <color indexed="64"/>
      </bottom>
      <diagonal/>
    </border>
    <border>
      <left style="hair">
        <color theme="0" tint="-0.14999847407452621"/>
      </left>
      <right style="hair">
        <color theme="0" tint="-0.14999847407452621"/>
      </right>
      <top style="hair">
        <color theme="0" tint="-0.14999847407452621"/>
      </top>
      <bottom style="hair">
        <color theme="0" tint="-0.14999847407452621"/>
      </bottom>
      <diagonal/>
    </border>
    <border>
      <left style="medium">
        <color indexed="64"/>
      </left>
      <right style="medium">
        <color indexed="64"/>
      </right>
      <top style="hair">
        <color theme="0" tint="-0.14999847407452621"/>
      </top>
      <bottom style="hair">
        <color theme="0" tint="-0.14999847407452621"/>
      </bottom>
      <diagonal/>
    </border>
    <border>
      <left/>
      <right/>
      <top/>
      <bottom style="hair">
        <color indexed="64"/>
      </bottom>
      <diagonal/>
    </border>
    <border>
      <left style="thin">
        <color indexed="64"/>
      </left>
      <right style="thin">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style="thin">
        <color indexed="22"/>
      </left>
      <right style="thin">
        <color indexed="22"/>
      </right>
      <top style="thin">
        <color indexed="22"/>
      </top>
      <bottom style="thin">
        <color auto="1"/>
      </bottom>
      <diagonal/>
    </border>
    <border>
      <left/>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22"/>
      </left>
      <right/>
      <top/>
      <bottom style="thin">
        <color indexed="22"/>
      </bottom>
      <diagonal/>
    </border>
    <border>
      <left style="thin">
        <color theme="1" tint="0.34998626667073579"/>
      </left>
      <right style="thin">
        <color indexed="9"/>
      </right>
      <top style="thin">
        <color indexed="22"/>
      </top>
      <bottom style="thin">
        <color indexed="64"/>
      </bottom>
      <diagonal/>
    </border>
    <border>
      <left style="thin">
        <color theme="1" tint="0.34998626667073579"/>
      </left>
      <right style="thin">
        <color indexed="22"/>
      </right>
      <top style="thin">
        <color indexed="22"/>
      </top>
      <bottom style="thin">
        <color indexed="22"/>
      </bottom>
      <diagonal/>
    </border>
    <border>
      <left style="thin">
        <color theme="1" tint="0.34998626667073579"/>
      </left>
      <right/>
      <top style="thin">
        <color indexed="22"/>
      </top>
      <bottom style="thin">
        <color indexed="64"/>
      </bottom>
      <diagonal/>
    </border>
  </borders>
  <cellStyleXfs count="11">
    <xf numFmtId="0" fontId="0" fillId="0" borderId="0"/>
    <xf numFmtId="43" fontId="2" fillId="0" borderId="0" applyFont="0" applyFill="0" applyBorder="0" applyAlignment="0" applyProtection="0"/>
    <xf numFmtId="43" fontId="26" fillId="0" borderId="0" applyFont="0" applyFill="0" applyBorder="0" applyAlignment="0" applyProtection="0"/>
    <xf numFmtId="0" fontId="19" fillId="0" borderId="0" applyNumberFormat="0" applyFill="0" applyBorder="0" applyAlignment="0" applyProtection="0">
      <alignment vertical="top"/>
      <protection locked="0"/>
    </xf>
    <xf numFmtId="9" fontId="2" fillId="0" borderId="0" applyFont="0" applyFill="0" applyBorder="0" applyAlignment="0" applyProtection="0"/>
    <xf numFmtId="9" fontId="26"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1" fillId="0" borderId="0"/>
  </cellStyleXfs>
  <cellXfs count="322">
    <xf numFmtId="0" fontId="0" fillId="0" borderId="0" xfId="0"/>
    <xf numFmtId="0" fontId="0" fillId="0" borderId="0" xfId="0" applyAlignment="1">
      <alignment wrapText="1"/>
    </xf>
    <xf numFmtId="0" fontId="0" fillId="2" borderId="0" xfId="0" applyFill="1"/>
    <xf numFmtId="0" fontId="0" fillId="0" borderId="0" xfId="0" applyAlignment="1">
      <alignment horizontal="center" vertical="center"/>
    </xf>
    <xf numFmtId="0" fontId="0" fillId="0" borderId="0" xfId="0" applyAlignment="1">
      <alignment horizontal="center" vertical="center" wrapText="1"/>
    </xf>
    <xf numFmtId="0" fontId="3" fillId="0" borderId="3" xfId="0" applyFont="1" applyBorder="1" applyAlignment="1">
      <alignment horizontal="center" vertical="center"/>
    </xf>
    <xf numFmtId="0" fontId="0" fillId="3" borderId="4" xfId="0" applyFill="1" applyBorder="1" applyAlignment="1" applyProtection="1">
      <alignment horizontal="center" vertical="center" wrapText="1"/>
      <protection locked="0"/>
    </xf>
    <xf numFmtId="0" fontId="3" fillId="3" borderId="4" xfId="0" applyFont="1" applyFill="1" applyBorder="1" applyProtection="1">
      <protection locked="0"/>
    </xf>
    <xf numFmtId="0" fontId="4" fillId="3" borderId="4" xfId="0" applyFont="1" applyFill="1" applyBorder="1" applyAlignment="1" applyProtection="1">
      <alignment vertical="center"/>
      <protection locked="0"/>
    </xf>
    <xf numFmtId="0" fontId="6" fillId="0" borderId="0" xfId="0" applyFont="1" applyAlignment="1">
      <alignment wrapText="1"/>
    </xf>
    <xf numFmtId="0" fontId="7" fillId="0" borderId="0" xfId="0" applyFont="1"/>
    <xf numFmtId="0" fontId="3" fillId="0" borderId="0" xfId="0" applyFont="1"/>
    <xf numFmtId="0" fontId="4" fillId="0" borderId="0" xfId="0" applyFont="1" applyAlignment="1">
      <alignment vertical="center"/>
    </xf>
    <xf numFmtId="0" fontId="4" fillId="0" borderId="0" xfId="0" applyFont="1"/>
    <xf numFmtId="0" fontId="0" fillId="0" borderId="5" xfId="0" applyBorder="1"/>
    <xf numFmtId="0" fontId="6" fillId="0" borderId="0" xfId="0" applyFont="1"/>
    <xf numFmtId="2" fontId="0" fillId="0" borderId="6" xfId="0" applyNumberFormat="1" applyBorder="1"/>
    <xf numFmtId="2" fontId="0" fillId="0" borderId="7" xfId="0" applyNumberFormat="1" applyBorder="1"/>
    <xf numFmtId="0" fontId="0" fillId="3" borderId="8" xfId="0" applyFill="1" applyBorder="1" applyAlignment="1" applyProtection="1">
      <alignment horizontal="right"/>
      <protection locked="0"/>
    </xf>
    <xf numFmtId="14" fontId="0" fillId="3" borderId="8" xfId="0" applyNumberFormat="1" applyFill="1" applyBorder="1" applyProtection="1">
      <protection locked="0"/>
    </xf>
    <xf numFmtId="0" fontId="0" fillId="3" borderId="8" xfId="0" applyFill="1" applyBorder="1" applyProtection="1">
      <protection locked="0"/>
    </xf>
    <xf numFmtId="0" fontId="0" fillId="3" borderId="9" xfId="0" applyFill="1" applyBorder="1" applyProtection="1">
      <protection locked="0"/>
    </xf>
    <xf numFmtId="43" fontId="0" fillId="3" borderId="10" xfId="1" applyFont="1" applyFill="1" applyBorder="1" applyProtection="1">
      <protection locked="0"/>
    </xf>
    <xf numFmtId="0" fontId="0" fillId="0" borderId="0" xfId="0" applyProtection="1">
      <protection locked="0"/>
    </xf>
    <xf numFmtId="43" fontId="0" fillId="0" borderId="0" xfId="0" applyNumberFormat="1"/>
    <xf numFmtId="0" fontId="4" fillId="3" borderId="11" xfId="0" applyFont="1" applyFill="1" applyBorder="1" applyProtection="1">
      <protection locked="0"/>
    </xf>
    <xf numFmtId="43" fontId="0" fillId="0" borderId="12" xfId="1" applyFont="1" applyBorder="1"/>
    <xf numFmtId="2" fontId="0" fillId="0" borderId="0" xfId="0" applyNumberFormat="1"/>
    <xf numFmtId="0" fontId="9" fillId="0" borderId="0" xfId="0" applyFont="1"/>
    <xf numFmtId="0" fontId="5" fillId="0" borderId="0" xfId="0" applyFont="1"/>
    <xf numFmtId="1" fontId="0" fillId="0" borderId="0" xfId="0" applyNumberFormat="1"/>
    <xf numFmtId="14" fontId="4" fillId="0" borderId="0" xfId="0" applyNumberFormat="1" applyFont="1" applyAlignment="1">
      <alignment horizontal="left"/>
    </xf>
    <xf numFmtId="0" fontId="3" fillId="0" borderId="13" xfId="0" applyFont="1"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2" xfId="0" applyBorder="1"/>
    <xf numFmtId="0" fontId="0" fillId="0" borderId="18" xfId="0" applyBorder="1"/>
    <xf numFmtId="0" fontId="0" fillId="0" borderId="19" xfId="0" applyBorder="1"/>
    <xf numFmtId="2" fontId="0" fillId="0" borderId="20" xfId="0" applyNumberFormat="1" applyBorder="1"/>
    <xf numFmtId="2" fontId="0" fillId="0" borderId="21" xfId="0" applyNumberFormat="1" applyBorder="1"/>
    <xf numFmtId="2" fontId="0" fillId="0" borderId="22" xfId="0" applyNumberFormat="1" applyBorder="1"/>
    <xf numFmtId="0" fontId="0" fillId="0" borderId="0" xfId="0" applyAlignment="1">
      <alignment textRotation="90"/>
    </xf>
    <xf numFmtId="2" fontId="0" fillId="0" borderId="2" xfId="0" applyNumberFormat="1" applyBorder="1"/>
    <xf numFmtId="2" fontId="0" fillId="0" borderId="19" xfId="0" applyNumberFormat="1" applyBorder="1"/>
    <xf numFmtId="2" fontId="0" fillId="0" borderId="23" xfId="0" applyNumberFormat="1" applyBorder="1"/>
    <xf numFmtId="2" fontId="0" fillId="0" borderId="24" xfId="0" applyNumberFormat="1" applyBorder="1"/>
    <xf numFmtId="2" fontId="0" fillId="0" borderId="18" xfId="0" applyNumberFormat="1" applyBorder="1"/>
    <xf numFmtId="2" fontId="0" fillId="0" borderId="25" xfId="0" applyNumberFormat="1" applyBorder="1"/>
    <xf numFmtId="2" fontId="0" fillId="0" borderId="26" xfId="0" applyNumberFormat="1" applyBorder="1"/>
    <xf numFmtId="2" fontId="0" fillId="0" borderId="27" xfId="0" applyNumberFormat="1" applyBorder="1"/>
    <xf numFmtId="2" fontId="0" fillId="0" borderId="28" xfId="0" applyNumberFormat="1" applyBorder="1"/>
    <xf numFmtId="43" fontId="0" fillId="0" borderId="24" xfId="0" applyNumberFormat="1" applyBorder="1"/>
    <xf numFmtId="43" fontId="0" fillId="0" borderId="19" xfId="0" applyNumberFormat="1" applyBorder="1"/>
    <xf numFmtId="43" fontId="0" fillId="0" borderId="29" xfId="0" applyNumberFormat="1" applyBorder="1"/>
    <xf numFmtId="43" fontId="0" fillId="0" borderId="30" xfId="0" applyNumberFormat="1" applyBorder="1"/>
    <xf numFmtId="43" fontId="0" fillId="0" borderId="31" xfId="0" applyNumberFormat="1" applyBorder="1"/>
    <xf numFmtId="43" fontId="0" fillId="0" borderId="6" xfId="0" applyNumberFormat="1" applyBorder="1"/>
    <xf numFmtId="2" fontId="0" fillId="0" borderId="32" xfId="0" applyNumberFormat="1" applyBorder="1"/>
    <xf numFmtId="2" fontId="0" fillId="0" borderId="33" xfId="0" applyNumberFormat="1" applyBorder="1"/>
    <xf numFmtId="14" fontId="10" fillId="0" borderId="34" xfId="0" applyNumberFormat="1" applyFont="1" applyBorder="1" applyAlignment="1">
      <alignment horizontal="left" vertical="center"/>
    </xf>
    <xf numFmtId="0" fontId="11" fillId="0" borderId="1" xfId="0" applyFont="1" applyBorder="1"/>
    <xf numFmtId="0" fontId="12" fillId="0" borderId="1" xfId="0" applyFont="1" applyBorder="1"/>
    <xf numFmtId="43" fontId="12" fillId="0" borderId="1" xfId="1" applyFont="1" applyBorder="1"/>
    <xf numFmtId="43" fontId="6" fillId="0" borderId="0" xfId="0" applyNumberFormat="1" applyFont="1"/>
    <xf numFmtId="0" fontId="3" fillId="3" borderId="36" xfId="0" applyFont="1" applyFill="1" applyBorder="1" applyProtection="1">
      <protection locked="0"/>
    </xf>
    <xf numFmtId="0" fontId="13" fillId="0" borderId="0" xfId="0" applyFont="1"/>
    <xf numFmtId="0" fontId="14" fillId="0" borderId="0" xfId="0" applyFont="1"/>
    <xf numFmtId="0" fontId="3" fillId="0" borderId="0" xfId="0" applyFont="1" applyAlignment="1">
      <alignment horizontal="center"/>
    </xf>
    <xf numFmtId="43" fontId="0" fillId="0" borderId="0" xfId="1" applyFont="1"/>
    <xf numFmtId="2" fontId="4" fillId="0" borderId="21" xfId="0" applyNumberFormat="1" applyFont="1" applyBorder="1"/>
    <xf numFmtId="0" fontId="0" fillId="0" borderId="37" xfId="0" applyBorder="1"/>
    <xf numFmtId="0" fontId="0" fillId="0" borderId="38" xfId="0" applyBorder="1"/>
    <xf numFmtId="1" fontId="4" fillId="0" borderId="0" xfId="0" applyNumberFormat="1" applyFont="1"/>
    <xf numFmtId="0" fontId="3" fillId="0" borderId="36" xfId="0" applyFont="1" applyBorder="1" applyAlignment="1">
      <alignment horizontal="right" wrapText="1"/>
    </xf>
    <xf numFmtId="0" fontId="0" fillId="0" borderId="39" xfId="0" applyBorder="1"/>
    <xf numFmtId="0" fontId="4" fillId="4" borderId="40" xfId="0" applyFont="1" applyFill="1" applyBorder="1" applyAlignment="1">
      <alignment horizontal="center"/>
    </xf>
    <xf numFmtId="0" fontId="4" fillId="4" borderId="41" xfId="0" applyFont="1" applyFill="1" applyBorder="1" applyAlignment="1">
      <alignment horizontal="center"/>
    </xf>
    <xf numFmtId="0" fontId="3" fillId="0" borderId="3" xfId="0" applyFont="1" applyBorder="1" applyAlignment="1">
      <alignment horizontal="center" vertical="center" wrapText="1"/>
    </xf>
    <xf numFmtId="0" fontId="0" fillId="0" borderId="0" xfId="0" applyAlignment="1">
      <alignment horizontal="center"/>
    </xf>
    <xf numFmtId="0" fontId="0" fillId="0" borderId="34" xfId="0" applyBorder="1" applyAlignment="1">
      <alignment horizontal="center"/>
    </xf>
    <xf numFmtId="0" fontId="6" fillId="2" borderId="1" xfId="0" applyFont="1" applyFill="1" applyBorder="1"/>
    <xf numFmtId="0" fontId="6" fillId="2" borderId="42" xfId="0" applyFont="1" applyFill="1" applyBorder="1"/>
    <xf numFmtId="0" fontId="6" fillId="0" borderId="43" xfId="0" applyFont="1" applyBorder="1"/>
    <xf numFmtId="0" fontId="3" fillId="0" borderId="43" xfId="0" applyFont="1" applyBorder="1"/>
    <xf numFmtId="164" fontId="6" fillId="0" borderId="43" xfId="0" applyNumberFormat="1" applyFont="1" applyBorder="1"/>
    <xf numFmtId="43" fontId="6" fillId="0" borderId="43" xfId="1" applyFont="1" applyBorder="1"/>
    <xf numFmtId="0" fontId="6" fillId="0" borderId="43" xfId="0" applyFont="1" applyBorder="1" applyAlignment="1">
      <alignment horizontal="right"/>
    </xf>
    <xf numFmtId="0" fontId="15" fillId="0" borderId="43" xfId="0" applyFont="1" applyBorder="1"/>
    <xf numFmtId="43" fontId="16" fillId="0" borderId="43" xfId="1" applyFont="1" applyFill="1" applyBorder="1"/>
    <xf numFmtId="0" fontId="3" fillId="0" borderId="44" xfId="0" applyFont="1" applyBorder="1" applyAlignment="1">
      <alignment horizontal="center"/>
    </xf>
    <xf numFmtId="165" fontId="0" fillId="0" borderId="0" xfId="0" applyNumberFormat="1"/>
    <xf numFmtId="166" fontId="0" fillId="0" borderId="0" xfId="0" applyNumberFormat="1"/>
    <xf numFmtId="0" fontId="6" fillId="0" borderId="36" xfId="0" applyFont="1" applyBorder="1" applyAlignment="1">
      <alignment vertical="center"/>
    </xf>
    <xf numFmtId="0" fontId="17" fillId="0" borderId="36" xfId="0" applyFont="1" applyBorder="1" applyAlignment="1">
      <alignment vertical="center"/>
    </xf>
    <xf numFmtId="0" fontId="6" fillId="0" borderId="36" xfId="0" applyFont="1" applyBorder="1" applyAlignment="1">
      <alignment horizontal="center" vertical="center"/>
    </xf>
    <xf numFmtId="0" fontId="6" fillId="0" borderId="36" xfId="0" applyFont="1" applyBorder="1" applyAlignment="1">
      <alignment horizontal="right" vertical="center"/>
    </xf>
    <xf numFmtId="14" fontId="6" fillId="0" borderId="36" xfId="0" applyNumberFormat="1" applyFont="1" applyBorder="1" applyAlignment="1">
      <alignment horizontal="left" vertical="center"/>
    </xf>
    <xf numFmtId="0" fontId="11" fillId="4" borderId="45" xfId="0" applyFont="1" applyFill="1" applyBorder="1" applyAlignment="1">
      <alignment horizontal="center" vertical="center" wrapText="1"/>
    </xf>
    <xf numFmtId="0" fontId="11" fillId="4" borderId="47" xfId="0" applyFont="1" applyFill="1" applyBorder="1" applyAlignment="1">
      <alignment horizontal="center" vertical="center" wrapText="1"/>
    </xf>
    <xf numFmtId="0" fontId="0" fillId="0" borderId="0" xfId="0" applyAlignment="1">
      <alignment horizontal="left" vertical="center"/>
    </xf>
    <xf numFmtId="43" fontId="6" fillId="0" borderId="43" xfId="1" applyFont="1" applyBorder="1" applyProtection="1"/>
    <xf numFmtId="0" fontId="0" fillId="0" borderId="43" xfId="0" applyBorder="1"/>
    <xf numFmtId="0" fontId="3" fillId="0" borderId="43" xfId="0" applyFont="1" applyBorder="1" applyAlignment="1">
      <alignment horizontal="center"/>
    </xf>
    <xf numFmtId="43" fontId="21" fillId="0" borderId="43" xfId="1" applyFont="1" applyBorder="1" applyProtection="1"/>
    <xf numFmtId="0" fontId="4" fillId="0" borderId="0" xfId="0" applyFont="1" applyAlignment="1">
      <alignment horizontal="center"/>
    </xf>
    <xf numFmtId="0" fontId="3" fillId="0" borderId="43" xfId="0" quotePrefix="1" applyFont="1" applyBorder="1" applyAlignment="1">
      <alignment horizontal="center"/>
    </xf>
    <xf numFmtId="0" fontId="4" fillId="0" borderId="0" xfId="0" applyFont="1" applyAlignment="1">
      <alignment wrapText="1"/>
    </xf>
    <xf numFmtId="0" fontId="6" fillId="0" borderId="50" xfId="0" applyFont="1" applyBorder="1" applyAlignment="1">
      <alignment vertical="center"/>
    </xf>
    <xf numFmtId="0" fontId="17" fillId="0" borderId="50" xfId="0" applyFont="1" applyBorder="1" applyAlignment="1">
      <alignment vertical="center"/>
    </xf>
    <xf numFmtId="0" fontId="6" fillId="0" borderId="50" xfId="0" applyFont="1" applyBorder="1" applyAlignment="1">
      <alignment horizontal="center" vertical="center"/>
    </xf>
    <xf numFmtId="164" fontId="6" fillId="0" borderId="50" xfId="0" applyNumberFormat="1" applyFont="1" applyBorder="1" applyAlignment="1">
      <alignment vertical="center"/>
    </xf>
    <xf numFmtId="164" fontId="6" fillId="0" borderId="50" xfId="0" applyNumberFormat="1" applyFont="1" applyBorder="1" applyAlignment="1">
      <alignment horizontal="left" vertical="center"/>
    </xf>
    <xf numFmtId="0" fontId="6" fillId="0" borderId="51" xfId="0" applyFont="1" applyBorder="1"/>
    <xf numFmtId="0" fontId="6" fillId="0" borderId="52" xfId="0" applyFont="1" applyBorder="1"/>
    <xf numFmtId="0" fontId="6" fillId="0" borderId="53" xfId="0" applyFont="1" applyBorder="1"/>
    <xf numFmtId="0" fontId="3" fillId="0" borderId="54" xfId="0" applyFont="1" applyBorder="1" applyAlignment="1">
      <alignment horizontal="center"/>
    </xf>
    <xf numFmtId="0" fontId="3" fillId="0" borderId="55" xfId="0" applyFont="1" applyBorder="1" applyAlignment="1">
      <alignment horizontal="center"/>
    </xf>
    <xf numFmtId="164" fontId="4" fillId="0" borderId="0" xfId="0" applyNumberFormat="1" applyFont="1"/>
    <xf numFmtId="14" fontId="0" fillId="0" borderId="0" xfId="0" applyNumberFormat="1"/>
    <xf numFmtId="14" fontId="0" fillId="0" borderId="0" xfId="0" applyNumberFormat="1" applyAlignment="1">
      <alignment horizontal="right"/>
    </xf>
    <xf numFmtId="14" fontId="3" fillId="3" borderId="56" xfId="0" applyNumberFormat="1" applyFont="1" applyFill="1" applyBorder="1" applyAlignment="1" applyProtection="1">
      <alignment horizontal="center"/>
      <protection locked="0"/>
    </xf>
    <xf numFmtId="0" fontId="3" fillId="0" borderId="0" xfId="0" applyFont="1" applyAlignment="1">
      <alignment horizontal="center" wrapText="1"/>
    </xf>
    <xf numFmtId="0" fontId="22" fillId="0" borderId="0" xfId="0" applyFont="1" applyAlignment="1">
      <alignment wrapText="1"/>
    </xf>
    <xf numFmtId="43" fontId="6" fillId="0" borderId="0" xfId="1" applyFont="1"/>
    <xf numFmtId="14" fontId="6" fillId="0" borderId="0" xfId="0" applyNumberFormat="1" applyFont="1"/>
    <xf numFmtId="0" fontId="19" fillId="0" borderId="0" xfId="3" applyAlignment="1" applyProtection="1"/>
    <xf numFmtId="0" fontId="3" fillId="0" borderId="16" xfId="0" applyFont="1" applyBorder="1" applyAlignment="1">
      <alignment horizontal="center" wrapText="1"/>
    </xf>
    <xf numFmtId="0" fontId="3" fillId="0" borderId="14" xfId="0" applyFont="1" applyBorder="1" applyAlignment="1">
      <alignment horizontal="center" wrapText="1"/>
    </xf>
    <xf numFmtId="0" fontId="23" fillId="0" borderId="15" xfId="0" applyFont="1" applyBorder="1" applyAlignment="1">
      <alignment horizontal="right"/>
    </xf>
    <xf numFmtId="14" fontId="3" fillId="3" borderId="57" xfId="0" applyNumberFormat="1" applyFont="1" applyFill="1" applyBorder="1" applyAlignment="1" applyProtection="1">
      <alignment horizontal="center"/>
      <protection locked="0"/>
    </xf>
    <xf numFmtId="0" fontId="6" fillId="0" borderId="58" xfId="0" applyFont="1" applyBorder="1" applyAlignment="1">
      <alignment wrapText="1"/>
    </xf>
    <xf numFmtId="0" fontId="0" fillId="0" borderId="59" xfId="0" applyBorder="1"/>
    <xf numFmtId="43" fontId="0" fillId="0" borderId="10" xfId="1" applyFont="1" applyFill="1" applyBorder="1" applyProtection="1"/>
    <xf numFmtId="0" fontId="4" fillId="0" borderId="2" xfId="0" applyFont="1" applyBorder="1"/>
    <xf numFmtId="14" fontId="4" fillId="0" borderId="2" xfId="0" applyNumberFormat="1" applyFont="1" applyBorder="1"/>
    <xf numFmtId="0" fontId="4" fillId="0" borderId="36" xfId="0" applyFont="1" applyBorder="1"/>
    <xf numFmtId="0" fontId="4" fillId="0" borderId="43" xfId="0" applyFont="1" applyBorder="1"/>
    <xf numFmtId="165" fontId="4" fillId="0" borderId="0" xfId="0" applyNumberFormat="1" applyFont="1"/>
    <xf numFmtId="0" fontId="4" fillId="0" borderId="0" xfId="0" quotePrefix="1" applyFont="1" applyAlignment="1">
      <alignment wrapText="1"/>
    </xf>
    <xf numFmtId="9" fontId="12" fillId="0" borderId="1" xfId="4" applyFont="1" applyBorder="1" applyProtection="1"/>
    <xf numFmtId="1" fontId="0" fillId="0" borderId="2" xfId="0" applyNumberFormat="1" applyBorder="1"/>
    <xf numFmtId="0" fontId="0" fillId="0" borderId="60" xfId="0" applyBorder="1"/>
    <xf numFmtId="0" fontId="3" fillId="0" borderId="36" xfId="0" applyFont="1" applyBorder="1" applyAlignment="1">
      <alignment horizontal="center" vertical="center" wrapText="1"/>
    </xf>
    <xf numFmtId="0" fontId="25" fillId="3" borderId="36" xfId="0" applyFont="1" applyFill="1" applyBorder="1" applyAlignment="1" applyProtection="1">
      <alignment horizontal="center" vertical="center"/>
      <protection locked="0"/>
    </xf>
    <xf numFmtId="0" fontId="6" fillId="0" borderId="60" xfId="0" applyFont="1" applyBorder="1"/>
    <xf numFmtId="14" fontId="3" fillId="0" borderId="0" xfId="0" applyNumberFormat="1" applyFont="1"/>
    <xf numFmtId="0" fontId="4" fillId="3" borderId="4" xfId="0" applyFont="1" applyFill="1" applyBorder="1" applyAlignment="1" applyProtection="1">
      <alignment horizontal="center" vertical="center" wrapText="1"/>
      <protection locked="0"/>
    </xf>
    <xf numFmtId="0" fontId="3" fillId="7" borderId="0" xfId="0" applyFont="1" applyFill="1"/>
    <xf numFmtId="0" fontId="4" fillId="7" borderId="0" xfId="0" applyFont="1" applyFill="1"/>
    <xf numFmtId="0" fontId="0" fillId="7" borderId="0" xfId="0" applyFill="1"/>
    <xf numFmtId="14" fontId="27" fillId="8" borderId="0" xfId="0" applyNumberFormat="1" applyFont="1" applyFill="1"/>
    <xf numFmtId="14" fontId="0" fillId="7" borderId="0" xfId="0" applyNumberFormat="1" applyFill="1"/>
    <xf numFmtId="0" fontId="0" fillId="9" borderId="8" xfId="0" applyFill="1" applyBorder="1" applyProtection="1">
      <protection locked="0"/>
    </xf>
    <xf numFmtId="0" fontId="2" fillId="3" borderId="11" xfId="0" applyFont="1" applyFill="1" applyBorder="1" applyProtection="1">
      <protection locked="0"/>
    </xf>
    <xf numFmtId="0" fontId="2" fillId="3" borderId="4" xfId="0" applyFont="1" applyFill="1" applyBorder="1" applyAlignment="1" applyProtection="1">
      <alignment vertical="center"/>
      <protection locked="0"/>
    </xf>
    <xf numFmtId="0" fontId="0" fillId="3" borderId="11" xfId="0" applyFill="1" applyBorder="1" applyProtection="1">
      <protection locked="0"/>
    </xf>
    <xf numFmtId="0" fontId="4" fillId="10" borderId="48" xfId="0" applyFont="1" applyFill="1" applyBorder="1" applyAlignment="1">
      <alignment horizontal="center"/>
    </xf>
    <xf numFmtId="0" fontId="4" fillId="10" borderId="49" xfId="0" applyFont="1" applyFill="1" applyBorder="1" applyAlignment="1">
      <alignment horizontal="center"/>
    </xf>
    <xf numFmtId="0" fontId="0" fillId="11" borderId="0" xfId="0" applyFill="1"/>
    <xf numFmtId="0" fontId="0" fillId="3" borderId="61" xfId="0" applyFill="1" applyBorder="1" applyAlignment="1" applyProtection="1">
      <alignment horizontal="left" vertical="center"/>
      <protection locked="0"/>
    </xf>
    <xf numFmtId="0" fontId="0" fillId="0" borderId="0" xfId="0" applyAlignment="1">
      <alignment vertical="center"/>
    </xf>
    <xf numFmtId="0" fontId="28" fillId="0" borderId="0" xfId="0" applyFont="1" applyAlignment="1">
      <alignment vertical="center" wrapText="1"/>
    </xf>
    <xf numFmtId="43" fontId="12" fillId="12" borderId="1" xfId="1" applyFont="1" applyFill="1" applyBorder="1" applyProtection="1">
      <protection locked="0"/>
    </xf>
    <xf numFmtId="0" fontId="3" fillId="0" borderId="36" xfId="0" applyFont="1" applyBorder="1"/>
    <xf numFmtId="0" fontId="2" fillId="0" borderId="0" xfId="0" applyFont="1"/>
    <xf numFmtId="0" fontId="2" fillId="3" borderId="4" xfId="6" applyFill="1" applyBorder="1" applyAlignment="1" applyProtection="1">
      <alignment vertical="center"/>
      <protection locked="0"/>
    </xf>
    <xf numFmtId="0" fontId="0" fillId="0" borderId="70" xfId="0" applyBorder="1"/>
    <xf numFmtId="0" fontId="0" fillId="0" borderId="70" xfId="0" applyBorder="1" applyAlignment="1">
      <alignment horizontal="right"/>
    </xf>
    <xf numFmtId="14" fontId="0" fillId="0" borderId="70" xfId="0" applyNumberFormat="1" applyBorder="1"/>
    <xf numFmtId="43" fontId="0" fillId="0" borderId="71" xfId="1" applyFont="1" applyFill="1" applyBorder="1" applyProtection="1"/>
    <xf numFmtId="0" fontId="5" fillId="0" borderId="69" xfId="0" applyFont="1" applyBorder="1" applyAlignment="1">
      <alignment horizontal="center" vertical="center"/>
    </xf>
    <xf numFmtId="0" fontId="27" fillId="0" borderId="0" xfId="0" applyFont="1"/>
    <xf numFmtId="0" fontId="11" fillId="4" borderId="1" xfId="0" applyFont="1" applyFill="1" applyBorder="1" applyAlignment="1">
      <alignment horizontal="center" vertical="center"/>
    </xf>
    <xf numFmtId="0" fontId="28" fillId="0" borderId="0" xfId="0" applyFont="1"/>
    <xf numFmtId="0" fontId="0" fillId="0" borderId="74" xfId="0" applyBorder="1"/>
    <xf numFmtId="0" fontId="0" fillId="0" borderId="75" xfId="0" applyBorder="1"/>
    <xf numFmtId="0" fontId="0" fillId="0" borderId="69" xfId="0" applyBorder="1"/>
    <xf numFmtId="0" fontId="2" fillId="0" borderId="74" xfId="0" applyFont="1" applyBorder="1"/>
    <xf numFmtId="0" fontId="2" fillId="3" borderId="4" xfId="0" applyFont="1" applyFill="1" applyBorder="1" applyAlignment="1" applyProtection="1">
      <alignment horizontal="center" vertical="center" wrapText="1"/>
      <protection locked="0"/>
    </xf>
    <xf numFmtId="0" fontId="0" fillId="11" borderId="2" xfId="0" applyFill="1" applyBorder="1"/>
    <xf numFmtId="0" fontId="0" fillId="11" borderId="69" xfId="0" applyFill="1" applyBorder="1"/>
    <xf numFmtId="0" fontId="2" fillId="11" borderId="2" xfId="0" applyFont="1" applyFill="1" applyBorder="1"/>
    <xf numFmtId="0" fontId="2" fillId="13" borderId="0" xfId="0" applyFont="1" applyFill="1"/>
    <xf numFmtId="0" fontId="0" fillId="13" borderId="0" xfId="0" applyFill="1"/>
    <xf numFmtId="0" fontId="2" fillId="0" borderId="2" xfId="0" applyFont="1" applyBorder="1"/>
    <xf numFmtId="0" fontId="10" fillId="0" borderId="0" xfId="0" applyFont="1" applyAlignment="1">
      <alignment horizontal="left" vertical="center"/>
    </xf>
    <xf numFmtId="0" fontId="2" fillId="0" borderId="60" xfId="0" applyFont="1" applyBorder="1"/>
    <xf numFmtId="2" fontId="12" fillId="0" borderId="46" xfId="0" applyNumberFormat="1" applyFont="1" applyBorder="1"/>
    <xf numFmtId="0" fontId="11" fillId="13" borderId="47" xfId="0" quotePrefix="1" applyFont="1" applyFill="1" applyBorder="1" applyAlignment="1">
      <alignment horizontal="center" vertical="center" wrapText="1"/>
    </xf>
    <xf numFmtId="0" fontId="11" fillId="0" borderId="64" xfId="0" applyFont="1" applyBorder="1" applyAlignment="1">
      <alignment vertical="center"/>
    </xf>
    <xf numFmtId="0" fontId="11" fillId="4" borderId="45" xfId="0" applyFont="1" applyFill="1" applyBorder="1" applyAlignment="1">
      <alignment horizontal="left" vertical="center" wrapText="1"/>
    </xf>
    <xf numFmtId="0" fontId="2" fillId="11" borderId="69" xfId="0" applyFont="1" applyFill="1" applyBorder="1"/>
    <xf numFmtId="0" fontId="0" fillId="13" borderId="69" xfId="0" applyFill="1" applyBorder="1"/>
    <xf numFmtId="0" fontId="0" fillId="15" borderId="0" xfId="0" applyFill="1"/>
    <xf numFmtId="0" fontId="2" fillId="15" borderId="0" xfId="0" applyFont="1" applyFill="1"/>
    <xf numFmtId="0" fontId="0" fillId="15" borderId="2" xfId="0" applyFill="1" applyBorder="1"/>
    <xf numFmtId="2" fontId="12" fillId="0" borderId="0" xfId="0" applyNumberFormat="1" applyFont="1"/>
    <xf numFmtId="0" fontId="12" fillId="0" borderId="0" xfId="0" applyFont="1"/>
    <xf numFmtId="0" fontId="12" fillId="0" borderId="46" xfId="0" applyFont="1" applyBorder="1"/>
    <xf numFmtId="43" fontId="12" fillId="0" borderId="46" xfId="1" applyFont="1" applyBorder="1"/>
    <xf numFmtId="0" fontId="29" fillId="16" borderId="76" xfId="0" applyFont="1" applyFill="1" applyBorder="1"/>
    <xf numFmtId="43" fontId="12" fillId="16" borderId="76" xfId="1" applyFont="1" applyFill="1" applyBorder="1"/>
    <xf numFmtId="0" fontId="12" fillId="16" borderId="76" xfId="0" applyFont="1" applyFill="1" applyBorder="1"/>
    <xf numFmtId="0" fontId="11" fillId="0" borderId="64" xfId="0" applyFont="1" applyBorder="1" applyAlignment="1">
      <alignment horizontal="left" vertical="center"/>
    </xf>
    <xf numFmtId="164" fontId="0" fillId="3" borderId="0" xfId="0" applyNumberFormat="1" applyFill="1" applyAlignment="1" applyProtection="1">
      <alignment vertical="center"/>
      <protection locked="0"/>
    </xf>
    <xf numFmtId="0" fontId="3" fillId="13" borderId="0" xfId="0" applyFont="1" applyFill="1"/>
    <xf numFmtId="0" fontId="0" fillId="14" borderId="70" xfId="0" applyFill="1" applyBorder="1"/>
    <xf numFmtId="43" fontId="0" fillId="14" borderId="71" xfId="1" applyFont="1" applyFill="1" applyBorder="1" applyProtection="1"/>
    <xf numFmtId="0" fontId="4" fillId="14" borderId="70" xfId="0" applyFont="1" applyFill="1" applyBorder="1"/>
    <xf numFmtId="0" fontId="2" fillId="14" borderId="0" xfId="0" applyFont="1" applyFill="1"/>
    <xf numFmtId="0" fontId="0" fillId="14" borderId="0" xfId="0" applyFill="1"/>
    <xf numFmtId="0" fontId="0" fillId="14" borderId="17" xfId="0" applyFill="1" applyBorder="1"/>
    <xf numFmtId="0" fontId="3" fillId="13" borderId="0" xfId="0" applyFont="1" applyFill="1" applyAlignment="1">
      <alignment horizontal="left" vertical="center"/>
    </xf>
    <xf numFmtId="0" fontId="2" fillId="17" borderId="0" xfId="0" applyFont="1" applyFill="1"/>
    <xf numFmtId="0" fontId="0" fillId="13" borderId="0" xfId="0" applyFill="1" applyAlignment="1">
      <alignment vertical="center" wrapText="1"/>
    </xf>
    <xf numFmtId="0" fontId="0" fillId="13" borderId="0" xfId="0" applyFill="1" applyAlignment="1">
      <alignment horizontal="center" vertical="center"/>
    </xf>
    <xf numFmtId="43" fontId="0" fillId="13" borderId="0" xfId="1" applyFont="1" applyFill="1" applyAlignment="1">
      <alignment vertical="center"/>
    </xf>
    <xf numFmtId="0" fontId="2" fillId="13" borderId="0" xfId="0" applyFont="1" applyFill="1" applyAlignment="1">
      <alignment vertical="center"/>
    </xf>
    <xf numFmtId="0" fontId="2" fillId="0" borderId="0" xfId="0" applyFont="1" applyAlignment="1">
      <alignment horizontal="left" vertical="center"/>
    </xf>
    <xf numFmtId="0" fontId="2" fillId="10" borderId="48" xfId="0" applyFont="1" applyFill="1" applyBorder="1" applyAlignment="1">
      <alignment horizontal="center"/>
    </xf>
    <xf numFmtId="164" fontId="0" fillId="12" borderId="0" xfId="0" applyNumberFormat="1" applyFill="1"/>
    <xf numFmtId="0" fontId="2" fillId="12" borderId="8" xfId="0" applyFont="1" applyFill="1" applyBorder="1" applyAlignment="1">
      <alignment horizontal="right"/>
    </xf>
    <xf numFmtId="0" fontId="0" fillId="18" borderId="0" xfId="0" applyFill="1"/>
    <xf numFmtId="0" fontId="2" fillId="3" borderId="8" xfId="0" applyFont="1" applyFill="1" applyBorder="1" applyAlignment="1" applyProtection="1">
      <alignment horizontal="right"/>
      <protection locked="0"/>
    </xf>
    <xf numFmtId="1" fontId="0" fillId="13" borderId="0" xfId="0" applyNumberFormat="1" applyFill="1"/>
    <xf numFmtId="0" fontId="2" fillId="13" borderId="0" xfId="0" applyFont="1" applyFill="1" applyAlignment="1">
      <alignment horizontal="right"/>
    </xf>
    <xf numFmtId="0" fontId="2" fillId="0" borderId="77" xfId="0" applyFont="1" applyBorder="1"/>
    <xf numFmtId="0" fontId="4" fillId="0" borderId="77" xfId="0" applyFont="1" applyBorder="1"/>
    <xf numFmtId="0" fontId="0" fillId="19" borderId="0" xfId="0" applyFill="1"/>
    <xf numFmtId="0" fontId="2" fillId="0" borderId="0" xfId="0" applyFont="1" applyProtection="1">
      <protection locked="0"/>
    </xf>
    <xf numFmtId="0" fontId="4" fillId="0" borderId="69" xfId="0" applyFont="1" applyBorder="1"/>
    <xf numFmtId="0" fontId="0" fillId="0" borderId="23" xfId="0" applyBorder="1"/>
    <xf numFmtId="43" fontId="0" fillId="0" borderId="39" xfId="0" applyNumberFormat="1" applyBorder="1"/>
    <xf numFmtId="0" fontId="0" fillId="0" borderId="78" xfId="0" applyBorder="1"/>
    <xf numFmtId="0" fontId="0" fillId="0" borderId="79" xfId="0" applyBorder="1"/>
    <xf numFmtId="43" fontId="0" fillId="0" borderId="73" xfId="0" applyNumberFormat="1" applyBorder="1"/>
    <xf numFmtId="43" fontId="0" fillId="11" borderId="69" xfId="0" applyNumberFormat="1" applyFill="1" applyBorder="1"/>
    <xf numFmtId="43" fontId="12" fillId="0" borderId="80" xfId="1" applyFont="1" applyBorder="1" applyProtection="1"/>
    <xf numFmtId="0" fontId="11" fillId="14" borderId="81" xfId="0" applyFont="1" applyFill="1" applyBorder="1" applyAlignment="1">
      <alignment horizontal="center" vertical="center" wrapText="1"/>
    </xf>
    <xf numFmtId="43" fontId="12" fillId="0" borderId="82" xfId="1" applyFont="1" applyBorder="1" applyProtection="1"/>
    <xf numFmtId="43" fontId="12" fillId="12" borderId="82" xfId="1" applyFont="1" applyFill="1" applyBorder="1" applyProtection="1">
      <protection locked="0"/>
    </xf>
    <xf numFmtId="0" fontId="11" fillId="14" borderId="47" xfId="0" applyFont="1" applyFill="1" applyBorder="1" applyAlignment="1">
      <alignment horizontal="center" vertical="center" wrapText="1"/>
    </xf>
    <xf numFmtId="43" fontId="12" fillId="0" borderId="35" xfId="1" applyFont="1" applyBorder="1" applyProtection="1"/>
    <xf numFmtId="43" fontId="12" fillId="0" borderId="35" xfId="1" applyFont="1" applyBorder="1"/>
    <xf numFmtId="0" fontId="11" fillId="13" borderId="83" xfId="0" quotePrefix="1" applyFont="1" applyFill="1" applyBorder="1" applyAlignment="1">
      <alignment horizontal="center" vertical="center" wrapText="1"/>
    </xf>
    <xf numFmtId="9" fontId="12" fillId="0" borderId="82" xfId="4" applyFont="1" applyBorder="1" applyProtection="1"/>
    <xf numFmtId="0" fontId="11" fillId="0" borderId="0" xfId="0" applyFont="1" applyAlignment="1">
      <alignment horizontal="center" vertical="center"/>
    </xf>
    <xf numFmtId="0" fontId="11" fillId="14" borderId="81" xfId="0" applyFont="1" applyFill="1" applyBorder="1" applyAlignment="1" applyProtection="1">
      <alignment horizontal="center" vertical="center" wrapText="1"/>
      <protection locked="0"/>
    </xf>
    <xf numFmtId="0" fontId="2" fillId="0" borderId="0" xfId="0" applyFont="1" applyAlignment="1">
      <alignment horizontal="right" vertical="center" wrapText="1"/>
    </xf>
    <xf numFmtId="14" fontId="10" fillId="0" borderId="34" xfId="0" applyNumberFormat="1" applyFont="1" applyBorder="1" applyAlignment="1" applyProtection="1">
      <alignment horizontal="left" vertical="center"/>
      <protection locked="0"/>
    </xf>
    <xf numFmtId="43" fontId="27" fillId="0" borderId="0" xfId="0" applyNumberFormat="1" applyFont="1"/>
    <xf numFmtId="0" fontId="24" fillId="0" borderId="0" xfId="6" applyFont="1"/>
    <xf numFmtId="0" fontId="2" fillId="15" borderId="0" xfId="6" applyFill="1"/>
    <xf numFmtId="0" fontId="2" fillId="0" borderId="0" xfId="6"/>
    <xf numFmtId="0" fontId="2" fillId="0" borderId="0" xfId="6" applyAlignment="1">
      <alignment wrapText="1"/>
    </xf>
    <xf numFmtId="0" fontId="3" fillId="0" borderId="0" xfId="6" applyFont="1"/>
    <xf numFmtId="0" fontId="31" fillId="0" borderId="0" xfId="3" applyFont="1" applyAlignment="1" applyProtection="1"/>
    <xf numFmtId="43" fontId="2" fillId="3" borderId="10" xfId="1" applyFont="1" applyFill="1" applyBorder="1" applyProtection="1">
      <protection locked="0"/>
    </xf>
    <xf numFmtId="0" fontId="0" fillId="21" borderId="0" xfId="0" applyFill="1"/>
    <xf numFmtId="0" fontId="33" fillId="0" borderId="0" xfId="3" applyFont="1" applyAlignment="1" applyProtection="1"/>
    <xf numFmtId="0" fontId="3" fillId="0" borderId="0" xfId="6" applyFont="1" applyAlignment="1">
      <alignment wrapText="1"/>
    </xf>
    <xf numFmtId="0" fontId="2" fillId="0" borderId="0" xfId="6" applyAlignment="1">
      <alignment wrapText="1"/>
    </xf>
    <xf numFmtId="0" fontId="3" fillId="0" borderId="72" xfId="0" applyFont="1" applyBorder="1" applyAlignment="1">
      <alignment horizontal="left" vertical="top" wrapText="1"/>
    </xf>
    <xf numFmtId="0" fontId="4" fillId="0" borderId="72" xfId="0" applyFont="1" applyBorder="1" applyAlignment="1">
      <alignment horizontal="left" vertical="top" wrapText="1"/>
    </xf>
    <xf numFmtId="0" fontId="0" fillId="0" borderId="72" xfId="0" applyBorder="1" applyAlignment="1">
      <alignment wrapText="1"/>
    </xf>
    <xf numFmtId="0" fontId="5" fillId="0" borderId="69" xfId="0" applyFont="1" applyBorder="1" applyAlignment="1">
      <alignment horizontal="center" vertical="center"/>
    </xf>
    <xf numFmtId="0" fontId="2" fillId="0" borderId="0" xfId="0" applyFont="1" applyAlignment="1">
      <alignment horizontal="left" vertical="top" wrapText="1"/>
    </xf>
    <xf numFmtId="0" fontId="4" fillId="0" borderId="0" xfId="0" applyFont="1" applyAlignment="1">
      <alignment horizontal="left" vertical="top" wrapText="1"/>
    </xf>
    <xf numFmtId="0" fontId="0" fillId="0" borderId="0" xfId="0" applyAlignment="1">
      <alignment wrapText="1"/>
    </xf>
    <xf numFmtId="0" fontId="5" fillId="0" borderId="2" xfId="0" applyFont="1" applyBorder="1" applyAlignment="1">
      <alignment horizontal="center" vertical="center"/>
    </xf>
    <xf numFmtId="0" fontId="0" fillId="0" borderId="2" xfId="0" applyBorder="1"/>
    <xf numFmtId="0" fontId="27" fillId="20" borderId="62" xfId="0" applyFont="1" applyFill="1" applyBorder="1" applyAlignment="1">
      <alignment horizontal="center" vertical="center" wrapText="1"/>
    </xf>
    <xf numFmtId="0" fontId="27" fillId="20" borderId="0" xfId="0" applyFont="1" applyFill="1" applyAlignment="1">
      <alignment horizontal="center" wrapText="1"/>
    </xf>
    <xf numFmtId="0" fontId="27" fillId="20" borderId="62" xfId="0" applyFont="1" applyFill="1" applyBorder="1" applyAlignment="1">
      <alignment horizontal="center" wrapText="1"/>
    </xf>
    <xf numFmtId="0" fontId="9" fillId="3" borderId="0" xfId="0" applyFont="1" applyFill="1" applyAlignment="1" applyProtection="1">
      <alignment horizontal="center" vertical="center"/>
      <protection locked="0"/>
    </xf>
    <xf numFmtId="0" fontId="0" fillId="0" borderId="0" xfId="0" applyAlignment="1" applyProtection="1">
      <alignment horizontal="center" vertical="center"/>
      <protection locked="0"/>
    </xf>
    <xf numFmtId="0" fontId="2" fillId="3" borderId="0" xfId="0" applyFont="1" applyFill="1" applyAlignment="1" applyProtection="1">
      <alignment horizontal="center" vertical="center"/>
      <protection locked="0"/>
    </xf>
    <xf numFmtId="0" fontId="3" fillId="0" borderId="63" xfId="0" applyFont="1" applyBorder="1" applyAlignment="1">
      <alignment horizontal="left" vertical="center" wrapText="1"/>
    </xf>
    <xf numFmtId="0" fontId="0" fillId="0" borderId="46" xfId="0" applyBorder="1" applyAlignment="1">
      <alignment horizontal="left" vertical="center"/>
    </xf>
    <xf numFmtId="0" fontId="19" fillId="0" borderId="3" xfId="3" applyBorder="1" applyAlignment="1" applyProtection="1">
      <alignment horizontal="center" wrapText="1"/>
    </xf>
    <xf numFmtId="0" fontId="4" fillId="4" borderId="48" xfId="0" applyFont="1" applyFill="1" applyBorder="1" applyAlignment="1">
      <alignment horizontal="center" wrapText="1"/>
    </xf>
    <xf numFmtId="0" fontId="0" fillId="0" borderId="49" xfId="0" applyBorder="1" applyAlignment="1">
      <alignment horizontal="center" wrapText="1"/>
    </xf>
    <xf numFmtId="0" fontId="4" fillId="4" borderId="48" xfId="0" applyFont="1" applyFill="1" applyBorder="1" applyAlignment="1">
      <alignment horizontal="center" vertical="top"/>
    </xf>
    <xf numFmtId="0" fontId="0" fillId="0" borderId="49" xfId="0" applyBorder="1" applyAlignment="1">
      <alignment horizontal="center" vertical="top"/>
    </xf>
    <xf numFmtId="0" fontId="4" fillId="4" borderId="40" xfId="0" applyFont="1" applyFill="1" applyBorder="1" applyAlignment="1">
      <alignment horizontal="center"/>
    </xf>
    <xf numFmtId="0" fontId="19" fillId="0" borderId="3" xfId="3" applyBorder="1" applyAlignment="1" applyProtection="1">
      <alignment horizontal="center" vertical="center" wrapText="1"/>
    </xf>
    <xf numFmtId="0" fontId="0" fillId="5" borderId="0" xfId="0" applyFill="1" applyAlignment="1">
      <alignment wrapText="1"/>
    </xf>
    <xf numFmtId="0" fontId="0" fillId="0" borderId="18" xfId="0" applyBorder="1" applyAlignment="1">
      <alignment horizontal="center"/>
    </xf>
    <xf numFmtId="0" fontId="0" fillId="0" borderId="19" xfId="0" applyBorder="1" applyAlignment="1">
      <alignment horizontal="center"/>
    </xf>
    <xf numFmtId="0" fontId="0" fillId="0" borderId="2" xfId="0" applyBorder="1" applyAlignment="1">
      <alignment horizontal="center"/>
    </xf>
    <xf numFmtId="0" fontId="4" fillId="4" borderId="48" xfId="0" applyFont="1" applyFill="1" applyBorder="1" applyAlignment="1">
      <alignment horizontal="center"/>
    </xf>
    <xf numFmtId="0" fontId="0" fillId="0" borderId="49" xfId="0" applyBorder="1" applyAlignment="1">
      <alignment horizontal="center"/>
    </xf>
    <xf numFmtId="0" fontId="2" fillId="0" borderId="0" xfId="0" quotePrefix="1" applyFont="1" applyAlignment="1">
      <alignment horizontal="left" vertical="center" wrapText="1"/>
    </xf>
    <xf numFmtId="0" fontId="0" fillId="0" borderId="0" xfId="0" applyAlignment="1">
      <alignment horizontal="left" vertical="center" wrapText="1"/>
    </xf>
    <xf numFmtId="0" fontId="0" fillId="14" borderId="18" xfId="0" applyFill="1" applyBorder="1" applyAlignment="1">
      <alignment horizontal="center"/>
    </xf>
    <xf numFmtId="0" fontId="0" fillId="14" borderId="19" xfId="0" applyFill="1" applyBorder="1" applyAlignment="1">
      <alignment horizontal="center"/>
    </xf>
    <xf numFmtId="0" fontId="4" fillId="0" borderId="0" xfId="0" applyFont="1" applyAlignment="1">
      <alignment horizontal="left" vertical="center" wrapText="1"/>
    </xf>
    <xf numFmtId="0" fontId="0" fillId="0" borderId="65" xfId="0" applyBorder="1" applyAlignment="1">
      <alignment vertical="center" wrapText="1"/>
    </xf>
    <xf numFmtId="0" fontId="0" fillId="0" borderId="34" xfId="0" applyBorder="1" applyAlignment="1">
      <alignment vertical="center" wrapText="1"/>
    </xf>
    <xf numFmtId="0" fontId="2" fillId="0" borderId="65" xfId="0" applyFont="1" applyBorder="1" applyAlignment="1">
      <alignment vertical="center" wrapText="1"/>
    </xf>
    <xf numFmtId="0" fontId="3" fillId="0" borderId="0" xfId="0" applyFont="1" applyAlignment="1">
      <alignment vertical="top" wrapText="1"/>
    </xf>
    <xf numFmtId="0" fontId="0" fillId="0" borderId="0" xfId="0" applyAlignment="1">
      <alignment vertical="top" wrapText="1"/>
    </xf>
    <xf numFmtId="0" fontId="11" fillId="0" borderId="64" xfId="0" applyFont="1" applyBorder="1" applyAlignment="1">
      <alignment horizontal="center" vertical="center"/>
    </xf>
    <xf numFmtId="0" fontId="10" fillId="0" borderId="0" xfId="0" applyFont="1" applyAlignment="1">
      <alignment horizontal="left" vertical="center"/>
    </xf>
    <xf numFmtId="0" fontId="0" fillId="0" borderId="0" xfId="0" applyAlignment="1">
      <alignment horizontal="left" vertical="center"/>
    </xf>
    <xf numFmtId="0" fontId="10" fillId="0" borderId="66" xfId="0" applyFont="1" applyBorder="1" applyAlignment="1">
      <alignment horizontal="center" vertical="center" wrapText="1"/>
    </xf>
    <xf numFmtId="0" fontId="3" fillId="0" borderId="67" xfId="0" applyFont="1" applyBorder="1" applyAlignment="1">
      <alignment horizontal="center"/>
    </xf>
    <xf numFmtId="0" fontId="3" fillId="0" borderId="44" xfId="0" applyFont="1" applyBorder="1" applyAlignment="1">
      <alignment horizontal="center"/>
    </xf>
    <xf numFmtId="0" fontId="4" fillId="6" borderId="60" xfId="0" applyFont="1" applyFill="1" applyBorder="1" applyAlignment="1">
      <alignment horizontal="center" vertical="center" wrapText="1"/>
    </xf>
    <xf numFmtId="0" fontId="4" fillId="6" borderId="0" xfId="0" applyFont="1" applyFill="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56" xfId="0" applyBorder="1" applyAlignment="1">
      <alignment wrapText="1"/>
    </xf>
    <xf numFmtId="0" fontId="0" fillId="0" borderId="36" xfId="0" applyBorder="1" applyAlignment="1">
      <alignment wrapText="1"/>
    </xf>
    <xf numFmtId="0" fontId="0" fillId="0" borderId="68" xfId="0" applyBorder="1" applyAlignment="1">
      <alignment wrapText="1"/>
    </xf>
    <xf numFmtId="0" fontId="6" fillId="0" borderId="50" xfId="0" applyFont="1" applyBorder="1" applyAlignment="1">
      <alignment horizontal="right" vertical="center"/>
    </xf>
    <xf numFmtId="0" fontId="2" fillId="0" borderId="50" xfId="0" applyFont="1" applyBorder="1" applyAlignment="1">
      <alignment horizontal="right" vertical="center"/>
    </xf>
    <xf numFmtId="0" fontId="3" fillId="0" borderId="0" xfId="0" applyFont="1" applyAlignment="1">
      <alignment horizontal="right"/>
    </xf>
    <xf numFmtId="0" fontId="4" fillId="0" borderId="36" xfId="0" applyFont="1" applyBorder="1" applyAlignment="1">
      <alignment horizontal="center" vertical="center" wrapText="1"/>
    </xf>
    <xf numFmtId="0" fontId="10" fillId="0" borderId="50" xfId="0" applyFont="1" applyBorder="1" applyAlignment="1">
      <alignment horizontal="center" vertical="center" wrapText="1"/>
    </xf>
  </cellXfs>
  <cellStyles count="11">
    <cellStyle name="Komma" xfId="1" builtinId="3"/>
    <cellStyle name="Komma 2" xfId="2" xr:uid="{00000000-0005-0000-0000-000001000000}"/>
    <cellStyle name="Komma 2 2" xfId="8" xr:uid="{C822E1B6-65B9-4DE0-A762-0B6521680390}"/>
    <cellStyle name="Komma 3" xfId="7" xr:uid="{A4368985-6ED2-4CB0-95D4-EB995408011E}"/>
    <cellStyle name="Link" xfId="3" builtinId="8"/>
    <cellStyle name="Prozent" xfId="4" builtinId="5"/>
    <cellStyle name="Prozent 2" xfId="5" xr:uid="{00000000-0005-0000-0000-000004000000}"/>
    <cellStyle name="Prozent 2 2" xfId="9" xr:uid="{88EE5AB9-037C-491F-9873-62EC94A50C0D}"/>
    <cellStyle name="Standard" xfId="0" builtinId="0"/>
    <cellStyle name="Standard 2" xfId="6" xr:uid="{52528E52-B573-418F-A336-3D3E3231F0E6}"/>
    <cellStyle name="Standard 3" xfId="10" xr:uid="{2271C1F3-5D59-4706-B7BE-17270EB06443}"/>
  </cellStyles>
  <dxfs count="50">
    <dxf>
      <font>
        <condense val="0"/>
        <extend val="0"/>
        <color indexed="9"/>
      </font>
    </dxf>
    <dxf>
      <font>
        <b/>
        <i val="0"/>
      </font>
    </dxf>
    <dxf>
      <font>
        <condense val="0"/>
        <extend val="0"/>
        <color indexed="9"/>
      </font>
    </dxf>
    <dxf>
      <font>
        <b/>
        <i val="0"/>
      </font>
    </dxf>
    <dxf>
      <font>
        <b/>
        <i val="0"/>
      </font>
    </dxf>
    <dxf>
      <font>
        <condense val="0"/>
        <extend val="0"/>
        <color indexed="9"/>
      </font>
    </dxf>
    <dxf>
      <fill>
        <patternFill>
          <bgColor rgb="FFFFC000"/>
        </patternFill>
      </fill>
    </dxf>
    <dxf>
      <font>
        <b/>
        <i val="0"/>
        <condense val="0"/>
        <extend val="0"/>
      </font>
    </dxf>
    <dxf>
      <font>
        <condense val="0"/>
        <extend val="0"/>
        <color indexed="9"/>
      </font>
      <fill>
        <patternFill>
          <bgColor indexed="9"/>
        </patternFill>
      </fill>
    </dxf>
    <dxf>
      <fill>
        <patternFill>
          <bgColor indexed="51"/>
        </patternFill>
      </fill>
    </dxf>
    <dxf>
      <fill>
        <patternFill>
          <bgColor indexed="52"/>
        </patternFill>
      </fill>
    </dxf>
    <dxf>
      <font>
        <b/>
        <i val="0"/>
        <condense val="0"/>
        <extend val="0"/>
      </font>
      <border>
        <top/>
        <bottom/>
      </border>
    </dxf>
    <dxf>
      <font>
        <b/>
        <i val="0"/>
        <condense val="0"/>
        <extend val="0"/>
      </font>
      <border>
        <top style="dashed">
          <color indexed="8"/>
        </top>
        <bottom style="thin">
          <color indexed="8"/>
        </bottom>
      </border>
    </dxf>
    <dxf>
      <font>
        <condense val="0"/>
        <extend val="0"/>
        <color indexed="9"/>
      </font>
    </dxf>
    <dxf>
      <font>
        <b/>
        <i val="0"/>
      </font>
    </dxf>
    <dxf>
      <font>
        <condense val="0"/>
        <extend val="0"/>
        <color indexed="9"/>
      </font>
    </dxf>
    <dxf>
      <font>
        <b/>
        <i val="0"/>
      </font>
    </dxf>
    <dxf>
      <font>
        <b/>
        <i val="0"/>
      </font>
    </dxf>
    <dxf>
      <font>
        <condense val="0"/>
        <extend val="0"/>
        <color indexed="9"/>
      </font>
    </dxf>
    <dxf>
      <font>
        <b/>
        <i val="0"/>
        <condense val="0"/>
        <extend val="0"/>
      </font>
    </dxf>
    <dxf>
      <font>
        <condense val="0"/>
        <extend val="0"/>
        <color indexed="9"/>
      </font>
      <fill>
        <patternFill>
          <bgColor indexed="9"/>
        </patternFill>
      </fill>
    </dxf>
    <dxf>
      <fill>
        <patternFill>
          <bgColor indexed="51"/>
        </patternFill>
      </fill>
    </dxf>
    <dxf>
      <fill>
        <patternFill>
          <bgColor indexed="9"/>
        </patternFill>
      </fill>
    </dxf>
    <dxf>
      <font>
        <b/>
        <i val="0"/>
        <condense val="0"/>
        <extend val="0"/>
      </font>
      <border>
        <top/>
        <bottom/>
      </border>
    </dxf>
    <dxf>
      <font>
        <b/>
        <i val="0"/>
        <condense val="0"/>
        <extend val="0"/>
      </font>
      <border>
        <top style="dashed">
          <color indexed="8"/>
        </top>
        <bottom style="thin">
          <color indexed="8"/>
        </bottom>
      </border>
    </dxf>
    <dxf>
      <fill>
        <patternFill>
          <bgColor theme="0"/>
        </patternFill>
      </fill>
    </dxf>
    <dxf>
      <fill>
        <patternFill>
          <bgColor theme="0"/>
        </patternFill>
      </fill>
    </dxf>
    <dxf>
      <fill>
        <patternFill>
          <bgColor theme="0"/>
        </patternFill>
      </fill>
      <border>
        <top style="thin">
          <color auto="1"/>
        </top>
        <bottom style="thin">
          <color auto="1"/>
        </bottom>
        <vertical/>
        <horizontal/>
      </border>
    </dxf>
    <dxf>
      <font>
        <b/>
        <i val="0"/>
        <color auto="1"/>
      </font>
      <fill>
        <patternFill>
          <bgColor theme="0" tint="-0.14996795556505021"/>
        </patternFill>
      </fill>
      <border>
        <top style="thin">
          <color auto="1"/>
        </top>
        <bottom style="thin">
          <color auto="1"/>
        </bottom>
      </border>
    </dxf>
    <dxf>
      <font>
        <b/>
        <i val="0"/>
        <color auto="1"/>
      </font>
      <fill>
        <patternFill>
          <bgColor theme="0" tint="-0.14996795556505021"/>
        </patternFill>
      </fill>
      <border>
        <top style="thin">
          <color auto="1"/>
        </top>
        <bottom style="thin">
          <color auto="1"/>
        </bottom>
      </border>
    </dxf>
    <dxf>
      <fill>
        <patternFill>
          <bgColor rgb="FFFF0000"/>
        </patternFill>
      </fill>
    </dxf>
    <dxf>
      <font>
        <b/>
        <i val="0"/>
      </font>
    </dxf>
    <dxf>
      <fill>
        <patternFill>
          <bgColor theme="0"/>
        </patternFill>
      </fill>
      <border>
        <top/>
        <bottom/>
        <vertical/>
        <horizontal/>
      </border>
    </dxf>
    <dxf>
      <fill>
        <patternFill>
          <bgColor theme="0"/>
        </patternFill>
      </fill>
      <border>
        <top/>
        <bottom/>
        <vertical/>
        <horizontal/>
      </border>
    </dxf>
    <dxf>
      <border>
        <top style="thin">
          <color auto="1"/>
        </top>
        <bottom style="thin">
          <color auto="1"/>
        </bottom>
        <vertical/>
        <horizontal/>
      </border>
    </dxf>
    <dxf>
      <font>
        <b/>
        <i val="0"/>
      </font>
      <fill>
        <patternFill>
          <bgColor theme="0" tint="-0.14996795556505021"/>
        </patternFill>
      </fill>
      <border>
        <top style="thin">
          <color auto="1"/>
        </top>
        <bottom style="thin">
          <color auto="1"/>
        </bottom>
        <vertical/>
        <horizontal/>
      </border>
    </dxf>
    <dxf>
      <font>
        <b/>
        <i val="0"/>
      </font>
      <fill>
        <patternFill>
          <bgColor theme="0" tint="-0.14996795556505021"/>
        </patternFill>
      </fill>
      <border>
        <top style="thin">
          <color auto="1"/>
        </top>
        <bottom style="thin">
          <color auto="1"/>
        </bottom>
        <vertical/>
        <horizontal/>
      </border>
    </dxf>
    <dxf>
      <font>
        <b/>
        <i val="0"/>
      </font>
      <fill>
        <patternFill>
          <bgColor theme="0" tint="-0.24994659260841701"/>
        </patternFill>
      </fill>
      <border>
        <top style="thin">
          <color auto="1"/>
        </top>
        <bottom style="thin">
          <color auto="1"/>
        </bottom>
        <vertical/>
        <horizontal/>
      </border>
    </dxf>
    <dxf>
      <font>
        <b/>
        <i val="0"/>
        <color theme="0"/>
      </font>
      <fill>
        <patternFill>
          <bgColor theme="1" tint="0.34998626667073579"/>
        </patternFill>
      </fill>
      <border>
        <bottom style="thin">
          <color auto="1"/>
        </bottom>
        <vertical/>
        <horizontal/>
      </border>
    </dxf>
    <dxf>
      <font>
        <b/>
        <i val="0"/>
        <color theme="0"/>
      </font>
      <fill>
        <patternFill>
          <bgColor theme="1" tint="0.34998626667073579"/>
        </patternFill>
      </fill>
      <border>
        <bottom style="thin">
          <color auto="1"/>
        </bottom>
        <vertical/>
        <horizontal/>
      </border>
    </dxf>
    <dxf>
      <font>
        <b/>
        <i val="0"/>
        <color auto="1"/>
      </font>
      <fill>
        <patternFill patternType="none">
          <bgColor auto="1"/>
        </patternFill>
      </fill>
      <border>
        <top/>
        <bottom/>
        <vertical/>
        <horizontal/>
      </border>
    </dxf>
    <dxf>
      <fill>
        <patternFill>
          <bgColor rgb="FFFF0000"/>
        </patternFill>
      </fill>
    </dxf>
    <dxf>
      <font>
        <b/>
        <i val="0"/>
        <strike val="0"/>
        <color theme="1"/>
      </font>
      <fill>
        <patternFill>
          <fgColor rgb="FFCCFFCC"/>
          <bgColor rgb="FFCCFFCC"/>
        </patternFill>
      </fill>
    </dxf>
    <dxf>
      <fill>
        <patternFill>
          <bgColor indexed="51"/>
        </patternFill>
      </fill>
    </dxf>
    <dxf>
      <font>
        <color theme="0"/>
      </font>
      <fill>
        <patternFill>
          <bgColor rgb="FFC00000"/>
        </patternFill>
      </fill>
    </dxf>
    <dxf>
      <fill>
        <patternFill>
          <bgColor indexed="10"/>
        </patternFill>
      </fill>
    </dxf>
    <dxf>
      <fill>
        <patternFill>
          <bgColor indexed="10"/>
        </patternFill>
      </fill>
    </dxf>
    <dxf>
      <fill>
        <patternFill>
          <bgColor indexed="52"/>
        </patternFill>
      </fill>
    </dxf>
    <dxf>
      <fill>
        <patternFill>
          <bgColor indexed="10"/>
        </patternFill>
      </fill>
    </dxf>
    <dxf>
      <fill>
        <patternFill>
          <bgColor indexed="52"/>
        </patternFill>
      </fill>
    </dxf>
  </dxfs>
  <tableStyles count="0" defaultTableStyle="TableStyleMedium2" defaultPivotStyle="PivotStyleLight16"/>
  <colors>
    <mruColors>
      <color rgb="FF800000"/>
      <color rgb="FFCCFFCC"/>
      <color rgb="FF99FF99"/>
      <color rgb="FFFFFFCC"/>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vereinsbuchhaltung.ch/offen-posten-methode" TargetMode="External"/><Relationship Id="rId13" Type="http://schemas.openxmlformats.org/officeDocument/2006/relationships/hyperlink" Target="https://www.postfinance.ch/de/unternehmen/produkte/rechnungen/qrrechnung/qr-generator.html" TargetMode="External"/><Relationship Id="rId18" Type="http://schemas.openxmlformats.org/officeDocument/2006/relationships/hyperlink" Target="https://www.vereinsbuchhaltung.ch/_files/ugd/3a24b8_61d6f02a2c6945e6a320e4a449bb3dda.xlsx?dn=Excel_Buchhaltung_Kontenplan_erstellen_V" TargetMode="External"/><Relationship Id="rId3" Type="http://schemas.openxmlformats.org/officeDocument/2006/relationships/hyperlink" Target="https://www.vereinsbuchhaltung.ch/konto-im-kontenplan-loeschen" TargetMode="External"/><Relationship Id="rId7" Type="http://schemas.openxmlformats.org/officeDocument/2006/relationships/hyperlink" Target="https://www.vereinsbuchhaltung.ch/projekt-mannschaftsabrechnung" TargetMode="External"/><Relationship Id="rId12" Type="http://schemas.openxmlformats.org/officeDocument/2006/relationships/hyperlink" Target="https://buechhaltig.ch/" TargetMode="External"/><Relationship Id="rId17" Type="http://schemas.openxmlformats.org/officeDocument/2006/relationships/hyperlink" Target="https://www.vereinsbuchhaltung.ch/softwaredownloads" TargetMode="External"/><Relationship Id="rId2" Type="http://schemas.openxmlformats.org/officeDocument/2006/relationships/hyperlink" Target="https://www.vereinsbuchhaltung.ch/konto-im-kontenplan-einfuegen" TargetMode="External"/><Relationship Id="rId16" Type="http://schemas.openxmlformats.org/officeDocument/2006/relationships/hyperlink" Target="https://www.vereinsbuchhaltung.ch/preise-versand" TargetMode="External"/><Relationship Id="rId1" Type="http://schemas.openxmlformats.org/officeDocument/2006/relationships/hyperlink" Target="https://www.vereinsbuchhaltung.ch/kontenplan-erstellen" TargetMode="External"/><Relationship Id="rId6" Type="http://schemas.openxmlformats.org/officeDocument/2006/relationships/hyperlink" Target="https://www.vereinsbuchhaltung.ch/buchhaltung-eroeffnen" TargetMode="External"/><Relationship Id="rId11" Type="http://schemas.openxmlformats.org/officeDocument/2006/relationships/hyperlink" Target="https://www.vereinsbuchhaltung.ch/cloud-buchhaltung-oder-cloud-speich" TargetMode="External"/><Relationship Id="rId5" Type="http://schemas.openxmlformats.org/officeDocument/2006/relationships/hyperlink" Target="https://www.vereinsbuchhaltung.ch/revision-von-vereinen" TargetMode="External"/><Relationship Id="rId15" Type="http://schemas.openxmlformats.org/officeDocument/2006/relationships/hyperlink" Target="https://www.vereinsbuchhaltung.ch/kontenplan-erstellen" TargetMode="External"/><Relationship Id="rId10" Type="http://schemas.openxmlformats.org/officeDocument/2006/relationships/hyperlink" Target="https://buchen.ch/" TargetMode="External"/><Relationship Id="rId19" Type="http://schemas.openxmlformats.org/officeDocument/2006/relationships/printerSettings" Target="../printerSettings/printerSettings1.bin"/><Relationship Id="rId4" Type="http://schemas.openxmlformats.org/officeDocument/2006/relationships/hyperlink" Target="https://www.vereinsbuchhaltung.ch/buchhaltungsabschluss-uebersicht" TargetMode="External"/><Relationship Id="rId9" Type="http://schemas.openxmlformats.org/officeDocument/2006/relationships/hyperlink" Target="https://www.vereinsbuchhaltung.ch/erweiterung-buchhaltungssoftware" TargetMode="External"/><Relationship Id="rId14" Type="http://schemas.openxmlformats.org/officeDocument/2006/relationships/hyperlink" Target="https://member.veb.ch/hubfs/01_Content/03_Dokumente/01_Broschueren/SwissAccounting_leitfaden_vereine.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vereinsbuchhaltung.ch/bestellformular/" TargetMode="External"/><Relationship Id="rId1" Type="http://schemas.openxmlformats.org/officeDocument/2006/relationships/hyperlink" Target="https://www.vereinsbuchhaltung.ch/referenzen"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E0A83-16CD-4863-893B-A6571D8CAF9C}">
  <dimension ref="A1:L47"/>
  <sheetViews>
    <sheetView tabSelected="1" workbookViewId="0">
      <pane ySplit="1" topLeftCell="A2" activePane="bottomLeft" state="frozen"/>
      <selection pane="bottomLeft"/>
    </sheetView>
  </sheetViews>
  <sheetFormatPr baseColWidth="10" defaultRowHeight="12.5" x14ac:dyDescent="0.25"/>
  <cols>
    <col min="1" max="1" width="96.1796875" style="255" customWidth="1"/>
    <col min="2" max="2" width="3" style="254" customWidth="1"/>
    <col min="3" max="4" width="4" style="255" customWidth="1"/>
    <col min="5" max="16384" width="10.90625" style="255"/>
  </cols>
  <sheetData>
    <row r="1" spans="1:5" ht="27" customHeight="1" x14ac:dyDescent="0.35">
      <c r="A1" s="253" t="s">
        <v>228</v>
      </c>
      <c r="C1" s="253" t="s">
        <v>109</v>
      </c>
    </row>
    <row r="2" spans="1:5" ht="24" customHeight="1" x14ac:dyDescent="0.25">
      <c r="A2" s="256"/>
      <c r="C2" s="255" t="s">
        <v>106</v>
      </c>
    </row>
    <row r="3" spans="1:5" ht="25" x14ac:dyDescent="0.25">
      <c r="A3" s="256" t="s">
        <v>229</v>
      </c>
      <c r="C3" s="255" t="s">
        <v>107</v>
      </c>
    </row>
    <row r="4" spans="1:5" x14ac:dyDescent="0.25">
      <c r="C4" s="255" t="s">
        <v>108</v>
      </c>
    </row>
    <row r="5" spans="1:5" ht="13" x14ac:dyDescent="0.3">
      <c r="A5" s="257" t="s">
        <v>230</v>
      </c>
    </row>
    <row r="6" spans="1:5" ht="13" x14ac:dyDescent="0.3">
      <c r="C6" s="257" t="s">
        <v>115</v>
      </c>
    </row>
    <row r="7" spans="1:5" ht="13" x14ac:dyDescent="0.3">
      <c r="A7" s="255" t="s">
        <v>231</v>
      </c>
      <c r="C7" s="257"/>
      <c r="D7" s="255" t="s">
        <v>179</v>
      </c>
    </row>
    <row r="8" spans="1:5" ht="13" x14ac:dyDescent="0.3">
      <c r="A8" s="255" t="s">
        <v>232</v>
      </c>
      <c r="C8" s="257"/>
      <c r="E8" s="127" t="s">
        <v>178</v>
      </c>
    </row>
    <row r="9" spans="1:5" ht="13" x14ac:dyDescent="0.3">
      <c r="A9" s="255" t="s">
        <v>233</v>
      </c>
      <c r="C9" s="257"/>
      <c r="D9" s="255" t="s">
        <v>3</v>
      </c>
    </row>
    <row r="10" spans="1:5" ht="13" x14ac:dyDescent="0.3">
      <c r="A10" s="255" t="s">
        <v>292</v>
      </c>
      <c r="C10" s="257"/>
      <c r="E10" s="127" t="s">
        <v>180</v>
      </c>
    </row>
    <row r="11" spans="1:5" ht="13" x14ac:dyDescent="0.3">
      <c r="A11" s="255" t="s">
        <v>293</v>
      </c>
      <c r="C11" s="257"/>
      <c r="D11" s="255" t="s">
        <v>110</v>
      </c>
    </row>
    <row r="12" spans="1:5" ht="13" x14ac:dyDescent="0.3">
      <c r="A12" s="127" t="s">
        <v>291</v>
      </c>
      <c r="C12" s="257"/>
      <c r="E12" s="127" t="s">
        <v>181</v>
      </c>
    </row>
    <row r="13" spans="1:5" ht="13" x14ac:dyDescent="0.3">
      <c r="A13" s="261" t="s">
        <v>294</v>
      </c>
      <c r="C13" s="257"/>
      <c r="D13" s="255" t="s">
        <v>183</v>
      </c>
    </row>
    <row r="14" spans="1:5" ht="13" x14ac:dyDescent="0.3">
      <c r="A14" s="258" t="s">
        <v>234</v>
      </c>
      <c r="C14" s="257"/>
      <c r="E14" s="127" t="s">
        <v>182</v>
      </c>
    </row>
    <row r="15" spans="1:5" ht="21.5" customHeight="1" x14ac:dyDescent="0.3">
      <c r="A15" s="255" t="s">
        <v>235</v>
      </c>
      <c r="C15" s="257" t="s">
        <v>116</v>
      </c>
      <c r="E15" s="127"/>
    </row>
    <row r="16" spans="1:5" ht="13" x14ac:dyDescent="0.3">
      <c r="A16" s="255" t="s">
        <v>236</v>
      </c>
      <c r="C16" s="257"/>
      <c r="D16" s="255" t="s">
        <v>111</v>
      </c>
    </row>
    <row r="17" spans="1:5" ht="13" x14ac:dyDescent="0.3">
      <c r="A17" s="255" t="s">
        <v>237</v>
      </c>
      <c r="C17" s="257"/>
      <c r="E17" s="127" t="s">
        <v>184</v>
      </c>
    </row>
    <row r="18" spans="1:5" ht="13" x14ac:dyDescent="0.3">
      <c r="A18" s="255" t="s">
        <v>238</v>
      </c>
      <c r="C18" s="257"/>
      <c r="D18" s="255" t="s">
        <v>112</v>
      </c>
    </row>
    <row r="19" spans="1:5" ht="13" x14ac:dyDescent="0.3">
      <c r="A19" s="255" t="s">
        <v>239</v>
      </c>
      <c r="C19" s="257"/>
      <c r="E19" s="127" t="s">
        <v>185</v>
      </c>
    </row>
    <row r="20" spans="1:5" ht="13" x14ac:dyDescent="0.3">
      <c r="A20" s="255" t="s">
        <v>240</v>
      </c>
      <c r="C20" s="257"/>
      <c r="D20" s="255" t="s">
        <v>207</v>
      </c>
      <c r="E20" s="127"/>
    </row>
    <row r="21" spans="1:5" ht="13" x14ac:dyDescent="0.3">
      <c r="A21" s="255" t="s">
        <v>241</v>
      </c>
      <c r="C21" s="257"/>
      <c r="E21" s="127" t="s">
        <v>208</v>
      </c>
    </row>
    <row r="22" spans="1:5" ht="18.5" customHeight="1" x14ac:dyDescent="0.3">
      <c r="A22" s="255" t="s">
        <v>242</v>
      </c>
      <c r="C22" s="257" t="s">
        <v>16</v>
      </c>
    </row>
    <row r="23" spans="1:5" ht="13" x14ac:dyDescent="0.3">
      <c r="A23" s="255" t="s">
        <v>243</v>
      </c>
      <c r="C23" s="257"/>
      <c r="D23" s="255" t="s">
        <v>4</v>
      </c>
    </row>
    <row r="24" spans="1:5" x14ac:dyDescent="0.25">
      <c r="A24" s="255" t="s">
        <v>244</v>
      </c>
      <c r="E24" s="127" t="s">
        <v>186</v>
      </c>
    </row>
    <row r="25" spans="1:5" x14ac:dyDescent="0.25">
      <c r="A25" s="255" t="s">
        <v>245</v>
      </c>
      <c r="D25" s="255" t="s">
        <v>18</v>
      </c>
    </row>
    <row r="26" spans="1:5" x14ac:dyDescent="0.25">
      <c r="A26" s="255" t="s">
        <v>246</v>
      </c>
      <c r="E26" s="127" t="s">
        <v>187</v>
      </c>
    </row>
    <row r="27" spans="1:5" ht="17.5" customHeight="1" x14ac:dyDescent="0.3">
      <c r="A27" s="255" t="s">
        <v>247</v>
      </c>
      <c r="C27" s="257" t="s">
        <v>17</v>
      </c>
    </row>
    <row r="28" spans="1:5" x14ac:dyDescent="0.25">
      <c r="A28" s="255" t="s">
        <v>248</v>
      </c>
      <c r="D28" s="255" t="s">
        <v>5</v>
      </c>
    </row>
    <row r="29" spans="1:5" x14ac:dyDescent="0.25">
      <c r="A29" s="127" t="s">
        <v>249</v>
      </c>
      <c r="E29" s="127" t="s">
        <v>188</v>
      </c>
    </row>
    <row r="30" spans="1:5" ht="20" customHeight="1" x14ac:dyDescent="0.3">
      <c r="C30" s="257" t="s">
        <v>117</v>
      </c>
      <c r="E30" s="127"/>
    </row>
    <row r="31" spans="1:5" ht="13" x14ac:dyDescent="0.3">
      <c r="C31" s="257"/>
      <c r="D31" s="255" t="s">
        <v>189</v>
      </c>
    </row>
    <row r="32" spans="1:5" ht="13" x14ac:dyDescent="0.3">
      <c r="C32" s="257"/>
      <c r="E32" s="127" t="s">
        <v>190</v>
      </c>
    </row>
    <row r="33" spans="3:12" ht="13" x14ac:dyDescent="0.3">
      <c r="C33" s="257"/>
      <c r="D33" s="255" t="s">
        <v>114</v>
      </c>
    </row>
    <row r="34" spans="3:12" ht="13" x14ac:dyDescent="0.3">
      <c r="C34" s="257"/>
      <c r="E34" s="127" t="s">
        <v>192</v>
      </c>
    </row>
    <row r="35" spans="3:12" ht="13" x14ac:dyDescent="0.3">
      <c r="C35" s="257"/>
      <c r="D35" s="255" t="s">
        <v>113</v>
      </c>
    </row>
    <row r="36" spans="3:12" ht="13" x14ac:dyDescent="0.3">
      <c r="C36" s="257"/>
      <c r="E36" s="127" t="s">
        <v>195</v>
      </c>
    </row>
    <row r="37" spans="3:12" ht="13" x14ac:dyDescent="0.3">
      <c r="C37" s="257"/>
      <c r="E37" s="127" t="s">
        <v>193</v>
      </c>
    </row>
    <row r="38" spans="3:12" ht="13" x14ac:dyDescent="0.3">
      <c r="C38" s="257"/>
      <c r="D38" s="255" t="s">
        <v>212</v>
      </c>
      <c r="E38" s="127"/>
    </row>
    <row r="39" spans="3:12" ht="13" x14ac:dyDescent="0.3">
      <c r="C39" s="257"/>
      <c r="E39" s="127" t="s">
        <v>211</v>
      </c>
    </row>
    <row r="40" spans="3:12" ht="13" x14ac:dyDescent="0.3">
      <c r="C40" s="257"/>
      <c r="D40" s="255" t="s">
        <v>121</v>
      </c>
    </row>
    <row r="41" spans="3:12" ht="13" x14ac:dyDescent="0.3">
      <c r="C41" s="257"/>
      <c r="E41" s="127" t="s">
        <v>194</v>
      </c>
    </row>
    <row r="42" spans="3:12" ht="13" x14ac:dyDescent="0.3">
      <c r="C42" s="257"/>
      <c r="D42" s="255" t="s">
        <v>196</v>
      </c>
      <c r="E42" s="127"/>
    </row>
    <row r="43" spans="3:12" ht="13" x14ac:dyDescent="0.3">
      <c r="C43" s="257"/>
      <c r="E43" s="127" t="s">
        <v>191</v>
      </c>
    </row>
    <row r="44" spans="3:12" ht="13" x14ac:dyDescent="0.3">
      <c r="C44" s="257"/>
    </row>
    <row r="45" spans="3:12" x14ac:dyDescent="0.25">
      <c r="C45" s="262" t="s">
        <v>134</v>
      </c>
      <c r="D45" s="263"/>
      <c r="E45" s="263"/>
      <c r="F45" s="263"/>
      <c r="G45" s="263"/>
      <c r="H45" s="263"/>
      <c r="I45" s="263"/>
      <c r="J45" s="263"/>
      <c r="K45" s="263"/>
      <c r="L45" s="263"/>
    </row>
    <row r="46" spans="3:12" x14ac:dyDescent="0.25">
      <c r="C46" s="263"/>
      <c r="D46" s="263"/>
      <c r="E46" s="263"/>
      <c r="F46" s="263"/>
      <c r="G46" s="263"/>
      <c r="H46" s="263"/>
      <c r="I46" s="263"/>
      <c r="J46" s="263"/>
      <c r="K46" s="263"/>
      <c r="L46" s="263"/>
    </row>
    <row r="47" spans="3:12" ht="44" customHeight="1" x14ac:dyDescent="0.25">
      <c r="C47" s="263"/>
      <c r="D47" s="263"/>
      <c r="E47" s="263"/>
      <c r="F47" s="263"/>
      <c r="G47" s="263"/>
      <c r="H47" s="263"/>
      <c r="I47" s="263"/>
      <c r="J47" s="263"/>
      <c r="K47" s="263"/>
      <c r="L47" s="263"/>
    </row>
  </sheetData>
  <sheetProtection sheet="1" formatCells="0" formatRows="0"/>
  <mergeCells count="1">
    <mergeCell ref="C45:L47"/>
  </mergeCells>
  <hyperlinks>
    <hyperlink ref="E8" r:id="rId1" xr:uid="{A8DA4AD1-DA3D-48BE-8B4A-84FB888205D2}"/>
    <hyperlink ref="E10" r:id="rId2" xr:uid="{150D3FE0-E74B-4B50-8132-700C8762E6CF}"/>
    <hyperlink ref="E14" r:id="rId3" xr:uid="{1AEA3B7B-7A2E-419E-A2E1-3EA1D9737710}"/>
    <hyperlink ref="E24" r:id="rId4" xr:uid="{7BF31E78-CFDF-4A9A-8D95-7E00000A9EE7}"/>
    <hyperlink ref="E26" r:id="rId5" xr:uid="{FEF308C6-813D-40E6-BAA2-32E65E03EA74}"/>
    <hyperlink ref="E17" r:id="rId6" xr:uid="{10FFA470-70C8-4DA0-9186-E208BADCC88D}"/>
    <hyperlink ref="E29" r:id="rId7" xr:uid="{AC73BCC3-7E76-4B0A-A1B7-9F200222EFA7}"/>
    <hyperlink ref="E32" r:id="rId8" xr:uid="{32089A10-718E-4CD7-BB25-23243866164A}"/>
    <hyperlink ref="E34" r:id="rId9" xr:uid="{A1FC1BD4-3F7E-4AD3-8A1A-1CBFCDBB808E}"/>
    <hyperlink ref="E37" r:id="rId10" location="Modul-A-2-System-doppelte-Buchhaltung-Konten-Arten-Abschluss-Bilanz-Erfolgsrechnung-Gewinn-Verlust-Verbuchung-Eroeffnung-Kontenrahmen-Geschaeftsfall-Auswirkung-Erfolg-Liquiditaet-Beleg-Kontierung-Uebersicht-Grobgliederung-Vermoegen-Umlauf-Anlage-Kapital-Fremd-Eigen-Bilanzsumme" display="https://buchen.ch/#Modul-A-2-System-doppelte-Buchhaltung-Konten-Arten-Abschluss-Bilanz-Erfolgsrechnung-Gewinn-Verlust-Verbuchung-Eroeffnung-Kontenrahmen-Geschaeftsfall-Auswirkung-Erfolg-Liquiditaet-Beleg-Kontierung-Uebersicht-Grobgliederung-Vermoegen-Umlauf-Anlage-Kapital-Fremd-Eigen-Bilanzsumme" xr:uid="{B67E2361-0751-44E7-A60C-51DDAE1A6078}"/>
    <hyperlink ref="E41" r:id="rId11" xr:uid="{A6D322D9-BE7A-4319-9F51-CC29DD3838E5}"/>
    <hyperlink ref="E36" r:id="rId12" xr:uid="{C15A1DF0-DFE4-4EFD-ADF0-FAFEA791D1A3}"/>
    <hyperlink ref="E21" r:id="rId13" location="/" xr:uid="{81A14182-8265-4F2A-8640-7EBB3FF80904}"/>
    <hyperlink ref="E39" r:id="rId14" xr:uid="{E0B97B0F-B010-404D-88A8-65E1D4A36B67}"/>
    <hyperlink ref="A14" r:id="rId15" xr:uid="{F9DD951B-529A-41C7-9DF4-7C246CA27A52}"/>
    <hyperlink ref="A29" r:id="rId16" xr:uid="{3DA412B2-8AE1-48A2-883C-C9B96888FCE5}"/>
    <hyperlink ref="A12" r:id="rId17" display="     (z.B. zu Sportverein oder Musikverein) auf https://www.vereinsbuchhaltung.ch/softwaredownloads." xr:uid="{44A5B6D8-D7C7-4550-8EBE-7F7D8A47947D}"/>
    <hyperlink ref="A13" r:id="rId18" xr:uid="{40C393BE-E50C-425E-B181-6692CE5D7CFD}"/>
  </hyperlinks>
  <pageMargins left="0.7" right="0.7" top="0.78740157499999996" bottom="0.78740157499999996" header="0.3" footer="0.3"/>
  <pageSetup paperSize="9" orientation="portrait" horizontalDpi="0" verticalDpi="0" r:id="rId1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401"/>
  <sheetViews>
    <sheetView topLeftCell="C1" workbookViewId="0">
      <pane ySplit="8" topLeftCell="A9" activePane="bottomLeft" state="frozen"/>
      <selection activeCell="C1" sqref="C1"/>
      <selection pane="bottomLeft" activeCell="C9" sqref="C9"/>
    </sheetView>
  </sheetViews>
  <sheetFormatPr baseColWidth="10" defaultRowHeight="12.5" x14ac:dyDescent="0.25"/>
  <cols>
    <col min="1" max="2" width="11.453125" hidden="1" customWidth="1"/>
    <col min="3" max="3" width="15.26953125" customWidth="1"/>
    <col min="4" max="4" width="26.453125" customWidth="1"/>
    <col min="5" max="5" width="11.7265625" customWidth="1"/>
    <col min="6" max="6" width="30.81640625" customWidth="1"/>
    <col min="7" max="7" width="11.453125" hidden="1" customWidth="1"/>
    <col min="8" max="8" width="3.54296875" hidden="1" customWidth="1"/>
    <col min="9" max="9" width="70.453125" customWidth="1"/>
    <col min="10" max="11" width="11.453125" customWidth="1"/>
    <col min="12" max="32" width="11.453125" hidden="1" customWidth="1"/>
    <col min="33" max="37" width="10.90625" hidden="1" customWidth="1"/>
    <col min="38" max="38" width="0" hidden="1" customWidth="1"/>
  </cols>
  <sheetData>
    <row r="1" spans="1:36" ht="133" customHeight="1" x14ac:dyDescent="0.25">
      <c r="C1" s="264" t="s">
        <v>214</v>
      </c>
      <c r="D1" s="265"/>
      <c r="E1" s="265"/>
      <c r="F1" s="265"/>
      <c r="G1" s="266"/>
      <c r="H1" s="266"/>
      <c r="I1" s="266"/>
      <c r="Y1">
        <f>ROUND(MAX(Y9:Y128),0)</f>
        <v>38</v>
      </c>
      <c r="Z1">
        <f>ROUND(MAX(Z9:Z128),0)</f>
        <v>2</v>
      </c>
      <c r="AA1">
        <f>ROUND(MAX(AA9:AA128),0)</f>
        <v>3</v>
      </c>
    </row>
    <row r="2" spans="1:36" ht="39.5" customHeight="1" x14ac:dyDescent="0.25">
      <c r="C2" s="172"/>
      <c r="D2" s="267" t="str">
        <f>IF(Calc!J2="","Bitte Vereins-/Firmennamen im Register Journal eingeben",CONCATENATE("Kontenplan ",Journal!D1))</f>
        <v>Bitte Vereins-/Firmennamen im Register Journal eingeben</v>
      </c>
      <c r="E2" s="267"/>
      <c r="F2" s="267"/>
      <c r="I2" s="163" t="str">
        <f>IF(AND(N9&lt;&gt;"",N10&lt;&gt;""),"Bitte keine Konten löschen oder hinzufügen, da sonst Vorjahreswerte und Budgetwerte in Bilanz und Erfolgsrechnung nicht mehr stimmen.",CONCATENATE(N9," ",N10))</f>
        <v xml:space="preserve"> </v>
      </c>
      <c r="N2" t="s">
        <v>215</v>
      </c>
      <c r="R2" t="s">
        <v>44</v>
      </c>
      <c r="S2" t="s">
        <v>45</v>
      </c>
      <c r="T2" t="s">
        <v>46</v>
      </c>
      <c r="U2" t="s">
        <v>47</v>
      </c>
      <c r="W2" t="s">
        <v>48</v>
      </c>
      <c r="Y2" s="166" t="s">
        <v>151</v>
      </c>
      <c r="Z2" t="s">
        <v>7</v>
      </c>
      <c r="AA2" t="s">
        <v>8</v>
      </c>
      <c r="AB2" t="s">
        <v>9</v>
      </c>
      <c r="AC2" t="s">
        <v>47</v>
      </c>
      <c r="AG2" s="166" t="s">
        <v>136</v>
      </c>
      <c r="AH2" s="166"/>
      <c r="AI2" s="166" t="s">
        <v>285</v>
      </c>
      <c r="AJ2" s="166" t="s">
        <v>286</v>
      </c>
    </row>
    <row r="3" spans="1:36" ht="75" hidden="1" x14ac:dyDescent="0.25">
      <c r="C3" t="s">
        <v>49</v>
      </c>
      <c r="D3" s="3"/>
      <c r="E3" s="3"/>
      <c r="F3" s="4" t="str">
        <f>CONCATENATE("ist keine zulässige Bezeichnung für eine Kontenkategorie. Bitte ändern Sie diese in ",F4,", sonst entstehen Fehler in Berechnungen.")</f>
        <v>ist keine zulässige Bezeichnung für eine Kontenkategorie. Bitte ändern Sie diese in Aktivkonto, Passivkonto, Aufwandskonto oder Ertragskonto, sonst entstehen Fehler in Berechnungen.</v>
      </c>
      <c r="G3" s="2"/>
    </row>
    <row r="4" spans="1:36" ht="25" hidden="1" x14ac:dyDescent="0.25">
      <c r="C4" t="s">
        <v>50</v>
      </c>
      <c r="D4" s="3"/>
      <c r="E4" s="3"/>
      <c r="F4" s="4" t="str">
        <f>CONCATENATE(C3,", ",C4,", ",C5," oder ",C6)</f>
        <v>Aktivkonto, Passivkonto, Aufwandskonto oder Ertragskonto</v>
      </c>
      <c r="G4" s="2"/>
    </row>
    <row r="5" spans="1:36" hidden="1" x14ac:dyDescent="0.25">
      <c r="C5" t="s">
        <v>51</v>
      </c>
      <c r="D5" s="3"/>
      <c r="E5" s="3"/>
      <c r="F5" s="3"/>
      <c r="G5" s="2"/>
    </row>
    <row r="6" spans="1:36" hidden="1" x14ac:dyDescent="0.25">
      <c r="C6" t="s">
        <v>52</v>
      </c>
      <c r="D6" s="3"/>
      <c r="E6" s="3"/>
      <c r="F6" s="3"/>
      <c r="G6" s="2"/>
    </row>
    <row r="7" spans="1:36" hidden="1" x14ac:dyDescent="0.25">
      <c r="C7" t="s">
        <v>53</v>
      </c>
      <c r="D7" s="3"/>
      <c r="E7" s="3"/>
      <c r="F7" s="3"/>
      <c r="G7" s="2"/>
    </row>
    <row r="8" spans="1:36" ht="31.5" customHeight="1" x14ac:dyDescent="0.25">
      <c r="A8" s="5" t="s">
        <v>54</v>
      </c>
      <c r="B8" s="5" t="s">
        <v>55</v>
      </c>
      <c r="C8" s="5" t="s">
        <v>56</v>
      </c>
      <c r="D8" s="5" t="s">
        <v>57</v>
      </c>
      <c r="E8" s="79" t="s">
        <v>84</v>
      </c>
      <c r="F8" s="5" t="s">
        <v>59</v>
      </c>
      <c r="G8" s="81"/>
      <c r="H8" s="80"/>
      <c r="I8" s="5" t="s">
        <v>60</v>
      </c>
      <c r="R8">
        <v>0</v>
      </c>
      <c r="S8">
        <v>0</v>
      </c>
      <c r="T8">
        <v>0</v>
      </c>
      <c r="U8">
        <v>0</v>
      </c>
      <c r="AG8" s="166">
        <f>VLOOKUP(1,AF9:AG127,2)</f>
        <v>3000</v>
      </c>
      <c r="AI8" s="166">
        <f>VLOOKUP(1,AH9:AI127,2)</f>
        <v>4000</v>
      </c>
      <c r="AJ8">
        <f>MIN(AG8:AI8)</f>
        <v>3000</v>
      </c>
    </row>
    <row r="9" spans="1:36" ht="13" x14ac:dyDescent="0.3">
      <c r="A9">
        <v>1</v>
      </c>
      <c r="B9">
        <v>1</v>
      </c>
      <c r="C9" s="6"/>
      <c r="D9" s="7" t="s">
        <v>295</v>
      </c>
      <c r="E9" s="156"/>
      <c r="F9" s="156"/>
      <c r="H9">
        <f t="shared" ref="H9:H33" si="0">C9</f>
        <v>0</v>
      </c>
      <c r="I9" s="9" t="str">
        <f>IF(AND(AND(C9="",D9="",E9="",F9=""),OR(C10&lt;&gt;"",D10&lt;&gt;"")),"Bitte diese Zeile nicht leer lassen",IF(AND(D9&lt;&gt;"",OR(C9&lt;&gt;"",E9&lt;&gt;"",F9&lt;&gt;"")),"Bitte Zeile nur als Titelzeile (Spalte D) oder als Kontozeile (andere Spalten) verwenden",IF(E9="","",IF(AND(E9&lt;&gt;"",F9&lt;&gt;"",C9=""),"Bitte gültige Kontokategorie (s. oben) zuweisen",IF(OR(E9&lt;1000,E9&gt;9999),CONCATENATE(E9," auf Spalte F ist keine vierstellige Kontonummer"),IF(OR(C9=C$3,C9=C$4,C9=C$5,C9=C$6),"","Bitte gültige Kontokategorie eingeben"))))))</f>
        <v/>
      </c>
      <c r="M9" s="10"/>
      <c r="N9" t="str">
        <f>IF(SUM(Bilanz!E9:E101)=0,"","Bitte keine Bilanzkonten löschen oder neu erfassen, da sonst der Vorjahresvergleich in der Bilanz nicht mehr funktioniert.    ")</f>
        <v/>
      </c>
      <c r="Q9">
        <f t="shared" ref="Q9:Q33" si="1">E9</f>
        <v>0</v>
      </c>
      <c r="R9">
        <f t="shared" ref="R9:R72" si="2">IF(OR(AND(D9&lt;&gt;"",C10="",C11=$C$3),AND(D9&lt;&gt;"",C10=$C$3)),R8+1,R8)</f>
        <v>1</v>
      </c>
      <c r="S9">
        <f t="shared" ref="S9:S72" si="3">IF(OR(AND(D9&lt;&gt;"",C10="",C11=$C$4),AND(D9&lt;&gt;"",C10=$C$4)),S8+1,S8)</f>
        <v>0</v>
      </c>
      <c r="T9">
        <f t="shared" ref="T9:T30" si="4">IF(OR(AND(D9&lt;&gt;"",C10="",C11=$C$5),AND(D9&lt;&gt;"",C10=$C$5)),T8+1,T8)</f>
        <v>0</v>
      </c>
      <c r="U9">
        <f t="shared" ref="U9:U30" si="5">IF(OR(AND(D9&lt;&gt;"",C10="",C11=$C$6),AND(D9&lt;&gt;"",C10=$C$6)),U8+1,U8)</f>
        <v>0</v>
      </c>
      <c r="W9">
        <f t="shared" ref="W9:W33" si="6">IF(E9="",W8+0.0001,E9)</f>
        <v>1E-4</v>
      </c>
      <c r="Y9">
        <f>IF(OR(C9="Aufwandskonto",C9="Ertragskonto"),Y8+1,Y8)</f>
        <v>0</v>
      </c>
      <c r="Z9">
        <f t="shared" ref="Z9:Z33" si="7">IF(T9-T8=0,Z8+0.00001,T9)</f>
        <v>1.0000000000000001E-5</v>
      </c>
      <c r="AA9">
        <f t="shared" ref="AA9:AA33" si="8">IF(U9-U8=0,AA8+0.00001,U9)</f>
        <v>1.0000000000000001E-5</v>
      </c>
      <c r="AB9" t="str">
        <f t="shared" ref="AB9:AB33" si="9">IF(T9-T8=0,"",D9)</f>
        <v/>
      </c>
      <c r="AC9" t="str">
        <f t="shared" ref="AC9:AC72" si="10">IF(U9-U8=0,"",D9)</f>
        <v/>
      </c>
      <c r="AF9">
        <f>IF(C9="Aufwandskonto",ROUND(AF8,0)+1,AF8+0.0001)</f>
        <v>1E-4</v>
      </c>
      <c r="AG9" t="str">
        <f>IF(AF9=1,E9,"")</f>
        <v/>
      </c>
      <c r="AH9">
        <f t="shared" ref="AH9:AH37" si="11">IF(C9="Ertragskonto",ROUND(AH8,0)+1,AH8+0.0001)</f>
        <v>1E-4</v>
      </c>
      <c r="AI9" t="str">
        <f>IF(AH9=1,E9,"")</f>
        <v/>
      </c>
    </row>
    <row r="10" spans="1:36" ht="13" x14ac:dyDescent="0.3">
      <c r="A10">
        <f>A9+1</f>
        <v>2</v>
      </c>
      <c r="B10">
        <f>B9+2</f>
        <v>3</v>
      </c>
      <c r="C10" s="6"/>
      <c r="D10" s="7" t="s">
        <v>296</v>
      </c>
      <c r="E10" s="156"/>
      <c r="F10" s="156"/>
      <c r="H10">
        <f t="shared" si="0"/>
        <v>0</v>
      </c>
      <c r="I10" s="9" t="str">
        <f>IF(AND(AND(C10="",D10="",E10="",F10=""),OR(C11&lt;&gt;"",D11&lt;&gt;"")),"Bitte diese Zeile nicht leer lassen",IF(AND(D10&lt;&gt;"",OR(C10&lt;&gt;"",E10&lt;&gt;"",F10&lt;&gt;"")),"Bitte Zeile nur als Titelzeile (Spalte D) oder als Kontozeile (andere Spalten) verwenden",IF(E10="","",IF(AND(E10&lt;&gt;"",F10&lt;&gt;"",C10=""),"Bitte gültige Kontokategorie (s. oben) zuweisen",IF(E10&lt;=E9,"Kontonummern müssen aufsteigend eingegeben werden.",IF(OR(E10&lt;1000,E10&gt;9999),CONCATENATE(E10," auf Spalte F ist keine vierstellige Kontonummer"),IF(OR(C10=C$3,C10=C$4,C10=C$5,C10=C$6),"","Bitte gültige Kontokategorie eingeben")))))))</f>
        <v/>
      </c>
      <c r="N10" t="str">
        <f>IF(AND(SUM('Budget und ER'!E7:E98)=0,SUM('Budget und ER'!G7:G98)=0),"","Bitte keine Aufwands- und Ertragskonten erfassen oder löschen, da sonst die Erfolgsrechnung nicht mehr funktioniert.")</f>
        <v/>
      </c>
      <c r="Q10">
        <f t="shared" si="1"/>
        <v>0</v>
      </c>
      <c r="R10">
        <f t="shared" si="2"/>
        <v>2</v>
      </c>
      <c r="S10">
        <f t="shared" si="3"/>
        <v>0</v>
      </c>
      <c r="T10">
        <f t="shared" si="4"/>
        <v>0</v>
      </c>
      <c r="U10">
        <f t="shared" si="5"/>
        <v>0</v>
      </c>
      <c r="W10">
        <f t="shared" si="6"/>
        <v>2.0000000000000001E-4</v>
      </c>
      <c r="Y10">
        <f t="shared" ref="Y10:Y73" si="12">IF(OR(C10="Aufwandskonto",C10="Ertragskonto"),Y9+1,Y9)</f>
        <v>0</v>
      </c>
      <c r="Z10">
        <f t="shared" si="7"/>
        <v>2.0000000000000002E-5</v>
      </c>
      <c r="AA10">
        <f t="shared" si="8"/>
        <v>2.0000000000000002E-5</v>
      </c>
      <c r="AB10" t="str">
        <f t="shared" si="9"/>
        <v/>
      </c>
      <c r="AC10" t="str">
        <f t="shared" si="10"/>
        <v/>
      </c>
      <c r="AF10">
        <f t="shared" ref="AF10:AF73" si="13">IF(C10="Aufwandskonto",ROUND(AF9,0)+1,AF9+0.0001)</f>
        <v>2.0000000000000001E-4</v>
      </c>
      <c r="AG10" t="str">
        <f t="shared" ref="AG10:AG73" si="14">IF(AF10=1,E10,"")</f>
        <v/>
      </c>
      <c r="AH10">
        <f t="shared" si="11"/>
        <v>2.0000000000000001E-4</v>
      </c>
      <c r="AI10" t="str">
        <f t="shared" ref="AI10:AI73" si="15">IF(AH10=1,E10,"")</f>
        <v/>
      </c>
    </row>
    <row r="11" spans="1:36" ht="12.75" customHeight="1" x14ac:dyDescent="0.3">
      <c r="A11">
        <f t="shared" ref="A11:A100" si="16">A10+1</f>
        <v>3</v>
      </c>
      <c r="B11">
        <f t="shared" ref="B11:B100" si="17">B10+2</f>
        <v>5</v>
      </c>
      <c r="C11" s="6" t="s">
        <v>49</v>
      </c>
      <c r="D11" s="7"/>
      <c r="E11" s="156">
        <v>1000</v>
      </c>
      <c r="F11" s="156" t="s">
        <v>135</v>
      </c>
      <c r="H11" t="str">
        <f t="shared" si="0"/>
        <v>Aktivkonto</v>
      </c>
      <c r="I11" s="9" t="str">
        <f t="shared" ref="I11:I48" si="18">IF(AND(AND(C11="",D11="",E11="",F11=""),OR(C12&lt;&gt;"",D12&lt;&gt;"")),"Bitte diese Zeile nicht leer lassen",IF(AND(D11&lt;&gt;"",OR(C11&lt;&gt;"",E11&lt;&gt;"",F11&lt;&gt;"")),"Bitte Zeile nur als Titelzeile (Spalte D) oder als Kontozeile (Spalten C, E, F) verwenden",IF(E11="","",IF(AND(E11&lt;&gt;"",F11&lt;&gt;"",C11=""),"Bitte gültige Kontokategorie (s. oben) zuweisen",IF(OR(E11&lt;=E10,E11&lt;=E9),"Kontonummern müssen aufsteigend eingegeben werden.",IF(OR(E11&lt;1000,E11&gt;9999),CONCATENATE(E11," auf Spalte F ist keine vierstellige Kontonummer"),IF(OR(C11=C$3,C11=C$4,C11=C$5,C11=C$6),"","Bitte gültige Kontokategorie eingeben")))))))</f>
        <v/>
      </c>
      <c r="Q11">
        <f t="shared" si="1"/>
        <v>1000</v>
      </c>
      <c r="R11">
        <f t="shared" si="2"/>
        <v>2</v>
      </c>
      <c r="S11">
        <f t="shared" si="3"/>
        <v>0</v>
      </c>
      <c r="T11">
        <f t="shared" si="4"/>
        <v>0</v>
      </c>
      <c r="U11">
        <f t="shared" si="5"/>
        <v>0</v>
      </c>
      <c r="W11">
        <f t="shared" si="6"/>
        <v>1000</v>
      </c>
      <c r="Y11">
        <f t="shared" si="12"/>
        <v>0</v>
      </c>
      <c r="Z11">
        <f t="shared" si="7"/>
        <v>3.0000000000000004E-5</v>
      </c>
      <c r="AA11">
        <f t="shared" si="8"/>
        <v>3.0000000000000004E-5</v>
      </c>
      <c r="AB11" t="str">
        <f t="shared" si="9"/>
        <v/>
      </c>
      <c r="AC11" t="str">
        <f t="shared" si="10"/>
        <v/>
      </c>
      <c r="AF11">
        <f t="shared" si="13"/>
        <v>3.0000000000000003E-4</v>
      </c>
      <c r="AG11" t="str">
        <f t="shared" si="14"/>
        <v/>
      </c>
      <c r="AH11">
        <f t="shared" si="11"/>
        <v>3.0000000000000003E-4</v>
      </c>
      <c r="AI11" t="str">
        <f t="shared" si="15"/>
        <v/>
      </c>
    </row>
    <row r="12" spans="1:36" ht="13" x14ac:dyDescent="0.3">
      <c r="A12">
        <f t="shared" si="16"/>
        <v>4</v>
      </c>
      <c r="B12">
        <f t="shared" si="17"/>
        <v>7</v>
      </c>
      <c r="C12" s="180" t="s">
        <v>49</v>
      </c>
      <c r="D12" s="7"/>
      <c r="E12" s="156">
        <v>1010</v>
      </c>
      <c r="F12" s="156" t="s">
        <v>254</v>
      </c>
      <c r="H12" t="str">
        <f t="shared" si="0"/>
        <v>Aktivkonto</v>
      </c>
      <c r="I12" s="9" t="str">
        <f t="shared" si="18"/>
        <v/>
      </c>
      <c r="Q12">
        <f t="shared" si="1"/>
        <v>1010</v>
      </c>
      <c r="R12">
        <f t="shared" si="2"/>
        <v>2</v>
      </c>
      <c r="S12">
        <f t="shared" si="3"/>
        <v>0</v>
      </c>
      <c r="T12">
        <f t="shared" si="4"/>
        <v>0</v>
      </c>
      <c r="U12">
        <f t="shared" si="5"/>
        <v>0</v>
      </c>
      <c r="W12">
        <f t="shared" si="6"/>
        <v>1010</v>
      </c>
      <c r="Y12">
        <f t="shared" si="12"/>
        <v>0</v>
      </c>
      <c r="Z12">
        <f t="shared" si="7"/>
        <v>4.0000000000000003E-5</v>
      </c>
      <c r="AA12">
        <f t="shared" si="8"/>
        <v>4.0000000000000003E-5</v>
      </c>
      <c r="AB12" t="str">
        <f t="shared" si="9"/>
        <v/>
      </c>
      <c r="AC12" t="str">
        <f t="shared" si="10"/>
        <v/>
      </c>
      <c r="AF12">
        <f t="shared" si="13"/>
        <v>4.0000000000000002E-4</v>
      </c>
      <c r="AG12" t="str">
        <f t="shared" si="14"/>
        <v/>
      </c>
      <c r="AH12">
        <f t="shared" si="11"/>
        <v>4.0000000000000002E-4</v>
      </c>
      <c r="AI12" t="str">
        <f t="shared" si="15"/>
        <v/>
      </c>
    </row>
    <row r="13" spans="1:36" ht="15" customHeight="1" x14ac:dyDescent="0.3">
      <c r="A13">
        <f t="shared" si="16"/>
        <v>5</v>
      </c>
      <c r="B13">
        <f t="shared" si="17"/>
        <v>9</v>
      </c>
      <c r="C13" s="6" t="s">
        <v>49</v>
      </c>
      <c r="D13" s="7"/>
      <c r="E13" s="156">
        <v>1020</v>
      </c>
      <c r="F13" s="156" t="s">
        <v>255</v>
      </c>
      <c r="H13" t="str">
        <f t="shared" si="0"/>
        <v>Aktivkonto</v>
      </c>
      <c r="I13" s="9" t="str">
        <f t="shared" si="18"/>
        <v/>
      </c>
      <c r="Q13">
        <f t="shared" si="1"/>
        <v>1020</v>
      </c>
      <c r="R13">
        <f t="shared" si="2"/>
        <v>2</v>
      </c>
      <c r="S13">
        <f t="shared" si="3"/>
        <v>0</v>
      </c>
      <c r="T13">
        <f t="shared" si="4"/>
        <v>0</v>
      </c>
      <c r="U13">
        <f t="shared" si="5"/>
        <v>0</v>
      </c>
      <c r="W13">
        <f t="shared" si="6"/>
        <v>1020</v>
      </c>
      <c r="Y13">
        <f t="shared" si="12"/>
        <v>0</v>
      </c>
      <c r="Z13">
        <f t="shared" si="7"/>
        <v>5.0000000000000002E-5</v>
      </c>
      <c r="AA13">
        <f t="shared" si="8"/>
        <v>5.0000000000000002E-5</v>
      </c>
      <c r="AB13" t="str">
        <f t="shared" si="9"/>
        <v/>
      </c>
      <c r="AC13" t="str">
        <f t="shared" si="10"/>
        <v/>
      </c>
      <c r="AF13">
        <f t="shared" si="13"/>
        <v>5.0000000000000001E-4</v>
      </c>
      <c r="AG13" t="str">
        <f t="shared" si="14"/>
        <v/>
      </c>
      <c r="AH13">
        <f t="shared" si="11"/>
        <v>5.0000000000000001E-4</v>
      </c>
      <c r="AI13" t="str">
        <f t="shared" si="15"/>
        <v/>
      </c>
    </row>
    <row r="14" spans="1:36" ht="13" x14ac:dyDescent="0.3">
      <c r="A14">
        <f t="shared" si="16"/>
        <v>6</v>
      </c>
      <c r="B14">
        <f t="shared" si="17"/>
        <v>11</v>
      </c>
      <c r="C14" s="180" t="s">
        <v>49</v>
      </c>
      <c r="D14" s="7"/>
      <c r="E14" s="156">
        <v>1021</v>
      </c>
      <c r="F14" s="156" t="s">
        <v>256</v>
      </c>
      <c r="H14" t="str">
        <f t="shared" si="0"/>
        <v>Aktivkonto</v>
      </c>
      <c r="I14" s="9" t="str">
        <f t="shared" si="18"/>
        <v/>
      </c>
      <c r="Q14">
        <f t="shared" si="1"/>
        <v>1021</v>
      </c>
      <c r="R14">
        <f t="shared" si="2"/>
        <v>2</v>
      </c>
      <c r="S14">
        <f t="shared" si="3"/>
        <v>0</v>
      </c>
      <c r="T14">
        <f t="shared" si="4"/>
        <v>0</v>
      </c>
      <c r="U14">
        <f t="shared" si="5"/>
        <v>0</v>
      </c>
      <c r="W14">
        <f t="shared" si="6"/>
        <v>1021</v>
      </c>
      <c r="Y14">
        <f t="shared" si="12"/>
        <v>0</v>
      </c>
      <c r="Z14">
        <f t="shared" si="7"/>
        <v>6.0000000000000002E-5</v>
      </c>
      <c r="AA14">
        <f t="shared" si="8"/>
        <v>6.0000000000000002E-5</v>
      </c>
      <c r="AB14" t="str">
        <f t="shared" si="9"/>
        <v/>
      </c>
      <c r="AC14" t="str">
        <f t="shared" si="10"/>
        <v/>
      </c>
      <c r="AF14">
        <f t="shared" si="13"/>
        <v>6.0000000000000006E-4</v>
      </c>
      <c r="AG14" t="str">
        <f t="shared" si="14"/>
        <v/>
      </c>
      <c r="AH14">
        <f t="shared" si="11"/>
        <v>6.0000000000000006E-4</v>
      </c>
      <c r="AI14" t="str">
        <f t="shared" si="15"/>
        <v/>
      </c>
    </row>
    <row r="15" spans="1:36" ht="13" x14ac:dyDescent="0.3">
      <c r="A15">
        <f t="shared" si="16"/>
        <v>7</v>
      </c>
      <c r="B15">
        <f t="shared" si="17"/>
        <v>13</v>
      </c>
      <c r="C15" s="180" t="s">
        <v>49</v>
      </c>
      <c r="D15" s="7"/>
      <c r="E15" s="156">
        <v>1040</v>
      </c>
      <c r="F15" s="156" t="s">
        <v>297</v>
      </c>
      <c r="H15" t="str">
        <f t="shared" si="0"/>
        <v>Aktivkonto</v>
      </c>
      <c r="I15" s="9" t="str">
        <f t="shared" si="18"/>
        <v/>
      </c>
      <c r="Q15">
        <f t="shared" si="1"/>
        <v>1040</v>
      </c>
      <c r="R15">
        <f t="shared" si="2"/>
        <v>2</v>
      </c>
      <c r="S15">
        <f t="shared" si="3"/>
        <v>0</v>
      </c>
      <c r="T15">
        <f t="shared" si="4"/>
        <v>0</v>
      </c>
      <c r="U15">
        <f t="shared" si="5"/>
        <v>0</v>
      </c>
      <c r="W15">
        <f t="shared" si="6"/>
        <v>1040</v>
      </c>
      <c r="Y15">
        <f t="shared" si="12"/>
        <v>0</v>
      </c>
      <c r="Z15">
        <f t="shared" si="7"/>
        <v>7.0000000000000007E-5</v>
      </c>
      <c r="AA15">
        <f t="shared" si="8"/>
        <v>7.0000000000000007E-5</v>
      </c>
      <c r="AB15" t="str">
        <f t="shared" si="9"/>
        <v/>
      </c>
      <c r="AC15" t="str">
        <f t="shared" si="10"/>
        <v/>
      </c>
      <c r="AF15">
        <f t="shared" si="13"/>
        <v>7.000000000000001E-4</v>
      </c>
      <c r="AG15" t="str">
        <f t="shared" si="14"/>
        <v/>
      </c>
      <c r="AH15">
        <f t="shared" si="11"/>
        <v>7.000000000000001E-4</v>
      </c>
      <c r="AI15" t="str">
        <f t="shared" si="15"/>
        <v/>
      </c>
    </row>
    <row r="16" spans="1:36" ht="13" x14ac:dyDescent="0.3">
      <c r="A16">
        <f t="shared" si="16"/>
        <v>8</v>
      </c>
      <c r="B16">
        <f t="shared" si="17"/>
        <v>15</v>
      </c>
      <c r="C16" s="6"/>
      <c r="D16" s="7" t="s">
        <v>257</v>
      </c>
      <c r="E16" s="156"/>
      <c r="F16" s="156"/>
      <c r="H16">
        <f t="shared" si="0"/>
        <v>0</v>
      </c>
      <c r="I16" s="9" t="str">
        <f t="shared" si="18"/>
        <v/>
      </c>
      <c r="Q16">
        <f t="shared" si="1"/>
        <v>0</v>
      </c>
      <c r="R16">
        <f t="shared" si="2"/>
        <v>3</v>
      </c>
      <c r="S16">
        <f t="shared" si="3"/>
        <v>0</v>
      </c>
      <c r="T16">
        <f t="shared" si="4"/>
        <v>0</v>
      </c>
      <c r="U16">
        <f t="shared" si="5"/>
        <v>0</v>
      </c>
      <c r="W16">
        <f t="shared" si="6"/>
        <v>1040.0001</v>
      </c>
      <c r="Y16">
        <f t="shared" si="12"/>
        <v>0</v>
      </c>
      <c r="Z16">
        <f t="shared" si="7"/>
        <v>8.0000000000000007E-5</v>
      </c>
      <c r="AA16">
        <f t="shared" si="8"/>
        <v>8.0000000000000007E-5</v>
      </c>
      <c r="AB16" t="str">
        <f t="shared" si="9"/>
        <v/>
      </c>
      <c r="AC16" t="str">
        <f t="shared" si="10"/>
        <v/>
      </c>
      <c r="AF16">
        <f t="shared" si="13"/>
        <v>8.0000000000000015E-4</v>
      </c>
      <c r="AG16" t="str">
        <f t="shared" si="14"/>
        <v/>
      </c>
      <c r="AH16">
        <f t="shared" si="11"/>
        <v>8.0000000000000015E-4</v>
      </c>
      <c r="AI16" t="str">
        <f t="shared" si="15"/>
        <v/>
      </c>
    </row>
    <row r="17" spans="1:35" ht="13" x14ac:dyDescent="0.3">
      <c r="A17">
        <f t="shared" si="16"/>
        <v>9</v>
      </c>
      <c r="B17">
        <f t="shared" si="17"/>
        <v>17</v>
      </c>
      <c r="C17" s="6" t="s">
        <v>49</v>
      </c>
      <c r="D17" s="7"/>
      <c r="E17" s="156">
        <v>1100</v>
      </c>
      <c r="F17" s="156" t="s">
        <v>258</v>
      </c>
      <c r="H17" t="str">
        <f t="shared" si="0"/>
        <v>Aktivkonto</v>
      </c>
      <c r="I17" s="9" t="str">
        <f t="shared" si="18"/>
        <v/>
      </c>
      <c r="Q17">
        <f t="shared" si="1"/>
        <v>1100</v>
      </c>
      <c r="R17">
        <f t="shared" si="2"/>
        <v>3</v>
      </c>
      <c r="S17">
        <f t="shared" si="3"/>
        <v>0</v>
      </c>
      <c r="T17">
        <f t="shared" si="4"/>
        <v>0</v>
      </c>
      <c r="U17">
        <f t="shared" si="5"/>
        <v>0</v>
      </c>
      <c r="W17">
        <f t="shared" si="6"/>
        <v>1100</v>
      </c>
      <c r="Y17">
        <f t="shared" si="12"/>
        <v>0</v>
      </c>
      <c r="Z17">
        <f t="shared" si="7"/>
        <v>9.0000000000000006E-5</v>
      </c>
      <c r="AA17">
        <f t="shared" si="8"/>
        <v>9.0000000000000006E-5</v>
      </c>
      <c r="AB17" t="str">
        <f t="shared" si="9"/>
        <v/>
      </c>
      <c r="AC17" t="str">
        <f t="shared" si="10"/>
        <v/>
      </c>
      <c r="AF17">
        <f t="shared" si="13"/>
        <v>9.0000000000000019E-4</v>
      </c>
      <c r="AG17" t="str">
        <f t="shared" si="14"/>
        <v/>
      </c>
      <c r="AH17">
        <f t="shared" si="11"/>
        <v>9.0000000000000019E-4</v>
      </c>
      <c r="AI17" t="str">
        <f t="shared" si="15"/>
        <v/>
      </c>
    </row>
    <row r="18" spans="1:35" ht="13" x14ac:dyDescent="0.3">
      <c r="A18">
        <f t="shared" si="16"/>
        <v>10</v>
      </c>
      <c r="B18">
        <f t="shared" si="17"/>
        <v>19</v>
      </c>
      <c r="C18" s="6" t="s">
        <v>49</v>
      </c>
      <c r="D18" s="7"/>
      <c r="E18" s="156">
        <v>1101</v>
      </c>
      <c r="F18" s="156" t="s">
        <v>259</v>
      </c>
      <c r="H18" t="str">
        <f t="shared" si="0"/>
        <v>Aktivkonto</v>
      </c>
      <c r="I18" s="9" t="str">
        <f t="shared" si="18"/>
        <v/>
      </c>
      <c r="Q18">
        <f t="shared" si="1"/>
        <v>1101</v>
      </c>
      <c r="R18">
        <f t="shared" si="2"/>
        <v>3</v>
      </c>
      <c r="S18">
        <f t="shared" si="3"/>
        <v>0</v>
      </c>
      <c r="T18">
        <f t="shared" si="4"/>
        <v>0</v>
      </c>
      <c r="U18">
        <f t="shared" si="5"/>
        <v>0</v>
      </c>
      <c r="W18">
        <f t="shared" si="6"/>
        <v>1101</v>
      </c>
      <c r="Y18">
        <f t="shared" si="12"/>
        <v>0</v>
      </c>
      <c r="Z18">
        <f t="shared" si="7"/>
        <v>1E-4</v>
      </c>
      <c r="AA18">
        <f t="shared" si="8"/>
        <v>1E-4</v>
      </c>
      <c r="AB18" t="str">
        <f t="shared" si="9"/>
        <v/>
      </c>
      <c r="AC18" t="str">
        <f t="shared" si="10"/>
        <v/>
      </c>
      <c r="AF18">
        <f t="shared" si="13"/>
        <v>1.0000000000000002E-3</v>
      </c>
      <c r="AG18" t="str">
        <f t="shared" si="14"/>
        <v/>
      </c>
      <c r="AH18">
        <f t="shared" si="11"/>
        <v>1.0000000000000002E-3</v>
      </c>
      <c r="AI18" t="str">
        <f t="shared" si="15"/>
        <v/>
      </c>
    </row>
    <row r="19" spans="1:35" ht="13" x14ac:dyDescent="0.3">
      <c r="A19">
        <f t="shared" si="16"/>
        <v>11</v>
      </c>
      <c r="B19">
        <f t="shared" si="17"/>
        <v>21</v>
      </c>
      <c r="C19" s="6" t="s">
        <v>49</v>
      </c>
      <c r="D19" s="7"/>
      <c r="E19" s="156">
        <v>1300</v>
      </c>
      <c r="F19" s="156" t="s">
        <v>260</v>
      </c>
      <c r="H19" t="str">
        <f t="shared" si="0"/>
        <v>Aktivkonto</v>
      </c>
      <c r="I19" s="9" t="str">
        <f t="shared" si="18"/>
        <v/>
      </c>
      <c r="Q19">
        <f t="shared" si="1"/>
        <v>1300</v>
      </c>
      <c r="R19">
        <f t="shared" si="2"/>
        <v>3</v>
      </c>
      <c r="S19">
        <f t="shared" si="3"/>
        <v>0</v>
      </c>
      <c r="T19">
        <f t="shared" si="4"/>
        <v>0</v>
      </c>
      <c r="U19">
        <f t="shared" si="5"/>
        <v>0</v>
      </c>
      <c r="W19">
        <f t="shared" si="6"/>
        <v>1300</v>
      </c>
      <c r="Y19">
        <f t="shared" si="12"/>
        <v>0</v>
      </c>
      <c r="Z19">
        <f t="shared" si="7"/>
        <v>1.1E-4</v>
      </c>
      <c r="AA19">
        <f t="shared" si="8"/>
        <v>1.1E-4</v>
      </c>
      <c r="AB19" t="str">
        <f t="shared" si="9"/>
        <v/>
      </c>
      <c r="AC19" t="str">
        <f t="shared" si="10"/>
        <v/>
      </c>
      <c r="AF19">
        <f t="shared" si="13"/>
        <v>1.1000000000000003E-3</v>
      </c>
      <c r="AG19" t="str">
        <f t="shared" si="14"/>
        <v/>
      </c>
      <c r="AH19">
        <f t="shared" si="11"/>
        <v>1.1000000000000003E-3</v>
      </c>
      <c r="AI19" t="str">
        <f t="shared" si="15"/>
        <v/>
      </c>
    </row>
    <row r="20" spans="1:35" ht="13" x14ac:dyDescent="0.3">
      <c r="A20">
        <f t="shared" si="16"/>
        <v>12</v>
      </c>
      <c r="B20">
        <f t="shared" si="17"/>
        <v>23</v>
      </c>
      <c r="C20" s="6"/>
      <c r="D20" s="7" t="s">
        <v>261</v>
      </c>
      <c r="E20" s="156"/>
      <c r="F20" s="156"/>
      <c r="H20">
        <f t="shared" si="0"/>
        <v>0</v>
      </c>
      <c r="I20" s="9" t="str">
        <f t="shared" si="18"/>
        <v/>
      </c>
      <c r="Q20">
        <f t="shared" si="1"/>
        <v>0</v>
      </c>
      <c r="R20">
        <f t="shared" si="2"/>
        <v>4</v>
      </c>
      <c r="S20">
        <f t="shared" si="3"/>
        <v>0</v>
      </c>
      <c r="T20">
        <f t="shared" si="4"/>
        <v>0</v>
      </c>
      <c r="U20">
        <f t="shared" si="5"/>
        <v>0</v>
      </c>
      <c r="W20">
        <f t="shared" si="6"/>
        <v>1300.0001</v>
      </c>
      <c r="Y20">
        <f t="shared" si="12"/>
        <v>0</v>
      </c>
      <c r="Z20">
        <f t="shared" si="7"/>
        <v>1.2E-4</v>
      </c>
      <c r="AA20">
        <f t="shared" si="8"/>
        <v>1.2E-4</v>
      </c>
      <c r="AB20" t="str">
        <f t="shared" si="9"/>
        <v/>
      </c>
      <c r="AC20" t="str">
        <f t="shared" si="10"/>
        <v/>
      </c>
      <c r="AF20">
        <f t="shared" si="13"/>
        <v>1.2000000000000003E-3</v>
      </c>
      <c r="AG20" t="str">
        <f t="shared" si="14"/>
        <v/>
      </c>
      <c r="AH20">
        <f t="shared" si="11"/>
        <v>1.2000000000000003E-3</v>
      </c>
      <c r="AI20" t="str">
        <f t="shared" si="15"/>
        <v/>
      </c>
    </row>
    <row r="21" spans="1:35" ht="13" x14ac:dyDescent="0.3">
      <c r="A21">
        <f t="shared" si="16"/>
        <v>13</v>
      </c>
      <c r="B21">
        <f t="shared" si="17"/>
        <v>25</v>
      </c>
      <c r="C21" s="180" t="s">
        <v>49</v>
      </c>
      <c r="D21" s="7"/>
      <c r="E21" s="156">
        <v>1400</v>
      </c>
      <c r="F21" s="156" t="s">
        <v>298</v>
      </c>
      <c r="H21" t="str">
        <f t="shared" si="0"/>
        <v>Aktivkonto</v>
      </c>
      <c r="I21" s="9" t="str">
        <f t="shared" si="18"/>
        <v/>
      </c>
      <c r="Q21">
        <f t="shared" si="1"/>
        <v>1400</v>
      </c>
      <c r="R21">
        <f t="shared" si="2"/>
        <v>4</v>
      </c>
      <c r="S21">
        <f t="shared" si="3"/>
        <v>0</v>
      </c>
      <c r="T21">
        <f t="shared" si="4"/>
        <v>0</v>
      </c>
      <c r="U21">
        <f t="shared" si="5"/>
        <v>0</v>
      </c>
      <c r="W21">
        <f t="shared" si="6"/>
        <v>1400</v>
      </c>
      <c r="Y21">
        <f t="shared" si="12"/>
        <v>0</v>
      </c>
      <c r="Z21">
        <f t="shared" si="7"/>
        <v>1.3000000000000002E-4</v>
      </c>
      <c r="AA21">
        <f t="shared" si="8"/>
        <v>1.3000000000000002E-4</v>
      </c>
      <c r="AB21" t="str">
        <f t="shared" si="9"/>
        <v/>
      </c>
      <c r="AC21" t="str">
        <f t="shared" si="10"/>
        <v/>
      </c>
      <c r="AF21">
        <f t="shared" si="13"/>
        <v>1.3000000000000004E-3</v>
      </c>
      <c r="AG21" t="str">
        <f t="shared" si="14"/>
        <v/>
      </c>
      <c r="AH21">
        <f t="shared" si="11"/>
        <v>1.3000000000000004E-3</v>
      </c>
      <c r="AI21" t="str">
        <f t="shared" si="15"/>
        <v/>
      </c>
    </row>
    <row r="22" spans="1:35" ht="13" x14ac:dyDescent="0.3">
      <c r="A22">
        <f t="shared" si="16"/>
        <v>14</v>
      </c>
      <c r="B22">
        <f t="shared" si="17"/>
        <v>27</v>
      </c>
      <c r="C22" s="6" t="s">
        <v>49</v>
      </c>
      <c r="D22" s="7"/>
      <c r="E22" s="156">
        <v>1410</v>
      </c>
      <c r="F22" s="156" t="s">
        <v>299</v>
      </c>
      <c r="H22" t="str">
        <f t="shared" si="0"/>
        <v>Aktivkonto</v>
      </c>
      <c r="I22" s="9" t="str">
        <f t="shared" si="18"/>
        <v/>
      </c>
      <c r="Q22">
        <f t="shared" si="1"/>
        <v>1410</v>
      </c>
      <c r="R22">
        <f t="shared" si="2"/>
        <v>4</v>
      </c>
      <c r="S22">
        <f t="shared" si="3"/>
        <v>0</v>
      </c>
      <c r="T22">
        <f t="shared" si="4"/>
        <v>0</v>
      </c>
      <c r="U22">
        <f t="shared" si="5"/>
        <v>0</v>
      </c>
      <c r="W22">
        <f t="shared" si="6"/>
        <v>1410</v>
      </c>
      <c r="Y22">
        <f t="shared" si="12"/>
        <v>0</v>
      </c>
      <c r="Z22">
        <f t="shared" si="7"/>
        <v>1.4000000000000001E-4</v>
      </c>
      <c r="AA22">
        <f t="shared" si="8"/>
        <v>1.4000000000000001E-4</v>
      </c>
      <c r="AB22" t="str">
        <f t="shared" si="9"/>
        <v/>
      </c>
      <c r="AC22" t="str">
        <f t="shared" si="10"/>
        <v/>
      </c>
      <c r="AF22">
        <f t="shared" si="13"/>
        <v>1.4000000000000004E-3</v>
      </c>
      <c r="AG22" t="str">
        <f t="shared" si="14"/>
        <v/>
      </c>
      <c r="AH22">
        <f t="shared" si="11"/>
        <v>1.4000000000000004E-3</v>
      </c>
      <c r="AI22" t="str">
        <f t="shared" si="15"/>
        <v/>
      </c>
    </row>
    <row r="23" spans="1:35" ht="13" x14ac:dyDescent="0.3">
      <c r="A23">
        <f t="shared" si="16"/>
        <v>15</v>
      </c>
      <c r="B23">
        <f t="shared" si="17"/>
        <v>29</v>
      </c>
      <c r="C23" s="6" t="s">
        <v>49</v>
      </c>
      <c r="D23" s="7"/>
      <c r="E23" s="156">
        <v>1420</v>
      </c>
      <c r="F23" s="156" t="s">
        <v>262</v>
      </c>
      <c r="H23" t="str">
        <f t="shared" si="0"/>
        <v>Aktivkonto</v>
      </c>
      <c r="I23" s="9" t="str">
        <f t="shared" si="18"/>
        <v/>
      </c>
      <c r="Q23">
        <f t="shared" si="1"/>
        <v>1420</v>
      </c>
      <c r="R23">
        <f t="shared" si="2"/>
        <v>4</v>
      </c>
      <c r="S23">
        <f t="shared" si="3"/>
        <v>0</v>
      </c>
      <c r="T23">
        <f t="shared" si="4"/>
        <v>0</v>
      </c>
      <c r="U23">
        <f t="shared" si="5"/>
        <v>0</v>
      </c>
      <c r="W23">
        <f t="shared" si="6"/>
        <v>1420</v>
      </c>
      <c r="Y23">
        <f t="shared" si="12"/>
        <v>0</v>
      </c>
      <c r="Z23">
        <f t="shared" si="7"/>
        <v>1.5000000000000001E-4</v>
      </c>
      <c r="AA23">
        <f t="shared" si="8"/>
        <v>1.5000000000000001E-4</v>
      </c>
      <c r="AB23" t="str">
        <f t="shared" si="9"/>
        <v/>
      </c>
      <c r="AC23" t="str">
        <f t="shared" si="10"/>
        <v/>
      </c>
      <c r="AF23">
        <f t="shared" si="13"/>
        <v>1.5000000000000005E-3</v>
      </c>
      <c r="AG23" t="str">
        <f t="shared" si="14"/>
        <v/>
      </c>
      <c r="AH23">
        <f t="shared" si="11"/>
        <v>1.5000000000000005E-3</v>
      </c>
      <c r="AI23" t="str">
        <f t="shared" si="15"/>
        <v/>
      </c>
    </row>
    <row r="24" spans="1:35" ht="13" x14ac:dyDescent="0.3">
      <c r="A24">
        <f t="shared" si="16"/>
        <v>16</v>
      </c>
      <c r="B24">
        <f t="shared" si="17"/>
        <v>31</v>
      </c>
      <c r="C24" s="6"/>
      <c r="D24" s="7" t="s">
        <v>300</v>
      </c>
      <c r="E24" s="156"/>
      <c r="F24" s="156"/>
      <c r="H24">
        <f t="shared" si="0"/>
        <v>0</v>
      </c>
      <c r="I24" s="9" t="str">
        <f t="shared" si="18"/>
        <v/>
      </c>
      <c r="Q24">
        <f t="shared" si="1"/>
        <v>0</v>
      </c>
      <c r="R24">
        <f t="shared" si="2"/>
        <v>5</v>
      </c>
      <c r="S24">
        <f t="shared" si="3"/>
        <v>0</v>
      </c>
      <c r="T24">
        <f t="shared" si="4"/>
        <v>0</v>
      </c>
      <c r="U24">
        <f t="shared" si="5"/>
        <v>0</v>
      </c>
      <c r="W24">
        <f t="shared" si="6"/>
        <v>1420.0001</v>
      </c>
      <c r="Y24">
        <f t="shared" si="12"/>
        <v>0</v>
      </c>
      <c r="Z24">
        <f t="shared" si="7"/>
        <v>1.6000000000000001E-4</v>
      </c>
      <c r="AA24">
        <f t="shared" si="8"/>
        <v>1.6000000000000001E-4</v>
      </c>
      <c r="AB24" t="str">
        <f t="shared" si="9"/>
        <v/>
      </c>
      <c r="AC24" t="str">
        <f t="shared" si="10"/>
        <v/>
      </c>
      <c r="AF24">
        <f t="shared" si="13"/>
        <v>1.6000000000000005E-3</v>
      </c>
      <c r="AG24" t="str">
        <f t="shared" si="14"/>
        <v/>
      </c>
      <c r="AH24">
        <f t="shared" si="11"/>
        <v>1.6000000000000005E-3</v>
      </c>
      <c r="AI24" t="str">
        <f t="shared" si="15"/>
        <v/>
      </c>
    </row>
    <row r="25" spans="1:35" ht="13" x14ac:dyDescent="0.3">
      <c r="A25">
        <f t="shared" si="16"/>
        <v>17</v>
      </c>
      <c r="B25">
        <f t="shared" si="17"/>
        <v>33</v>
      </c>
      <c r="C25" s="6"/>
      <c r="D25" s="7" t="s">
        <v>263</v>
      </c>
      <c r="E25" s="156"/>
      <c r="F25" s="156"/>
      <c r="H25">
        <f t="shared" si="0"/>
        <v>0</v>
      </c>
      <c r="I25" s="9" t="str">
        <f t="shared" si="18"/>
        <v/>
      </c>
      <c r="Q25">
        <f t="shared" si="1"/>
        <v>0</v>
      </c>
      <c r="R25">
        <f t="shared" si="2"/>
        <v>6</v>
      </c>
      <c r="S25">
        <f t="shared" si="3"/>
        <v>0</v>
      </c>
      <c r="T25">
        <f t="shared" si="4"/>
        <v>0</v>
      </c>
      <c r="U25">
        <f t="shared" si="5"/>
        <v>0</v>
      </c>
      <c r="W25">
        <f t="shared" si="6"/>
        <v>1420.0001999999999</v>
      </c>
      <c r="Y25">
        <f t="shared" si="12"/>
        <v>0</v>
      </c>
      <c r="Z25">
        <f t="shared" si="7"/>
        <v>1.7000000000000001E-4</v>
      </c>
      <c r="AA25">
        <f t="shared" si="8"/>
        <v>1.7000000000000001E-4</v>
      </c>
      <c r="AB25" t="str">
        <f t="shared" si="9"/>
        <v/>
      </c>
      <c r="AC25" t="str">
        <f t="shared" si="10"/>
        <v/>
      </c>
      <c r="AF25">
        <f t="shared" si="13"/>
        <v>1.7000000000000006E-3</v>
      </c>
      <c r="AG25" t="str">
        <f t="shared" si="14"/>
        <v/>
      </c>
      <c r="AH25">
        <f t="shared" si="11"/>
        <v>1.7000000000000006E-3</v>
      </c>
      <c r="AI25" t="str">
        <f t="shared" si="15"/>
        <v/>
      </c>
    </row>
    <row r="26" spans="1:35" ht="13" x14ac:dyDescent="0.3">
      <c r="A26">
        <f t="shared" si="16"/>
        <v>18</v>
      </c>
      <c r="B26">
        <f t="shared" si="17"/>
        <v>35</v>
      </c>
      <c r="C26" s="6" t="s">
        <v>49</v>
      </c>
      <c r="D26" s="7"/>
      <c r="E26" s="156">
        <v>1500</v>
      </c>
      <c r="F26" s="156" t="s">
        <v>301</v>
      </c>
      <c r="H26" t="str">
        <f t="shared" si="0"/>
        <v>Aktivkonto</v>
      </c>
      <c r="I26" s="9" t="str">
        <f t="shared" si="18"/>
        <v/>
      </c>
      <c r="Q26">
        <f t="shared" si="1"/>
        <v>1500</v>
      </c>
      <c r="R26">
        <f t="shared" si="2"/>
        <v>6</v>
      </c>
      <c r="S26">
        <f t="shared" si="3"/>
        <v>0</v>
      </c>
      <c r="T26">
        <f t="shared" si="4"/>
        <v>0</v>
      </c>
      <c r="U26">
        <f t="shared" si="5"/>
        <v>0</v>
      </c>
      <c r="W26">
        <f t="shared" si="6"/>
        <v>1500</v>
      </c>
      <c r="Y26">
        <f t="shared" si="12"/>
        <v>0</v>
      </c>
      <c r="Z26">
        <f t="shared" si="7"/>
        <v>1.8000000000000001E-4</v>
      </c>
      <c r="AA26">
        <f t="shared" si="8"/>
        <v>1.8000000000000001E-4</v>
      </c>
      <c r="AB26" t="str">
        <f t="shared" si="9"/>
        <v/>
      </c>
      <c r="AC26" t="str">
        <f t="shared" si="10"/>
        <v/>
      </c>
      <c r="AF26">
        <f t="shared" si="13"/>
        <v>1.8000000000000006E-3</v>
      </c>
      <c r="AG26" t="str">
        <f t="shared" si="14"/>
        <v/>
      </c>
      <c r="AH26">
        <f t="shared" si="11"/>
        <v>1.8000000000000006E-3</v>
      </c>
      <c r="AI26" t="str">
        <f t="shared" si="15"/>
        <v/>
      </c>
    </row>
    <row r="27" spans="1:35" ht="13" x14ac:dyDescent="0.3">
      <c r="A27">
        <f t="shared" si="16"/>
        <v>19</v>
      </c>
      <c r="B27">
        <f t="shared" si="17"/>
        <v>37</v>
      </c>
      <c r="C27" s="6" t="s">
        <v>49</v>
      </c>
      <c r="D27" s="7"/>
      <c r="E27" s="156">
        <v>1530</v>
      </c>
      <c r="F27" s="156" t="s">
        <v>264</v>
      </c>
      <c r="H27" t="str">
        <f t="shared" si="0"/>
        <v>Aktivkonto</v>
      </c>
      <c r="I27" s="9" t="str">
        <f t="shared" si="18"/>
        <v/>
      </c>
      <c r="Q27">
        <f t="shared" si="1"/>
        <v>1530</v>
      </c>
      <c r="R27">
        <f t="shared" si="2"/>
        <v>6</v>
      </c>
      <c r="S27">
        <f t="shared" si="3"/>
        <v>0</v>
      </c>
      <c r="T27">
        <f t="shared" si="4"/>
        <v>0</v>
      </c>
      <c r="U27">
        <f t="shared" si="5"/>
        <v>0</v>
      </c>
      <c r="W27">
        <f t="shared" si="6"/>
        <v>1530</v>
      </c>
      <c r="Y27">
        <f t="shared" si="12"/>
        <v>0</v>
      </c>
      <c r="Z27">
        <f t="shared" si="7"/>
        <v>1.9000000000000001E-4</v>
      </c>
      <c r="AA27">
        <f t="shared" si="8"/>
        <v>1.9000000000000001E-4</v>
      </c>
      <c r="AB27" t="str">
        <f t="shared" si="9"/>
        <v/>
      </c>
      <c r="AC27" t="str">
        <f t="shared" si="10"/>
        <v/>
      </c>
      <c r="AF27">
        <f t="shared" si="13"/>
        <v>1.9000000000000006E-3</v>
      </c>
      <c r="AG27" t="str">
        <f t="shared" si="14"/>
        <v/>
      </c>
      <c r="AH27">
        <f t="shared" si="11"/>
        <v>1.9000000000000006E-3</v>
      </c>
      <c r="AI27" t="str">
        <f t="shared" si="15"/>
        <v/>
      </c>
    </row>
    <row r="28" spans="1:35" ht="13" x14ac:dyDescent="0.3">
      <c r="A28">
        <f t="shared" si="16"/>
        <v>20</v>
      </c>
      <c r="B28">
        <f t="shared" si="17"/>
        <v>39</v>
      </c>
      <c r="C28" s="6"/>
      <c r="D28" s="7" t="s">
        <v>265</v>
      </c>
      <c r="E28" s="156"/>
      <c r="F28" s="156"/>
      <c r="H28">
        <f t="shared" si="0"/>
        <v>0</v>
      </c>
      <c r="I28" s="9" t="str">
        <f t="shared" si="18"/>
        <v/>
      </c>
      <c r="Q28">
        <f t="shared" si="1"/>
        <v>0</v>
      </c>
      <c r="R28">
        <f t="shared" si="2"/>
        <v>6</v>
      </c>
      <c r="S28">
        <f t="shared" si="3"/>
        <v>1</v>
      </c>
      <c r="T28">
        <f t="shared" si="4"/>
        <v>0</v>
      </c>
      <c r="U28">
        <f t="shared" si="5"/>
        <v>0</v>
      </c>
      <c r="W28">
        <f t="shared" si="6"/>
        <v>1530.0001</v>
      </c>
      <c r="Y28">
        <f t="shared" si="12"/>
        <v>0</v>
      </c>
      <c r="Z28">
        <f t="shared" si="7"/>
        <v>2.0000000000000001E-4</v>
      </c>
      <c r="AA28">
        <f t="shared" si="8"/>
        <v>2.0000000000000001E-4</v>
      </c>
      <c r="AB28" t="str">
        <f t="shared" si="9"/>
        <v/>
      </c>
      <c r="AC28" t="str">
        <f t="shared" si="10"/>
        <v/>
      </c>
      <c r="AF28">
        <f t="shared" si="13"/>
        <v>2.0000000000000005E-3</v>
      </c>
      <c r="AG28" t="str">
        <f t="shared" si="14"/>
        <v/>
      </c>
      <c r="AH28">
        <f t="shared" si="11"/>
        <v>2.0000000000000005E-3</v>
      </c>
      <c r="AI28" t="str">
        <f t="shared" si="15"/>
        <v/>
      </c>
    </row>
    <row r="29" spans="1:35" ht="13" x14ac:dyDescent="0.3">
      <c r="A29">
        <f t="shared" si="16"/>
        <v>21</v>
      </c>
      <c r="B29">
        <f t="shared" si="17"/>
        <v>41</v>
      </c>
      <c r="C29" s="6" t="s">
        <v>50</v>
      </c>
      <c r="D29" s="7"/>
      <c r="E29" s="156">
        <v>2000</v>
      </c>
      <c r="F29" s="156" t="s">
        <v>266</v>
      </c>
      <c r="H29" t="str">
        <f t="shared" si="0"/>
        <v>Passivkonto</v>
      </c>
      <c r="I29" s="9" t="str">
        <f t="shared" si="18"/>
        <v/>
      </c>
      <c r="Q29">
        <f t="shared" si="1"/>
        <v>2000</v>
      </c>
      <c r="R29">
        <f t="shared" si="2"/>
        <v>6</v>
      </c>
      <c r="S29">
        <f t="shared" si="3"/>
        <v>1</v>
      </c>
      <c r="T29">
        <f t="shared" si="4"/>
        <v>0</v>
      </c>
      <c r="U29">
        <f t="shared" si="5"/>
        <v>0</v>
      </c>
      <c r="W29">
        <f t="shared" si="6"/>
        <v>2000</v>
      </c>
      <c r="Y29">
        <f t="shared" si="12"/>
        <v>0</v>
      </c>
      <c r="Z29">
        <f t="shared" si="7"/>
        <v>2.1000000000000001E-4</v>
      </c>
      <c r="AA29">
        <f t="shared" si="8"/>
        <v>2.1000000000000001E-4</v>
      </c>
      <c r="AB29" t="str">
        <f t="shared" si="9"/>
        <v/>
      </c>
      <c r="AC29" t="str">
        <f t="shared" si="10"/>
        <v/>
      </c>
      <c r="AF29">
        <f t="shared" si="13"/>
        <v>2.1000000000000003E-3</v>
      </c>
      <c r="AG29" t="str">
        <f t="shared" si="14"/>
        <v/>
      </c>
      <c r="AH29">
        <f t="shared" si="11"/>
        <v>2.1000000000000003E-3</v>
      </c>
      <c r="AI29" t="str">
        <f t="shared" si="15"/>
        <v/>
      </c>
    </row>
    <row r="30" spans="1:35" ht="13" x14ac:dyDescent="0.3">
      <c r="A30">
        <f t="shared" si="16"/>
        <v>22</v>
      </c>
      <c r="B30">
        <f t="shared" si="17"/>
        <v>43</v>
      </c>
      <c r="C30" s="6" t="s">
        <v>50</v>
      </c>
      <c r="D30" s="7"/>
      <c r="E30" s="156">
        <v>2010</v>
      </c>
      <c r="F30" s="156" t="s">
        <v>267</v>
      </c>
      <c r="H30" t="str">
        <f t="shared" si="0"/>
        <v>Passivkonto</v>
      </c>
      <c r="I30" s="9" t="str">
        <f t="shared" si="18"/>
        <v/>
      </c>
      <c r="Q30">
        <f t="shared" si="1"/>
        <v>2010</v>
      </c>
      <c r="R30">
        <f t="shared" si="2"/>
        <v>6</v>
      </c>
      <c r="S30">
        <f t="shared" si="3"/>
        <v>1</v>
      </c>
      <c r="T30">
        <f t="shared" si="4"/>
        <v>0</v>
      </c>
      <c r="U30">
        <f t="shared" si="5"/>
        <v>0</v>
      </c>
      <c r="W30">
        <f t="shared" si="6"/>
        <v>2010</v>
      </c>
      <c r="Y30">
        <f t="shared" si="12"/>
        <v>0</v>
      </c>
      <c r="Z30">
        <f t="shared" si="7"/>
        <v>2.2000000000000001E-4</v>
      </c>
      <c r="AA30">
        <f t="shared" si="8"/>
        <v>2.2000000000000001E-4</v>
      </c>
      <c r="AB30" t="str">
        <f t="shared" si="9"/>
        <v/>
      </c>
      <c r="AC30" t="str">
        <f t="shared" si="10"/>
        <v/>
      </c>
      <c r="AF30">
        <f t="shared" si="13"/>
        <v>2.2000000000000001E-3</v>
      </c>
      <c r="AG30" t="str">
        <f t="shared" si="14"/>
        <v/>
      </c>
      <c r="AH30">
        <f t="shared" si="11"/>
        <v>2.2000000000000001E-3</v>
      </c>
      <c r="AI30" t="str">
        <f t="shared" si="15"/>
        <v/>
      </c>
    </row>
    <row r="31" spans="1:35" ht="13" x14ac:dyDescent="0.3">
      <c r="A31">
        <f t="shared" si="16"/>
        <v>23</v>
      </c>
      <c r="B31">
        <f t="shared" si="17"/>
        <v>45</v>
      </c>
      <c r="C31" s="6" t="s">
        <v>50</v>
      </c>
      <c r="D31" s="7"/>
      <c r="E31" s="156">
        <v>2100</v>
      </c>
      <c r="F31" s="156" t="s">
        <v>302</v>
      </c>
      <c r="H31" t="str">
        <f t="shared" si="0"/>
        <v>Passivkonto</v>
      </c>
      <c r="I31" s="9" t="str">
        <f t="shared" si="18"/>
        <v/>
      </c>
      <c r="Q31">
        <f t="shared" si="1"/>
        <v>2100</v>
      </c>
      <c r="R31">
        <f t="shared" si="2"/>
        <v>6</v>
      </c>
      <c r="S31">
        <f t="shared" si="3"/>
        <v>1</v>
      </c>
      <c r="T31">
        <f t="shared" ref="T31:T94" si="19">IF(OR(AND(D31&lt;&gt;"",C32="",C33=$C$5),AND(D31&lt;&gt;"",C32=$C$5)),T30+1,T30)</f>
        <v>0</v>
      </c>
      <c r="U31">
        <f t="shared" ref="U31:U94" si="20">IF(OR(AND(D31&lt;&gt;"",C32="",C33=$C$6),AND(D31&lt;&gt;"",C32=$C$6)),U30+1,U30)</f>
        <v>0</v>
      </c>
      <c r="W31">
        <f t="shared" si="6"/>
        <v>2100</v>
      </c>
      <c r="Y31">
        <f t="shared" si="12"/>
        <v>0</v>
      </c>
      <c r="Z31">
        <f t="shared" si="7"/>
        <v>2.3000000000000001E-4</v>
      </c>
      <c r="AA31">
        <f t="shared" si="8"/>
        <v>2.3000000000000001E-4</v>
      </c>
      <c r="AB31" t="str">
        <f t="shared" si="9"/>
        <v/>
      </c>
      <c r="AC31" t="str">
        <f t="shared" si="10"/>
        <v/>
      </c>
      <c r="AF31">
        <f t="shared" si="13"/>
        <v>2.3E-3</v>
      </c>
      <c r="AG31" t="str">
        <f t="shared" si="14"/>
        <v/>
      </c>
      <c r="AH31">
        <f t="shared" si="11"/>
        <v>2.3E-3</v>
      </c>
      <c r="AI31" t="str">
        <f t="shared" si="15"/>
        <v/>
      </c>
    </row>
    <row r="32" spans="1:35" ht="13" x14ac:dyDescent="0.3">
      <c r="A32">
        <f t="shared" si="16"/>
        <v>24</v>
      </c>
      <c r="B32">
        <f t="shared" si="17"/>
        <v>47</v>
      </c>
      <c r="C32" s="6" t="s">
        <v>50</v>
      </c>
      <c r="D32" s="7"/>
      <c r="E32" s="156">
        <v>2200</v>
      </c>
      <c r="F32" s="156" t="s">
        <v>303</v>
      </c>
      <c r="H32" t="str">
        <f t="shared" si="0"/>
        <v>Passivkonto</v>
      </c>
      <c r="I32" s="9" t="str">
        <f t="shared" si="18"/>
        <v/>
      </c>
      <c r="Q32">
        <f t="shared" si="1"/>
        <v>2200</v>
      </c>
      <c r="R32">
        <f t="shared" si="2"/>
        <v>6</v>
      </c>
      <c r="S32">
        <f t="shared" si="3"/>
        <v>1</v>
      </c>
      <c r="T32">
        <f t="shared" si="19"/>
        <v>0</v>
      </c>
      <c r="U32">
        <f t="shared" si="20"/>
        <v>0</v>
      </c>
      <c r="W32">
        <f t="shared" si="6"/>
        <v>2200</v>
      </c>
      <c r="Y32">
        <f t="shared" si="12"/>
        <v>0</v>
      </c>
      <c r="Z32">
        <f t="shared" si="7"/>
        <v>2.4000000000000001E-4</v>
      </c>
      <c r="AA32">
        <f t="shared" si="8"/>
        <v>2.4000000000000001E-4</v>
      </c>
      <c r="AB32" t="str">
        <f t="shared" si="9"/>
        <v/>
      </c>
      <c r="AC32" t="str">
        <f t="shared" si="10"/>
        <v/>
      </c>
      <c r="AF32">
        <f t="shared" si="13"/>
        <v>2.3999999999999998E-3</v>
      </c>
      <c r="AG32" t="str">
        <f t="shared" si="14"/>
        <v/>
      </c>
      <c r="AH32">
        <f t="shared" si="11"/>
        <v>2.3999999999999998E-3</v>
      </c>
      <c r="AI32" t="str">
        <f t="shared" si="15"/>
        <v/>
      </c>
    </row>
    <row r="33" spans="1:35" ht="13" x14ac:dyDescent="0.3">
      <c r="A33">
        <f t="shared" si="16"/>
        <v>25</v>
      </c>
      <c r="B33">
        <f t="shared" si="17"/>
        <v>49</v>
      </c>
      <c r="C33" s="6" t="s">
        <v>50</v>
      </c>
      <c r="D33" s="7"/>
      <c r="E33" s="156">
        <v>2300</v>
      </c>
      <c r="F33" s="156" t="s">
        <v>268</v>
      </c>
      <c r="H33" t="str">
        <f t="shared" si="0"/>
        <v>Passivkonto</v>
      </c>
      <c r="I33" s="9" t="str">
        <f t="shared" si="18"/>
        <v/>
      </c>
      <c r="Q33">
        <f t="shared" si="1"/>
        <v>2300</v>
      </c>
      <c r="R33">
        <f t="shared" si="2"/>
        <v>6</v>
      </c>
      <c r="S33">
        <f t="shared" si="3"/>
        <v>1</v>
      </c>
      <c r="T33">
        <f t="shared" si="19"/>
        <v>0</v>
      </c>
      <c r="U33">
        <f t="shared" si="20"/>
        <v>0</v>
      </c>
      <c r="W33">
        <f t="shared" si="6"/>
        <v>2300</v>
      </c>
      <c r="Y33">
        <f t="shared" si="12"/>
        <v>0</v>
      </c>
      <c r="Z33">
        <f t="shared" si="7"/>
        <v>2.5000000000000001E-4</v>
      </c>
      <c r="AA33">
        <f t="shared" si="8"/>
        <v>2.5000000000000001E-4</v>
      </c>
      <c r="AB33" t="str">
        <f t="shared" si="9"/>
        <v/>
      </c>
      <c r="AC33" t="str">
        <f t="shared" si="10"/>
        <v/>
      </c>
      <c r="AF33">
        <f t="shared" si="13"/>
        <v>2.4999999999999996E-3</v>
      </c>
      <c r="AG33" t="str">
        <f t="shared" si="14"/>
        <v/>
      </c>
      <c r="AH33">
        <f t="shared" si="11"/>
        <v>2.4999999999999996E-3</v>
      </c>
      <c r="AI33" t="str">
        <f t="shared" si="15"/>
        <v/>
      </c>
    </row>
    <row r="34" spans="1:35" ht="13" x14ac:dyDescent="0.3">
      <c r="A34">
        <f t="shared" si="16"/>
        <v>26</v>
      </c>
      <c r="B34">
        <f t="shared" si="17"/>
        <v>51</v>
      </c>
      <c r="C34" s="6" t="s">
        <v>50</v>
      </c>
      <c r="D34" s="7"/>
      <c r="E34" s="156">
        <v>2520</v>
      </c>
      <c r="F34" s="156" t="s">
        <v>269</v>
      </c>
      <c r="H34" t="str">
        <f t="shared" ref="H34:H97" si="21">C34</f>
        <v>Passivkonto</v>
      </c>
      <c r="I34" s="9" t="str">
        <f t="shared" si="18"/>
        <v/>
      </c>
      <c r="Q34">
        <f t="shared" ref="Q34:Q97" si="22">E34</f>
        <v>2520</v>
      </c>
      <c r="R34">
        <f t="shared" si="2"/>
        <v>6</v>
      </c>
      <c r="S34">
        <f t="shared" si="3"/>
        <v>1</v>
      </c>
      <c r="T34">
        <f t="shared" si="19"/>
        <v>0</v>
      </c>
      <c r="U34">
        <f t="shared" si="20"/>
        <v>0</v>
      </c>
      <c r="W34">
        <f t="shared" ref="W34:W97" si="23">IF(E34="",W33+0.0001,E34)</f>
        <v>2520</v>
      </c>
      <c r="Y34">
        <f t="shared" si="12"/>
        <v>0</v>
      </c>
      <c r="Z34">
        <f t="shared" ref="Z34:Z97" si="24">IF(T34-T33=0,Z33+0.00001,T34)</f>
        <v>2.6000000000000003E-4</v>
      </c>
      <c r="AA34">
        <f t="shared" ref="AA34:AA97" si="25">IF(U34-U33=0,AA33+0.00001,U34)</f>
        <v>2.6000000000000003E-4</v>
      </c>
      <c r="AB34" t="str">
        <f t="shared" ref="AB34:AB97" si="26">IF(T34-T33=0,"",D34)</f>
        <v/>
      </c>
      <c r="AC34" t="str">
        <f t="shared" si="10"/>
        <v/>
      </c>
      <c r="AF34">
        <f t="shared" si="13"/>
        <v>2.5999999999999994E-3</v>
      </c>
      <c r="AG34" t="str">
        <f t="shared" si="14"/>
        <v/>
      </c>
      <c r="AH34">
        <f t="shared" si="11"/>
        <v>2.5999999999999994E-3</v>
      </c>
      <c r="AI34" t="str">
        <f t="shared" si="15"/>
        <v/>
      </c>
    </row>
    <row r="35" spans="1:35" ht="13" x14ac:dyDescent="0.3">
      <c r="A35">
        <f t="shared" si="16"/>
        <v>27</v>
      </c>
      <c r="B35">
        <f t="shared" si="17"/>
        <v>53</v>
      </c>
      <c r="C35" s="6" t="s">
        <v>50</v>
      </c>
      <c r="D35" s="7"/>
      <c r="E35" s="156">
        <v>2600</v>
      </c>
      <c r="F35" s="156" t="s">
        <v>270</v>
      </c>
      <c r="H35" t="str">
        <f t="shared" si="21"/>
        <v>Passivkonto</v>
      </c>
      <c r="I35" s="9" t="str">
        <f t="shared" si="18"/>
        <v/>
      </c>
      <c r="Q35">
        <f t="shared" si="22"/>
        <v>2600</v>
      </c>
      <c r="R35">
        <f t="shared" si="2"/>
        <v>6</v>
      </c>
      <c r="S35">
        <f t="shared" si="3"/>
        <v>1</v>
      </c>
      <c r="T35">
        <f t="shared" si="19"/>
        <v>0</v>
      </c>
      <c r="U35">
        <f t="shared" si="20"/>
        <v>0</v>
      </c>
      <c r="W35">
        <f t="shared" si="23"/>
        <v>2600</v>
      </c>
      <c r="Y35">
        <f t="shared" si="12"/>
        <v>0</v>
      </c>
      <c r="Z35">
        <f t="shared" si="24"/>
        <v>2.7000000000000006E-4</v>
      </c>
      <c r="AA35">
        <f t="shared" si="25"/>
        <v>2.7000000000000006E-4</v>
      </c>
      <c r="AB35" t="str">
        <f t="shared" si="26"/>
        <v/>
      </c>
      <c r="AC35" t="str">
        <f t="shared" si="10"/>
        <v/>
      </c>
      <c r="AF35">
        <f t="shared" si="13"/>
        <v>2.6999999999999993E-3</v>
      </c>
      <c r="AG35" t="str">
        <f t="shared" si="14"/>
        <v/>
      </c>
      <c r="AH35">
        <f t="shared" si="11"/>
        <v>2.6999999999999993E-3</v>
      </c>
      <c r="AI35" t="str">
        <f t="shared" si="15"/>
        <v/>
      </c>
    </row>
    <row r="36" spans="1:35" ht="13" x14ac:dyDescent="0.3">
      <c r="A36">
        <f t="shared" si="16"/>
        <v>28</v>
      </c>
      <c r="B36">
        <f t="shared" si="17"/>
        <v>55</v>
      </c>
      <c r="C36" s="6"/>
      <c r="D36" s="7" t="s">
        <v>271</v>
      </c>
      <c r="E36" s="156"/>
      <c r="F36" s="156"/>
      <c r="H36">
        <f t="shared" si="21"/>
        <v>0</v>
      </c>
      <c r="I36" s="9" t="str">
        <f t="shared" si="18"/>
        <v/>
      </c>
      <c r="Q36">
        <f t="shared" si="22"/>
        <v>0</v>
      </c>
      <c r="R36">
        <f t="shared" si="2"/>
        <v>6</v>
      </c>
      <c r="S36">
        <f t="shared" si="3"/>
        <v>2</v>
      </c>
      <c r="T36">
        <f t="shared" si="19"/>
        <v>0</v>
      </c>
      <c r="U36">
        <f t="shared" si="20"/>
        <v>0</v>
      </c>
      <c r="W36">
        <f t="shared" si="23"/>
        <v>2600.0001000000002</v>
      </c>
      <c r="Y36">
        <f t="shared" si="12"/>
        <v>0</v>
      </c>
      <c r="Z36">
        <f t="shared" si="24"/>
        <v>2.8000000000000008E-4</v>
      </c>
      <c r="AA36">
        <f t="shared" si="25"/>
        <v>2.8000000000000008E-4</v>
      </c>
      <c r="AB36" t="str">
        <f t="shared" si="26"/>
        <v/>
      </c>
      <c r="AC36" t="str">
        <f t="shared" si="10"/>
        <v/>
      </c>
      <c r="AF36">
        <f t="shared" si="13"/>
        <v>2.7999999999999991E-3</v>
      </c>
      <c r="AG36" t="str">
        <f t="shared" si="14"/>
        <v/>
      </c>
      <c r="AH36">
        <f t="shared" si="11"/>
        <v>2.7999999999999991E-3</v>
      </c>
      <c r="AI36" t="str">
        <f t="shared" si="15"/>
        <v/>
      </c>
    </row>
    <row r="37" spans="1:35" ht="13" x14ac:dyDescent="0.3">
      <c r="A37">
        <f t="shared" si="16"/>
        <v>29</v>
      </c>
      <c r="B37">
        <f t="shared" si="17"/>
        <v>57</v>
      </c>
      <c r="C37" s="6" t="s">
        <v>50</v>
      </c>
      <c r="D37" s="7"/>
      <c r="E37" s="156">
        <v>2800</v>
      </c>
      <c r="F37" s="156" t="s">
        <v>272</v>
      </c>
      <c r="H37" t="str">
        <f t="shared" si="21"/>
        <v>Passivkonto</v>
      </c>
      <c r="I37" s="9" t="str">
        <f t="shared" si="18"/>
        <v/>
      </c>
      <c r="Q37">
        <f t="shared" si="22"/>
        <v>2800</v>
      </c>
      <c r="R37">
        <f t="shared" si="2"/>
        <v>6</v>
      </c>
      <c r="S37">
        <f t="shared" si="3"/>
        <v>2</v>
      </c>
      <c r="T37">
        <f t="shared" si="19"/>
        <v>0</v>
      </c>
      <c r="U37">
        <f t="shared" si="20"/>
        <v>0</v>
      </c>
      <c r="W37">
        <f t="shared" si="23"/>
        <v>2800</v>
      </c>
      <c r="Y37">
        <f t="shared" si="12"/>
        <v>0</v>
      </c>
      <c r="Z37">
        <f t="shared" si="24"/>
        <v>2.9000000000000011E-4</v>
      </c>
      <c r="AA37">
        <f t="shared" si="25"/>
        <v>2.9000000000000011E-4</v>
      </c>
      <c r="AB37" t="str">
        <f t="shared" si="26"/>
        <v/>
      </c>
      <c r="AC37" t="str">
        <f t="shared" si="10"/>
        <v/>
      </c>
      <c r="AF37">
        <f t="shared" si="13"/>
        <v>2.8999999999999989E-3</v>
      </c>
      <c r="AG37" t="str">
        <f t="shared" si="14"/>
        <v/>
      </c>
      <c r="AH37">
        <f t="shared" si="11"/>
        <v>2.8999999999999989E-3</v>
      </c>
      <c r="AI37" t="str">
        <f t="shared" si="15"/>
        <v/>
      </c>
    </row>
    <row r="38" spans="1:35" ht="13" x14ac:dyDescent="0.3">
      <c r="A38">
        <f t="shared" si="16"/>
        <v>30</v>
      </c>
      <c r="B38">
        <f t="shared" si="17"/>
        <v>59</v>
      </c>
      <c r="C38" s="6" t="s">
        <v>50</v>
      </c>
      <c r="D38" s="7"/>
      <c r="E38" s="8">
        <v>2900</v>
      </c>
      <c r="F38" s="8" t="s">
        <v>273</v>
      </c>
      <c r="H38" t="str">
        <f t="shared" si="21"/>
        <v>Passivkonto</v>
      </c>
      <c r="I38" s="9" t="str">
        <f t="shared" si="18"/>
        <v/>
      </c>
      <c r="Q38">
        <f t="shared" si="22"/>
        <v>2900</v>
      </c>
      <c r="R38">
        <f t="shared" si="2"/>
        <v>6</v>
      </c>
      <c r="S38">
        <f t="shared" si="3"/>
        <v>2</v>
      </c>
      <c r="T38">
        <f t="shared" si="19"/>
        <v>0</v>
      </c>
      <c r="U38">
        <f t="shared" si="20"/>
        <v>0</v>
      </c>
      <c r="W38">
        <f t="shared" si="23"/>
        <v>2900</v>
      </c>
      <c r="Y38">
        <f t="shared" si="12"/>
        <v>0</v>
      </c>
      <c r="Z38">
        <f t="shared" si="24"/>
        <v>3.0000000000000014E-4</v>
      </c>
      <c r="AA38">
        <f t="shared" si="25"/>
        <v>3.0000000000000014E-4</v>
      </c>
      <c r="AB38" t="str">
        <f t="shared" si="26"/>
        <v/>
      </c>
      <c r="AC38" t="str">
        <f t="shared" si="10"/>
        <v/>
      </c>
      <c r="AF38">
        <f t="shared" si="13"/>
        <v>2.9999999999999988E-3</v>
      </c>
      <c r="AG38" t="str">
        <f t="shared" si="14"/>
        <v/>
      </c>
      <c r="AH38">
        <f>IF(C38="Ertragskonto",ROUND(AH37,0)+1,AH37+0.0001)</f>
        <v>2.9999999999999988E-3</v>
      </c>
      <c r="AI38" t="str">
        <f>IF(AH38=1,E38,"")</f>
        <v/>
      </c>
    </row>
    <row r="39" spans="1:35" ht="13" x14ac:dyDescent="0.3">
      <c r="A39">
        <f t="shared" si="16"/>
        <v>31</v>
      </c>
      <c r="B39">
        <f t="shared" si="17"/>
        <v>61</v>
      </c>
      <c r="C39" s="6" t="s">
        <v>50</v>
      </c>
      <c r="D39" s="7"/>
      <c r="E39" s="8">
        <v>2990</v>
      </c>
      <c r="F39" s="8" t="s">
        <v>304</v>
      </c>
      <c r="H39" t="str">
        <f t="shared" si="21"/>
        <v>Passivkonto</v>
      </c>
      <c r="I39" s="9" t="str">
        <f t="shared" si="18"/>
        <v/>
      </c>
      <c r="Q39">
        <f t="shared" si="22"/>
        <v>2990</v>
      </c>
      <c r="R39">
        <f t="shared" si="2"/>
        <v>6</v>
      </c>
      <c r="S39">
        <f t="shared" si="3"/>
        <v>2</v>
      </c>
      <c r="T39">
        <f t="shared" si="19"/>
        <v>0</v>
      </c>
      <c r="U39">
        <f t="shared" si="20"/>
        <v>0</v>
      </c>
      <c r="W39">
        <f t="shared" si="23"/>
        <v>2990</v>
      </c>
      <c r="Y39">
        <f t="shared" si="12"/>
        <v>0</v>
      </c>
      <c r="Z39">
        <f t="shared" si="24"/>
        <v>3.1000000000000016E-4</v>
      </c>
      <c r="AA39">
        <f t="shared" si="25"/>
        <v>3.1000000000000016E-4</v>
      </c>
      <c r="AB39" t="str">
        <f t="shared" si="26"/>
        <v/>
      </c>
      <c r="AC39" t="str">
        <f t="shared" si="10"/>
        <v/>
      </c>
      <c r="AF39">
        <f t="shared" si="13"/>
        <v>3.0999999999999986E-3</v>
      </c>
      <c r="AG39" t="str">
        <f t="shared" si="14"/>
        <v/>
      </c>
      <c r="AH39">
        <f t="shared" ref="AH39:AH102" si="27">IF(C39="Ertragskonto",ROUND(AH38,0)+1,AH38+0.0001)</f>
        <v>3.0999999999999986E-3</v>
      </c>
      <c r="AI39" t="str">
        <f t="shared" si="15"/>
        <v/>
      </c>
    </row>
    <row r="40" spans="1:35" ht="13" x14ac:dyDescent="0.3">
      <c r="A40">
        <f t="shared" si="16"/>
        <v>32</v>
      </c>
      <c r="B40">
        <f t="shared" si="17"/>
        <v>63</v>
      </c>
      <c r="C40" s="6"/>
      <c r="D40" s="7" t="s">
        <v>305</v>
      </c>
      <c r="E40" s="8"/>
      <c r="F40" s="8"/>
      <c r="H40">
        <f t="shared" si="21"/>
        <v>0</v>
      </c>
      <c r="I40" s="9" t="str">
        <f t="shared" si="18"/>
        <v/>
      </c>
      <c r="Q40">
        <f t="shared" si="22"/>
        <v>0</v>
      </c>
      <c r="R40">
        <f t="shared" si="2"/>
        <v>6</v>
      </c>
      <c r="S40">
        <f t="shared" si="3"/>
        <v>2</v>
      </c>
      <c r="T40">
        <f t="shared" si="19"/>
        <v>1</v>
      </c>
      <c r="U40">
        <f t="shared" si="20"/>
        <v>0</v>
      </c>
      <c r="W40">
        <f t="shared" si="23"/>
        <v>2990.0001000000002</v>
      </c>
      <c r="Y40">
        <f t="shared" si="12"/>
        <v>0</v>
      </c>
      <c r="Z40">
        <f t="shared" si="24"/>
        <v>1</v>
      </c>
      <c r="AA40">
        <f t="shared" si="25"/>
        <v>3.2000000000000019E-4</v>
      </c>
      <c r="AB40" t="str">
        <f t="shared" si="26"/>
        <v>Aufwände für Auftritte</v>
      </c>
      <c r="AC40" t="str">
        <f t="shared" si="10"/>
        <v/>
      </c>
      <c r="AF40">
        <f t="shared" si="13"/>
        <v>3.1999999999999984E-3</v>
      </c>
      <c r="AG40" t="str">
        <f t="shared" si="14"/>
        <v/>
      </c>
      <c r="AH40">
        <f t="shared" si="27"/>
        <v>3.1999999999999984E-3</v>
      </c>
      <c r="AI40" t="str">
        <f t="shared" si="15"/>
        <v/>
      </c>
    </row>
    <row r="41" spans="1:35" ht="13" x14ac:dyDescent="0.3">
      <c r="A41">
        <f t="shared" si="16"/>
        <v>33</v>
      </c>
      <c r="B41">
        <f t="shared" si="17"/>
        <v>65</v>
      </c>
      <c r="C41" s="6" t="s">
        <v>51</v>
      </c>
      <c r="D41" s="7"/>
      <c r="E41" s="8">
        <v>3000</v>
      </c>
      <c r="F41" s="8" t="s">
        <v>306</v>
      </c>
      <c r="H41" t="str">
        <f t="shared" si="21"/>
        <v>Aufwandskonto</v>
      </c>
      <c r="I41" s="9" t="str">
        <f t="shared" si="18"/>
        <v/>
      </c>
      <c r="Q41">
        <f t="shared" si="22"/>
        <v>3000</v>
      </c>
      <c r="R41">
        <f t="shared" si="2"/>
        <v>6</v>
      </c>
      <c r="S41">
        <f t="shared" si="3"/>
        <v>2</v>
      </c>
      <c r="T41">
        <f t="shared" si="19"/>
        <v>1</v>
      </c>
      <c r="U41">
        <f t="shared" si="20"/>
        <v>0</v>
      </c>
      <c r="W41">
        <f t="shared" si="23"/>
        <v>3000</v>
      </c>
      <c r="Y41">
        <f t="shared" si="12"/>
        <v>1</v>
      </c>
      <c r="Z41">
        <f t="shared" si="24"/>
        <v>1.0000100000000001</v>
      </c>
      <c r="AA41">
        <f t="shared" si="25"/>
        <v>3.3000000000000022E-4</v>
      </c>
      <c r="AB41" t="str">
        <f t="shared" si="26"/>
        <v/>
      </c>
      <c r="AC41" t="str">
        <f t="shared" si="10"/>
        <v/>
      </c>
      <c r="AF41">
        <f t="shared" si="13"/>
        <v>1</v>
      </c>
      <c r="AG41">
        <f t="shared" si="14"/>
        <v>3000</v>
      </c>
      <c r="AH41">
        <f t="shared" si="27"/>
        <v>3.2999999999999982E-3</v>
      </c>
      <c r="AI41" t="str">
        <f t="shared" si="15"/>
        <v/>
      </c>
    </row>
    <row r="42" spans="1:35" ht="13" x14ac:dyDescent="0.3">
      <c r="A42">
        <f t="shared" si="16"/>
        <v>34</v>
      </c>
      <c r="B42">
        <f t="shared" si="17"/>
        <v>67</v>
      </c>
      <c r="C42" s="6" t="s">
        <v>51</v>
      </c>
      <c r="D42" s="7"/>
      <c r="E42" s="8">
        <v>3100</v>
      </c>
      <c r="F42" s="8" t="s">
        <v>307</v>
      </c>
      <c r="H42" t="str">
        <f t="shared" si="21"/>
        <v>Aufwandskonto</v>
      </c>
      <c r="I42" s="9" t="str">
        <f t="shared" si="18"/>
        <v/>
      </c>
      <c r="Q42">
        <f t="shared" si="22"/>
        <v>3100</v>
      </c>
      <c r="R42">
        <f t="shared" si="2"/>
        <v>6</v>
      </c>
      <c r="S42">
        <f t="shared" si="3"/>
        <v>2</v>
      </c>
      <c r="T42">
        <f t="shared" si="19"/>
        <v>1</v>
      </c>
      <c r="U42">
        <f t="shared" si="20"/>
        <v>0</v>
      </c>
      <c r="W42">
        <f t="shared" si="23"/>
        <v>3100</v>
      </c>
      <c r="Y42">
        <f t="shared" si="12"/>
        <v>2</v>
      </c>
      <c r="Z42">
        <f t="shared" si="24"/>
        <v>1.0000200000000001</v>
      </c>
      <c r="AA42">
        <f t="shared" si="25"/>
        <v>3.4000000000000024E-4</v>
      </c>
      <c r="AB42" t="str">
        <f t="shared" si="26"/>
        <v/>
      </c>
      <c r="AC42" t="str">
        <f t="shared" si="10"/>
        <v/>
      </c>
      <c r="AF42">
        <f t="shared" si="13"/>
        <v>2</v>
      </c>
      <c r="AG42" t="str">
        <f t="shared" si="14"/>
        <v/>
      </c>
      <c r="AH42">
        <f t="shared" si="27"/>
        <v>3.3999999999999981E-3</v>
      </c>
      <c r="AI42" t="str">
        <f t="shared" si="15"/>
        <v/>
      </c>
    </row>
    <row r="43" spans="1:35" ht="13" x14ac:dyDescent="0.3">
      <c r="A43">
        <f t="shared" si="16"/>
        <v>35</v>
      </c>
      <c r="B43">
        <f t="shared" si="17"/>
        <v>69</v>
      </c>
      <c r="C43" s="6" t="s">
        <v>51</v>
      </c>
      <c r="D43" s="7"/>
      <c r="E43" s="156">
        <v>3200</v>
      </c>
      <c r="F43" s="156" t="s">
        <v>308</v>
      </c>
      <c r="H43" t="str">
        <f t="shared" si="21"/>
        <v>Aufwandskonto</v>
      </c>
      <c r="I43" s="9" t="str">
        <f t="shared" si="18"/>
        <v/>
      </c>
      <c r="Q43">
        <f t="shared" si="22"/>
        <v>3200</v>
      </c>
      <c r="R43">
        <f t="shared" si="2"/>
        <v>6</v>
      </c>
      <c r="S43">
        <f t="shared" si="3"/>
        <v>2</v>
      </c>
      <c r="T43">
        <f t="shared" si="19"/>
        <v>1</v>
      </c>
      <c r="U43">
        <f t="shared" si="20"/>
        <v>0</v>
      </c>
      <c r="W43">
        <f t="shared" si="23"/>
        <v>3200</v>
      </c>
      <c r="Y43">
        <f t="shared" si="12"/>
        <v>3</v>
      </c>
      <c r="Z43">
        <f t="shared" si="24"/>
        <v>1.0000300000000002</v>
      </c>
      <c r="AA43">
        <f t="shared" si="25"/>
        <v>3.5000000000000027E-4</v>
      </c>
      <c r="AB43" t="str">
        <f t="shared" si="26"/>
        <v/>
      </c>
      <c r="AC43" t="str">
        <f t="shared" si="10"/>
        <v/>
      </c>
      <c r="AF43">
        <f t="shared" si="13"/>
        <v>3</v>
      </c>
      <c r="AG43" t="str">
        <f t="shared" si="14"/>
        <v/>
      </c>
      <c r="AH43">
        <f t="shared" si="27"/>
        <v>3.4999999999999979E-3</v>
      </c>
      <c r="AI43" t="str">
        <f t="shared" si="15"/>
        <v/>
      </c>
    </row>
    <row r="44" spans="1:35" ht="13" x14ac:dyDescent="0.3">
      <c r="A44">
        <f t="shared" si="16"/>
        <v>36</v>
      </c>
      <c r="B44">
        <f t="shared" si="17"/>
        <v>71</v>
      </c>
      <c r="C44" s="6" t="s">
        <v>51</v>
      </c>
      <c r="D44" s="7"/>
      <c r="E44" s="8">
        <v>3300</v>
      </c>
      <c r="F44" s="8" t="s">
        <v>309</v>
      </c>
      <c r="H44" t="str">
        <f t="shared" si="21"/>
        <v>Aufwandskonto</v>
      </c>
      <c r="I44" s="9" t="str">
        <f t="shared" si="18"/>
        <v/>
      </c>
      <c r="Q44">
        <f t="shared" si="22"/>
        <v>3300</v>
      </c>
      <c r="R44">
        <f t="shared" si="2"/>
        <v>6</v>
      </c>
      <c r="S44">
        <f t="shared" si="3"/>
        <v>2</v>
      </c>
      <c r="T44">
        <f t="shared" si="19"/>
        <v>1</v>
      </c>
      <c r="U44">
        <f t="shared" si="20"/>
        <v>0</v>
      </c>
      <c r="W44">
        <f t="shared" si="23"/>
        <v>3300</v>
      </c>
      <c r="Y44">
        <f t="shared" si="12"/>
        <v>4</v>
      </c>
      <c r="Z44">
        <f t="shared" si="24"/>
        <v>1.0000400000000003</v>
      </c>
      <c r="AA44">
        <f t="shared" si="25"/>
        <v>3.6000000000000029E-4</v>
      </c>
      <c r="AB44" t="str">
        <f t="shared" si="26"/>
        <v/>
      </c>
      <c r="AC44" t="str">
        <f t="shared" si="10"/>
        <v/>
      </c>
      <c r="AF44">
        <f t="shared" si="13"/>
        <v>4</v>
      </c>
      <c r="AG44" t="str">
        <f t="shared" si="14"/>
        <v/>
      </c>
      <c r="AH44">
        <f t="shared" si="27"/>
        <v>3.5999999999999977E-3</v>
      </c>
      <c r="AI44" t="str">
        <f t="shared" si="15"/>
        <v/>
      </c>
    </row>
    <row r="45" spans="1:35" ht="13" x14ac:dyDescent="0.3">
      <c r="A45">
        <f t="shared" si="16"/>
        <v>37</v>
      </c>
      <c r="B45">
        <f t="shared" si="17"/>
        <v>73</v>
      </c>
      <c r="C45" s="6" t="s">
        <v>51</v>
      </c>
      <c r="D45" s="7"/>
      <c r="E45" s="8">
        <v>3400</v>
      </c>
      <c r="F45" s="8" t="s">
        <v>310</v>
      </c>
      <c r="H45" t="str">
        <f t="shared" si="21"/>
        <v>Aufwandskonto</v>
      </c>
      <c r="I45" s="9" t="str">
        <f t="shared" si="18"/>
        <v/>
      </c>
      <c r="Q45">
        <f t="shared" si="22"/>
        <v>3400</v>
      </c>
      <c r="R45">
        <f t="shared" si="2"/>
        <v>6</v>
      </c>
      <c r="S45">
        <f t="shared" si="3"/>
        <v>2</v>
      </c>
      <c r="T45">
        <f t="shared" si="19"/>
        <v>1</v>
      </c>
      <c r="U45">
        <f t="shared" si="20"/>
        <v>0</v>
      </c>
      <c r="W45">
        <f t="shared" si="23"/>
        <v>3400</v>
      </c>
      <c r="Y45">
        <f t="shared" si="12"/>
        <v>5</v>
      </c>
      <c r="Z45">
        <f t="shared" si="24"/>
        <v>1.0000500000000003</v>
      </c>
      <c r="AA45">
        <f t="shared" si="25"/>
        <v>3.7000000000000032E-4</v>
      </c>
      <c r="AB45" t="str">
        <f t="shared" si="26"/>
        <v/>
      </c>
      <c r="AC45" t="str">
        <f t="shared" si="10"/>
        <v/>
      </c>
      <c r="AF45">
        <f t="shared" si="13"/>
        <v>5</v>
      </c>
      <c r="AG45" t="str">
        <f t="shared" si="14"/>
        <v/>
      </c>
      <c r="AH45">
        <f t="shared" si="27"/>
        <v>3.6999999999999976E-3</v>
      </c>
      <c r="AI45" t="str">
        <f t="shared" si="15"/>
        <v/>
      </c>
    </row>
    <row r="46" spans="1:35" ht="13" x14ac:dyDescent="0.3">
      <c r="A46">
        <f t="shared" si="16"/>
        <v>38</v>
      </c>
      <c r="B46">
        <f t="shared" si="17"/>
        <v>75</v>
      </c>
      <c r="C46" s="6"/>
      <c r="D46" s="7" t="s">
        <v>311</v>
      </c>
      <c r="E46" s="8"/>
      <c r="F46" s="8"/>
      <c r="H46">
        <f t="shared" si="21"/>
        <v>0</v>
      </c>
      <c r="I46" s="9" t="str">
        <f t="shared" si="18"/>
        <v/>
      </c>
      <c r="Q46">
        <f t="shared" si="22"/>
        <v>0</v>
      </c>
      <c r="R46">
        <f t="shared" si="2"/>
        <v>6</v>
      </c>
      <c r="S46">
        <f t="shared" si="3"/>
        <v>2</v>
      </c>
      <c r="T46">
        <f t="shared" si="19"/>
        <v>1</v>
      </c>
      <c r="U46">
        <f t="shared" si="20"/>
        <v>1</v>
      </c>
      <c r="W46">
        <f t="shared" si="23"/>
        <v>3400.0001000000002</v>
      </c>
      <c r="Y46">
        <f t="shared" si="12"/>
        <v>5</v>
      </c>
      <c r="Z46">
        <f t="shared" si="24"/>
        <v>1.0000600000000004</v>
      </c>
      <c r="AA46">
        <f t="shared" si="25"/>
        <v>1</v>
      </c>
      <c r="AB46" t="str">
        <f t="shared" si="26"/>
        <v/>
      </c>
      <c r="AC46" t="str">
        <f t="shared" si="10"/>
        <v>Ertrag aus Auftritten</v>
      </c>
      <c r="AF46">
        <f t="shared" si="13"/>
        <v>5.0000999999999998</v>
      </c>
      <c r="AG46" t="str">
        <f t="shared" si="14"/>
        <v/>
      </c>
      <c r="AH46">
        <f t="shared" si="27"/>
        <v>3.7999999999999974E-3</v>
      </c>
      <c r="AI46" t="str">
        <f t="shared" si="15"/>
        <v/>
      </c>
    </row>
    <row r="47" spans="1:35" ht="13" x14ac:dyDescent="0.3">
      <c r="A47">
        <f t="shared" si="16"/>
        <v>39</v>
      </c>
      <c r="B47">
        <f t="shared" si="17"/>
        <v>77</v>
      </c>
      <c r="C47" s="6" t="s">
        <v>52</v>
      </c>
      <c r="D47" s="7"/>
      <c r="E47" s="8">
        <v>4000</v>
      </c>
      <c r="F47" s="8" t="s">
        <v>312</v>
      </c>
      <c r="H47" t="str">
        <f t="shared" si="21"/>
        <v>Ertragskonto</v>
      </c>
      <c r="I47" s="9" t="str">
        <f t="shared" si="18"/>
        <v/>
      </c>
      <c r="Q47">
        <f t="shared" si="22"/>
        <v>4000</v>
      </c>
      <c r="R47">
        <f t="shared" si="2"/>
        <v>6</v>
      </c>
      <c r="S47">
        <f t="shared" si="3"/>
        <v>2</v>
      </c>
      <c r="T47">
        <f t="shared" si="19"/>
        <v>1</v>
      </c>
      <c r="U47">
        <f t="shared" si="20"/>
        <v>1</v>
      </c>
      <c r="W47">
        <f t="shared" si="23"/>
        <v>4000</v>
      </c>
      <c r="Y47">
        <f t="shared" si="12"/>
        <v>6</v>
      </c>
      <c r="Z47">
        <f t="shared" si="24"/>
        <v>1.0000700000000005</v>
      </c>
      <c r="AA47">
        <f t="shared" si="25"/>
        <v>1.0000100000000001</v>
      </c>
      <c r="AB47" t="str">
        <f t="shared" si="26"/>
        <v/>
      </c>
      <c r="AC47" t="str">
        <f t="shared" si="10"/>
        <v/>
      </c>
      <c r="AF47">
        <f t="shared" si="13"/>
        <v>5.0001999999999995</v>
      </c>
      <c r="AG47" t="str">
        <f t="shared" si="14"/>
        <v/>
      </c>
      <c r="AH47">
        <f t="shared" si="27"/>
        <v>1</v>
      </c>
      <c r="AI47">
        <f t="shared" si="15"/>
        <v>4000</v>
      </c>
    </row>
    <row r="48" spans="1:35" ht="13" x14ac:dyDescent="0.3">
      <c r="A48">
        <f t="shared" si="16"/>
        <v>40</v>
      </c>
      <c r="B48">
        <f t="shared" si="17"/>
        <v>79</v>
      </c>
      <c r="C48" s="6" t="s">
        <v>52</v>
      </c>
      <c r="D48" s="7"/>
      <c r="E48" s="8">
        <v>4100</v>
      </c>
      <c r="F48" s="8" t="s">
        <v>313</v>
      </c>
      <c r="H48" t="str">
        <f t="shared" si="21"/>
        <v>Ertragskonto</v>
      </c>
      <c r="I48" s="9" t="str">
        <f t="shared" si="18"/>
        <v/>
      </c>
      <c r="Q48">
        <f t="shared" si="22"/>
        <v>4100</v>
      </c>
      <c r="R48">
        <f t="shared" si="2"/>
        <v>6</v>
      </c>
      <c r="S48">
        <f t="shared" si="3"/>
        <v>2</v>
      </c>
      <c r="T48">
        <f t="shared" si="19"/>
        <v>1</v>
      </c>
      <c r="U48">
        <f t="shared" si="20"/>
        <v>1</v>
      </c>
      <c r="W48">
        <f t="shared" si="23"/>
        <v>4100</v>
      </c>
      <c r="Y48">
        <f t="shared" si="12"/>
        <v>7</v>
      </c>
      <c r="Z48">
        <f t="shared" si="24"/>
        <v>1.0000800000000005</v>
      </c>
      <c r="AA48">
        <f t="shared" si="25"/>
        <v>1.0000200000000001</v>
      </c>
      <c r="AB48" t="str">
        <f t="shared" si="26"/>
        <v/>
      </c>
      <c r="AC48" t="str">
        <f t="shared" si="10"/>
        <v/>
      </c>
      <c r="AF48">
        <f t="shared" si="13"/>
        <v>5.0002999999999993</v>
      </c>
      <c r="AG48" t="str">
        <f t="shared" si="14"/>
        <v/>
      </c>
      <c r="AH48">
        <f t="shared" si="27"/>
        <v>2</v>
      </c>
      <c r="AI48" t="str">
        <f t="shared" si="15"/>
        <v/>
      </c>
    </row>
    <row r="49" spans="1:35" ht="13" x14ac:dyDescent="0.3">
      <c r="A49">
        <f t="shared" si="16"/>
        <v>41</v>
      </c>
      <c r="B49">
        <f t="shared" si="17"/>
        <v>81</v>
      </c>
      <c r="C49" s="6" t="s">
        <v>52</v>
      </c>
      <c r="D49" s="7"/>
      <c r="E49" s="8">
        <v>4200</v>
      </c>
      <c r="F49" s="8" t="s">
        <v>314</v>
      </c>
      <c r="H49" t="str">
        <f t="shared" si="21"/>
        <v>Ertragskonto</v>
      </c>
      <c r="I49" s="9" t="str">
        <f>IF(AND(AND(C49="",D49="",E49="",F49=""),OR(C50&lt;&gt;"",D50&lt;&gt;"")),"Bitte diese Zeile nicht leer lassen",IF(AND(D49&lt;&gt;"",OR(C49&lt;&gt;"",E49&lt;&gt;"",F49&lt;&gt;"")),"Bitte Zeile nur als Titelzeile (Spalte D) oder als Kontozeile (Spalten C, E, F) verwenden",IF(E49="","",IF(AND(E49&lt;&gt;"",F49&lt;&gt;"",C49=""),"Bitte gültige Kontokategorie (s. oben) zuweisen",IF(OR(E49&lt;=E48,E49&lt;=E47),"Kontonummern müssen aufsteigend eingegeben werden.",IF(OR(E49&lt;1000,E49&gt;9999),CONCATENATE(E49," auf Spalte F ist keine vierstellige Kontonummer"),IF(OR(C49=C$3,C49=C$4,C49=C$5,C49=C$6),"","Bitte gültige Kontokategorie eingeben")))))))</f>
        <v/>
      </c>
      <c r="Q49">
        <f t="shared" si="22"/>
        <v>4200</v>
      </c>
      <c r="R49">
        <f t="shared" si="2"/>
        <v>6</v>
      </c>
      <c r="S49">
        <f t="shared" si="3"/>
        <v>2</v>
      </c>
      <c r="T49">
        <f t="shared" si="19"/>
        <v>1</v>
      </c>
      <c r="U49">
        <f t="shared" si="20"/>
        <v>1</v>
      </c>
      <c r="W49">
        <f t="shared" si="23"/>
        <v>4200</v>
      </c>
      <c r="Y49">
        <f t="shared" si="12"/>
        <v>8</v>
      </c>
      <c r="Z49">
        <f t="shared" si="24"/>
        <v>1.0000900000000006</v>
      </c>
      <c r="AA49">
        <f t="shared" si="25"/>
        <v>1.0000300000000002</v>
      </c>
      <c r="AB49" t="str">
        <f t="shared" si="26"/>
        <v/>
      </c>
      <c r="AC49" t="str">
        <f t="shared" si="10"/>
        <v/>
      </c>
      <c r="AF49">
        <f t="shared" si="13"/>
        <v>5.0003999999999991</v>
      </c>
      <c r="AG49" t="str">
        <f t="shared" si="14"/>
        <v/>
      </c>
      <c r="AH49">
        <f t="shared" si="27"/>
        <v>3</v>
      </c>
      <c r="AI49" t="str">
        <f t="shared" si="15"/>
        <v/>
      </c>
    </row>
    <row r="50" spans="1:35" ht="13" x14ac:dyDescent="0.3">
      <c r="A50">
        <f t="shared" si="16"/>
        <v>42</v>
      </c>
      <c r="B50">
        <f t="shared" si="17"/>
        <v>83</v>
      </c>
      <c r="C50" s="6" t="s">
        <v>52</v>
      </c>
      <c r="D50" s="7"/>
      <c r="E50" s="8">
        <v>4300</v>
      </c>
      <c r="F50" s="8" t="s">
        <v>315</v>
      </c>
      <c r="H50" t="str">
        <f t="shared" si="21"/>
        <v>Ertragskonto</v>
      </c>
      <c r="I50" s="9" t="str">
        <f t="shared" ref="I50:I98" si="28">IF(AND(AND(C50="",D50="",E50="",F50=""),OR(C51&lt;&gt;"",D51&lt;&gt;"")),"Bitte diese Zeile nicht leer lassen",IF(AND(D50&lt;&gt;"",OR(C50&lt;&gt;"",E50&lt;&gt;"",F50&lt;&gt;"")),"Bitte Zeile nur als Titelzeile (Spalte D) oder als Kontozeile (Spalten C, E, F) verwenden",IF(E50="","",IF(AND(E50&lt;&gt;"",F50&lt;&gt;"",C50=""),"Bitte gültige Kontokategorie (s. oben) zuweisen",IF(OR(E50&lt;=E49,E50&lt;=E48),"Kontonummern müssen aufsteigend eingegeben werden.",IF(OR(E50&lt;1000,E50&gt;9999),CONCATENATE(E50," auf Spalte F ist keine vierstellige Kontonummer"),IF(OR(C50=C$3,C50=C$4,C50=C$5,C50=C$6),"","Bitte gültige Kontokategorie eingeben")))))))</f>
        <v/>
      </c>
      <c r="Q50">
        <f t="shared" si="22"/>
        <v>4300</v>
      </c>
      <c r="R50">
        <f t="shared" si="2"/>
        <v>6</v>
      </c>
      <c r="S50">
        <f t="shared" si="3"/>
        <v>2</v>
      </c>
      <c r="T50">
        <f t="shared" si="19"/>
        <v>1</v>
      </c>
      <c r="U50">
        <f t="shared" si="20"/>
        <v>1</v>
      </c>
      <c r="W50">
        <f t="shared" si="23"/>
        <v>4300</v>
      </c>
      <c r="Y50">
        <f t="shared" si="12"/>
        <v>9</v>
      </c>
      <c r="Z50">
        <f t="shared" si="24"/>
        <v>1.0001000000000007</v>
      </c>
      <c r="AA50">
        <f t="shared" si="25"/>
        <v>1.0000400000000003</v>
      </c>
      <c r="AB50" t="str">
        <f t="shared" si="26"/>
        <v/>
      </c>
      <c r="AC50" t="str">
        <f t="shared" si="10"/>
        <v/>
      </c>
      <c r="AF50">
        <f t="shared" si="13"/>
        <v>5.0004999999999988</v>
      </c>
      <c r="AG50" t="str">
        <f t="shared" si="14"/>
        <v/>
      </c>
      <c r="AH50">
        <f t="shared" si="27"/>
        <v>4</v>
      </c>
      <c r="AI50" t="str">
        <f t="shared" si="15"/>
        <v/>
      </c>
    </row>
    <row r="51" spans="1:35" ht="13" x14ac:dyDescent="0.3">
      <c r="A51">
        <f t="shared" si="16"/>
        <v>43</v>
      </c>
      <c r="B51">
        <f t="shared" si="17"/>
        <v>85</v>
      </c>
      <c r="C51" s="6"/>
      <c r="D51" s="7" t="s">
        <v>316</v>
      </c>
      <c r="E51" s="8"/>
      <c r="F51" s="8"/>
      <c r="H51">
        <f t="shared" si="21"/>
        <v>0</v>
      </c>
      <c r="I51" s="9" t="str">
        <f t="shared" si="28"/>
        <v/>
      </c>
      <c r="Q51">
        <f t="shared" si="22"/>
        <v>0</v>
      </c>
      <c r="R51">
        <f t="shared" si="2"/>
        <v>6</v>
      </c>
      <c r="S51">
        <f t="shared" si="3"/>
        <v>2</v>
      </c>
      <c r="T51">
        <f t="shared" si="19"/>
        <v>2</v>
      </c>
      <c r="U51">
        <f t="shared" si="20"/>
        <v>1</v>
      </c>
      <c r="W51">
        <f t="shared" si="23"/>
        <v>4300.0001000000002</v>
      </c>
      <c r="Y51">
        <f t="shared" si="12"/>
        <v>9</v>
      </c>
      <c r="Z51">
        <f t="shared" si="24"/>
        <v>2</v>
      </c>
      <c r="AA51">
        <f t="shared" si="25"/>
        <v>1.0000500000000003</v>
      </c>
      <c r="AB51" t="str">
        <f t="shared" si="26"/>
        <v>Aufwände allgemein</v>
      </c>
      <c r="AC51" t="str">
        <f t="shared" si="10"/>
        <v/>
      </c>
      <c r="AF51">
        <f t="shared" si="13"/>
        <v>5.0005999999999986</v>
      </c>
      <c r="AG51" t="str">
        <f t="shared" si="14"/>
        <v/>
      </c>
      <c r="AH51">
        <f t="shared" si="27"/>
        <v>4.0000999999999998</v>
      </c>
      <c r="AI51" t="str">
        <f t="shared" si="15"/>
        <v/>
      </c>
    </row>
    <row r="52" spans="1:35" ht="13" x14ac:dyDescent="0.3">
      <c r="A52">
        <f t="shared" si="16"/>
        <v>44</v>
      </c>
      <c r="B52">
        <f t="shared" si="17"/>
        <v>87</v>
      </c>
      <c r="C52" s="6" t="s">
        <v>51</v>
      </c>
      <c r="D52" s="7"/>
      <c r="E52" s="8">
        <v>5000</v>
      </c>
      <c r="F52" s="8" t="s">
        <v>317</v>
      </c>
      <c r="H52" t="str">
        <f t="shared" si="21"/>
        <v>Aufwandskonto</v>
      </c>
      <c r="I52" s="9" t="str">
        <f t="shared" si="28"/>
        <v/>
      </c>
      <c r="Q52">
        <f t="shared" si="22"/>
        <v>5000</v>
      </c>
      <c r="R52">
        <f t="shared" si="2"/>
        <v>6</v>
      </c>
      <c r="S52">
        <f t="shared" si="3"/>
        <v>2</v>
      </c>
      <c r="T52">
        <f t="shared" si="19"/>
        <v>2</v>
      </c>
      <c r="U52">
        <f t="shared" si="20"/>
        <v>1</v>
      </c>
      <c r="W52">
        <f t="shared" si="23"/>
        <v>5000</v>
      </c>
      <c r="Y52">
        <f t="shared" si="12"/>
        <v>10</v>
      </c>
      <c r="Z52">
        <f t="shared" si="24"/>
        <v>2.0000100000000001</v>
      </c>
      <c r="AA52">
        <f t="shared" si="25"/>
        <v>1.0000600000000004</v>
      </c>
      <c r="AB52" t="str">
        <f t="shared" si="26"/>
        <v/>
      </c>
      <c r="AC52" t="str">
        <f t="shared" si="10"/>
        <v/>
      </c>
      <c r="AF52">
        <f t="shared" si="13"/>
        <v>6</v>
      </c>
      <c r="AG52" t="str">
        <f t="shared" si="14"/>
        <v/>
      </c>
      <c r="AH52">
        <f t="shared" si="27"/>
        <v>4.0001999999999995</v>
      </c>
      <c r="AI52" t="str">
        <f t="shared" si="15"/>
        <v/>
      </c>
    </row>
    <row r="53" spans="1:35" ht="13" x14ac:dyDescent="0.3">
      <c r="A53">
        <f t="shared" si="16"/>
        <v>45</v>
      </c>
      <c r="B53">
        <f t="shared" si="17"/>
        <v>89</v>
      </c>
      <c r="C53" s="6" t="s">
        <v>51</v>
      </c>
      <c r="D53" s="7"/>
      <c r="E53" s="8">
        <v>5100</v>
      </c>
      <c r="F53" s="8" t="s">
        <v>318</v>
      </c>
      <c r="H53" t="str">
        <f t="shared" si="21"/>
        <v>Aufwandskonto</v>
      </c>
      <c r="I53" s="9" t="str">
        <f t="shared" si="28"/>
        <v/>
      </c>
      <c r="Q53">
        <f t="shared" si="22"/>
        <v>5100</v>
      </c>
      <c r="R53">
        <f t="shared" si="2"/>
        <v>6</v>
      </c>
      <c r="S53">
        <f t="shared" si="3"/>
        <v>2</v>
      </c>
      <c r="T53">
        <f t="shared" si="19"/>
        <v>2</v>
      </c>
      <c r="U53">
        <f t="shared" si="20"/>
        <v>1</v>
      </c>
      <c r="W53">
        <f t="shared" si="23"/>
        <v>5100</v>
      </c>
      <c r="Y53">
        <f t="shared" si="12"/>
        <v>11</v>
      </c>
      <c r="Z53">
        <f t="shared" si="24"/>
        <v>2.0000200000000001</v>
      </c>
      <c r="AA53">
        <f t="shared" si="25"/>
        <v>1.0000700000000005</v>
      </c>
      <c r="AB53" t="str">
        <f t="shared" si="26"/>
        <v/>
      </c>
      <c r="AC53" t="str">
        <f t="shared" si="10"/>
        <v/>
      </c>
      <c r="AF53">
        <f>IF(C53="Aufwandskonto",ROUND(AF52,0)+1,AF52+0.0001)</f>
        <v>7</v>
      </c>
      <c r="AG53" t="str">
        <f t="shared" si="14"/>
        <v/>
      </c>
      <c r="AH53">
        <f t="shared" si="27"/>
        <v>4.0002999999999993</v>
      </c>
      <c r="AI53" t="str">
        <f t="shared" si="15"/>
        <v/>
      </c>
    </row>
    <row r="54" spans="1:35" ht="13" x14ac:dyDescent="0.3">
      <c r="A54">
        <f t="shared" si="16"/>
        <v>46</v>
      </c>
      <c r="B54">
        <f t="shared" si="17"/>
        <v>91</v>
      </c>
      <c r="C54" s="6" t="s">
        <v>51</v>
      </c>
      <c r="D54" s="7"/>
      <c r="E54" s="8">
        <v>5200</v>
      </c>
      <c r="F54" s="8" t="s">
        <v>278</v>
      </c>
      <c r="H54" t="str">
        <f t="shared" si="21"/>
        <v>Aufwandskonto</v>
      </c>
      <c r="I54" s="9" t="str">
        <f t="shared" si="28"/>
        <v/>
      </c>
      <c r="Q54">
        <f t="shared" si="22"/>
        <v>5200</v>
      </c>
      <c r="R54">
        <f t="shared" si="2"/>
        <v>6</v>
      </c>
      <c r="S54">
        <f t="shared" si="3"/>
        <v>2</v>
      </c>
      <c r="T54">
        <f t="shared" si="19"/>
        <v>2</v>
      </c>
      <c r="U54">
        <f t="shared" si="20"/>
        <v>1</v>
      </c>
      <c r="W54">
        <f t="shared" si="23"/>
        <v>5200</v>
      </c>
      <c r="Y54">
        <f t="shared" si="12"/>
        <v>12</v>
      </c>
      <c r="Z54">
        <f t="shared" si="24"/>
        <v>2.0000300000000002</v>
      </c>
      <c r="AA54">
        <f t="shared" si="25"/>
        <v>1.0000800000000005</v>
      </c>
      <c r="AB54" t="str">
        <f t="shared" si="26"/>
        <v/>
      </c>
      <c r="AC54" t="str">
        <f t="shared" si="10"/>
        <v/>
      </c>
      <c r="AF54">
        <f t="shared" si="13"/>
        <v>8</v>
      </c>
      <c r="AG54" t="str">
        <f t="shared" si="14"/>
        <v/>
      </c>
      <c r="AH54">
        <f t="shared" si="27"/>
        <v>4.0003999999999991</v>
      </c>
      <c r="AI54" t="str">
        <f t="shared" si="15"/>
        <v/>
      </c>
    </row>
    <row r="55" spans="1:35" ht="13" x14ac:dyDescent="0.3">
      <c r="A55">
        <f t="shared" si="16"/>
        <v>47</v>
      </c>
      <c r="B55">
        <f t="shared" si="17"/>
        <v>93</v>
      </c>
      <c r="C55" s="6" t="s">
        <v>51</v>
      </c>
      <c r="D55" s="7"/>
      <c r="E55" s="8">
        <v>5300</v>
      </c>
      <c r="F55" s="8" t="s">
        <v>319</v>
      </c>
      <c r="H55" t="str">
        <f t="shared" si="21"/>
        <v>Aufwandskonto</v>
      </c>
      <c r="I55" s="9" t="str">
        <f t="shared" si="28"/>
        <v/>
      </c>
      <c r="Q55">
        <f t="shared" si="22"/>
        <v>5300</v>
      </c>
      <c r="R55">
        <f t="shared" si="2"/>
        <v>6</v>
      </c>
      <c r="S55">
        <f t="shared" si="3"/>
        <v>2</v>
      </c>
      <c r="T55">
        <f t="shared" si="19"/>
        <v>2</v>
      </c>
      <c r="U55">
        <f t="shared" si="20"/>
        <v>1</v>
      </c>
      <c r="W55">
        <f t="shared" si="23"/>
        <v>5300</v>
      </c>
      <c r="Y55">
        <f t="shared" si="12"/>
        <v>13</v>
      </c>
      <c r="Z55">
        <f t="shared" si="24"/>
        <v>2.0000400000000003</v>
      </c>
      <c r="AA55">
        <f t="shared" si="25"/>
        <v>1.0000900000000006</v>
      </c>
      <c r="AB55" t="str">
        <f t="shared" si="26"/>
        <v/>
      </c>
      <c r="AC55" t="str">
        <f t="shared" si="10"/>
        <v/>
      </c>
      <c r="AF55">
        <f t="shared" si="13"/>
        <v>9</v>
      </c>
      <c r="AG55" t="str">
        <f t="shared" si="14"/>
        <v/>
      </c>
      <c r="AH55">
        <f t="shared" si="27"/>
        <v>4.0004999999999988</v>
      </c>
      <c r="AI55" t="str">
        <f t="shared" si="15"/>
        <v/>
      </c>
    </row>
    <row r="56" spans="1:35" ht="13" x14ac:dyDescent="0.3">
      <c r="A56">
        <f t="shared" si="16"/>
        <v>48</v>
      </c>
      <c r="B56">
        <f t="shared" si="17"/>
        <v>95</v>
      </c>
      <c r="C56" s="6" t="s">
        <v>51</v>
      </c>
      <c r="D56" s="7"/>
      <c r="E56" s="8">
        <v>5350</v>
      </c>
      <c r="F56" s="8" t="s">
        <v>320</v>
      </c>
      <c r="H56" t="str">
        <f t="shared" si="21"/>
        <v>Aufwandskonto</v>
      </c>
      <c r="I56" s="9" t="str">
        <f t="shared" si="28"/>
        <v/>
      </c>
      <c r="Q56">
        <f t="shared" si="22"/>
        <v>5350</v>
      </c>
      <c r="R56">
        <f t="shared" si="2"/>
        <v>6</v>
      </c>
      <c r="S56">
        <f t="shared" si="3"/>
        <v>2</v>
      </c>
      <c r="T56">
        <f t="shared" si="19"/>
        <v>2</v>
      </c>
      <c r="U56">
        <f t="shared" si="20"/>
        <v>1</v>
      </c>
      <c r="W56">
        <f t="shared" si="23"/>
        <v>5350</v>
      </c>
      <c r="Y56">
        <f t="shared" si="12"/>
        <v>14</v>
      </c>
      <c r="Z56">
        <f t="shared" si="24"/>
        <v>2.0000500000000003</v>
      </c>
      <c r="AA56">
        <f t="shared" si="25"/>
        <v>1.0001000000000007</v>
      </c>
      <c r="AB56" t="str">
        <f t="shared" si="26"/>
        <v/>
      </c>
      <c r="AC56" t="str">
        <f t="shared" si="10"/>
        <v/>
      </c>
      <c r="AF56">
        <f t="shared" si="13"/>
        <v>10</v>
      </c>
      <c r="AG56" t="str">
        <f t="shared" si="14"/>
        <v/>
      </c>
      <c r="AH56">
        <f t="shared" si="27"/>
        <v>4.0005999999999986</v>
      </c>
      <c r="AI56" t="str">
        <f t="shared" si="15"/>
        <v/>
      </c>
    </row>
    <row r="57" spans="1:35" ht="13" x14ac:dyDescent="0.3">
      <c r="A57">
        <f t="shared" si="16"/>
        <v>49</v>
      </c>
      <c r="B57">
        <f t="shared" si="17"/>
        <v>97</v>
      </c>
      <c r="C57" s="6" t="s">
        <v>51</v>
      </c>
      <c r="D57" s="7"/>
      <c r="E57" s="8">
        <v>5400</v>
      </c>
      <c r="F57" s="8" t="s">
        <v>321</v>
      </c>
      <c r="H57" t="str">
        <f t="shared" si="21"/>
        <v>Aufwandskonto</v>
      </c>
      <c r="I57" s="9" t="str">
        <f t="shared" si="28"/>
        <v/>
      </c>
      <c r="Q57">
        <f t="shared" si="22"/>
        <v>5400</v>
      </c>
      <c r="R57">
        <f t="shared" si="2"/>
        <v>6</v>
      </c>
      <c r="S57">
        <f t="shared" si="3"/>
        <v>2</v>
      </c>
      <c r="T57">
        <f t="shared" si="19"/>
        <v>2</v>
      </c>
      <c r="U57">
        <f t="shared" si="20"/>
        <v>1</v>
      </c>
      <c r="W57">
        <f t="shared" si="23"/>
        <v>5400</v>
      </c>
      <c r="Y57">
        <f t="shared" si="12"/>
        <v>15</v>
      </c>
      <c r="Z57">
        <f t="shared" si="24"/>
        <v>2.0000600000000004</v>
      </c>
      <c r="AA57">
        <f t="shared" si="25"/>
        <v>1.0001100000000007</v>
      </c>
      <c r="AB57" t="str">
        <f t="shared" si="26"/>
        <v/>
      </c>
      <c r="AC57" t="str">
        <f t="shared" si="10"/>
        <v/>
      </c>
      <c r="AF57">
        <f t="shared" si="13"/>
        <v>11</v>
      </c>
      <c r="AG57" t="str">
        <f t="shared" si="14"/>
        <v/>
      </c>
      <c r="AH57">
        <f t="shared" si="27"/>
        <v>4.0006999999999984</v>
      </c>
      <c r="AI57" t="str">
        <f t="shared" si="15"/>
        <v/>
      </c>
    </row>
    <row r="58" spans="1:35" ht="13" x14ac:dyDescent="0.3">
      <c r="A58">
        <f t="shared" si="16"/>
        <v>50</v>
      </c>
      <c r="B58">
        <f t="shared" si="17"/>
        <v>99</v>
      </c>
      <c r="C58" s="6" t="s">
        <v>51</v>
      </c>
      <c r="D58" s="7"/>
      <c r="E58" s="8">
        <v>5500</v>
      </c>
      <c r="F58" s="8" t="s">
        <v>322</v>
      </c>
      <c r="H58" t="str">
        <f t="shared" si="21"/>
        <v>Aufwandskonto</v>
      </c>
      <c r="I58" s="9" t="str">
        <f t="shared" si="28"/>
        <v/>
      </c>
      <c r="Q58">
        <f t="shared" si="22"/>
        <v>5500</v>
      </c>
      <c r="R58">
        <f t="shared" si="2"/>
        <v>6</v>
      </c>
      <c r="S58">
        <f t="shared" si="3"/>
        <v>2</v>
      </c>
      <c r="T58">
        <f t="shared" si="19"/>
        <v>2</v>
      </c>
      <c r="U58">
        <f t="shared" si="20"/>
        <v>1</v>
      </c>
      <c r="W58">
        <f t="shared" si="23"/>
        <v>5500</v>
      </c>
      <c r="Y58">
        <f t="shared" si="12"/>
        <v>16</v>
      </c>
      <c r="Z58">
        <f t="shared" si="24"/>
        <v>2.0000700000000005</v>
      </c>
      <c r="AA58">
        <f t="shared" si="25"/>
        <v>1.0001200000000008</v>
      </c>
      <c r="AB58" t="str">
        <f t="shared" si="26"/>
        <v/>
      </c>
      <c r="AC58" t="str">
        <f t="shared" si="10"/>
        <v/>
      </c>
      <c r="AF58">
        <f t="shared" si="13"/>
        <v>12</v>
      </c>
      <c r="AG58" t="str">
        <f t="shared" si="14"/>
        <v/>
      </c>
      <c r="AH58">
        <f t="shared" si="27"/>
        <v>4.0007999999999981</v>
      </c>
      <c r="AI58" t="str">
        <f t="shared" si="15"/>
        <v/>
      </c>
    </row>
    <row r="59" spans="1:35" ht="13" x14ac:dyDescent="0.3">
      <c r="A59">
        <f t="shared" si="16"/>
        <v>51</v>
      </c>
      <c r="B59">
        <f t="shared" si="17"/>
        <v>101</v>
      </c>
      <c r="C59" s="6" t="s">
        <v>51</v>
      </c>
      <c r="D59" s="7"/>
      <c r="E59" s="8">
        <v>5520</v>
      </c>
      <c r="F59" s="8" t="s">
        <v>323</v>
      </c>
      <c r="H59" t="str">
        <f t="shared" si="21"/>
        <v>Aufwandskonto</v>
      </c>
      <c r="I59" s="9" t="str">
        <f t="shared" si="28"/>
        <v/>
      </c>
      <c r="Q59">
        <f t="shared" si="22"/>
        <v>5520</v>
      </c>
      <c r="R59">
        <f t="shared" si="2"/>
        <v>6</v>
      </c>
      <c r="S59">
        <f t="shared" si="3"/>
        <v>2</v>
      </c>
      <c r="T59">
        <f t="shared" si="19"/>
        <v>2</v>
      </c>
      <c r="U59">
        <f t="shared" si="20"/>
        <v>1</v>
      </c>
      <c r="W59">
        <f t="shared" si="23"/>
        <v>5520</v>
      </c>
      <c r="Y59">
        <f t="shared" si="12"/>
        <v>17</v>
      </c>
      <c r="Z59">
        <f t="shared" si="24"/>
        <v>2.0000800000000005</v>
      </c>
      <c r="AA59">
        <f t="shared" si="25"/>
        <v>1.0001300000000009</v>
      </c>
      <c r="AB59" t="str">
        <f t="shared" si="26"/>
        <v/>
      </c>
      <c r="AC59" t="str">
        <f t="shared" si="10"/>
        <v/>
      </c>
      <c r="AF59">
        <f t="shared" si="13"/>
        <v>13</v>
      </c>
      <c r="AG59" t="str">
        <f t="shared" si="14"/>
        <v/>
      </c>
      <c r="AH59">
        <f t="shared" si="27"/>
        <v>4.0008999999999979</v>
      </c>
      <c r="AI59" t="str">
        <f t="shared" si="15"/>
        <v/>
      </c>
    </row>
    <row r="60" spans="1:35" ht="13" x14ac:dyDescent="0.3">
      <c r="A60">
        <f t="shared" si="16"/>
        <v>52</v>
      </c>
      <c r="B60">
        <f t="shared" si="17"/>
        <v>103</v>
      </c>
      <c r="C60" s="6" t="s">
        <v>51</v>
      </c>
      <c r="D60" s="7"/>
      <c r="E60" s="8">
        <v>5600</v>
      </c>
      <c r="F60" s="8" t="s">
        <v>324</v>
      </c>
      <c r="H60" t="str">
        <f t="shared" si="21"/>
        <v>Aufwandskonto</v>
      </c>
      <c r="I60" s="9" t="str">
        <f t="shared" si="28"/>
        <v/>
      </c>
      <c r="Q60">
        <f t="shared" si="22"/>
        <v>5600</v>
      </c>
      <c r="R60">
        <f t="shared" si="2"/>
        <v>6</v>
      </c>
      <c r="S60">
        <f t="shared" si="3"/>
        <v>2</v>
      </c>
      <c r="T60">
        <f t="shared" si="19"/>
        <v>2</v>
      </c>
      <c r="U60">
        <f t="shared" si="20"/>
        <v>1</v>
      </c>
      <c r="W60">
        <f t="shared" si="23"/>
        <v>5600</v>
      </c>
      <c r="Y60">
        <f t="shared" si="12"/>
        <v>18</v>
      </c>
      <c r="Z60">
        <f t="shared" si="24"/>
        <v>2.0000900000000006</v>
      </c>
      <c r="AA60">
        <f t="shared" si="25"/>
        <v>1.0001400000000009</v>
      </c>
      <c r="AB60" t="str">
        <f t="shared" si="26"/>
        <v/>
      </c>
      <c r="AC60" t="str">
        <f t="shared" si="10"/>
        <v/>
      </c>
      <c r="AF60">
        <f t="shared" si="13"/>
        <v>14</v>
      </c>
      <c r="AG60" t="str">
        <f t="shared" si="14"/>
        <v/>
      </c>
      <c r="AH60">
        <f t="shared" si="27"/>
        <v>4.0009999999999977</v>
      </c>
      <c r="AI60" t="str">
        <f t="shared" si="15"/>
        <v/>
      </c>
    </row>
    <row r="61" spans="1:35" ht="13" x14ac:dyDescent="0.3">
      <c r="A61">
        <f t="shared" si="16"/>
        <v>53</v>
      </c>
      <c r="B61">
        <f t="shared" si="17"/>
        <v>105</v>
      </c>
      <c r="C61" s="6" t="s">
        <v>51</v>
      </c>
      <c r="D61" s="7"/>
      <c r="E61" s="8">
        <v>5700</v>
      </c>
      <c r="F61" s="8" t="s">
        <v>325</v>
      </c>
      <c r="H61" t="str">
        <f t="shared" si="21"/>
        <v>Aufwandskonto</v>
      </c>
      <c r="I61" s="9" t="str">
        <f t="shared" si="28"/>
        <v/>
      </c>
      <c r="Q61">
        <f t="shared" si="22"/>
        <v>5700</v>
      </c>
      <c r="R61">
        <f t="shared" si="2"/>
        <v>6</v>
      </c>
      <c r="S61">
        <f t="shared" si="3"/>
        <v>2</v>
      </c>
      <c r="T61">
        <f t="shared" si="19"/>
        <v>2</v>
      </c>
      <c r="U61">
        <f t="shared" si="20"/>
        <v>1</v>
      </c>
      <c r="W61">
        <f t="shared" si="23"/>
        <v>5700</v>
      </c>
      <c r="Y61">
        <f t="shared" si="12"/>
        <v>19</v>
      </c>
      <c r="Z61">
        <f t="shared" si="24"/>
        <v>2.0001000000000007</v>
      </c>
      <c r="AA61">
        <f t="shared" si="25"/>
        <v>1.000150000000001</v>
      </c>
      <c r="AB61" t="str">
        <f t="shared" si="26"/>
        <v/>
      </c>
      <c r="AC61" t="str">
        <f t="shared" si="10"/>
        <v/>
      </c>
      <c r="AF61">
        <f t="shared" si="13"/>
        <v>15</v>
      </c>
      <c r="AG61" t="str">
        <f t="shared" si="14"/>
        <v/>
      </c>
      <c r="AH61">
        <f t="shared" si="27"/>
        <v>4.0010999999999974</v>
      </c>
      <c r="AI61" t="str">
        <f t="shared" si="15"/>
        <v/>
      </c>
    </row>
    <row r="62" spans="1:35" ht="13" x14ac:dyDescent="0.3">
      <c r="A62">
        <f t="shared" si="16"/>
        <v>54</v>
      </c>
      <c r="B62">
        <f t="shared" si="17"/>
        <v>107</v>
      </c>
      <c r="C62" s="6" t="s">
        <v>51</v>
      </c>
      <c r="D62" s="7"/>
      <c r="E62" s="8">
        <v>5720</v>
      </c>
      <c r="F62" s="8" t="s">
        <v>279</v>
      </c>
      <c r="H62" t="str">
        <f t="shared" si="21"/>
        <v>Aufwandskonto</v>
      </c>
      <c r="I62" s="9" t="str">
        <f t="shared" si="28"/>
        <v/>
      </c>
      <c r="Q62">
        <f t="shared" si="22"/>
        <v>5720</v>
      </c>
      <c r="R62">
        <f t="shared" si="2"/>
        <v>6</v>
      </c>
      <c r="S62">
        <f t="shared" si="3"/>
        <v>2</v>
      </c>
      <c r="T62">
        <f t="shared" si="19"/>
        <v>2</v>
      </c>
      <c r="U62">
        <f t="shared" si="20"/>
        <v>1</v>
      </c>
      <c r="W62">
        <f t="shared" si="23"/>
        <v>5720</v>
      </c>
      <c r="Y62">
        <f t="shared" si="12"/>
        <v>20</v>
      </c>
      <c r="Z62">
        <f t="shared" si="24"/>
        <v>2.0001100000000007</v>
      </c>
      <c r="AA62">
        <f t="shared" si="25"/>
        <v>1.000160000000001</v>
      </c>
      <c r="AB62" t="str">
        <f t="shared" si="26"/>
        <v/>
      </c>
      <c r="AC62" t="str">
        <f t="shared" si="10"/>
        <v/>
      </c>
      <c r="AF62">
        <f t="shared" si="13"/>
        <v>16</v>
      </c>
      <c r="AG62" t="str">
        <f t="shared" si="14"/>
        <v/>
      </c>
      <c r="AH62">
        <f t="shared" si="27"/>
        <v>4.0011999999999972</v>
      </c>
      <c r="AI62" t="str">
        <f t="shared" si="15"/>
        <v/>
      </c>
    </row>
    <row r="63" spans="1:35" ht="13" x14ac:dyDescent="0.3">
      <c r="A63">
        <f t="shared" si="16"/>
        <v>55</v>
      </c>
      <c r="B63">
        <f t="shared" si="17"/>
        <v>109</v>
      </c>
      <c r="C63" s="6" t="s">
        <v>51</v>
      </c>
      <c r="D63" s="7"/>
      <c r="E63" s="8">
        <v>5740</v>
      </c>
      <c r="F63" s="8" t="s">
        <v>326</v>
      </c>
      <c r="H63" t="str">
        <f t="shared" si="21"/>
        <v>Aufwandskonto</v>
      </c>
      <c r="I63" s="9" t="str">
        <f t="shared" si="28"/>
        <v/>
      </c>
      <c r="Q63">
        <f t="shared" si="22"/>
        <v>5740</v>
      </c>
      <c r="R63">
        <f t="shared" si="2"/>
        <v>6</v>
      </c>
      <c r="S63">
        <f t="shared" si="3"/>
        <v>2</v>
      </c>
      <c r="T63">
        <f t="shared" si="19"/>
        <v>2</v>
      </c>
      <c r="U63">
        <f t="shared" si="20"/>
        <v>1</v>
      </c>
      <c r="W63">
        <f t="shared" si="23"/>
        <v>5740</v>
      </c>
      <c r="Y63">
        <f t="shared" si="12"/>
        <v>21</v>
      </c>
      <c r="Z63">
        <f t="shared" si="24"/>
        <v>2.0001200000000008</v>
      </c>
      <c r="AA63">
        <f t="shared" si="25"/>
        <v>1.0001700000000011</v>
      </c>
      <c r="AB63" t="str">
        <f t="shared" si="26"/>
        <v/>
      </c>
      <c r="AC63" t="str">
        <f t="shared" si="10"/>
        <v/>
      </c>
      <c r="AF63">
        <f t="shared" si="13"/>
        <v>17</v>
      </c>
      <c r="AG63" t="str">
        <f t="shared" si="14"/>
        <v/>
      </c>
      <c r="AH63">
        <f t="shared" si="27"/>
        <v>4.001299999999997</v>
      </c>
      <c r="AI63" t="str">
        <f t="shared" si="15"/>
        <v/>
      </c>
    </row>
    <row r="64" spans="1:35" ht="13" x14ac:dyDescent="0.3">
      <c r="A64">
        <f t="shared" si="16"/>
        <v>56</v>
      </c>
      <c r="B64">
        <f t="shared" si="17"/>
        <v>111</v>
      </c>
      <c r="C64" s="6" t="s">
        <v>51</v>
      </c>
      <c r="D64" s="7"/>
      <c r="E64" s="8">
        <v>5760</v>
      </c>
      <c r="F64" s="8" t="s">
        <v>280</v>
      </c>
      <c r="H64" t="str">
        <f t="shared" si="21"/>
        <v>Aufwandskonto</v>
      </c>
      <c r="I64" s="9" t="str">
        <f t="shared" si="28"/>
        <v/>
      </c>
      <c r="Q64">
        <f t="shared" si="22"/>
        <v>5760</v>
      </c>
      <c r="R64">
        <f t="shared" si="2"/>
        <v>6</v>
      </c>
      <c r="S64">
        <f t="shared" si="3"/>
        <v>2</v>
      </c>
      <c r="T64">
        <f t="shared" si="19"/>
        <v>2</v>
      </c>
      <c r="U64">
        <f t="shared" si="20"/>
        <v>1</v>
      </c>
      <c r="W64">
        <f t="shared" si="23"/>
        <v>5760</v>
      </c>
      <c r="Y64">
        <f t="shared" si="12"/>
        <v>22</v>
      </c>
      <c r="Z64">
        <f t="shared" si="24"/>
        <v>2.0001300000000009</v>
      </c>
      <c r="AA64">
        <f t="shared" si="25"/>
        <v>1.0001800000000012</v>
      </c>
      <c r="AB64" t="str">
        <f t="shared" si="26"/>
        <v/>
      </c>
      <c r="AC64" t="str">
        <f t="shared" si="10"/>
        <v/>
      </c>
      <c r="AF64">
        <f t="shared" si="13"/>
        <v>18</v>
      </c>
      <c r="AG64" t="str">
        <f t="shared" si="14"/>
        <v/>
      </c>
      <c r="AH64">
        <f t="shared" si="27"/>
        <v>4.0013999999999967</v>
      </c>
      <c r="AI64" t="str">
        <f t="shared" si="15"/>
        <v/>
      </c>
    </row>
    <row r="65" spans="1:35" ht="13" x14ac:dyDescent="0.3">
      <c r="A65">
        <f t="shared" si="16"/>
        <v>57</v>
      </c>
      <c r="B65">
        <f t="shared" si="17"/>
        <v>113</v>
      </c>
      <c r="C65" s="6" t="s">
        <v>51</v>
      </c>
      <c r="D65" s="7"/>
      <c r="E65" s="8">
        <v>5780</v>
      </c>
      <c r="F65" s="8" t="s">
        <v>327</v>
      </c>
      <c r="H65" t="str">
        <f t="shared" si="21"/>
        <v>Aufwandskonto</v>
      </c>
      <c r="I65" s="9" t="str">
        <f t="shared" si="28"/>
        <v/>
      </c>
      <c r="Q65">
        <f t="shared" si="22"/>
        <v>5780</v>
      </c>
      <c r="R65">
        <f t="shared" si="2"/>
        <v>6</v>
      </c>
      <c r="S65">
        <f t="shared" si="3"/>
        <v>2</v>
      </c>
      <c r="T65">
        <f t="shared" si="19"/>
        <v>2</v>
      </c>
      <c r="U65">
        <f t="shared" si="20"/>
        <v>1</v>
      </c>
      <c r="W65">
        <f t="shared" si="23"/>
        <v>5780</v>
      </c>
      <c r="Y65">
        <f t="shared" si="12"/>
        <v>23</v>
      </c>
      <c r="Z65">
        <f t="shared" si="24"/>
        <v>2.0001400000000009</v>
      </c>
      <c r="AA65">
        <f t="shared" si="25"/>
        <v>1.0001900000000012</v>
      </c>
      <c r="AB65" t="str">
        <f t="shared" si="26"/>
        <v/>
      </c>
      <c r="AC65" t="str">
        <f t="shared" si="10"/>
        <v/>
      </c>
      <c r="AF65">
        <f t="shared" si="13"/>
        <v>19</v>
      </c>
      <c r="AG65" t="str">
        <f t="shared" si="14"/>
        <v/>
      </c>
      <c r="AH65">
        <f t="shared" si="27"/>
        <v>4.0014999999999965</v>
      </c>
      <c r="AI65" t="str">
        <f t="shared" si="15"/>
        <v/>
      </c>
    </row>
    <row r="66" spans="1:35" ht="13" x14ac:dyDescent="0.3">
      <c r="A66">
        <f t="shared" si="16"/>
        <v>58</v>
      </c>
      <c r="B66">
        <f t="shared" si="17"/>
        <v>115</v>
      </c>
      <c r="C66" s="6" t="s">
        <v>51</v>
      </c>
      <c r="D66" s="7"/>
      <c r="E66" s="8">
        <v>5800</v>
      </c>
      <c r="F66" s="8" t="s">
        <v>328</v>
      </c>
      <c r="H66" t="str">
        <f t="shared" si="21"/>
        <v>Aufwandskonto</v>
      </c>
      <c r="I66" s="9" t="str">
        <f t="shared" si="28"/>
        <v/>
      </c>
      <c r="Q66">
        <f t="shared" si="22"/>
        <v>5800</v>
      </c>
      <c r="R66">
        <f t="shared" si="2"/>
        <v>6</v>
      </c>
      <c r="S66">
        <f t="shared" si="3"/>
        <v>2</v>
      </c>
      <c r="T66">
        <f t="shared" si="19"/>
        <v>2</v>
      </c>
      <c r="U66">
        <f t="shared" si="20"/>
        <v>1</v>
      </c>
      <c r="W66">
        <f t="shared" si="23"/>
        <v>5800</v>
      </c>
      <c r="Y66">
        <f t="shared" si="12"/>
        <v>24</v>
      </c>
      <c r="Z66">
        <f t="shared" si="24"/>
        <v>2.000150000000001</v>
      </c>
      <c r="AA66">
        <f t="shared" si="25"/>
        <v>1.0002000000000013</v>
      </c>
      <c r="AB66" t="str">
        <f t="shared" si="26"/>
        <v/>
      </c>
      <c r="AC66" t="str">
        <f t="shared" si="10"/>
        <v/>
      </c>
      <c r="AF66">
        <f t="shared" si="13"/>
        <v>20</v>
      </c>
      <c r="AG66" t="str">
        <f t="shared" si="14"/>
        <v/>
      </c>
      <c r="AH66">
        <f t="shared" si="27"/>
        <v>4.0015999999999963</v>
      </c>
      <c r="AI66" t="str">
        <f t="shared" si="15"/>
        <v/>
      </c>
    </row>
    <row r="67" spans="1:35" ht="13" x14ac:dyDescent="0.3">
      <c r="A67">
        <f t="shared" si="16"/>
        <v>59</v>
      </c>
      <c r="B67">
        <f t="shared" si="17"/>
        <v>117</v>
      </c>
      <c r="C67" s="6" t="s">
        <v>51</v>
      </c>
      <c r="D67" s="7"/>
      <c r="E67" s="8">
        <v>5820</v>
      </c>
      <c r="F67" s="8" t="s">
        <v>329</v>
      </c>
      <c r="H67" t="str">
        <f t="shared" si="21"/>
        <v>Aufwandskonto</v>
      </c>
      <c r="I67" s="9" t="str">
        <f t="shared" si="28"/>
        <v/>
      </c>
      <c r="Q67">
        <f t="shared" si="22"/>
        <v>5820</v>
      </c>
      <c r="R67">
        <f t="shared" si="2"/>
        <v>6</v>
      </c>
      <c r="S67">
        <f t="shared" si="3"/>
        <v>2</v>
      </c>
      <c r="T67">
        <f t="shared" si="19"/>
        <v>2</v>
      </c>
      <c r="U67">
        <f t="shared" si="20"/>
        <v>1</v>
      </c>
      <c r="W67">
        <f t="shared" si="23"/>
        <v>5820</v>
      </c>
      <c r="Y67">
        <f t="shared" si="12"/>
        <v>25</v>
      </c>
      <c r="Z67">
        <f t="shared" si="24"/>
        <v>2.000160000000001</v>
      </c>
      <c r="AA67">
        <f t="shared" si="25"/>
        <v>1.0002100000000014</v>
      </c>
      <c r="AB67" t="str">
        <f t="shared" si="26"/>
        <v/>
      </c>
      <c r="AC67" t="str">
        <f t="shared" si="10"/>
        <v/>
      </c>
      <c r="AF67">
        <f t="shared" si="13"/>
        <v>21</v>
      </c>
      <c r="AG67" t="str">
        <f t="shared" si="14"/>
        <v/>
      </c>
      <c r="AH67">
        <f t="shared" si="27"/>
        <v>4.001699999999996</v>
      </c>
      <c r="AI67" t="str">
        <f t="shared" si="15"/>
        <v/>
      </c>
    </row>
    <row r="68" spans="1:35" ht="13" x14ac:dyDescent="0.3">
      <c r="A68">
        <f t="shared" si="16"/>
        <v>60</v>
      </c>
      <c r="B68">
        <f t="shared" si="17"/>
        <v>119</v>
      </c>
      <c r="C68" s="6" t="s">
        <v>51</v>
      </c>
      <c r="D68" s="7"/>
      <c r="E68" s="8">
        <v>5840</v>
      </c>
      <c r="F68" s="8" t="s">
        <v>281</v>
      </c>
      <c r="H68" t="str">
        <f t="shared" si="21"/>
        <v>Aufwandskonto</v>
      </c>
      <c r="I68" s="9" t="str">
        <f t="shared" si="28"/>
        <v/>
      </c>
      <c r="Q68">
        <f t="shared" si="22"/>
        <v>5840</v>
      </c>
      <c r="R68">
        <f t="shared" si="2"/>
        <v>6</v>
      </c>
      <c r="S68">
        <f t="shared" si="3"/>
        <v>2</v>
      </c>
      <c r="T68">
        <f t="shared" si="19"/>
        <v>2</v>
      </c>
      <c r="U68">
        <f t="shared" si="20"/>
        <v>1</v>
      </c>
      <c r="W68">
        <f t="shared" si="23"/>
        <v>5840</v>
      </c>
      <c r="Y68">
        <f t="shared" si="12"/>
        <v>26</v>
      </c>
      <c r="Z68">
        <f t="shared" si="24"/>
        <v>2.0001700000000011</v>
      </c>
      <c r="AA68">
        <f t="shared" si="25"/>
        <v>1.0002200000000014</v>
      </c>
      <c r="AB68" t="str">
        <f t="shared" si="26"/>
        <v/>
      </c>
      <c r="AC68" t="str">
        <f t="shared" si="10"/>
        <v/>
      </c>
      <c r="AF68">
        <f t="shared" si="13"/>
        <v>22</v>
      </c>
      <c r="AG68" t="str">
        <f t="shared" si="14"/>
        <v/>
      </c>
      <c r="AH68">
        <f t="shared" si="27"/>
        <v>4.0017999999999958</v>
      </c>
      <c r="AI68" t="str">
        <f t="shared" si="15"/>
        <v/>
      </c>
    </row>
    <row r="69" spans="1:35" ht="13" x14ac:dyDescent="0.3">
      <c r="A69">
        <f t="shared" si="16"/>
        <v>61</v>
      </c>
      <c r="B69">
        <f t="shared" si="17"/>
        <v>121</v>
      </c>
      <c r="C69" s="6" t="s">
        <v>51</v>
      </c>
      <c r="D69" s="7"/>
      <c r="E69" s="8">
        <v>5900</v>
      </c>
      <c r="F69" s="8" t="s">
        <v>282</v>
      </c>
      <c r="H69" t="str">
        <f t="shared" si="21"/>
        <v>Aufwandskonto</v>
      </c>
      <c r="I69" s="9" t="str">
        <f t="shared" si="28"/>
        <v/>
      </c>
      <c r="Q69">
        <f t="shared" si="22"/>
        <v>5900</v>
      </c>
      <c r="R69">
        <f t="shared" si="2"/>
        <v>6</v>
      </c>
      <c r="S69">
        <f t="shared" si="3"/>
        <v>2</v>
      </c>
      <c r="T69">
        <f t="shared" si="19"/>
        <v>2</v>
      </c>
      <c r="U69">
        <f t="shared" si="20"/>
        <v>1</v>
      </c>
      <c r="W69">
        <f t="shared" si="23"/>
        <v>5900</v>
      </c>
      <c r="Y69">
        <f t="shared" si="12"/>
        <v>27</v>
      </c>
      <c r="Z69">
        <f t="shared" si="24"/>
        <v>2.0001800000000012</v>
      </c>
      <c r="AA69">
        <f t="shared" si="25"/>
        <v>1.0002300000000015</v>
      </c>
      <c r="AB69" t="str">
        <f t="shared" si="26"/>
        <v/>
      </c>
      <c r="AC69" t="str">
        <f t="shared" si="10"/>
        <v/>
      </c>
      <c r="AF69">
        <f t="shared" si="13"/>
        <v>23</v>
      </c>
      <c r="AG69" t="str">
        <f t="shared" si="14"/>
        <v/>
      </c>
      <c r="AH69">
        <f t="shared" si="27"/>
        <v>4.0018999999999956</v>
      </c>
      <c r="AI69" t="str">
        <f t="shared" si="15"/>
        <v/>
      </c>
    </row>
    <row r="70" spans="1:35" ht="13" x14ac:dyDescent="0.3">
      <c r="A70">
        <f t="shared" si="16"/>
        <v>62</v>
      </c>
      <c r="B70">
        <f t="shared" si="17"/>
        <v>123</v>
      </c>
      <c r="C70" s="6"/>
      <c r="D70" s="7" t="s">
        <v>330</v>
      </c>
      <c r="E70" s="8"/>
      <c r="F70" s="8"/>
      <c r="H70">
        <f t="shared" si="21"/>
        <v>0</v>
      </c>
      <c r="I70" s="9" t="str">
        <f t="shared" si="28"/>
        <v/>
      </c>
      <c r="Q70">
        <f t="shared" si="22"/>
        <v>0</v>
      </c>
      <c r="R70">
        <f t="shared" si="2"/>
        <v>6</v>
      </c>
      <c r="S70">
        <f t="shared" si="3"/>
        <v>2</v>
      </c>
      <c r="T70">
        <f t="shared" si="19"/>
        <v>2</v>
      </c>
      <c r="U70">
        <f t="shared" si="20"/>
        <v>2</v>
      </c>
      <c r="W70">
        <f t="shared" si="23"/>
        <v>5900.0001000000002</v>
      </c>
      <c r="Y70">
        <f t="shared" si="12"/>
        <v>27</v>
      </c>
      <c r="Z70">
        <f t="shared" si="24"/>
        <v>2.0001900000000012</v>
      </c>
      <c r="AA70">
        <f t="shared" si="25"/>
        <v>2</v>
      </c>
      <c r="AB70" t="str">
        <f t="shared" si="26"/>
        <v/>
      </c>
      <c r="AC70" t="str">
        <f t="shared" si="10"/>
        <v>Ertrag aus Beiträgen Dritter</v>
      </c>
      <c r="AF70">
        <f t="shared" si="13"/>
        <v>23.0001</v>
      </c>
      <c r="AG70" t="str">
        <f t="shared" si="14"/>
        <v/>
      </c>
      <c r="AH70">
        <f t="shared" si="27"/>
        <v>4.0019999999999953</v>
      </c>
      <c r="AI70" t="str">
        <f t="shared" si="15"/>
        <v/>
      </c>
    </row>
    <row r="71" spans="1:35" ht="13" x14ac:dyDescent="0.3">
      <c r="A71">
        <f t="shared" si="16"/>
        <v>63</v>
      </c>
      <c r="B71">
        <f t="shared" si="17"/>
        <v>125</v>
      </c>
      <c r="C71" s="6" t="s">
        <v>52</v>
      </c>
      <c r="D71" s="7"/>
      <c r="E71" s="8">
        <v>7000</v>
      </c>
      <c r="F71" s="8" t="s">
        <v>274</v>
      </c>
      <c r="H71" t="str">
        <f t="shared" si="21"/>
        <v>Ertragskonto</v>
      </c>
      <c r="I71" s="9" t="str">
        <f t="shared" si="28"/>
        <v/>
      </c>
      <c r="Q71">
        <f t="shared" si="22"/>
        <v>7000</v>
      </c>
      <c r="R71">
        <f t="shared" si="2"/>
        <v>6</v>
      </c>
      <c r="S71">
        <f t="shared" si="3"/>
        <v>2</v>
      </c>
      <c r="T71">
        <f t="shared" si="19"/>
        <v>2</v>
      </c>
      <c r="U71">
        <f t="shared" si="20"/>
        <v>2</v>
      </c>
      <c r="W71">
        <f t="shared" si="23"/>
        <v>7000</v>
      </c>
      <c r="Y71">
        <f t="shared" si="12"/>
        <v>28</v>
      </c>
      <c r="Z71">
        <f t="shared" si="24"/>
        <v>2.0002000000000013</v>
      </c>
      <c r="AA71">
        <f t="shared" si="25"/>
        <v>2.0000100000000001</v>
      </c>
      <c r="AB71" t="str">
        <f t="shared" si="26"/>
        <v/>
      </c>
      <c r="AC71" t="str">
        <f t="shared" si="10"/>
        <v/>
      </c>
      <c r="AF71">
        <f t="shared" si="13"/>
        <v>23.0002</v>
      </c>
      <c r="AG71" t="str">
        <f t="shared" si="14"/>
        <v/>
      </c>
      <c r="AH71">
        <f t="shared" si="27"/>
        <v>5</v>
      </c>
      <c r="AI71" t="str">
        <f t="shared" si="15"/>
        <v/>
      </c>
    </row>
    <row r="72" spans="1:35" ht="13" x14ac:dyDescent="0.3">
      <c r="A72">
        <f t="shared" si="16"/>
        <v>64</v>
      </c>
      <c r="B72">
        <f t="shared" si="17"/>
        <v>127</v>
      </c>
      <c r="C72" s="6" t="s">
        <v>52</v>
      </c>
      <c r="D72" s="7"/>
      <c r="E72" s="8">
        <v>7100</v>
      </c>
      <c r="F72" s="8" t="s">
        <v>331</v>
      </c>
      <c r="H72" t="str">
        <f t="shared" si="21"/>
        <v>Ertragskonto</v>
      </c>
      <c r="I72" s="9" t="str">
        <f t="shared" si="28"/>
        <v/>
      </c>
      <c r="Q72">
        <f t="shared" si="22"/>
        <v>7100</v>
      </c>
      <c r="R72">
        <f t="shared" si="2"/>
        <v>6</v>
      </c>
      <c r="S72">
        <f t="shared" si="3"/>
        <v>2</v>
      </c>
      <c r="T72">
        <f t="shared" si="19"/>
        <v>2</v>
      </c>
      <c r="U72">
        <f t="shared" si="20"/>
        <v>2</v>
      </c>
      <c r="W72">
        <f t="shared" si="23"/>
        <v>7100</v>
      </c>
      <c r="Y72">
        <f t="shared" si="12"/>
        <v>29</v>
      </c>
      <c r="Z72">
        <f t="shared" si="24"/>
        <v>2.0002100000000014</v>
      </c>
      <c r="AA72">
        <f t="shared" si="25"/>
        <v>2.0000200000000001</v>
      </c>
      <c r="AB72" t="str">
        <f t="shared" si="26"/>
        <v/>
      </c>
      <c r="AC72" t="str">
        <f t="shared" si="10"/>
        <v/>
      </c>
      <c r="AF72">
        <f t="shared" si="13"/>
        <v>23.000299999999999</v>
      </c>
      <c r="AG72" t="str">
        <f t="shared" si="14"/>
        <v/>
      </c>
      <c r="AH72">
        <f t="shared" si="27"/>
        <v>6</v>
      </c>
      <c r="AI72" t="str">
        <f t="shared" si="15"/>
        <v/>
      </c>
    </row>
    <row r="73" spans="1:35" ht="13" x14ac:dyDescent="0.3">
      <c r="A73">
        <f t="shared" si="16"/>
        <v>65</v>
      </c>
      <c r="B73">
        <f t="shared" si="17"/>
        <v>129</v>
      </c>
      <c r="C73" s="6" t="s">
        <v>52</v>
      </c>
      <c r="D73" s="7"/>
      <c r="E73" s="8">
        <v>7200</v>
      </c>
      <c r="F73" s="8" t="s">
        <v>332</v>
      </c>
      <c r="H73" t="str">
        <f t="shared" si="21"/>
        <v>Ertragskonto</v>
      </c>
      <c r="I73" s="9" t="str">
        <f t="shared" si="28"/>
        <v/>
      </c>
      <c r="Q73">
        <f t="shared" si="22"/>
        <v>7200</v>
      </c>
      <c r="R73">
        <f t="shared" ref="R73:R98" si="29">IF(OR(AND(D73&lt;&gt;"",C74="",C75=$C$3),AND(D73&lt;&gt;"",C74=$C$3)),R72+1,R72)</f>
        <v>6</v>
      </c>
      <c r="S73">
        <f t="shared" ref="S73:S98" si="30">IF(OR(AND(D73&lt;&gt;"",C74="",C75=$C$4),AND(D73&lt;&gt;"",C74=$C$4)),S72+1,S72)</f>
        <v>2</v>
      </c>
      <c r="T73">
        <f t="shared" si="19"/>
        <v>2</v>
      </c>
      <c r="U73">
        <f t="shared" si="20"/>
        <v>2</v>
      </c>
      <c r="W73">
        <f t="shared" si="23"/>
        <v>7200</v>
      </c>
      <c r="Y73">
        <f t="shared" si="12"/>
        <v>30</v>
      </c>
      <c r="Z73">
        <f t="shared" si="24"/>
        <v>2.0002200000000014</v>
      </c>
      <c r="AA73">
        <f t="shared" si="25"/>
        <v>2.0000300000000002</v>
      </c>
      <c r="AB73" t="str">
        <f t="shared" si="26"/>
        <v/>
      </c>
      <c r="AC73" t="str">
        <f t="shared" ref="AC73:AC98" si="31">IF(U73-U72=0,"",D73)</f>
        <v/>
      </c>
      <c r="AF73">
        <f t="shared" si="13"/>
        <v>23.000399999999999</v>
      </c>
      <c r="AG73" t="str">
        <f t="shared" si="14"/>
        <v/>
      </c>
      <c r="AH73">
        <f t="shared" si="27"/>
        <v>7</v>
      </c>
      <c r="AI73" t="str">
        <f t="shared" si="15"/>
        <v/>
      </c>
    </row>
    <row r="74" spans="1:35" ht="13" x14ac:dyDescent="0.3">
      <c r="A74">
        <f t="shared" si="16"/>
        <v>66</v>
      </c>
      <c r="B74">
        <f t="shared" si="17"/>
        <v>131</v>
      </c>
      <c r="C74" s="6" t="s">
        <v>52</v>
      </c>
      <c r="D74" s="7"/>
      <c r="E74" s="8">
        <v>7500</v>
      </c>
      <c r="F74" s="8" t="s">
        <v>275</v>
      </c>
      <c r="H74" t="str">
        <f t="shared" si="21"/>
        <v>Ertragskonto</v>
      </c>
      <c r="I74" s="9" t="str">
        <f t="shared" si="28"/>
        <v/>
      </c>
      <c r="Q74">
        <f t="shared" si="22"/>
        <v>7500</v>
      </c>
      <c r="R74">
        <f t="shared" si="29"/>
        <v>6</v>
      </c>
      <c r="S74">
        <f t="shared" si="30"/>
        <v>2</v>
      </c>
      <c r="T74">
        <f t="shared" si="19"/>
        <v>2</v>
      </c>
      <c r="U74">
        <f t="shared" si="20"/>
        <v>2</v>
      </c>
      <c r="W74">
        <f t="shared" si="23"/>
        <v>7500</v>
      </c>
      <c r="Y74">
        <f t="shared" ref="Y74:Y98" si="32">IF(OR(C74="Aufwandskonto",C74="Ertragskonto"),Y73+1,Y73)</f>
        <v>31</v>
      </c>
      <c r="Z74">
        <f t="shared" si="24"/>
        <v>2.0002300000000015</v>
      </c>
      <c r="AA74">
        <f t="shared" si="25"/>
        <v>2.0000400000000003</v>
      </c>
      <c r="AB74" t="str">
        <f t="shared" si="26"/>
        <v/>
      </c>
      <c r="AC74" t="str">
        <f t="shared" si="31"/>
        <v/>
      </c>
      <c r="AF74">
        <f t="shared" ref="AF74:AF98" si="33">IF(C74="Aufwandskonto",ROUND(AF73,0)+1,AF73+0.0001)</f>
        <v>23.000499999999999</v>
      </c>
      <c r="AG74" t="str">
        <f t="shared" ref="AG74:AG98" si="34">IF(AF74=1,E74,"")</f>
        <v/>
      </c>
      <c r="AH74">
        <f t="shared" si="27"/>
        <v>8</v>
      </c>
      <c r="AI74" t="str">
        <f t="shared" ref="AI74:AI127" si="35">IF(AH74=1,E74,"")</f>
        <v/>
      </c>
    </row>
    <row r="75" spans="1:35" ht="13" x14ac:dyDescent="0.3">
      <c r="A75">
        <f t="shared" si="16"/>
        <v>67</v>
      </c>
      <c r="B75">
        <f t="shared" si="17"/>
        <v>133</v>
      </c>
      <c r="C75" s="6" t="s">
        <v>52</v>
      </c>
      <c r="D75" s="7"/>
      <c r="E75" s="8">
        <v>7600</v>
      </c>
      <c r="F75" s="8" t="s">
        <v>276</v>
      </c>
      <c r="H75" t="str">
        <f t="shared" si="21"/>
        <v>Ertragskonto</v>
      </c>
      <c r="I75" s="9" t="str">
        <f t="shared" si="28"/>
        <v/>
      </c>
      <c r="Q75">
        <f t="shared" si="22"/>
        <v>7600</v>
      </c>
      <c r="R75">
        <f t="shared" si="29"/>
        <v>6</v>
      </c>
      <c r="S75">
        <f t="shared" si="30"/>
        <v>2</v>
      </c>
      <c r="T75">
        <f t="shared" si="19"/>
        <v>2</v>
      </c>
      <c r="U75">
        <f t="shared" si="20"/>
        <v>2</v>
      </c>
      <c r="W75">
        <f t="shared" si="23"/>
        <v>7600</v>
      </c>
      <c r="Y75">
        <f t="shared" si="32"/>
        <v>32</v>
      </c>
      <c r="Z75">
        <f t="shared" si="24"/>
        <v>2.0002400000000016</v>
      </c>
      <c r="AA75">
        <f t="shared" si="25"/>
        <v>2.0000500000000003</v>
      </c>
      <c r="AB75" t="str">
        <f t="shared" si="26"/>
        <v/>
      </c>
      <c r="AC75" t="str">
        <f t="shared" si="31"/>
        <v/>
      </c>
      <c r="AF75">
        <f t="shared" si="33"/>
        <v>23.000599999999999</v>
      </c>
      <c r="AG75" t="str">
        <f t="shared" si="34"/>
        <v/>
      </c>
      <c r="AH75">
        <f t="shared" si="27"/>
        <v>9</v>
      </c>
      <c r="AI75" t="str">
        <f t="shared" si="35"/>
        <v/>
      </c>
    </row>
    <row r="76" spans="1:35" ht="13" x14ac:dyDescent="0.3">
      <c r="A76">
        <f t="shared" si="16"/>
        <v>68</v>
      </c>
      <c r="B76">
        <f t="shared" si="17"/>
        <v>135</v>
      </c>
      <c r="C76" s="6" t="s">
        <v>52</v>
      </c>
      <c r="D76" s="7"/>
      <c r="E76" s="8">
        <v>7610</v>
      </c>
      <c r="F76" s="8" t="s">
        <v>277</v>
      </c>
      <c r="H76" t="str">
        <f t="shared" si="21"/>
        <v>Ertragskonto</v>
      </c>
      <c r="I76" s="9" t="str">
        <f t="shared" si="28"/>
        <v/>
      </c>
      <c r="Q76">
        <f t="shared" si="22"/>
        <v>7610</v>
      </c>
      <c r="R76">
        <f t="shared" si="29"/>
        <v>6</v>
      </c>
      <c r="S76">
        <f t="shared" si="30"/>
        <v>2</v>
      </c>
      <c r="T76">
        <f t="shared" si="19"/>
        <v>2</v>
      </c>
      <c r="U76">
        <f t="shared" si="20"/>
        <v>2</v>
      </c>
      <c r="W76">
        <f t="shared" si="23"/>
        <v>7610</v>
      </c>
      <c r="Y76">
        <f t="shared" si="32"/>
        <v>33</v>
      </c>
      <c r="Z76">
        <f t="shared" si="24"/>
        <v>2.0002500000000016</v>
      </c>
      <c r="AA76">
        <f t="shared" si="25"/>
        <v>2.0000600000000004</v>
      </c>
      <c r="AB76" t="str">
        <f t="shared" si="26"/>
        <v/>
      </c>
      <c r="AC76" t="str">
        <f t="shared" si="31"/>
        <v/>
      </c>
      <c r="AF76">
        <f t="shared" si="33"/>
        <v>23.000699999999998</v>
      </c>
      <c r="AG76" t="str">
        <f t="shared" si="34"/>
        <v/>
      </c>
      <c r="AH76">
        <f t="shared" si="27"/>
        <v>10</v>
      </c>
      <c r="AI76" t="str">
        <f t="shared" si="35"/>
        <v/>
      </c>
    </row>
    <row r="77" spans="1:35" ht="13" x14ac:dyDescent="0.3">
      <c r="A77">
        <f t="shared" si="16"/>
        <v>69</v>
      </c>
      <c r="B77">
        <f t="shared" si="17"/>
        <v>137</v>
      </c>
      <c r="C77" s="6" t="s">
        <v>52</v>
      </c>
      <c r="D77" s="7"/>
      <c r="E77" s="8">
        <v>7700</v>
      </c>
      <c r="F77" s="8" t="s">
        <v>333</v>
      </c>
      <c r="H77" t="str">
        <f t="shared" si="21"/>
        <v>Ertragskonto</v>
      </c>
      <c r="I77" s="9" t="str">
        <f t="shared" si="28"/>
        <v/>
      </c>
      <c r="Q77">
        <f t="shared" si="22"/>
        <v>7700</v>
      </c>
      <c r="R77">
        <f t="shared" si="29"/>
        <v>6</v>
      </c>
      <c r="S77">
        <f t="shared" si="30"/>
        <v>2</v>
      </c>
      <c r="T77">
        <f t="shared" si="19"/>
        <v>2</v>
      </c>
      <c r="U77">
        <f t="shared" si="20"/>
        <v>2</v>
      </c>
      <c r="W77">
        <f t="shared" si="23"/>
        <v>7700</v>
      </c>
      <c r="Y77">
        <f t="shared" si="32"/>
        <v>34</v>
      </c>
      <c r="Z77">
        <f t="shared" si="24"/>
        <v>2.0002600000000017</v>
      </c>
      <c r="AA77">
        <f t="shared" si="25"/>
        <v>2.0000700000000005</v>
      </c>
      <c r="AB77" t="str">
        <f t="shared" si="26"/>
        <v/>
      </c>
      <c r="AC77" t="str">
        <f t="shared" si="31"/>
        <v/>
      </c>
      <c r="AF77">
        <f t="shared" si="33"/>
        <v>23.000799999999998</v>
      </c>
      <c r="AG77" t="str">
        <f t="shared" si="34"/>
        <v/>
      </c>
      <c r="AH77">
        <f t="shared" si="27"/>
        <v>11</v>
      </c>
      <c r="AI77" t="str">
        <f t="shared" si="35"/>
        <v/>
      </c>
    </row>
    <row r="78" spans="1:35" ht="13" x14ac:dyDescent="0.3">
      <c r="A78">
        <f t="shared" si="16"/>
        <v>70</v>
      </c>
      <c r="B78">
        <f t="shared" si="17"/>
        <v>139</v>
      </c>
      <c r="C78" s="6"/>
      <c r="D78" s="7" t="s">
        <v>334</v>
      </c>
      <c r="E78" s="8"/>
      <c r="F78" s="8"/>
      <c r="H78">
        <f t="shared" si="21"/>
        <v>0</v>
      </c>
      <c r="I78" s="9" t="str">
        <f t="shared" si="28"/>
        <v/>
      </c>
      <c r="Q78">
        <f t="shared" si="22"/>
        <v>0</v>
      </c>
      <c r="R78">
        <f t="shared" si="29"/>
        <v>6</v>
      </c>
      <c r="S78">
        <f t="shared" si="30"/>
        <v>2</v>
      </c>
      <c r="T78">
        <f t="shared" si="19"/>
        <v>2</v>
      </c>
      <c r="U78">
        <f t="shared" si="20"/>
        <v>3</v>
      </c>
      <c r="W78">
        <f t="shared" si="23"/>
        <v>7700.0001000000002</v>
      </c>
      <c r="Y78">
        <f t="shared" si="32"/>
        <v>34</v>
      </c>
      <c r="Z78">
        <f t="shared" si="24"/>
        <v>2.0002700000000018</v>
      </c>
      <c r="AA78">
        <f t="shared" si="25"/>
        <v>3</v>
      </c>
      <c r="AB78" t="str">
        <f t="shared" si="26"/>
        <v/>
      </c>
      <c r="AC78" t="str">
        <f t="shared" si="31"/>
        <v>Weitere Erträge</v>
      </c>
      <c r="AF78">
        <f t="shared" si="33"/>
        <v>23.000899999999998</v>
      </c>
      <c r="AG78" t="str">
        <f t="shared" si="34"/>
        <v/>
      </c>
      <c r="AH78">
        <f t="shared" si="27"/>
        <v>11.0001</v>
      </c>
      <c r="AI78" t="str">
        <f t="shared" si="35"/>
        <v/>
      </c>
    </row>
    <row r="79" spans="1:35" ht="13" x14ac:dyDescent="0.3">
      <c r="A79">
        <f t="shared" si="16"/>
        <v>71</v>
      </c>
      <c r="B79">
        <f t="shared" si="17"/>
        <v>141</v>
      </c>
      <c r="C79" s="6" t="s">
        <v>52</v>
      </c>
      <c r="D79" s="7"/>
      <c r="E79" s="8">
        <v>8000</v>
      </c>
      <c r="F79" s="8" t="s">
        <v>335</v>
      </c>
      <c r="H79" t="str">
        <f t="shared" si="21"/>
        <v>Ertragskonto</v>
      </c>
      <c r="I79" s="9" t="str">
        <f t="shared" si="28"/>
        <v/>
      </c>
      <c r="Q79">
        <f t="shared" si="22"/>
        <v>8000</v>
      </c>
      <c r="R79">
        <f t="shared" si="29"/>
        <v>6</v>
      </c>
      <c r="S79">
        <f t="shared" si="30"/>
        <v>2</v>
      </c>
      <c r="T79">
        <f t="shared" si="19"/>
        <v>2</v>
      </c>
      <c r="U79">
        <f t="shared" si="20"/>
        <v>3</v>
      </c>
      <c r="W79">
        <f t="shared" si="23"/>
        <v>8000</v>
      </c>
      <c r="Y79">
        <f t="shared" si="32"/>
        <v>35</v>
      </c>
      <c r="Z79">
        <f t="shared" si="24"/>
        <v>2.0002800000000018</v>
      </c>
      <c r="AA79">
        <f t="shared" si="25"/>
        <v>3.0000100000000001</v>
      </c>
      <c r="AB79" t="str">
        <f t="shared" si="26"/>
        <v/>
      </c>
      <c r="AC79" t="str">
        <f t="shared" si="31"/>
        <v/>
      </c>
      <c r="AF79">
        <f t="shared" si="33"/>
        <v>23.000999999999998</v>
      </c>
      <c r="AG79" t="str">
        <f t="shared" si="34"/>
        <v/>
      </c>
      <c r="AH79">
        <f t="shared" si="27"/>
        <v>12</v>
      </c>
      <c r="AI79" t="str">
        <f t="shared" si="35"/>
        <v/>
      </c>
    </row>
    <row r="80" spans="1:35" ht="13" x14ac:dyDescent="0.3">
      <c r="A80">
        <f t="shared" si="16"/>
        <v>72</v>
      </c>
      <c r="B80">
        <f t="shared" si="17"/>
        <v>143</v>
      </c>
      <c r="C80" s="6" t="s">
        <v>52</v>
      </c>
      <c r="D80" s="7"/>
      <c r="E80" s="8">
        <v>8200</v>
      </c>
      <c r="F80" s="8" t="s">
        <v>283</v>
      </c>
      <c r="H80" t="str">
        <f t="shared" si="21"/>
        <v>Ertragskonto</v>
      </c>
      <c r="I80" s="9" t="str">
        <f t="shared" si="28"/>
        <v/>
      </c>
      <c r="Q80">
        <f t="shared" si="22"/>
        <v>8200</v>
      </c>
      <c r="R80">
        <f t="shared" si="29"/>
        <v>6</v>
      </c>
      <c r="S80">
        <f t="shared" si="30"/>
        <v>2</v>
      </c>
      <c r="T80">
        <f t="shared" si="19"/>
        <v>2</v>
      </c>
      <c r="U80">
        <f t="shared" si="20"/>
        <v>3</v>
      </c>
      <c r="W80">
        <f t="shared" si="23"/>
        <v>8200</v>
      </c>
      <c r="Y80">
        <f t="shared" si="32"/>
        <v>36</v>
      </c>
      <c r="Z80">
        <f t="shared" si="24"/>
        <v>2.0002900000000019</v>
      </c>
      <c r="AA80">
        <f t="shared" si="25"/>
        <v>3.0000200000000001</v>
      </c>
      <c r="AB80" t="str">
        <f t="shared" si="26"/>
        <v/>
      </c>
      <c r="AC80" t="str">
        <f t="shared" si="31"/>
        <v/>
      </c>
      <c r="AF80">
        <f t="shared" si="33"/>
        <v>23.001099999999997</v>
      </c>
      <c r="AG80" t="str">
        <f t="shared" si="34"/>
        <v/>
      </c>
      <c r="AH80">
        <f t="shared" si="27"/>
        <v>13</v>
      </c>
      <c r="AI80" t="str">
        <f t="shared" si="35"/>
        <v/>
      </c>
    </row>
    <row r="81" spans="1:35" ht="13" x14ac:dyDescent="0.3">
      <c r="A81">
        <f t="shared" si="16"/>
        <v>73</v>
      </c>
      <c r="B81">
        <f t="shared" si="17"/>
        <v>145</v>
      </c>
      <c r="C81" s="6" t="s">
        <v>52</v>
      </c>
      <c r="D81" s="7"/>
      <c r="E81" s="8">
        <v>8300</v>
      </c>
      <c r="F81" s="8" t="s">
        <v>336</v>
      </c>
      <c r="H81" t="str">
        <f t="shared" si="21"/>
        <v>Ertragskonto</v>
      </c>
      <c r="I81" s="9" t="str">
        <f t="shared" si="28"/>
        <v/>
      </c>
      <c r="Q81">
        <f t="shared" si="22"/>
        <v>8300</v>
      </c>
      <c r="R81">
        <f t="shared" si="29"/>
        <v>6</v>
      </c>
      <c r="S81">
        <f t="shared" si="30"/>
        <v>2</v>
      </c>
      <c r="T81">
        <f t="shared" si="19"/>
        <v>2</v>
      </c>
      <c r="U81">
        <f t="shared" si="20"/>
        <v>3</v>
      </c>
      <c r="W81">
        <f t="shared" si="23"/>
        <v>8300</v>
      </c>
      <c r="Y81">
        <f t="shared" si="32"/>
        <v>37</v>
      </c>
      <c r="Z81">
        <f t="shared" si="24"/>
        <v>2.000300000000002</v>
      </c>
      <c r="AA81">
        <f t="shared" si="25"/>
        <v>3.0000300000000002</v>
      </c>
      <c r="AB81" t="str">
        <f t="shared" si="26"/>
        <v/>
      </c>
      <c r="AC81" t="str">
        <f t="shared" si="31"/>
        <v/>
      </c>
      <c r="AF81">
        <f t="shared" si="33"/>
        <v>23.001199999999997</v>
      </c>
      <c r="AG81" t="str">
        <f t="shared" si="34"/>
        <v/>
      </c>
      <c r="AH81">
        <f t="shared" si="27"/>
        <v>14</v>
      </c>
      <c r="AI81" t="str">
        <f t="shared" si="35"/>
        <v/>
      </c>
    </row>
    <row r="82" spans="1:35" ht="13" x14ac:dyDescent="0.3">
      <c r="A82">
        <f t="shared" si="16"/>
        <v>74</v>
      </c>
      <c r="B82">
        <f t="shared" si="17"/>
        <v>147</v>
      </c>
      <c r="C82" s="6" t="s">
        <v>52</v>
      </c>
      <c r="D82" s="7"/>
      <c r="E82" s="8">
        <v>9999</v>
      </c>
      <c r="F82" s="8" t="s">
        <v>284</v>
      </c>
      <c r="H82" t="str">
        <f t="shared" si="21"/>
        <v>Ertragskonto</v>
      </c>
      <c r="I82" s="9" t="str">
        <f t="shared" si="28"/>
        <v/>
      </c>
      <c r="Q82">
        <f t="shared" si="22"/>
        <v>9999</v>
      </c>
      <c r="R82">
        <f t="shared" si="29"/>
        <v>6</v>
      </c>
      <c r="S82">
        <f t="shared" si="30"/>
        <v>2</v>
      </c>
      <c r="T82">
        <f t="shared" si="19"/>
        <v>2</v>
      </c>
      <c r="U82">
        <f t="shared" si="20"/>
        <v>3</v>
      </c>
      <c r="W82">
        <f t="shared" si="23"/>
        <v>9999</v>
      </c>
      <c r="Y82">
        <f t="shared" si="32"/>
        <v>38</v>
      </c>
      <c r="Z82">
        <f t="shared" si="24"/>
        <v>2.000310000000002</v>
      </c>
      <c r="AA82">
        <f t="shared" si="25"/>
        <v>3.0000400000000003</v>
      </c>
      <c r="AB82" t="str">
        <f t="shared" si="26"/>
        <v/>
      </c>
      <c r="AC82" t="str">
        <f t="shared" si="31"/>
        <v/>
      </c>
      <c r="AF82">
        <f t="shared" si="33"/>
        <v>23.001299999999997</v>
      </c>
      <c r="AG82" t="str">
        <f t="shared" si="34"/>
        <v/>
      </c>
      <c r="AH82">
        <f t="shared" si="27"/>
        <v>15</v>
      </c>
      <c r="AI82" t="str">
        <f t="shared" si="35"/>
        <v/>
      </c>
    </row>
    <row r="83" spans="1:35" ht="13" x14ac:dyDescent="0.3">
      <c r="A83">
        <f t="shared" si="16"/>
        <v>75</v>
      </c>
      <c r="B83">
        <f t="shared" si="17"/>
        <v>149</v>
      </c>
      <c r="C83" s="6"/>
      <c r="D83" s="7"/>
      <c r="E83" s="8"/>
      <c r="F83" s="8"/>
      <c r="H83">
        <f t="shared" si="21"/>
        <v>0</v>
      </c>
      <c r="I83" s="9" t="str">
        <f t="shared" si="28"/>
        <v/>
      </c>
      <c r="Q83">
        <f t="shared" si="22"/>
        <v>0</v>
      </c>
      <c r="R83">
        <f t="shared" si="29"/>
        <v>6</v>
      </c>
      <c r="S83">
        <f t="shared" si="30"/>
        <v>2</v>
      </c>
      <c r="T83">
        <f t="shared" si="19"/>
        <v>2</v>
      </c>
      <c r="U83">
        <f t="shared" si="20"/>
        <v>3</v>
      </c>
      <c r="W83">
        <f t="shared" si="23"/>
        <v>9999.0000999999993</v>
      </c>
      <c r="Y83">
        <f t="shared" si="32"/>
        <v>38</v>
      </c>
      <c r="Z83">
        <f t="shared" si="24"/>
        <v>2.0003200000000021</v>
      </c>
      <c r="AA83">
        <f t="shared" si="25"/>
        <v>3.0000500000000003</v>
      </c>
      <c r="AB83" t="str">
        <f t="shared" si="26"/>
        <v/>
      </c>
      <c r="AC83" t="str">
        <f t="shared" si="31"/>
        <v/>
      </c>
      <c r="AF83">
        <f t="shared" si="33"/>
        <v>23.001399999999997</v>
      </c>
      <c r="AG83" t="str">
        <f t="shared" si="34"/>
        <v/>
      </c>
      <c r="AH83">
        <f t="shared" si="27"/>
        <v>15.0001</v>
      </c>
      <c r="AI83" t="str">
        <f t="shared" si="35"/>
        <v/>
      </c>
    </row>
    <row r="84" spans="1:35" ht="13" x14ac:dyDescent="0.3">
      <c r="A84">
        <f t="shared" si="16"/>
        <v>76</v>
      </c>
      <c r="B84">
        <f t="shared" si="17"/>
        <v>151</v>
      </c>
      <c r="C84" s="6"/>
      <c r="D84" s="7"/>
      <c r="E84" s="8"/>
      <c r="F84" s="8"/>
      <c r="H84">
        <f t="shared" si="21"/>
        <v>0</v>
      </c>
      <c r="I84" s="9" t="str">
        <f t="shared" si="28"/>
        <v/>
      </c>
      <c r="Q84">
        <f t="shared" si="22"/>
        <v>0</v>
      </c>
      <c r="R84">
        <f t="shared" si="29"/>
        <v>6</v>
      </c>
      <c r="S84">
        <f t="shared" si="30"/>
        <v>2</v>
      </c>
      <c r="T84">
        <f t="shared" si="19"/>
        <v>2</v>
      </c>
      <c r="U84">
        <f t="shared" si="20"/>
        <v>3</v>
      </c>
      <c r="W84">
        <f t="shared" si="23"/>
        <v>9999.0001999999986</v>
      </c>
      <c r="Y84">
        <f t="shared" si="32"/>
        <v>38</v>
      </c>
      <c r="Z84">
        <f t="shared" si="24"/>
        <v>2.0003300000000022</v>
      </c>
      <c r="AA84">
        <f t="shared" si="25"/>
        <v>3.0000600000000004</v>
      </c>
      <c r="AB84" t="str">
        <f t="shared" si="26"/>
        <v/>
      </c>
      <c r="AC84" t="str">
        <f t="shared" si="31"/>
        <v/>
      </c>
      <c r="AF84">
        <f t="shared" si="33"/>
        <v>23.001499999999997</v>
      </c>
      <c r="AG84" t="str">
        <f t="shared" si="34"/>
        <v/>
      </c>
      <c r="AH84">
        <f t="shared" si="27"/>
        <v>15.0002</v>
      </c>
      <c r="AI84" t="str">
        <f t="shared" si="35"/>
        <v/>
      </c>
    </row>
    <row r="85" spans="1:35" ht="13" x14ac:dyDescent="0.3">
      <c r="A85">
        <f t="shared" si="16"/>
        <v>77</v>
      </c>
      <c r="B85">
        <f t="shared" si="17"/>
        <v>153</v>
      </c>
      <c r="C85" s="6"/>
      <c r="D85" s="7"/>
      <c r="E85" s="8"/>
      <c r="F85" s="8"/>
      <c r="H85">
        <f t="shared" si="21"/>
        <v>0</v>
      </c>
      <c r="I85" s="9" t="str">
        <f t="shared" si="28"/>
        <v/>
      </c>
      <c r="Q85">
        <f t="shared" si="22"/>
        <v>0</v>
      </c>
      <c r="R85">
        <f>IF(OR(AND(D85&lt;&gt;"",C86="",C87=$C$3),AND(D85&lt;&gt;"",C86=$C$3)),R84+1,R84)</f>
        <v>6</v>
      </c>
      <c r="S85">
        <f>IF(OR(AND(D85&lt;&gt;"",C86="",C87=$C$4),AND(D85&lt;&gt;"",C86=$C$4)),S84+1,S84)</f>
        <v>2</v>
      </c>
      <c r="T85">
        <f>IF(OR(AND(D85&lt;&gt;"",C86="",C87=$C$5),AND(D85&lt;&gt;"",C86=$C$5)),T84+1,T84)</f>
        <v>2</v>
      </c>
      <c r="U85">
        <f>IF(OR(AND(D85&lt;&gt;"",C86="",C87=$C$6),AND(D85&lt;&gt;"",C86=$C$6)),U84+1,U84)</f>
        <v>3</v>
      </c>
      <c r="W85">
        <f t="shared" si="23"/>
        <v>9999.0002999999979</v>
      </c>
      <c r="Y85">
        <f t="shared" si="32"/>
        <v>38</v>
      </c>
      <c r="Z85">
        <f t="shared" si="24"/>
        <v>2.0003400000000022</v>
      </c>
      <c r="AA85">
        <f t="shared" si="25"/>
        <v>3.0000700000000005</v>
      </c>
      <c r="AB85" t="str">
        <f t="shared" si="26"/>
        <v/>
      </c>
      <c r="AC85" t="str">
        <f t="shared" si="31"/>
        <v/>
      </c>
      <c r="AF85">
        <f t="shared" si="33"/>
        <v>23.001599999999996</v>
      </c>
      <c r="AG85" t="str">
        <f t="shared" si="34"/>
        <v/>
      </c>
      <c r="AH85">
        <f t="shared" si="27"/>
        <v>15.000299999999999</v>
      </c>
      <c r="AI85" t="str">
        <f t="shared" si="35"/>
        <v/>
      </c>
    </row>
    <row r="86" spans="1:35" ht="13" x14ac:dyDescent="0.3">
      <c r="A86">
        <f t="shared" si="16"/>
        <v>78</v>
      </c>
      <c r="B86">
        <f t="shared" si="17"/>
        <v>155</v>
      </c>
      <c r="C86" s="6"/>
      <c r="D86" s="7"/>
      <c r="E86" s="8"/>
      <c r="F86" s="8"/>
      <c r="H86">
        <f t="shared" si="21"/>
        <v>0</v>
      </c>
      <c r="I86" s="9" t="str">
        <f>IF(AND(AND(C86="",D86="",E86="",F86=""),OR(C87&lt;&gt;"",D87&lt;&gt;"")),"Bitte diese Zeile nicht leer lassen",IF(AND(D86&lt;&gt;"",OR(C86&lt;&gt;"",E86&lt;&gt;"",F86&lt;&gt;"")),"Bitte Zeile nur als Titelzeile (Spalte D) oder als Kontozeile (Spalten C, E, F) verwenden",IF(E86="","",IF(AND(E86&lt;&gt;"",F86&lt;&gt;"",C86=""),"Bitte gültige Kontokategorie (s. oben) zuweisen",IF(OR(E86&lt;=E85,E86&lt;=E84),"Kontonummern müssen aufsteigend eingegeben werden.",IF(OR(E86&lt;1000,E86&gt;9999),CONCATENATE(E86," auf Spalte F ist keine vierstellige Kontonummer"),IF(OR(C86=C$3,C86=C$4,C86=C$5,C86=C$6),"","Bitte gültige Kontokategorie eingeben")))))))</f>
        <v/>
      </c>
      <c r="Q86">
        <f t="shared" si="22"/>
        <v>0</v>
      </c>
      <c r="R86">
        <f>IF(OR(AND(D86&lt;&gt;"",C87="",C88=$C$3),AND(D86&lt;&gt;"",C87=$C$3)),R85+1,R85)</f>
        <v>6</v>
      </c>
      <c r="S86">
        <f>IF(OR(AND(D86&lt;&gt;"",C87="",C88=$C$4),AND(D86&lt;&gt;"",C87=$C$4)),S85+1,S85)</f>
        <v>2</v>
      </c>
      <c r="T86">
        <f>IF(OR(AND(D86&lt;&gt;"",C87="",C88=$C$5),AND(D86&lt;&gt;"",C87=$C$5)),T85+1,T85)</f>
        <v>2</v>
      </c>
      <c r="U86">
        <f>IF(OR(AND(D86&lt;&gt;"",C87="",C88=$C$6),AND(D86&lt;&gt;"",C87=$C$6)),U85+1,U85)</f>
        <v>3</v>
      </c>
      <c r="W86">
        <f t="shared" si="23"/>
        <v>9999.0003999999972</v>
      </c>
      <c r="Y86">
        <f t="shared" si="32"/>
        <v>38</v>
      </c>
      <c r="Z86">
        <f t="shared" si="24"/>
        <v>2.0003500000000023</v>
      </c>
      <c r="AA86">
        <f t="shared" si="25"/>
        <v>3.0000800000000005</v>
      </c>
      <c r="AB86" t="str">
        <f t="shared" si="26"/>
        <v/>
      </c>
      <c r="AC86" t="str">
        <f t="shared" si="31"/>
        <v/>
      </c>
      <c r="AF86">
        <f t="shared" si="33"/>
        <v>23.001699999999996</v>
      </c>
      <c r="AG86" t="str">
        <f t="shared" si="34"/>
        <v/>
      </c>
      <c r="AH86">
        <f t="shared" si="27"/>
        <v>15.000399999999999</v>
      </c>
      <c r="AI86" t="str">
        <f t="shared" si="35"/>
        <v/>
      </c>
    </row>
    <row r="87" spans="1:35" ht="13" x14ac:dyDescent="0.3">
      <c r="A87">
        <f>A86+1</f>
        <v>79</v>
      </c>
      <c r="B87">
        <f>B86+2</f>
        <v>157</v>
      </c>
      <c r="C87" s="6"/>
      <c r="D87" s="7"/>
      <c r="E87" s="8"/>
      <c r="F87" s="8"/>
      <c r="H87">
        <f t="shared" si="21"/>
        <v>0</v>
      </c>
      <c r="I87" s="9" t="str">
        <f>IF(AND(AND(C87="",D87="",E87="",F87=""),OR(C88&lt;&gt;"",D88&lt;&gt;"")),"Bitte diese Zeile nicht leer lassen",IF(AND(D87&lt;&gt;"",OR(C87&lt;&gt;"",E87&lt;&gt;"",F87&lt;&gt;"")),"Bitte Zeile nur als Titelzeile (Spalte D) oder als Kontozeile (Spalten C, E, F) verwenden",IF(E87="","",IF(AND(E87&lt;&gt;"",F87&lt;&gt;"",C87=""),"Bitte gültige Kontokategorie (s. oben) zuweisen",IF(OR(E87&lt;=E86,E87&lt;=E85),"Kontonummern müssen aufsteigend eingegeben werden.",IF(OR(E87&lt;1000,E87&gt;9999),CONCATENATE(E87," auf Spalte F ist keine vierstellige Kontonummer"),IF(OR(C87=C$3,C87=C$4,C87=C$5,C87=C$6),"","Bitte gültige Kontokategorie eingeben")))))))</f>
        <v/>
      </c>
      <c r="Q87">
        <f t="shared" si="22"/>
        <v>0</v>
      </c>
      <c r="R87">
        <f>IF(OR(AND(D87&lt;&gt;"",C88="",C89=$C$3),AND(D87&lt;&gt;"",C88=$C$3)),R86+1,R86)</f>
        <v>6</v>
      </c>
      <c r="S87">
        <f>IF(OR(AND(D87&lt;&gt;"",C88="",C89=$C$4),AND(D87&lt;&gt;"",C88=$C$4)),S86+1,S86)</f>
        <v>2</v>
      </c>
      <c r="T87">
        <f>IF(OR(AND(D87&lt;&gt;"",C88="",C89=$C$5),AND(D87&lt;&gt;"",C88=$C$5)),T86+1,T86)</f>
        <v>2</v>
      </c>
      <c r="U87">
        <f>IF(OR(AND(D87&lt;&gt;"",C88="",C89=$C$6),AND(D87&lt;&gt;"",C88=$C$6)),U86+1,U86)</f>
        <v>3</v>
      </c>
      <c r="W87">
        <f>IF(E87="",W86+0.0001,E87)</f>
        <v>9999.0004999999965</v>
      </c>
      <c r="Y87">
        <f>IF(OR(C87="Aufwandskonto",C87="Ertragskonto"),Y86+1,Y86)</f>
        <v>38</v>
      </c>
      <c r="Z87">
        <f>IF(T87-T86=0,Z86+0.00001,T87)</f>
        <v>2.0003600000000024</v>
      </c>
      <c r="AA87">
        <f>IF(U87-U86=0,AA86+0.00001,U87)</f>
        <v>3.0000900000000006</v>
      </c>
      <c r="AB87" t="str">
        <f>IF(T87-T86=0,"",D87)</f>
        <v/>
      </c>
      <c r="AC87" t="str">
        <f>IF(U87-U86=0,"",D87)</f>
        <v/>
      </c>
      <c r="AF87">
        <f>IF(C87="Aufwandskonto",ROUND(AF86,0)+1,AF86+0.0001)</f>
        <v>23.001799999999996</v>
      </c>
      <c r="AG87" t="str">
        <f t="shared" si="34"/>
        <v/>
      </c>
      <c r="AH87">
        <f>IF(C87="Ertragskonto",ROUND(AH86,0)+1,AH86+0.0001)</f>
        <v>15.000499999999999</v>
      </c>
      <c r="AI87" t="str">
        <f t="shared" si="35"/>
        <v/>
      </c>
    </row>
    <row r="88" spans="1:35" ht="13" x14ac:dyDescent="0.3">
      <c r="A88">
        <f t="shared" si="16"/>
        <v>80</v>
      </c>
      <c r="B88">
        <f t="shared" si="17"/>
        <v>159</v>
      </c>
      <c r="C88" s="180"/>
      <c r="D88" s="7"/>
      <c r="E88" s="8"/>
      <c r="F88" s="156"/>
      <c r="H88">
        <f t="shared" si="21"/>
        <v>0</v>
      </c>
      <c r="I88" s="9" t="str">
        <f>IF(AND(AND(C88="",D88="",E88="",F88=""),OR(C89&lt;&gt;"",D89&lt;&gt;"")),"Bitte diese Zeile nicht leer lassen",IF(AND(D88&lt;&gt;"",OR(C88&lt;&gt;"",E88&lt;&gt;"",F88&lt;&gt;"")),"Bitte Zeile nur als Titelzeile (Spalte D) oder als Kontozeile (Spalten C, E, F) verwenden",IF(E88="","",IF(AND(E88&lt;&gt;"",F88&lt;&gt;"",C88=""),"Bitte gültige Kontokategorie (s. oben) zuweisen",IF(OR(E88&lt;=E87,E88&lt;=E86),"Kontonummern müssen aufsteigend eingegeben werden.",IF(OR(E88&lt;1000,E88&gt;9999),CONCATENATE(E88," auf Spalte F ist keine vierstellige Kontonummer"),IF(OR(C88=C$3,C88=C$4,C88=C$5,C88=C$6),"","Bitte gültige Kontokategorie eingeben")))))))</f>
        <v/>
      </c>
      <c r="Q88">
        <f t="shared" si="22"/>
        <v>0</v>
      </c>
      <c r="R88">
        <f t="shared" si="29"/>
        <v>6</v>
      </c>
      <c r="S88">
        <f t="shared" si="30"/>
        <v>2</v>
      </c>
      <c r="T88">
        <f t="shared" si="19"/>
        <v>2</v>
      </c>
      <c r="U88">
        <f t="shared" si="20"/>
        <v>3</v>
      </c>
      <c r="W88">
        <f t="shared" si="23"/>
        <v>9999.0005999999958</v>
      </c>
      <c r="Y88">
        <f t="shared" si="32"/>
        <v>38</v>
      </c>
      <c r="Z88">
        <f t="shared" si="24"/>
        <v>2.0003700000000024</v>
      </c>
      <c r="AA88">
        <f t="shared" si="25"/>
        <v>3.0001000000000007</v>
      </c>
      <c r="AB88" t="str">
        <f t="shared" si="26"/>
        <v/>
      </c>
      <c r="AC88" t="str">
        <f t="shared" si="31"/>
        <v/>
      </c>
      <c r="AF88">
        <f t="shared" si="33"/>
        <v>23.001899999999996</v>
      </c>
      <c r="AG88" t="str">
        <f t="shared" si="34"/>
        <v/>
      </c>
      <c r="AH88">
        <f t="shared" si="27"/>
        <v>15.000599999999999</v>
      </c>
      <c r="AI88" t="str">
        <f t="shared" si="35"/>
        <v/>
      </c>
    </row>
    <row r="89" spans="1:35" ht="13" x14ac:dyDescent="0.3">
      <c r="A89">
        <f t="shared" si="16"/>
        <v>81</v>
      </c>
      <c r="B89">
        <f t="shared" si="17"/>
        <v>161</v>
      </c>
      <c r="C89" s="6"/>
      <c r="D89" s="7"/>
      <c r="E89" s="8"/>
      <c r="F89" s="8"/>
      <c r="H89">
        <f t="shared" si="21"/>
        <v>0</v>
      </c>
      <c r="I89" s="9" t="str">
        <f t="shared" si="28"/>
        <v/>
      </c>
      <c r="Q89">
        <f t="shared" si="22"/>
        <v>0</v>
      </c>
      <c r="R89">
        <f t="shared" si="29"/>
        <v>6</v>
      </c>
      <c r="S89">
        <f t="shared" si="30"/>
        <v>2</v>
      </c>
      <c r="T89">
        <f t="shared" si="19"/>
        <v>2</v>
      </c>
      <c r="U89">
        <f t="shared" si="20"/>
        <v>3</v>
      </c>
      <c r="W89">
        <f t="shared" si="23"/>
        <v>9999.000699999995</v>
      </c>
      <c r="Y89">
        <f t="shared" si="32"/>
        <v>38</v>
      </c>
      <c r="Z89">
        <f t="shared" si="24"/>
        <v>2.0003800000000025</v>
      </c>
      <c r="AA89">
        <f t="shared" si="25"/>
        <v>3.0001100000000007</v>
      </c>
      <c r="AB89" t="str">
        <f t="shared" si="26"/>
        <v/>
      </c>
      <c r="AC89" t="str">
        <f t="shared" si="31"/>
        <v/>
      </c>
      <c r="AF89">
        <f t="shared" si="33"/>
        <v>23.001999999999995</v>
      </c>
      <c r="AG89" t="str">
        <f t="shared" si="34"/>
        <v/>
      </c>
      <c r="AH89">
        <f t="shared" si="27"/>
        <v>15.000699999999998</v>
      </c>
      <c r="AI89" t="str">
        <f t="shared" si="35"/>
        <v/>
      </c>
    </row>
    <row r="90" spans="1:35" ht="13" x14ac:dyDescent="0.3">
      <c r="A90">
        <f t="shared" si="16"/>
        <v>82</v>
      </c>
      <c r="B90">
        <f t="shared" si="17"/>
        <v>163</v>
      </c>
      <c r="C90" s="6"/>
      <c r="D90" s="7"/>
      <c r="E90" s="8"/>
      <c r="F90" s="8"/>
      <c r="H90">
        <f t="shared" si="21"/>
        <v>0</v>
      </c>
      <c r="I90" s="9" t="str">
        <f t="shared" si="28"/>
        <v/>
      </c>
      <c r="Q90">
        <f t="shared" si="22"/>
        <v>0</v>
      </c>
      <c r="R90">
        <f t="shared" si="29"/>
        <v>6</v>
      </c>
      <c r="S90">
        <f t="shared" si="30"/>
        <v>2</v>
      </c>
      <c r="T90">
        <f t="shared" si="19"/>
        <v>2</v>
      </c>
      <c r="U90">
        <f t="shared" si="20"/>
        <v>3</v>
      </c>
      <c r="W90">
        <f t="shared" si="23"/>
        <v>9999.0007999999943</v>
      </c>
      <c r="Y90">
        <f t="shared" si="32"/>
        <v>38</v>
      </c>
      <c r="Z90">
        <f t="shared" si="24"/>
        <v>2.0003900000000026</v>
      </c>
      <c r="AA90">
        <f t="shared" si="25"/>
        <v>3.0001200000000008</v>
      </c>
      <c r="AB90" t="str">
        <f t="shared" si="26"/>
        <v/>
      </c>
      <c r="AC90" t="str">
        <f t="shared" si="31"/>
        <v/>
      </c>
      <c r="AF90">
        <f t="shared" si="33"/>
        <v>23.002099999999995</v>
      </c>
      <c r="AG90" t="str">
        <f t="shared" si="34"/>
        <v/>
      </c>
      <c r="AH90">
        <f t="shared" si="27"/>
        <v>15.000799999999998</v>
      </c>
      <c r="AI90" t="str">
        <f t="shared" si="35"/>
        <v/>
      </c>
    </row>
    <row r="91" spans="1:35" ht="13" x14ac:dyDescent="0.3">
      <c r="A91">
        <f t="shared" si="16"/>
        <v>83</v>
      </c>
      <c r="B91">
        <f t="shared" si="17"/>
        <v>165</v>
      </c>
      <c r="C91" s="6"/>
      <c r="D91" s="7"/>
      <c r="E91" s="8"/>
      <c r="F91" s="8"/>
      <c r="H91">
        <f t="shared" si="21"/>
        <v>0</v>
      </c>
      <c r="I91" s="9" t="str">
        <f t="shared" si="28"/>
        <v/>
      </c>
      <c r="Q91">
        <f t="shared" si="22"/>
        <v>0</v>
      </c>
      <c r="R91">
        <f t="shared" si="29"/>
        <v>6</v>
      </c>
      <c r="S91">
        <f t="shared" si="30"/>
        <v>2</v>
      </c>
      <c r="T91">
        <f t="shared" si="19"/>
        <v>2</v>
      </c>
      <c r="U91">
        <f t="shared" si="20"/>
        <v>3</v>
      </c>
      <c r="W91">
        <f t="shared" si="23"/>
        <v>9999.0008999999936</v>
      </c>
      <c r="Y91">
        <f t="shared" si="32"/>
        <v>38</v>
      </c>
      <c r="Z91">
        <f t="shared" si="24"/>
        <v>2.0004000000000026</v>
      </c>
      <c r="AA91">
        <f t="shared" si="25"/>
        <v>3.0001300000000009</v>
      </c>
      <c r="AB91" t="str">
        <f t="shared" si="26"/>
        <v/>
      </c>
      <c r="AC91" t="str">
        <f t="shared" si="31"/>
        <v/>
      </c>
      <c r="AF91">
        <f t="shared" si="33"/>
        <v>23.002199999999995</v>
      </c>
      <c r="AG91" t="str">
        <f t="shared" si="34"/>
        <v/>
      </c>
      <c r="AH91">
        <f t="shared" si="27"/>
        <v>15.000899999999998</v>
      </c>
      <c r="AI91" t="str">
        <f t="shared" si="35"/>
        <v/>
      </c>
    </row>
    <row r="92" spans="1:35" ht="13" x14ac:dyDescent="0.3">
      <c r="A92">
        <f t="shared" si="16"/>
        <v>84</v>
      </c>
      <c r="B92">
        <f t="shared" si="17"/>
        <v>167</v>
      </c>
      <c r="C92" s="6"/>
      <c r="D92" s="7"/>
      <c r="E92" s="8"/>
      <c r="F92" s="8"/>
      <c r="H92">
        <f t="shared" si="21"/>
        <v>0</v>
      </c>
      <c r="I92" s="9" t="str">
        <f t="shared" si="28"/>
        <v/>
      </c>
      <c r="Q92">
        <f t="shared" si="22"/>
        <v>0</v>
      </c>
      <c r="R92">
        <f t="shared" si="29"/>
        <v>6</v>
      </c>
      <c r="S92">
        <f t="shared" si="30"/>
        <v>2</v>
      </c>
      <c r="T92">
        <f t="shared" si="19"/>
        <v>2</v>
      </c>
      <c r="U92">
        <f t="shared" si="20"/>
        <v>3</v>
      </c>
      <c r="W92">
        <f t="shared" si="23"/>
        <v>9999.0009999999929</v>
      </c>
      <c r="Y92">
        <f t="shared" si="32"/>
        <v>38</v>
      </c>
      <c r="Z92">
        <f t="shared" si="24"/>
        <v>2.0004100000000027</v>
      </c>
      <c r="AA92">
        <f t="shared" si="25"/>
        <v>3.0001400000000009</v>
      </c>
      <c r="AB92" t="str">
        <f t="shared" si="26"/>
        <v/>
      </c>
      <c r="AC92" t="str">
        <f t="shared" si="31"/>
        <v/>
      </c>
      <c r="AF92">
        <f t="shared" si="33"/>
        <v>23.002299999999995</v>
      </c>
      <c r="AG92" t="str">
        <f t="shared" si="34"/>
        <v/>
      </c>
      <c r="AH92">
        <f t="shared" si="27"/>
        <v>15.000999999999998</v>
      </c>
      <c r="AI92" t="str">
        <f t="shared" si="35"/>
        <v/>
      </c>
    </row>
    <row r="93" spans="1:35" ht="13" x14ac:dyDescent="0.3">
      <c r="A93">
        <f t="shared" si="16"/>
        <v>85</v>
      </c>
      <c r="B93">
        <f t="shared" si="17"/>
        <v>169</v>
      </c>
      <c r="C93" s="6"/>
      <c r="D93" s="7"/>
      <c r="E93" s="8"/>
      <c r="F93" s="8"/>
      <c r="H93">
        <f t="shared" si="21"/>
        <v>0</v>
      </c>
      <c r="I93" s="9" t="str">
        <f t="shared" si="28"/>
        <v/>
      </c>
      <c r="Q93">
        <f t="shared" si="22"/>
        <v>0</v>
      </c>
      <c r="R93">
        <f t="shared" si="29"/>
        <v>6</v>
      </c>
      <c r="S93">
        <f t="shared" si="30"/>
        <v>2</v>
      </c>
      <c r="T93">
        <f t="shared" si="19"/>
        <v>2</v>
      </c>
      <c r="U93">
        <f t="shared" si="20"/>
        <v>3</v>
      </c>
      <c r="W93">
        <f t="shared" si="23"/>
        <v>9999.0010999999922</v>
      </c>
      <c r="Y93">
        <f t="shared" si="32"/>
        <v>38</v>
      </c>
      <c r="Z93">
        <f t="shared" si="24"/>
        <v>2.0004200000000028</v>
      </c>
      <c r="AA93">
        <f t="shared" si="25"/>
        <v>3.000150000000001</v>
      </c>
      <c r="AB93" t="str">
        <f t="shared" si="26"/>
        <v/>
      </c>
      <c r="AC93" t="str">
        <f t="shared" si="31"/>
        <v/>
      </c>
      <c r="AF93">
        <f t="shared" si="33"/>
        <v>23.002399999999994</v>
      </c>
      <c r="AG93" t="str">
        <f t="shared" si="34"/>
        <v/>
      </c>
      <c r="AH93">
        <f t="shared" si="27"/>
        <v>15.001099999999997</v>
      </c>
      <c r="AI93" t="str">
        <f t="shared" si="35"/>
        <v/>
      </c>
    </row>
    <row r="94" spans="1:35" ht="13" x14ac:dyDescent="0.3">
      <c r="A94">
        <f t="shared" si="16"/>
        <v>86</v>
      </c>
      <c r="B94">
        <f t="shared" si="17"/>
        <v>171</v>
      </c>
      <c r="C94" s="6"/>
      <c r="D94" s="7"/>
      <c r="E94" s="8"/>
      <c r="F94" s="8"/>
      <c r="H94">
        <f t="shared" si="21"/>
        <v>0</v>
      </c>
      <c r="I94" s="9" t="str">
        <f t="shared" si="28"/>
        <v/>
      </c>
      <c r="Q94">
        <f t="shared" si="22"/>
        <v>0</v>
      </c>
      <c r="R94">
        <f t="shared" si="29"/>
        <v>6</v>
      </c>
      <c r="S94">
        <f t="shared" si="30"/>
        <v>2</v>
      </c>
      <c r="T94">
        <f t="shared" si="19"/>
        <v>2</v>
      </c>
      <c r="U94">
        <f t="shared" si="20"/>
        <v>3</v>
      </c>
      <c r="W94">
        <f t="shared" si="23"/>
        <v>9999.0011999999915</v>
      </c>
      <c r="Y94">
        <f t="shared" si="32"/>
        <v>38</v>
      </c>
      <c r="Z94">
        <f t="shared" si="24"/>
        <v>2.0004300000000028</v>
      </c>
      <c r="AA94">
        <f t="shared" si="25"/>
        <v>3.000160000000001</v>
      </c>
      <c r="AB94" t="str">
        <f t="shared" si="26"/>
        <v/>
      </c>
      <c r="AC94" t="str">
        <f t="shared" si="31"/>
        <v/>
      </c>
      <c r="AF94">
        <f t="shared" si="33"/>
        <v>23.002499999999994</v>
      </c>
      <c r="AG94" t="str">
        <f t="shared" si="34"/>
        <v/>
      </c>
      <c r="AH94">
        <f t="shared" si="27"/>
        <v>15.001199999999997</v>
      </c>
      <c r="AI94" t="str">
        <f t="shared" si="35"/>
        <v/>
      </c>
    </row>
    <row r="95" spans="1:35" ht="13" x14ac:dyDescent="0.3">
      <c r="A95">
        <f t="shared" si="16"/>
        <v>87</v>
      </c>
      <c r="B95">
        <f t="shared" si="17"/>
        <v>173</v>
      </c>
      <c r="C95" s="6"/>
      <c r="D95" s="7"/>
      <c r="E95" s="8"/>
      <c r="F95" s="8"/>
      <c r="H95">
        <f t="shared" si="21"/>
        <v>0</v>
      </c>
      <c r="I95" s="9" t="str">
        <f t="shared" si="28"/>
        <v/>
      </c>
      <c r="Q95">
        <f t="shared" si="22"/>
        <v>0</v>
      </c>
      <c r="R95">
        <f t="shared" si="29"/>
        <v>6</v>
      </c>
      <c r="S95">
        <f t="shared" si="30"/>
        <v>2</v>
      </c>
      <c r="T95">
        <f t="shared" ref="T95:T98" si="36">IF(OR(AND(D95&lt;&gt;"",C96="",C97=$C$5),AND(D95&lt;&gt;"",C96=$C$5)),T94+1,T94)</f>
        <v>2</v>
      </c>
      <c r="U95">
        <f t="shared" ref="U95:U98" si="37">IF(OR(AND(D95&lt;&gt;"",C96="",C97=$C$6),AND(D95&lt;&gt;"",C96=$C$6)),U94+1,U94)</f>
        <v>3</v>
      </c>
      <c r="W95">
        <f t="shared" si="23"/>
        <v>9999.0012999999908</v>
      </c>
      <c r="Y95">
        <f t="shared" si="32"/>
        <v>38</v>
      </c>
      <c r="Z95">
        <f t="shared" si="24"/>
        <v>2.0004400000000029</v>
      </c>
      <c r="AA95">
        <f t="shared" si="25"/>
        <v>3.0001700000000011</v>
      </c>
      <c r="AB95" t="str">
        <f t="shared" si="26"/>
        <v/>
      </c>
      <c r="AC95" t="str">
        <f t="shared" si="31"/>
        <v/>
      </c>
      <c r="AF95">
        <f t="shared" si="33"/>
        <v>23.002599999999994</v>
      </c>
      <c r="AG95" t="str">
        <f t="shared" si="34"/>
        <v/>
      </c>
      <c r="AH95">
        <f t="shared" si="27"/>
        <v>15.001299999999997</v>
      </c>
      <c r="AI95" t="str">
        <f t="shared" si="35"/>
        <v/>
      </c>
    </row>
    <row r="96" spans="1:35" ht="13" x14ac:dyDescent="0.3">
      <c r="A96">
        <f t="shared" si="16"/>
        <v>88</v>
      </c>
      <c r="B96">
        <f t="shared" si="17"/>
        <v>175</v>
      </c>
      <c r="C96" s="6"/>
      <c r="D96" s="7"/>
      <c r="E96" s="8"/>
      <c r="F96" s="8"/>
      <c r="H96">
        <f t="shared" si="21"/>
        <v>0</v>
      </c>
      <c r="I96" s="9" t="str">
        <f t="shared" si="28"/>
        <v/>
      </c>
      <c r="Q96">
        <f t="shared" si="22"/>
        <v>0</v>
      </c>
      <c r="R96">
        <f t="shared" si="29"/>
        <v>6</v>
      </c>
      <c r="S96">
        <f t="shared" si="30"/>
        <v>2</v>
      </c>
      <c r="T96">
        <f t="shared" si="36"/>
        <v>2</v>
      </c>
      <c r="U96">
        <f t="shared" si="37"/>
        <v>3</v>
      </c>
      <c r="W96">
        <f t="shared" si="23"/>
        <v>9999.0013999999901</v>
      </c>
      <c r="Y96">
        <f t="shared" si="32"/>
        <v>38</v>
      </c>
      <c r="Z96">
        <f t="shared" si="24"/>
        <v>2.0004500000000029</v>
      </c>
      <c r="AA96">
        <f t="shared" si="25"/>
        <v>3.0001800000000012</v>
      </c>
      <c r="AB96" t="str">
        <f t="shared" si="26"/>
        <v/>
      </c>
      <c r="AC96" t="str">
        <f t="shared" si="31"/>
        <v/>
      </c>
      <c r="AF96">
        <f t="shared" si="33"/>
        <v>23.002699999999994</v>
      </c>
      <c r="AG96" t="str">
        <f t="shared" si="34"/>
        <v/>
      </c>
      <c r="AH96">
        <f t="shared" si="27"/>
        <v>15.001399999999997</v>
      </c>
      <c r="AI96" t="str">
        <f t="shared" si="35"/>
        <v/>
      </c>
    </row>
    <row r="97" spans="1:35" ht="13" x14ac:dyDescent="0.3">
      <c r="A97">
        <f t="shared" si="16"/>
        <v>89</v>
      </c>
      <c r="B97">
        <f t="shared" si="17"/>
        <v>177</v>
      </c>
      <c r="C97" s="6"/>
      <c r="D97" s="7"/>
      <c r="E97" s="8"/>
      <c r="F97" s="8"/>
      <c r="H97">
        <f t="shared" si="21"/>
        <v>0</v>
      </c>
      <c r="I97" s="9" t="str">
        <f t="shared" si="28"/>
        <v/>
      </c>
      <c r="Q97">
        <f t="shared" si="22"/>
        <v>0</v>
      </c>
      <c r="R97">
        <f t="shared" si="29"/>
        <v>6</v>
      </c>
      <c r="S97">
        <f t="shared" si="30"/>
        <v>2</v>
      </c>
      <c r="T97">
        <f t="shared" si="36"/>
        <v>2</v>
      </c>
      <c r="U97">
        <f t="shared" si="37"/>
        <v>3</v>
      </c>
      <c r="W97">
        <f t="shared" si="23"/>
        <v>9999.0014999999894</v>
      </c>
      <c r="Y97">
        <f t="shared" si="32"/>
        <v>38</v>
      </c>
      <c r="Z97">
        <f t="shared" si="24"/>
        <v>2.000460000000003</v>
      </c>
      <c r="AA97">
        <f t="shared" si="25"/>
        <v>3.0001900000000012</v>
      </c>
      <c r="AB97" t="str">
        <f t="shared" si="26"/>
        <v/>
      </c>
      <c r="AC97" t="str">
        <f t="shared" si="31"/>
        <v/>
      </c>
      <c r="AF97">
        <f t="shared" si="33"/>
        <v>23.002799999999993</v>
      </c>
      <c r="AG97" t="str">
        <f t="shared" si="34"/>
        <v/>
      </c>
      <c r="AH97">
        <f t="shared" si="27"/>
        <v>15.001499999999997</v>
      </c>
      <c r="AI97" t="str">
        <f t="shared" si="35"/>
        <v/>
      </c>
    </row>
    <row r="98" spans="1:35" ht="13" x14ac:dyDescent="0.3">
      <c r="A98">
        <f t="shared" si="16"/>
        <v>90</v>
      </c>
      <c r="B98">
        <f t="shared" si="17"/>
        <v>179</v>
      </c>
      <c r="C98" s="6"/>
      <c r="D98" s="7"/>
      <c r="E98" s="8"/>
      <c r="F98" s="8"/>
      <c r="H98">
        <f>C98</f>
        <v>0</v>
      </c>
      <c r="I98" s="9" t="str">
        <f t="shared" si="28"/>
        <v/>
      </c>
      <c r="Q98">
        <f>E98</f>
        <v>0</v>
      </c>
      <c r="R98">
        <f t="shared" si="29"/>
        <v>6</v>
      </c>
      <c r="S98">
        <f t="shared" si="30"/>
        <v>2</v>
      </c>
      <c r="T98">
        <f t="shared" si="36"/>
        <v>2</v>
      </c>
      <c r="U98">
        <f t="shared" si="37"/>
        <v>3</v>
      </c>
      <c r="W98">
        <f>IF(E98="",W97+0.0001,E98)</f>
        <v>9999.0015999999887</v>
      </c>
      <c r="Y98">
        <f t="shared" si="32"/>
        <v>38</v>
      </c>
      <c r="Z98">
        <f t="shared" ref="Z98:AA98" si="38">IF(T98-T97=0,Z97+0.00001,T98)</f>
        <v>2.0004700000000031</v>
      </c>
      <c r="AA98">
        <f t="shared" si="38"/>
        <v>3.0002000000000013</v>
      </c>
      <c r="AB98" t="str">
        <f t="shared" ref="AB98" si="39">IF(T98-T97=0,"",D98)</f>
        <v/>
      </c>
      <c r="AC98" t="str">
        <f t="shared" si="31"/>
        <v/>
      </c>
      <c r="AF98">
        <f t="shared" si="33"/>
        <v>23.002899999999993</v>
      </c>
      <c r="AG98" t="str">
        <f t="shared" si="34"/>
        <v/>
      </c>
      <c r="AH98">
        <f t="shared" si="27"/>
        <v>15.001599999999996</v>
      </c>
      <c r="AI98" t="str">
        <f t="shared" si="35"/>
        <v/>
      </c>
    </row>
    <row r="99" spans="1:35" ht="13" x14ac:dyDescent="0.3">
      <c r="A99">
        <f t="shared" si="16"/>
        <v>91</v>
      </c>
      <c r="B99">
        <f t="shared" si="17"/>
        <v>181</v>
      </c>
      <c r="C99" s="6"/>
      <c r="D99" s="7"/>
      <c r="E99" s="8"/>
      <c r="F99" s="8"/>
      <c r="H99">
        <f t="shared" ref="H99:H108" si="40">C99</f>
        <v>0</v>
      </c>
      <c r="I99" s="9" t="str">
        <f t="shared" ref="I99:I108" si="41">IF(AND(AND(C99="",D99="",E99="",F99=""),OR(C100&lt;&gt;"",D100&lt;&gt;"")),"Bitte diese Zeile nicht leer lassen",IF(AND(D99&lt;&gt;"",OR(C99&lt;&gt;"",E99&lt;&gt;"",F99&lt;&gt;"")),"Bitte Zeile nur als Titelzeile (Spalte D) oder als Kontozeile (Spalten C, E, F) verwenden",IF(E99="","",IF(AND(E99&lt;&gt;"",F99&lt;&gt;"",C99=""),"Bitte gültige Kontokategorie (s. oben) zuweisen",IF(OR(E99&lt;=E98,E99&lt;=E97),"Kontonummern müssen aufsteigend eingegeben werden.",IF(OR(E99&lt;1000,E99&gt;9999),CONCATENATE(E99," auf Spalte F ist keine vierstellige Kontonummer"),IF(OR(C99=C$3,C99=C$4,C99=C$5,C99=C$6),"","Bitte gültige Kontokategorie eingeben")))))))</f>
        <v/>
      </c>
      <c r="Q99">
        <f t="shared" ref="Q99:Q108" si="42">E99</f>
        <v>0</v>
      </c>
      <c r="R99">
        <f t="shared" ref="R99:R108" si="43">IF(OR(AND(D99&lt;&gt;"",C100="",C101=$C$3),AND(D99&lt;&gt;"",C100=$C$3)),R98+1,R98)</f>
        <v>6</v>
      </c>
      <c r="S99">
        <f t="shared" ref="S99:S108" si="44">IF(OR(AND(D99&lt;&gt;"",C100="",C101=$C$4),AND(D99&lt;&gt;"",C100=$C$4)),S98+1,S98)</f>
        <v>2</v>
      </c>
      <c r="T99">
        <f t="shared" ref="T99:T108" si="45">IF(OR(AND(D99&lt;&gt;"",C100="",C101=$C$5),AND(D99&lt;&gt;"",C100=$C$5)),T98+1,T98)</f>
        <v>2</v>
      </c>
      <c r="U99">
        <f t="shared" ref="U99:U108" si="46">IF(OR(AND(D99&lt;&gt;"",C100="",C101=$C$6),AND(D99&lt;&gt;"",C100=$C$6)),U98+1,U98)</f>
        <v>3</v>
      </c>
      <c r="W99">
        <f t="shared" ref="W99:W108" si="47">IF(E99="",W98+0.0001,E99)</f>
        <v>9999.001699999988</v>
      </c>
      <c r="Y99">
        <f t="shared" ref="Y99:Y108" si="48">IF(OR(C99="Aufwandskonto",C99="Ertragskonto"),Y98+1,Y98)</f>
        <v>38</v>
      </c>
      <c r="Z99">
        <f t="shared" ref="Z99:Z108" si="49">IF(T99-T98=0,Z98+0.00001,T99)</f>
        <v>2.0004800000000031</v>
      </c>
      <c r="AA99">
        <f t="shared" ref="AA99:AA108" si="50">IF(U99-U98=0,AA98+0.00001,U99)</f>
        <v>3.0002100000000014</v>
      </c>
      <c r="AB99" t="str">
        <f t="shared" ref="AB99:AB108" si="51">IF(T99-T98=0,"",D99)</f>
        <v/>
      </c>
      <c r="AC99" t="str">
        <f t="shared" ref="AC99:AC108" si="52">IF(U99-U98=0,"",D99)</f>
        <v/>
      </c>
      <c r="AF99">
        <f t="shared" ref="AF99:AF108" si="53">IF(C99="Aufwandskonto",ROUND(AF98,0)+1,AF98+0.0001)</f>
        <v>23.002999999999993</v>
      </c>
      <c r="AG99" t="str">
        <f t="shared" ref="AG99:AG108" si="54">IF(AF99=1,E99,"")</f>
        <v/>
      </c>
      <c r="AH99">
        <f t="shared" si="27"/>
        <v>15.001699999999996</v>
      </c>
      <c r="AI99" t="str">
        <f t="shared" si="35"/>
        <v/>
      </c>
    </row>
    <row r="100" spans="1:35" ht="13" x14ac:dyDescent="0.3">
      <c r="A100">
        <f t="shared" si="16"/>
        <v>92</v>
      </c>
      <c r="B100">
        <f t="shared" si="17"/>
        <v>183</v>
      </c>
      <c r="C100" s="6"/>
      <c r="D100" s="7"/>
      <c r="E100" s="8"/>
      <c r="F100" s="8"/>
      <c r="H100">
        <f t="shared" si="40"/>
        <v>0</v>
      </c>
      <c r="I100" s="9" t="str">
        <f t="shared" si="41"/>
        <v/>
      </c>
      <c r="Q100">
        <f t="shared" si="42"/>
        <v>0</v>
      </c>
      <c r="R100">
        <f t="shared" si="43"/>
        <v>6</v>
      </c>
      <c r="S100">
        <f t="shared" si="44"/>
        <v>2</v>
      </c>
      <c r="T100">
        <f t="shared" si="45"/>
        <v>2</v>
      </c>
      <c r="U100">
        <f t="shared" si="46"/>
        <v>3</v>
      </c>
      <c r="W100">
        <f t="shared" si="47"/>
        <v>9999.0017999999873</v>
      </c>
      <c r="Y100">
        <f t="shared" si="48"/>
        <v>38</v>
      </c>
      <c r="Z100">
        <f t="shared" si="49"/>
        <v>2.0004900000000032</v>
      </c>
      <c r="AA100">
        <f t="shared" si="50"/>
        <v>3.0002200000000014</v>
      </c>
      <c r="AB100" t="str">
        <f t="shared" si="51"/>
        <v/>
      </c>
      <c r="AC100" t="str">
        <f t="shared" si="52"/>
        <v/>
      </c>
      <c r="AF100">
        <f t="shared" si="53"/>
        <v>23.003099999999993</v>
      </c>
      <c r="AG100" t="str">
        <f t="shared" si="54"/>
        <v/>
      </c>
      <c r="AH100">
        <f t="shared" si="27"/>
        <v>15.001799999999996</v>
      </c>
      <c r="AI100" t="str">
        <f t="shared" si="35"/>
        <v/>
      </c>
    </row>
    <row r="101" spans="1:35" ht="13" x14ac:dyDescent="0.3">
      <c r="A101">
        <f t="shared" ref="A101:A108" si="55">A100+1</f>
        <v>93</v>
      </c>
      <c r="B101">
        <f t="shared" ref="B101:B108" si="56">B100+2</f>
        <v>185</v>
      </c>
      <c r="C101" s="6"/>
      <c r="D101" s="7"/>
      <c r="E101" s="8"/>
      <c r="F101" s="8"/>
      <c r="H101">
        <f t="shared" si="40"/>
        <v>0</v>
      </c>
      <c r="I101" s="9" t="str">
        <f t="shared" si="41"/>
        <v/>
      </c>
      <c r="Q101">
        <f t="shared" si="42"/>
        <v>0</v>
      </c>
      <c r="R101">
        <f t="shared" si="43"/>
        <v>6</v>
      </c>
      <c r="S101">
        <f t="shared" si="44"/>
        <v>2</v>
      </c>
      <c r="T101">
        <f t="shared" si="45"/>
        <v>2</v>
      </c>
      <c r="U101">
        <f t="shared" si="46"/>
        <v>3</v>
      </c>
      <c r="W101">
        <f t="shared" si="47"/>
        <v>9999.0018999999866</v>
      </c>
      <c r="Y101">
        <f t="shared" si="48"/>
        <v>38</v>
      </c>
      <c r="Z101">
        <f t="shared" si="49"/>
        <v>2.0005000000000033</v>
      </c>
      <c r="AA101">
        <f t="shared" si="50"/>
        <v>3.0002300000000015</v>
      </c>
      <c r="AB101" t="str">
        <f t="shared" si="51"/>
        <v/>
      </c>
      <c r="AC101" t="str">
        <f t="shared" si="52"/>
        <v/>
      </c>
      <c r="AF101">
        <f t="shared" si="53"/>
        <v>23.003199999999993</v>
      </c>
      <c r="AG101" t="str">
        <f t="shared" si="54"/>
        <v/>
      </c>
      <c r="AH101">
        <f t="shared" si="27"/>
        <v>15.001899999999996</v>
      </c>
      <c r="AI101" t="str">
        <f t="shared" si="35"/>
        <v/>
      </c>
    </row>
    <row r="102" spans="1:35" ht="13" x14ac:dyDescent="0.3">
      <c r="A102">
        <f t="shared" si="55"/>
        <v>94</v>
      </c>
      <c r="B102">
        <f t="shared" si="56"/>
        <v>187</v>
      </c>
      <c r="C102" s="6"/>
      <c r="D102" s="7"/>
      <c r="E102" s="8"/>
      <c r="F102" s="8"/>
      <c r="H102">
        <f t="shared" si="40"/>
        <v>0</v>
      </c>
      <c r="I102" s="9" t="str">
        <f t="shared" si="41"/>
        <v/>
      </c>
      <c r="Q102">
        <f t="shared" si="42"/>
        <v>0</v>
      </c>
      <c r="R102">
        <f t="shared" si="43"/>
        <v>6</v>
      </c>
      <c r="S102">
        <f t="shared" si="44"/>
        <v>2</v>
      </c>
      <c r="T102">
        <f t="shared" si="45"/>
        <v>2</v>
      </c>
      <c r="U102">
        <f t="shared" si="46"/>
        <v>3</v>
      </c>
      <c r="W102">
        <f t="shared" si="47"/>
        <v>9999.0019999999859</v>
      </c>
      <c r="Y102">
        <f t="shared" si="48"/>
        <v>38</v>
      </c>
      <c r="Z102">
        <f t="shared" si="49"/>
        <v>2.0005100000000033</v>
      </c>
      <c r="AA102">
        <f t="shared" si="50"/>
        <v>3.0002400000000016</v>
      </c>
      <c r="AB102" t="str">
        <f t="shared" si="51"/>
        <v/>
      </c>
      <c r="AC102" t="str">
        <f t="shared" si="52"/>
        <v/>
      </c>
      <c r="AF102">
        <f t="shared" si="53"/>
        <v>23.003299999999992</v>
      </c>
      <c r="AG102" t="str">
        <f t="shared" si="54"/>
        <v/>
      </c>
      <c r="AH102">
        <f t="shared" si="27"/>
        <v>15.001999999999995</v>
      </c>
      <c r="AI102" t="str">
        <f t="shared" si="35"/>
        <v/>
      </c>
    </row>
    <row r="103" spans="1:35" ht="13" x14ac:dyDescent="0.3">
      <c r="A103">
        <f t="shared" si="55"/>
        <v>95</v>
      </c>
      <c r="B103">
        <f t="shared" si="56"/>
        <v>189</v>
      </c>
      <c r="C103" s="6"/>
      <c r="D103" s="7"/>
      <c r="E103" s="8"/>
      <c r="F103" s="8"/>
      <c r="H103">
        <f t="shared" si="40"/>
        <v>0</v>
      </c>
      <c r="I103" s="9" t="str">
        <f t="shared" si="41"/>
        <v/>
      </c>
      <c r="Q103">
        <f t="shared" si="42"/>
        <v>0</v>
      </c>
      <c r="R103">
        <f t="shared" si="43"/>
        <v>6</v>
      </c>
      <c r="S103">
        <f t="shared" si="44"/>
        <v>2</v>
      </c>
      <c r="T103">
        <f t="shared" si="45"/>
        <v>2</v>
      </c>
      <c r="U103">
        <f t="shared" si="46"/>
        <v>3</v>
      </c>
      <c r="W103">
        <f t="shared" si="47"/>
        <v>9999.0020999999851</v>
      </c>
      <c r="Y103">
        <f t="shared" si="48"/>
        <v>38</v>
      </c>
      <c r="Z103">
        <f t="shared" si="49"/>
        <v>2.0005200000000034</v>
      </c>
      <c r="AA103">
        <f t="shared" si="50"/>
        <v>3.0002500000000016</v>
      </c>
      <c r="AB103" t="str">
        <f t="shared" si="51"/>
        <v/>
      </c>
      <c r="AC103" t="str">
        <f t="shared" si="52"/>
        <v/>
      </c>
      <c r="AF103">
        <f t="shared" si="53"/>
        <v>23.003399999999992</v>
      </c>
      <c r="AG103" t="str">
        <f t="shared" si="54"/>
        <v/>
      </c>
      <c r="AH103">
        <f t="shared" ref="AH103:AH127" si="57">IF(C103="Ertragskonto",ROUND(AH102,0)+1,AH102+0.0001)</f>
        <v>15.002099999999995</v>
      </c>
      <c r="AI103" t="str">
        <f t="shared" si="35"/>
        <v/>
      </c>
    </row>
    <row r="104" spans="1:35" ht="13" x14ac:dyDescent="0.3">
      <c r="A104">
        <f t="shared" si="55"/>
        <v>96</v>
      </c>
      <c r="B104">
        <f t="shared" si="56"/>
        <v>191</v>
      </c>
      <c r="C104" s="6"/>
      <c r="D104" s="7"/>
      <c r="E104" s="8"/>
      <c r="F104" s="8"/>
      <c r="H104">
        <f t="shared" si="40"/>
        <v>0</v>
      </c>
      <c r="I104" s="9" t="str">
        <f t="shared" si="41"/>
        <v/>
      </c>
      <c r="Q104">
        <f t="shared" si="42"/>
        <v>0</v>
      </c>
      <c r="R104">
        <f t="shared" si="43"/>
        <v>6</v>
      </c>
      <c r="S104">
        <f t="shared" si="44"/>
        <v>2</v>
      </c>
      <c r="T104">
        <f t="shared" si="45"/>
        <v>2</v>
      </c>
      <c r="U104">
        <f t="shared" si="46"/>
        <v>3</v>
      </c>
      <c r="W104">
        <f t="shared" si="47"/>
        <v>9999.0021999999844</v>
      </c>
      <c r="Y104">
        <f t="shared" si="48"/>
        <v>38</v>
      </c>
      <c r="Z104">
        <f t="shared" si="49"/>
        <v>2.0005300000000035</v>
      </c>
      <c r="AA104">
        <f t="shared" si="50"/>
        <v>3.0002600000000017</v>
      </c>
      <c r="AB104" t="str">
        <f t="shared" si="51"/>
        <v/>
      </c>
      <c r="AC104" t="str">
        <f t="shared" si="52"/>
        <v/>
      </c>
      <c r="AF104">
        <f t="shared" si="53"/>
        <v>23.003499999999992</v>
      </c>
      <c r="AG104" t="str">
        <f t="shared" si="54"/>
        <v/>
      </c>
      <c r="AH104">
        <f t="shared" si="57"/>
        <v>15.002199999999995</v>
      </c>
      <c r="AI104" t="str">
        <f t="shared" si="35"/>
        <v/>
      </c>
    </row>
    <row r="105" spans="1:35" ht="13" x14ac:dyDescent="0.3">
      <c r="A105">
        <f t="shared" si="55"/>
        <v>97</v>
      </c>
      <c r="B105">
        <f t="shared" si="56"/>
        <v>193</v>
      </c>
      <c r="C105" s="6"/>
      <c r="D105" s="7"/>
      <c r="E105" s="8"/>
      <c r="F105" s="8"/>
      <c r="H105">
        <f t="shared" si="40"/>
        <v>0</v>
      </c>
      <c r="I105" s="9" t="str">
        <f t="shared" si="41"/>
        <v/>
      </c>
      <c r="Q105">
        <f t="shared" si="42"/>
        <v>0</v>
      </c>
      <c r="R105">
        <f t="shared" si="43"/>
        <v>6</v>
      </c>
      <c r="S105">
        <f t="shared" si="44"/>
        <v>2</v>
      </c>
      <c r="T105">
        <f t="shared" si="45"/>
        <v>2</v>
      </c>
      <c r="U105">
        <f t="shared" si="46"/>
        <v>3</v>
      </c>
      <c r="W105">
        <f t="shared" si="47"/>
        <v>9999.0022999999837</v>
      </c>
      <c r="Y105">
        <f t="shared" si="48"/>
        <v>38</v>
      </c>
      <c r="Z105">
        <f t="shared" si="49"/>
        <v>2.0005400000000035</v>
      </c>
      <c r="AA105">
        <f t="shared" si="50"/>
        <v>3.0002700000000018</v>
      </c>
      <c r="AB105" t="str">
        <f t="shared" si="51"/>
        <v/>
      </c>
      <c r="AC105" t="str">
        <f t="shared" si="52"/>
        <v/>
      </c>
      <c r="AF105">
        <f t="shared" si="53"/>
        <v>23.003599999999992</v>
      </c>
      <c r="AG105" t="str">
        <f t="shared" si="54"/>
        <v/>
      </c>
      <c r="AH105">
        <f t="shared" si="57"/>
        <v>15.002299999999995</v>
      </c>
      <c r="AI105" t="str">
        <f t="shared" si="35"/>
        <v/>
      </c>
    </row>
    <row r="106" spans="1:35" ht="13" x14ac:dyDescent="0.3">
      <c r="A106">
        <f t="shared" si="55"/>
        <v>98</v>
      </c>
      <c r="B106">
        <f t="shared" si="56"/>
        <v>195</v>
      </c>
      <c r="C106" s="6"/>
      <c r="D106" s="7"/>
      <c r="E106" s="8"/>
      <c r="F106" s="8"/>
      <c r="H106">
        <f t="shared" si="40"/>
        <v>0</v>
      </c>
      <c r="I106" s="9" t="str">
        <f t="shared" si="41"/>
        <v/>
      </c>
      <c r="Q106">
        <f t="shared" si="42"/>
        <v>0</v>
      </c>
      <c r="R106">
        <f t="shared" si="43"/>
        <v>6</v>
      </c>
      <c r="S106">
        <f t="shared" si="44"/>
        <v>2</v>
      </c>
      <c r="T106">
        <f t="shared" si="45"/>
        <v>2</v>
      </c>
      <c r="U106">
        <f t="shared" si="46"/>
        <v>3</v>
      </c>
      <c r="W106">
        <f t="shared" si="47"/>
        <v>9999.002399999983</v>
      </c>
      <c r="Y106">
        <f t="shared" si="48"/>
        <v>38</v>
      </c>
      <c r="Z106">
        <f t="shared" si="49"/>
        <v>2.0005500000000036</v>
      </c>
      <c r="AA106">
        <f t="shared" si="50"/>
        <v>3.0002800000000018</v>
      </c>
      <c r="AB106" t="str">
        <f t="shared" si="51"/>
        <v/>
      </c>
      <c r="AC106" t="str">
        <f t="shared" si="52"/>
        <v/>
      </c>
      <c r="AF106">
        <f t="shared" si="53"/>
        <v>23.003699999999991</v>
      </c>
      <c r="AG106" t="str">
        <f t="shared" si="54"/>
        <v/>
      </c>
      <c r="AH106">
        <f t="shared" si="57"/>
        <v>15.002399999999994</v>
      </c>
      <c r="AI106" t="str">
        <f t="shared" si="35"/>
        <v/>
      </c>
    </row>
    <row r="107" spans="1:35" ht="13" x14ac:dyDescent="0.3">
      <c r="A107">
        <f t="shared" si="55"/>
        <v>99</v>
      </c>
      <c r="B107">
        <f t="shared" si="56"/>
        <v>197</v>
      </c>
      <c r="C107" s="6"/>
      <c r="D107" s="7"/>
      <c r="E107" s="8"/>
      <c r="F107" s="8"/>
      <c r="H107">
        <f t="shared" si="40"/>
        <v>0</v>
      </c>
      <c r="I107" s="9" t="str">
        <f t="shared" si="41"/>
        <v/>
      </c>
      <c r="Q107">
        <f t="shared" si="42"/>
        <v>0</v>
      </c>
      <c r="R107">
        <f t="shared" si="43"/>
        <v>6</v>
      </c>
      <c r="S107">
        <f t="shared" si="44"/>
        <v>2</v>
      </c>
      <c r="T107">
        <f t="shared" si="45"/>
        <v>2</v>
      </c>
      <c r="U107">
        <f t="shared" si="46"/>
        <v>3</v>
      </c>
      <c r="W107">
        <f t="shared" si="47"/>
        <v>9999.0024999999823</v>
      </c>
      <c r="Y107">
        <f t="shared" si="48"/>
        <v>38</v>
      </c>
      <c r="Z107">
        <f t="shared" si="49"/>
        <v>2.0005600000000037</v>
      </c>
      <c r="AA107">
        <f t="shared" si="50"/>
        <v>3.0002900000000019</v>
      </c>
      <c r="AB107" t="str">
        <f t="shared" si="51"/>
        <v/>
      </c>
      <c r="AC107" t="str">
        <f t="shared" si="52"/>
        <v/>
      </c>
      <c r="AF107">
        <f t="shared" si="53"/>
        <v>23.003799999999991</v>
      </c>
      <c r="AG107" t="str">
        <f t="shared" si="54"/>
        <v/>
      </c>
      <c r="AH107">
        <f t="shared" si="57"/>
        <v>15.002499999999994</v>
      </c>
      <c r="AI107" t="str">
        <f t="shared" si="35"/>
        <v/>
      </c>
    </row>
    <row r="108" spans="1:35" ht="13" x14ac:dyDescent="0.3">
      <c r="A108">
        <f t="shared" si="55"/>
        <v>100</v>
      </c>
      <c r="B108">
        <f t="shared" si="56"/>
        <v>199</v>
      </c>
      <c r="C108" s="6"/>
      <c r="D108" s="7"/>
      <c r="E108" s="8"/>
      <c r="F108" s="8"/>
      <c r="H108">
        <f t="shared" si="40"/>
        <v>0</v>
      </c>
      <c r="I108" s="9" t="str">
        <f t="shared" si="41"/>
        <v/>
      </c>
      <c r="Q108">
        <f t="shared" si="42"/>
        <v>0</v>
      </c>
      <c r="R108">
        <f t="shared" si="43"/>
        <v>6</v>
      </c>
      <c r="S108">
        <f t="shared" si="44"/>
        <v>2</v>
      </c>
      <c r="T108">
        <f t="shared" si="45"/>
        <v>2</v>
      </c>
      <c r="U108">
        <f t="shared" si="46"/>
        <v>3</v>
      </c>
      <c r="W108">
        <f t="shared" si="47"/>
        <v>9999.0025999999816</v>
      </c>
      <c r="Y108">
        <f t="shared" si="48"/>
        <v>38</v>
      </c>
      <c r="Z108">
        <f t="shared" si="49"/>
        <v>2.0005700000000037</v>
      </c>
      <c r="AA108">
        <f t="shared" si="50"/>
        <v>3.000300000000002</v>
      </c>
      <c r="AB108" t="str">
        <f t="shared" si="51"/>
        <v/>
      </c>
      <c r="AC108" t="str">
        <f t="shared" si="52"/>
        <v/>
      </c>
      <c r="AF108">
        <f t="shared" si="53"/>
        <v>23.003899999999991</v>
      </c>
      <c r="AG108" t="str">
        <f t="shared" si="54"/>
        <v/>
      </c>
      <c r="AH108">
        <f t="shared" si="57"/>
        <v>15.002599999999994</v>
      </c>
      <c r="AI108" t="str">
        <f t="shared" si="35"/>
        <v/>
      </c>
    </row>
    <row r="109" spans="1:35" ht="13" x14ac:dyDescent="0.3">
      <c r="A109">
        <f t="shared" ref="A109:A127" si="58">A108+1</f>
        <v>101</v>
      </c>
      <c r="B109">
        <f t="shared" ref="B109:B127" si="59">B108+2</f>
        <v>201</v>
      </c>
      <c r="C109" s="148"/>
      <c r="D109" s="7"/>
      <c r="E109" s="8"/>
      <c r="F109" s="8"/>
      <c r="H109">
        <f t="shared" ref="H109:H127" si="60">C109</f>
        <v>0</v>
      </c>
      <c r="I109" s="9" t="str">
        <f t="shared" ref="I109:I126" si="61">IF(AND(AND(C109="",D109="",E109="",F109=""),OR(C110&lt;&gt;"",D110&lt;&gt;"")),"Bitte diese Zeile nicht leer lassen",IF(AND(D109&lt;&gt;"",OR(C109&lt;&gt;"",E109&lt;&gt;"",F109&lt;&gt;"")),"Bitte Zeile nur als Titelzeile (Spalte D) oder als Kontozeile (Spalten C, E, F) verwenden",IF(E109="","",IF(AND(E109&lt;&gt;"",F109&lt;&gt;"",C109=""),"Bitte gültige Kontokategorie (s. oben) zuweisen",IF(OR(E109&lt;=E108,E109&lt;=E107),"Kontonummern müssen aufsteigend eingegeben werden.",IF(OR(E109&lt;1000,E109&gt;9999),CONCATENATE(E109," auf Spalte F ist keine vierstellige Kontonummer"),IF(OR(C109=C$3,C109=C$4,C109=C$5,C109=C$6),"","Bitte gültige Kontokategorie eingeben")))))))</f>
        <v/>
      </c>
      <c r="Q109">
        <f t="shared" ref="Q109:Q127" si="62">E109</f>
        <v>0</v>
      </c>
      <c r="R109">
        <f t="shared" ref="R109:R127" si="63">IF(OR(AND(D109&lt;&gt;"",C110="",C111=$C$3),AND(D109&lt;&gt;"",C110=$C$3)),R108+1,R108)</f>
        <v>6</v>
      </c>
      <c r="S109">
        <f t="shared" ref="S109:S127" si="64">IF(OR(AND(D109&lt;&gt;"",C110="",C111=$C$4),AND(D109&lt;&gt;"",C110=$C$4)),S108+1,S108)</f>
        <v>2</v>
      </c>
      <c r="T109">
        <f t="shared" ref="T109:T127" si="65">IF(OR(AND(D109&lt;&gt;"",C110="",C111=$C$5),AND(D109&lt;&gt;"",C110=$C$5)),T108+1,T108)</f>
        <v>2</v>
      </c>
      <c r="U109">
        <f t="shared" ref="U109:U127" si="66">IF(OR(AND(D109&lt;&gt;"",C110="",C111=$C$6),AND(D109&lt;&gt;"",C110=$C$6)),U108+1,U108)</f>
        <v>3</v>
      </c>
      <c r="W109">
        <f t="shared" ref="W109:W127" si="67">IF(E109="",W108+0.0001,E109)</f>
        <v>9999.0026999999809</v>
      </c>
      <c r="Y109">
        <f t="shared" ref="Y109:Y127" si="68">IF(OR(C109="Aufwandskonto",C109="Ertragskonto"),Y108+1,Y108)</f>
        <v>38</v>
      </c>
      <c r="Z109">
        <f t="shared" ref="Z109:Z127" si="69">IF(T109-T108=0,Z108+0.00001,T109)</f>
        <v>2.0005800000000038</v>
      </c>
      <c r="AA109">
        <f t="shared" ref="AA109:AA127" si="70">IF(U109-U108=0,AA108+0.00001,U109)</f>
        <v>3.000310000000002</v>
      </c>
      <c r="AB109" t="str">
        <f t="shared" ref="AB109:AB127" si="71">IF(T109-T108=0,"",D109)</f>
        <v/>
      </c>
      <c r="AC109" t="str">
        <f t="shared" ref="AC109:AC127" si="72">IF(U109-U108=0,"",D109)</f>
        <v/>
      </c>
      <c r="AF109">
        <f t="shared" ref="AF109:AF127" si="73">IF(C109="Aufwandskonto",ROUND(AF108,0)+1,AF108+0.0001)</f>
        <v>23.003999999999991</v>
      </c>
      <c r="AG109" t="str">
        <f t="shared" ref="AG109:AG127" si="74">IF(AF109=1,E109,"")</f>
        <v/>
      </c>
      <c r="AH109">
        <f t="shared" si="57"/>
        <v>15.002699999999994</v>
      </c>
      <c r="AI109" t="str">
        <f t="shared" si="35"/>
        <v/>
      </c>
    </row>
    <row r="110" spans="1:35" ht="13" x14ac:dyDescent="0.3">
      <c r="A110">
        <f t="shared" si="58"/>
        <v>102</v>
      </c>
      <c r="B110">
        <f t="shared" si="59"/>
        <v>203</v>
      </c>
      <c r="C110" s="148"/>
      <c r="D110" s="7"/>
      <c r="E110" s="8"/>
      <c r="F110" s="8"/>
      <c r="H110">
        <f t="shared" si="60"/>
        <v>0</v>
      </c>
      <c r="I110" s="9" t="str">
        <f t="shared" si="61"/>
        <v/>
      </c>
      <c r="Q110">
        <f t="shared" si="62"/>
        <v>0</v>
      </c>
      <c r="R110">
        <f t="shared" si="63"/>
        <v>6</v>
      </c>
      <c r="S110">
        <f t="shared" si="64"/>
        <v>2</v>
      </c>
      <c r="T110">
        <f t="shared" si="65"/>
        <v>2</v>
      </c>
      <c r="U110">
        <f t="shared" si="66"/>
        <v>3</v>
      </c>
      <c r="W110">
        <f t="shared" si="67"/>
        <v>9999.0027999999802</v>
      </c>
      <c r="Y110">
        <f t="shared" si="68"/>
        <v>38</v>
      </c>
      <c r="Z110">
        <f t="shared" si="69"/>
        <v>2.0005900000000039</v>
      </c>
      <c r="AA110">
        <f t="shared" si="70"/>
        <v>3.0003200000000021</v>
      </c>
      <c r="AB110" t="str">
        <f t="shared" si="71"/>
        <v/>
      </c>
      <c r="AC110" t="str">
        <f t="shared" si="72"/>
        <v/>
      </c>
      <c r="AF110">
        <f t="shared" si="73"/>
        <v>23.00409999999999</v>
      </c>
      <c r="AG110" t="str">
        <f t="shared" si="74"/>
        <v/>
      </c>
      <c r="AH110">
        <f t="shared" si="57"/>
        <v>15.002799999999993</v>
      </c>
      <c r="AI110" t="str">
        <f t="shared" si="35"/>
        <v/>
      </c>
    </row>
    <row r="111" spans="1:35" ht="13" x14ac:dyDescent="0.3">
      <c r="A111">
        <f t="shared" si="58"/>
        <v>103</v>
      </c>
      <c r="B111">
        <f t="shared" si="59"/>
        <v>205</v>
      </c>
      <c r="C111" s="148"/>
      <c r="D111" s="7"/>
      <c r="E111" s="8"/>
      <c r="F111" s="8"/>
      <c r="H111">
        <f t="shared" si="60"/>
        <v>0</v>
      </c>
      <c r="I111" s="9" t="str">
        <f t="shared" si="61"/>
        <v/>
      </c>
      <c r="Q111">
        <f t="shared" si="62"/>
        <v>0</v>
      </c>
      <c r="R111">
        <f t="shared" si="63"/>
        <v>6</v>
      </c>
      <c r="S111">
        <f t="shared" si="64"/>
        <v>2</v>
      </c>
      <c r="T111">
        <f t="shared" si="65"/>
        <v>2</v>
      </c>
      <c r="U111">
        <f t="shared" si="66"/>
        <v>3</v>
      </c>
      <c r="W111">
        <f t="shared" si="67"/>
        <v>9999.0028999999795</v>
      </c>
      <c r="Y111">
        <f t="shared" si="68"/>
        <v>38</v>
      </c>
      <c r="Z111">
        <f t="shared" si="69"/>
        <v>2.0006000000000039</v>
      </c>
      <c r="AA111">
        <f t="shared" si="70"/>
        <v>3.0003300000000022</v>
      </c>
      <c r="AB111" t="str">
        <f t="shared" si="71"/>
        <v/>
      </c>
      <c r="AC111" t="str">
        <f t="shared" si="72"/>
        <v/>
      </c>
      <c r="AF111">
        <f t="shared" si="73"/>
        <v>23.00419999999999</v>
      </c>
      <c r="AG111" t="str">
        <f t="shared" si="74"/>
        <v/>
      </c>
      <c r="AH111">
        <f t="shared" si="57"/>
        <v>15.002899999999993</v>
      </c>
      <c r="AI111" t="str">
        <f t="shared" si="35"/>
        <v/>
      </c>
    </row>
    <row r="112" spans="1:35" ht="13" x14ac:dyDescent="0.3">
      <c r="A112">
        <f t="shared" si="58"/>
        <v>104</v>
      </c>
      <c r="B112">
        <f t="shared" si="59"/>
        <v>207</v>
      </c>
      <c r="C112" s="148"/>
      <c r="D112" s="7"/>
      <c r="E112" s="8"/>
      <c r="F112" s="8"/>
      <c r="H112">
        <f t="shared" si="60"/>
        <v>0</v>
      </c>
      <c r="I112" s="9" t="str">
        <f t="shared" si="61"/>
        <v/>
      </c>
      <c r="Q112">
        <f t="shared" si="62"/>
        <v>0</v>
      </c>
      <c r="R112">
        <f t="shared" si="63"/>
        <v>6</v>
      </c>
      <c r="S112">
        <f t="shared" si="64"/>
        <v>2</v>
      </c>
      <c r="T112">
        <f t="shared" si="65"/>
        <v>2</v>
      </c>
      <c r="U112">
        <f t="shared" si="66"/>
        <v>3</v>
      </c>
      <c r="W112">
        <f t="shared" si="67"/>
        <v>9999.0029999999788</v>
      </c>
      <c r="Y112">
        <f t="shared" si="68"/>
        <v>38</v>
      </c>
      <c r="Z112">
        <f t="shared" si="69"/>
        <v>2.000610000000004</v>
      </c>
      <c r="AA112">
        <f t="shared" si="70"/>
        <v>3.0003400000000022</v>
      </c>
      <c r="AB112" t="str">
        <f t="shared" si="71"/>
        <v/>
      </c>
      <c r="AC112" t="str">
        <f t="shared" si="72"/>
        <v/>
      </c>
      <c r="AF112">
        <f t="shared" si="73"/>
        <v>23.00429999999999</v>
      </c>
      <c r="AG112" t="str">
        <f t="shared" si="74"/>
        <v/>
      </c>
      <c r="AH112">
        <f t="shared" si="57"/>
        <v>15.002999999999993</v>
      </c>
      <c r="AI112" t="str">
        <f t="shared" si="35"/>
        <v/>
      </c>
    </row>
    <row r="113" spans="1:35" ht="13" x14ac:dyDescent="0.3">
      <c r="A113">
        <f t="shared" si="58"/>
        <v>105</v>
      </c>
      <c r="B113">
        <f t="shared" si="59"/>
        <v>209</v>
      </c>
      <c r="C113" s="148"/>
      <c r="D113" s="7"/>
      <c r="E113" s="8"/>
      <c r="F113" s="8"/>
      <c r="H113">
        <f t="shared" si="60"/>
        <v>0</v>
      </c>
      <c r="I113" s="9" t="str">
        <f t="shared" si="61"/>
        <v/>
      </c>
      <c r="Q113">
        <f t="shared" si="62"/>
        <v>0</v>
      </c>
      <c r="R113">
        <f t="shared" si="63"/>
        <v>6</v>
      </c>
      <c r="S113">
        <f t="shared" si="64"/>
        <v>2</v>
      </c>
      <c r="T113">
        <f t="shared" si="65"/>
        <v>2</v>
      </c>
      <c r="U113">
        <f t="shared" si="66"/>
        <v>3</v>
      </c>
      <c r="W113">
        <f t="shared" si="67"/>
        <v>9999.0030999999781</v>
      </c>
      <c r="Y113">
        <f t="shared" si="68"/>
        <v>38</v>
      </c>
      <c r="Z113">
        <f t="shared" si="69"/>
        <v>2.0006200000000041</v>
      </c>
      <c r="AA113">
        <f t="shared" si="70"/>
        <v>3.0003500000000023</v>
      </c>
      <c r="AB113" t="str">
        <f t="shared" si="71"/>
        <v/>
      </c>
      <c r="AC113" t="str">
        <f t="shared" si="72"/>
        <v/>
      </c>
      <c r="AF113">
        <f t="shared" si="73"/>
        <v>23.00439999999999</v>
      </c>
      <c r="AG113" t="str">
        <f t="shared" si="74"/>
        <v/>
      </c>
      <c r="AH113">
        <f t="shared" si="57"/>
        <v>15.003099999999993</v>
      </c>
      <c r="AI113" t="str">
        <f t="shared" si="35"/>
        <v/>
      </c>
    </row>
    <row r="114" spans="1:35" ht="13" x14ac:dyDescent="0.3">
      <c r="A114">
        <f t="shared" si="58"/>
        <v>106</v>
      </c>
      <c r="B114">
        <f t="shared" si="59"/>
        <v>211</v>
      </c>
      <c r="C114" s="148"/>
      <c r="D114" s="7"/>
      <c r="E114" s="8"/>
      <c r="F114" s="8"/>
      <c r="H114">
        <f t="shared" si="60"/>
        <v>0</v>
      </c>
      <c r="I114" s="9" t="str">
        <f t="shared" si="61"/>
        <v/>
      </c>
      <c r="Q114">
        <f t="shared" si="62"/>
        <v>0</v>
      </c>
      <c r="R114">
        <f t="shared" si="63"/>
        <v>6</v>
      </c>
      <c r="S114">
        <f t="shared" si="64"/>
        <v>2</v>
      </c>
      <c r="T114">
        <f t="shared" si="65"/>
        <v>2</v>
      </c>
      <c r="U114">
        <f t="shared" si="66"/>
        <v>3</v>
      </c>
      <c r="W114">
        <f t="shared" si="67"/>
        <v>9999.0031999999774</v>
      </c>
      <c r="Y114">
        <f t="shared" si="68"/>
        <v>38</v>
      </c>
      <c r="Z114">
        <f t="shared" si="69"/>
        <v>2.0006300000000041</v>
      </c>
      <c r="AA114">
        <f t="shared" si="70"/>
        <v>3.0003600000000024</v>
      </c>
      <c r="AB114" t="str">
        <f t="shared" si="71"/>
        <v/>
      </c>
      <c r="AC114" t="str">
        <f t="shared" si="72"/>
        <v/>
      </c>
      <c r="AF114">
        <f t="shared" si="73"/>
        <v>23.00449999999999</v>
      </c>
      <c r="AG114" t="str">
        <f t="shared" si="74"/>
        <v/>
      </c>
      <c r="AH114">
        <f t="shared" si="57"/>
        <v>15.003199999999993</v>
      </c>
      <c r="AI114" t="str">
        <f t="shared" si="35"/>
        <v/>
      </c>
    </row>
    <row r="115" spans="1:35" ht="13" x14ac:dyDescent="0.3">
      <c r="A115">
        <f t="shared" si="58"/>
        <v>107</v>
      </c>
      <c r="B115">
        <f t="shared" si="59"/>
        <v>213</v>
      </c>
      <c r="C115" s="148"/>
      <c r="D115" s="7"/>
      <c r="E115" s="8"/>
      <c r="F115" s="8"/>
      <c r="H115">
        <f t="shared" si="60"/>
        <v>0</v>
      </c>
      <c r="I115" s="9" t="str">
        <f t="shared" si="61"/>
        <v/>
      </c>
      <c r="Q115">
        <f t="shared" si="62"/>
        <v>0</v>
      </c>
      <c r="R115">
        <f t="shared" si="63"/>
        <v>6</v>
      </c>
      <c r="S115">
        <f t="shared" si="64"/>
        <v>2</v>
      </c>
      <c r="T115">
        <f t="shared" si="65"/>
        <v>2</v>
      </c>
      <c r="U115">
        <f t="shared" si="66"/>
        <v>3</v>
      </c>
      <c r="W115">
        <f t="shared" si="67"/>
        <v>9999.0032999999767</v>
      </c>
      <c r="Y115">
        <f t="shared" si="68"/>
        <v>38</v>
      </c>
      <c r="Z115">
        <f t="shared" si="69"/>
        <v>2.0006400000000042</v>
      </c>
      <c r="AA115">
        <f t="shared" si="70"/>
        <v>3.0003700000000024</v>
      </c>
      <c r="AB115" t="str">
        <f t="shared" si="71"/>
        <v/>
      </c>
      <c r="AC115" t="str">
        <f t="shared" si="72"/>
        <v/>
      </c>
      <c r="AF115">
        <f t="shared" si="73"/>
        <v>23.004599999999989</v>
      </c>
      <c r="AG115" t="str">
        <f t="shared" si="74"/>
        <v/>
      </c>
      <c r="AH115">
        <f t="shared" si="57"/>
        <v>15.003299999999992</v>
      </c>
      <c r="AI115" t="str">
        <f t="shared" si="35"/>
        <v/>
      </c>
    </row>
    <row r="116" spans="1:35" ht="13" x14ac:dyDescent="0.3">
      <c r="A116">
        <f t="shared" si="58"/>
        <v>108</v>
      </c>
      <c r="B116">
        <f t="shared" si="59"/>
        <v>215</v>
      </c>
      <c r="C116" s="148"/>
      <c r="D116" s="7"/>
      <c r="E116" s="8"/>
      <c r="F116" s="8"/>
      <c r="H116">
        <f t="shared" si="60"/>
        <v>0</v>
      </c>
      <c r="I116" s="9" t="str">
        <f t="shared" si="61"/>
        <v/>
      </c>
      <c r="Q116">
        <f t="shared" si="62"/>
        <v>0</v>
      </c>
      <c r="R116">
        <f t="shared" si="63"/>
        <v>6</v>
      </c>
      <c r="S116">
        <f t="shared" si="64"/>
        <v>2</v>
      </c>
      <c r="T116">
        <f t="shared" si="65"/>
        <v>2</v>
      </c>
      <c r="U116">
        <f t="shared" si="66"/>
        <v>3</v>
      </c>
      <c r="W116">
        <f t="shared" si="67"/>
        <v>9999.003399999976</v>
      </c>
      <c r="Y116">
        <f t="shared" si="68"/>
        <v>38</v>
      </c>
      <c r="Z116">
        <f t="shared" si="69"/>
        <v>2.0006500000000043</v>
      </c>
      <c r="AA116">
        <f t="shared" si="70"/>
        <v>3.0003800000000025</v>
      </c>
      <c r="AB116" t="str">
        <f t="shared" si="71"/>
        <v/>
      </c>
      <c r="AC116" t="str">
        <f t="shared" si="72"/>
        <v/>
      </c>
      <c r="AF116">
        <f t="shared" si="73"/>
        <v>23.004699999999989</v>
      </c>
      <c r="AG116" t="str">
        <f t="shared" si="74"/>
        <v/>
      </c>
      <c r="AH116">
        <f t="shared" si="57"/>
        <v>15.003399999999992</v>
      </c>
      <c r="AI116" t="str">
        <f t="shared" si="35"/>
        <v/>
      </c>
    </row>
    <row r="117" spans="1:35" ht="13" x14ac:dyDescent="0.3">
      <c r="A117">
        <f t="shared" si="58"/>
        <v>109</v>
      </c>
      <c r="B117">
        <f t="shared" si="59"/>
        <v>217</v>
      </c>
      <c r="C117" s="148"/>
      <c r="D117" s="7"/>
      <c r="E117" s="8"/>
      <c r="F117" s="8"/>
      <c r="H117">
        <f t="shared" si="60"/>
        <v>0</v>
      </c>
      <c r="I117" s="9" t="str">
        <f t="shared" si="61"/>
        <v/>
      </c>
      <c r="Q117">
        <f t="shared" si="62"/>
        <v>0</v>
      </c>
      <c r="R117">
        <f t="shared" si="63"/>
        <v>6</v>
      </c>
      <c r="S117">
        <f t="shared" si="64"/>
        <v>2</v>
      </c>
      <c r="T117">
        <f t="shared" si="65"/>
        <v>2</v>
      </c>
      <c r="U117">
        <f t="shared" si="66"/>
        <v>3</v>
      </c>
      <c r="W117">
        <f t="shared" si="67"/>
        <v>9999.0034999999752</v>
      </c>
      <c r="Y117">
        <f t="shared" si="68"/>
        <v>38</v>
      </c>
      <c r="Z117">
        <f t="shared" si="69"/>
        <v>2.0006600000000043</v>
      </c>
      <c r="AA117">
        <f t="shared" si="70"/>
        <v>3.0003900000000026</v>
      </c>
      <c r="AB117" t="str">
        <f t="shared" si="71"/>
        <v/>
      </c>
      <c r="AC117" t="str">
        <f t="shared" si="72"/>
        <v/>
      </c>
      <c r="AF117">
        <f t="shared" si="73"/>
        <v>23.004799999999989</v>
      </c>
      <c r="AG117" t="str">
        <f t="shared" si="74"/>
        <v/>
      </c>
      <c r="AH117">
        <f t="shared" si="57"/>
        <v>15.003499999999992</v>
      </c>
      <c r="AI117" t="str">
        <f t="shared" si="35"/>
        <v/>
      </c>
    </row>
    <row r="118" spans="1:35" ht="13" x14ac:dyDescent="0.3">
      <c r="A118">
        <f t="shared" si="58"/>
        <v>110</v>
      </c>
      <c r="B118">
        <f t="shared" si="59"/>
        <v>219</v>
      </c>
      <c r="C118" s="148"/>
      <c r="D118" s="7"/>
      <c r="E118" s="8"/>
      <c r="F118" s="8"/>
      <c r="H118">
        <f t="shared" si="60"/>
        <v>0</v>
      </c>
      <c r="I118" s="9" t="str">
        <f t="shared" si="61"/>
        <v/>
      </c>
      <c r="Q118">
        <f t="shared" si="62"/>
        <v>0</v>
      </c>
      <c r="R118">
        <f t="shared" si="63"/>
        <v>6</v>
      </c>
      <c r="S118">
        <f t="shared" si="64"/>
        <v>2</v>
      </c>
      <c r="T118">
        <f t="shared" si="65"/>
        <v>2</v>
      </c>
      <c r="U118">
        <f t="shared" si="66"/>
        <v>3</v>
      </c>
      <c r="W118">
        <f t="shared" si="67"/>
        <v>9999.0035999999745</v>
      </c>
      <c r="Y118">
        <f t="shared" si="68"/>
        <v>38</v>
      </c>
      <c r="Z118">
        <f t="shared" si="69"/>
        <v>2.0006700000000044</v>
      </c>
      <c r="AA118">
        <f t="shared" si="70"/>
        <v>3.0004000000000026</v>
      </c>
      <c r="AB118" t="str">
        <f t="shared" si="71"/>
        <v/>
      </c>
      <c r="AC118" t="str">
        <f t="shared" si="72"/>
        <v/>
      </c>
      <c r="AF118">
        <f t="shared" si="73"/>
        <v>23.004899999999989</v>
      </c>
      <c r="AG118" t="str">
        <f t="shared" si="74"/>
        <v/>
      </c>
      <c r="AH118">
        <f t="shared" si="57"/>
        <v>15.003599999999992</v>
      </c>
      <c r="AI118" t="str">
        <f t="shared" si="35"/>
        <v/>
      </c>
    </row>
    <row r="119" spans="1:35" ht="13" x14ac:dyDescent="0.3">
      <c r="A119">
        <f t="shared" si="58"/>
        <v>111</v>
      </c>
      <c r="B119">
        <f t="shared" si="59"/>
        <v>221</v>
      </c>
      <c r="C119" s="148"/>
      <c r="D119" s="7"/>
      <c r="E119" s="8"/>
      <c r="F119" s="8"/>
      <c r="H119">
        <f t="shared" si="60"/>
        <v>0</v>
      </c>
      <c r="I119" s="9" t="str">
        <f t="shared" si="61"/>
        <v/>
      </c>
      <c r="Q119">
        <f t="shared" si="62"/>
        <v>0</v>
      </c>
      <c r="R119">
        <f t="shared" si="63"/>
        <v>6</v>
      </c>
      <c r="S119">
        <f t="shared" si="64"/>
        <v>2</v>
      </c>
      <c r="T119">
        <f t="shared" si="65"/>
        <v>2</v>
      </c>
      <c r="U119">
        <f t="shared" si="66"/>
        <v>3</v>
      </c>
      <c r="W119">
        <f t="shared" si="67"/>
        <v>9999.0036999999738</v>
      </c>
      <c r="Y119">
        <f t="shared" si="68"/>
        <v>38</v>
      </c>
      <c r="Z119">
        <f t="shared" si="69"/>
        <v>2.0006800000000045</v>
      </c>
      <c r="AA119">
        <f t="shared" si="70"/>
        <v>3.0004100000000027</v>
      </c>
      <c r="AB119" t="str">
        <f t="shared" si="71"/>
        <v/>
      </c>
      <c r="AC119" t="str">
        <f t="shared" si="72"/>
        <v/>
      </c>
      <c r="AF119">
        <f t="shared" si="73"/>
        <v>23.004999999999988</v>
      </c>
      <c r="AG119" t="str">
        <f t="shared" si="74"/>
        <v/>
      </c>
      <c r="AH119">
        <f t="shared" si="57"/>
        <v>15.003699999999991</v>
      </c>
      <c r="AI119" t="str">
        <f t="shared" si="35"/>
        <v/>
      </c>
    </row>
    <row r="120" spans="1:35" ht="13" x14ac:dyDescent="0.3">
      <c r="A120">
        <f t="shared" si="58"/>
        <v>112</v>
      </c>
      <c r="B120">
        <f t="shared" si="59"/>
        <v>223</v>
      </c>
      <c r="C120" s="148"/>
      <c r="D120" s="7"/>
      <c r="E120" s="8"/>
      <c r="F120" s="8"/>
      <c r="H120">
        <f t="shared" si="60"/>
        <v>0</v>
      </c>
      <c r="I120" s="9" t="str">
        <f t="shared" si="61"/>
        <v/>
      </c>
      <c r="Q120">
        <f t="shared" si="62"/>
        <v>0</v>
      </c>
      <c r="R120">
        <f t="shared" si="63"/>
        <v>6</v>
      </c>
      <c r="S120">
        <f t="shared" si="64"/>
        <v>2</v>
      </c>
      <c r="T120">
        <f t="shared" si="65"/>
        <v>2</v>
      </c>
      <c r="U120">
        <f t="shared" si="66"/>
        <v>3</v>
      </c>
      <c r="W120">
        <f t="shared" si="67"/>
        <v>9999.0037999999731</v>
      </c>
      <c r="Y120">
        <f t="shared" si="68"/>
        <v>38</v>
      </c>
      <c r="Z120">
        <f t="shared" si="69"/>
        <v>2.0006900000000045</v>
      </c>
      <c r="AA120">
        <f t="shared" si="70"/>
        <v>3.0004200000000028</v>
      </c>
      <c r="AB120" t="str">
        <f t="shared" si="71"/>
        <v/>
      </c>
      <c r="AC120" t="str">
        <f t="shared" si="72"/>
        <v/>
      </c>
      <c r="AF120">
        <f t="shared" si="73"/>
        <v>23.005099999999988</v>
      </c>
      <c r="AG120" t="str">
        <f t="shared" si="74"/>
        <v/>
      </c>
      <c r="AH120">
        <f t="shared" si="57"/>
        <v>15.003799999999991</v>
      </c>
      <c r="AI120" t="str">
        <f t="shared" si="35"/>
        <v/>
      </c>
    </row>
    <row r="121" spans="1:35" ht="13" x14ac:dyDescent="0.3">
      <c r="A121">
        <f t="shared" si="58"/>
        <v>113</v>
      </c>
      <c r="B121">
        <f t="shared" si="59"/>
        <v>225</v>
      </c>
      <c r="C121" s="148"/>
      <c r="D121" s="7"/>
      <c r="E121" s="8"/>
      <c r="F121" s="8"/>
      <c r="H121">
        <f t="shared" si="60"/>
        <v>0</v>
      </c>
      <c r="I121" s="9" t="str">
        <f t="shared" si="61"/>
        <v/>
      </c>
      <c r="Q121">
        <f t="shared" si="62"/>
        <v>0</v>
      </c>
      <c r="R121">
        <f t="shared" si="63"/>
        <v>6</v>
      </c>
      <c r="S121">
        <f t="shared" si="64"/>
        <v>2</v>
      </c>
      <c r="T121">
        <f t="shared" si="65"/>
        <v>2</v>
      </c>
      <c r="U121">
        <f t="shared" si="66"/>
        <v>3</v>
      </c>
      <c r="W121">
        <f t="shared" si="67"/>
        <v>9999.0038999999724</v>
      </c>
      <c r="Y121">
        <f t="shared" si="68"/>
        <v>38</v>
      </c>
      <c r="Z121">
        <f t="shared" si="69"/>
        <v>2.0007000000000046</v>
      </c>
      <c r="AA121">
        <f t="shared" si="70"/>
        <v>3.0004300000000028</v>
      </c>
      <c r="AB121" t="str">
        <f t="shared" si="71"/>
        <v/>
      </c>
      <c r="AC121" t="str">
        <f t="shared" si="72"/>
        <v/>
      </c>
      <c r="AF121">
        <f t="shared" si="73"/>
        <v>23.005199999999988</v>
      </c>
      <c r="AG121" t="str">
        <f t="shared" si="74"/>
        <v/>
      </c>
      <c r="AH121">
        <f t="shared" si="57"/>
        <v>15.003899999999991</v>
      </c>
      <c r="AI121" t="str">
        <f t="shared" si="35"/>
        <v/>
      </c>
    </row>
    <row r="122" spans="1:35" ht="13" x14ac:dyDescent="0.3">
      <c r="A122">
        <f t="shared" si="58"/>
        <v>114</v>
      </c>
      <c r="B122">
        <f t="shared" si="59"/>
        <v>227</v>
      </c>
      <c r="C122" s="148"/>
      <c r="D122" s="7"/>
      <c r="E122" s="8"/>
      <c r="F122" s="8"/>
      <c r="H122">
        <f t="shared" si="60"/>
        <v>0</v>
      </c>
      <c r="I122" s="9" t="str">
        <f t="shared" si="61"/>
        <v/>
      </c>
      <c r="Q122">
        <f t="shared" si="62"/>
        <v>0</v>
      </c>
      <c r="R122">
        <f t="shared" si="63"/>
        <v>6</v>
      </c>
      <c r="S122">
        <f t="shared" si="64"/>
        <v>2</v>
      </c>
      <c r="T122">
        <f t="shared" si="65"/>
        <v>2</v>
      </c>
      <c r="U122">
        <f t="shared" si="66"/>
        <v>3</v>
      </c>
      <c r="W122">
        <f t="shared" si="67"/>
        <v>9999.0039999999717</v>
      </c>
      <c r="Y122">
        <f t="shared" si="68"/>
        <v>38</v>
      </c>
      <c r="Z122">
        <f t="shared" si="69"/>
        <v>2.0007100000000047</v>
      </c>
      <c r="AA122">
        <f t="shared" si="70"/>
        <v>3.0004400000000029</v>
      </c>
      <c r="AB122" t="str">
        <f t="shared" si="71"/>
        <v/>
      </c>
      <c r="AC122" t="str">
        <f t="shared" si="72"/>
        <v/>
      </c>
      <c r="AF122">
        <f t="shared" si="73"/>
        <v>23.005299999999988</v>
      </c>
      <c r="AG122" t="str">
        <f t="shared" si="74"/>
        <v/>
      </c>
      <c r="AH122">
        <f t="shared" si="57"/>
        <v>15.003999999999991</v>
      </c>
      <c r="AI122" t="str">
        <f t="shared" si="35"/>
        <v/>
      </c>
    </row>
    <row r="123" spans="1:35" ht="13" x14ac:dyDescent="0.3">
      <c r="A123">
        <f t="shared" si="58"/>
        <v>115</v>
      </c>
      <c r="B123">
        <f t="shared" si="59"/>
        <v>229</v>
      </c>
      <c r="C123" s="148"/>
      <c r="D123" s="7"/>
      <c r="E123" s="8"/>
      <c r="F123" s="8"/>
      <c r="H123">
        <f t="shared" si="60"/>
        <v>0</v>
      </c>
      <c r="I123" s="9" t="str">
        <f t="shared" si="61"/>
        <v/>
      </c>
      <c r="Q123">
        <f t="shared" si="62"/>
        <v>0</v>
      </c>
      <c r="R123">
        <f t="shared" si="63"/>
        <v>6</v>
      </c>
      <c r="S123">
        <f t="shared" si="64"/>
        <v>2</v>
      </c>
      <c r="T123">
        <f t="shared" si="65"/>
        <v>2</v>
      </c>
      <c r="U123">
        <f t="shared" si="66"/>
        <v>3</v>
      </c>
      <c r="W123">
        <f t="shared" si="67"/>
        <v>9999.004099999971</v>
      </c>
      <c r="Y123">
        <f t="shared" si="68"/>
        <v>38</v>
      </c>
      <c r="Z123">
        <f t="shared" si="69"/>
        <v>2.0007200000000047</v>
      </c>
      <c r="AA123">
        <f t="shared" si="70"/>
        <v>3.0004500000000029</v>
      </c>
      <c r="AB123" t="str">
        <f t="shared" si="71"/>
        <v/>
      </c>
      <c r="AC123" t="str">
        <f t="shared" si="72"/>
        <v/>
      </c>
      <c r="AF123">
        <f t="shared" si="73"/>
        <v>23.005399999999987</v>
      </c>
      <c r="AG123" t="str">
        <f t="shared" si="74"/>
        <v/>
      </c>
      <c r="AH123">
        <f t="shared" si="57"/>
        <v>15.00409999999999</v>
      </c>
      <c r="AI123" t="str">
        <f t="shared" si="35"/>
        <v/>
      </c>
    </row>
    <row r="124" spans="1:35" ht="13" x14ac:dyDescent="0.3">
      <c r="A124">
        <f t="shared" si="58"/>
        <v>116</v>
      </c>
      <c r="B124">
        <f t="shared" si="59"/>
        <v>231</v>
      </c>
      <c r="C124" s="148"/>
      <c r="D124" s="7"/>
      <c r="E124" s="8"/>
      <c r="F124" s="8"/>
      <c r="H124">
        <f t="shared" si="60"/>
        <v>0</v>
      </c>
      <c r="I124" s="9" t="str">
        <f t="shared" si="61"/>
        <v/>
      </c>
      <c r="Q124">
        <f t="shared" si="62"/>
        <v>0</v>
      </c>
      <c r="R124">
        <f t="shared" si="63"/>
        <v>6</v>
      </c>
      <c r="S124">
        <f t="shared" si="64"/>
        <v>2</v>
      </c>
      <c r="T124">
        <f t="shared" si="65"/>
        <v>2</v>
      </c>
      <c r="U124">
        <f t="shared" si="66"/>
        <v>3</v>
      </c>
      <c r="W124">
        <f t="shared" si="67"/>
        <v>9999.0041999999703</v>
      </c>
      <c r="Y124">
        <f t="shared" si="68"/>
        <v>38</v>
      </c>
      <c r="Z124">
        <f t="shared" si="69"/>
        <v>2.0007300000000048</v>
      </c>
      <c r="AA124">
        <f t="shared" si="70"/>
        <v>3.000460000000003</v>
      </c>
      <c r="AB124" t="str">
        <f t="shared" si="71"/>
        <v/>
      </c>
      <c r="AC124" t="str">
        <f t="shared" si="72"/>
        <v/>
      </c>
      <c r="AF124">
        <f t="shared" si="73"/>
        <v>23.005499999999987</v>
      </c>
      <c r="AG124" t="str">
        <f t="shared" si="74"/>
        <v/>
      </c>
      <c r="AH124">
        <f t="shared" si="57"/>
        <v>15.00419999999999</v>
      </c>
      <c r="AI124" t="str">
        <f t="shared" si="35"/>
        <v/>
      </c>
    </row>
    <row r="125" spans="1:35" ht="13" x14ac:dyDescent="0.3">
      <c r="A125">
        <f t="shared" si="58"/>
        <v>117</v>
      </c>
      <c r="B125">
        <f t="shared" si="59"/>
        <v>233</v>
      </c>
      <c r="C125" s="6"/>
      <c r="D125" s="7"/>
      <c r="E125" s="156"/>
      <c r="F125" s="156"/>
      <c r="H125">
        <f t="shared" si="60"/>
        <v>0</v>
      </c>
      <c r="I125" s="9" t="str">
        <f t="shared" si="61"/>
        <v/>
      </c>
      <c r="Q125">
        <f t="shared" si="62"/>
        <v>0</v>
      </c>
      <c r="R125">
        <f t="shared" si="63"/>
        <v>6</v>
      </c>
      <c r="S125">
        <f t="shared" si="64"/>
        <v>2</v>
      </c>
      <c r="T125">
        <f t="shared" si="65"/>
        <v>2</v>
      </c>
      <c r="U125">
        <f t="shared" si="66"/>
        <v>3</v>
      </c>
      <c r="W125">
        <f t="shared" si="67"/>
        <v>9999.0042999999696</v>
      </c>
      <c r="Y125">
        <f t="shared" si="68"/>
        <v>38</v>
      </c>
      <c r="Z125">
        <f t="shared" si="69"/>
        <v>2.0007400000000048</v>
      </c>
      <c r="AA125">
        <f t="shared" si="70"/>
        <v>3.0004700000000031</v>
      </c>
      <c r="AB125" t="str">
        <f t="shared" si="71"/>
        <v/>
      </c>
      <c r="AC125" t="str">
        <f t="shared" si="72"/>
        <v/>
      </c>
      <c r="AF125">
        <f t="shared" si="73"/>
        <v>23.005599999999987</v>
      </c>
      <c r="AG125" t="str">
        <f t="shared" si="74"/>
        <v/>
      </c>
      <c r="AH125">
        <f t="shared" si="57"/>
        <v>15.00429999999999</v>
      </c>
      <c r="AI125" t="str">
        <f t="shared" si="35"/>
        <v/>
      </c>
    </row>
    <row r="126" spans="1:35" ht="13" x14ac:dyDescent="0.3">
      <c r="A126">
        <f t="shared" si="58"/>
        <v>118</v>
      </c>
      <c r="B126">
        <f t="shared" si="59"/>
        <v>235</v>
      </c>
      <c r="C126" s="148"/>
      <c r="D126" s="7"/>
      <c r="E126" s="8"/>
      <c r="F126" s="8"/>
      <c r="H126">
        <f t="shared" si="60"/>
        <v>0</v>
      </c>
      <c r="I126" s="9" t="str">
        <f t="shared" si="61"/>
        <v/>
      </c>
      <c r="Q126">
        <f t="shared" si="62"/>
        <v>0</v>
      </c>
      <c r="R126">
        <f t="shared" si="63"/>
        <v>6</v>
      </c>
      <c r="S126">
        <f t="shared" si="64"/>
        <v>2</v>
      </c>
      <c r="T126">
        <f t="shared" si="65"/>
        <v>2</v>
      </c>
      <c r="U126">
        <f t="shared" si="66"/>
        <v>3</v>
      </c>
      <c r="W126">
        <f t="shared" si="67"/>
        <v>9999.0043999999689</v>
      </c>
      <c r="Y126">
        <f t="shared" si="68"/>
        <v>38</v>
      </c>
      <c r="Z126">
        <f t="shared" si="69"/>
        <v>2.0007500000000049</v>
      </c>
      <c r="AA126">
        <f t="shared" si="70"/>
        <v>3.0004800000000031</v>
      </c>
      <c r="AB126" t="str">
        <f t="shared" si="71"/>
        <v/>
      </c>
      <c r="AC126" t="str">
        <f t="shared" si="72"/>
        <v/>
      </c>
      <c r="AF126">
        <f t="shared" si="73"/>
        <v>23.005699999999987</v>
      </c>
      <c r="AG126" t="str">
        <f t="shared" si="74"/>
        <v/>
      </c>
      <c r="AH126">
        <f t="shared" si="57"/>
        <v>15.00439999999999</v>
      </c>
      <c r="AI126" t="str">
        <f t="shared" si="35"/>
        <v/>
      </c>
    </row>
    <row r="127" spans="1:35" x14ac:dyDescent="0.25">
      <c r="A127">
        <f t="shared" si="58"/>
        <v>119</v>
      </c>
      <c r="B127">
        <f t="shared" si="59"/>
        <v>237</v>
      </c>
      <c r="H127">
        <f t="shared" si="60"/>
        <v>0</v>
      </c>
      <c r="I127" s="9"/>
      <c r="Q127">
        <f t="shared" si="62"/>
        <v>0</v>
      </c>
      <c r="R127">
        <f t="shared" si="63"/>
        <v>6</v>
      </c>
      <c r="S127">
        <f t="shared" si="64"/>
        <v>2</v>
      </c>
      <c r="T127">
        <f t="shared" si="65"/>
        <v>2</v>
      </c>
      <c r="U127">
        <f t="shared" si="66"/>
        <v>3</v>
      </c>
      <c r="W127">
        <f t="shared" si="67"/>
        <v>9999.0044999999682</v>
      </c>
      <c r="Y127">
        <f t="shared" si="68"/>
        <v>38</v>
      </c>
      <c r="Z127">
        <f t="shared" si="69"/>
        <v>2.000760000000005</v>
      </c>
      <c r="AA127">
        <f t="shared" si="70"/>
        <v>3.0004900000000032</v>
      </c>
      <c r="AB127" t="str">
        <f t="shared" si="71"/>
        <v/>
      </c>
      <c r="AC127" t="str">
        <f t="shared" si="72"/>
        <v/>
      </c>
      <c r="AF127">
        <f t="shared" si="73"/>
        <v>23.005799999999986</v>
      </c>
      <c r="AG127" t="str">
        <f t="shared" si="74"/>
        <v/>
      </c>
      <c r="AH127">
        <f t="shared" si="57"/>
        <v>15.00449999999999</v>
      </c>
      <c r="AI127" t="str">
        <f t="shared" si="35"/>
        <v/>
      </c>
    </row>
    <row r="128" spans="1:35" ht="13" x14ac:dyDescent="0.3">
      <c r="A128">
        <f>A127+1</f>
        <v>120</v>
      </c>
      <c r="B128">
        <f>B127+2</f>
        <v>239</v>
      </c>
      <c r="C128" s="220" t="s">
        <v>226</v>
      </c>
      <c r="D128" s="11"/>
      <c r="E128" s="12"/>
      <c r="F128" s="12"/>
      <c r="H128" t="str">
        <f t="shared" ref="H128" si="75">C128</f>
        <v>Sollten Sie noch mehr Konten/ Zeilen benötigen, schreiben Sie eine E-Mail an vereinsbuchhaltung@bluemail.ch. Sie werden gegen ein kleines Entgelt eine grössere Version erhalten. Bitte nennen Sie die Kundennr., welche Sie im Register Calc in der Druckansicht finden. Zur Druckansicht kommen Sie, indem Sie im Register Calc  Strg.+P / Ctrl.+P betätigen.</v>
      </c>
      <c r="I128" s="9"/>
      <c r="Q128">
        <f t="shared" ref="Q128" si="76">E128</f>
        <v>0</v>
      </c>
      <c r="R128">
        <f t="shared" ref="R128" si="77">IF(OR(AND(D128&lt;&gt;"",C129="",C130=$C$3),AND(D128&lt;&gt;"",C129=$C$3)),R127+1,R127)</f>
        <v>6</v>
      </c>
      <c r="S128">
        <f t="shared" ref="S128" si="78">IF(OR(AND(D128&lt;&gt;"",C129="",C130=$C$4),AND(D128&lt;&gt;"",C129=$C$4)),S127+1,S127)</f>
        <v>2</v>
      </c>
      <c r="T128">
        <f t="shared" ref="T128" si="79">IF(OR(AND(D128&lt;&gt;"",C129="",C130=$C$5),AND(D128&lt;&gt;"",C129=$C$5)),T127+1,T127)</f>
        <v>2</v>
      </c>
      <c r="U128">
        <f t="shared" ref="U128" si="80">IF(OR(AND(D128&lt;&gt;"",C129="",C130=$C$6),AND(D128&lt;&gt;"",C129=$C$6)),U127+1,U127)</f>
        <v>3</v>
      </c>
      <c r="W128">
        <f t="shared" ref="W128" si="81">IF(E128="",W127+0.0001,E128)</f>
        <v>9999.0045999999675</v>
      </c>
      <c r="Y128">
        <f t="shared" ref="Y128" si="82">IF(OR(C128="Aufwandskonto",C128="Ertragskonto"),Y127+1,Y127)</f>
        <v>38</v>
      </c>
      <c r="Z128">
        <f t="shared" ref="Z128" si="83">IF(T128-T127=0,Z127+0.00001,T128)</f>
        <v>2.000770000000005</v>
      </c>
      <c r="AA128">
        <f t="shared" ref="AA128" si="84">IF(U128-U127=0,AA127+0.00001,U128)</f>
        <v>3.0005000000000033</v>
      </c>
      <c r="AB128" t="str">
        <f>IF(T128-T127=0,"",D128)</f>
        <v/>
      </c>
      <c r="AC128" t="str">
        <f t="shared" ref="AC128" si="85">IF(U128-U127=0,"",D128)</f>
        <v/>
      </c>
    </row>
    <row r="129" spans="3:27" x14ac:dyDescent="0.25">
      <c r="C129" s="3">
        <f>COUNTIF(C$9:C$128,C3)</f>
        <v>13</v>
      </c>
      <c r="D129" s="13"/>
      <c r="E129" s="13"/>
      <c r="F129" s="13"/>
      <c r="Z129">
        <f>ROUND(1+Z128,0)</f>
        <v>3</v>
      </c>
      <c r="AA129">
        <f>ROUND(1+AA128,0)</f>
        <v>4</v>
      </c>
    </row>
    <row r="130" spans="3:27" x14ac:dyDescent="0.25">
      <c r="C130" s="3">
        <f>COUNTIF(C$9:C$128,C4)</f>
        <v>10</v>
      </c>
      <c r="Z130">
        <f>Z129+1</f>
        <v>4</v>
      </c>
      <c r="AA130">
        <f>AA129+1</f>
        <v>5</v>
      </c>
    </row>
    <row r="131" spans="3:27" x14ac:dyDescent="0.25">
      <c r="C131" s="3">
        <f>COUNTIF(C$9:C$128,C5)</f>
        <v>23</v>
      </c>
      <c r="Z131">
        <f t="shared" ref="Z131:Z194" si="86">Z130+1</f>
        <v>5</v>
      </c>
      <c r="AA131">
        <f t="shared" ref="AA131:AA194" si="87">AA130+1</f>
        <v>6</v>
      </c>
    </row>
    <row r="132" spans="3:27" x14ac:dyDescent="0.25">
      <c r="C132" s="3">
        <f>COUNTIF(C$9:C$128,C6)</f>
        <v>15</v>
      </c>
      <c r="Z132">
        <f t="shared" si="86"/>
        <v>6</v>
      </c>
      <c r="AA132">
        <f t="shared" si="87"/>
        <v>7</v>
      </c>
    </row>
    <row r="133" spans="3:27" x14ac:dyDescent="0.25">
      <c r="C133" s="3">
        <v>0</v>
      </c>
      <c r="Z133">
        <f t="shared" si="86"/>
        <v>7</v>
      </c>
      <c r="AA133">
        <f t="shared" si="87"/>
        <v>8</v>
      </c>
    </row>
    <row r="134" spans="3:27" x14ac:dyDescent="0.25">
      <c r="Z134">
        <f t="shared" si="86"/>
        <v>8</v>
      </c>
      <c r="AA134">
        <f t="shared" si="87"/>
        <v>9</v>
      </c>
    </row>
    <row r="135" spans="3:27" x14ac:dyDescent="0.25">
      <c r="Z135">
        <f t="shared" si="86"/>
        <v>9</v>
      </c>
      <c r="AA135">
        <f t="shared" si="87"/>
        <v>10</v>
      </c>
    </row>
    <row r="136" spans="3:27" x14ac:dyDescent="0.25">
      <c r="Z136">
        <f t="shared" si="86"/>
        <v>10</v>
      </c>
      <c r="AA136">
        <f t="shared" si="87"/>
        <v>11</v>
      </c>
    </row>
    <row r="137" spans="3:27" x14ac:dyDescent="0.25">
      <c r="Z137">
        <f t="shared" si="86"/>
        <v>11</v>
      </c>
      <c r="AA137">
        <f t="shared" si="87"/>
        <v>12</v>
      </c>
    </row>
    <row r="138" spans="3:27" x14ac:dyDescent="0.25">
      <c r="Z138">
        <f t="shared" si="86"/>
        <v>12</v>
      </c>
      <c r="AA138">
        <f t="shared" si="87"/>
        <v>13</v>
      </c>
    </row>
    <row r="139" spans="3:27" x14ac:dyDescent="0.25">
      <c r="Z139">
        <f t="shared" si="86"/>
        <v>13</v>
      </c>
      <c r="AA139">
        <f t="shared" si="87"/>
        <v>14</v>
      </c>
    </row>
    <row r="140" spans="3:27" x14ac:dyDescent="0.25">
      <c r="Z140">
        <f t="shared" si="86"/>
        <v>14</v>
      </c>
      <c r="AA140">
        <f t="shared" si="87"/>
        <v>15</v>
      </c>
    </row>
    <row r="141" spans="3:27" x14ac:dyDescent="0.25">
      <c r="Z141">
        <f t="shared" si="86"/>
        <v>15</v>
      </c>
      <c r="AA141">
        <f t="shared" si="87"/>
        <v>16</v>
      </c>
    </row>
    <row r="142" spans="3:27" x14ac:dyDescent="0.25">
      <c r="Z142">
        <f t="shared" si="86"/>
        <v>16</v>
      </c>
      <c r="AA142">
        <f t="shared" si="87"/>
        <v>17</v>
      </c>
    </row>
    <row r="143" spans="3:27" x14ac:dyDescent="0.25">
      <c r="Z143">
        <f t="shared" si="86"/>
        <v>17</v>
      </c>
      <c r="AA143">
        <f t="shared" si="87"/>
        <v>18</v>
      </c>
    </row>
    <row r="144" spans="3:27" x14ac:dyDescent="0.25">
      <c r="Z144">
        <f t="shared" si="86"/>
        <v>18</v>
      </c>
      <c r="AA144">
        <f t="shared" si="87"/>
        <v>19</v>
      </c>
    </row>
    <row r="145" spans="26:27" x14ac:dyDescent="0.25">
      <c r="Z145">
        <f t="shared" si="86"/>
        <v>19</v>
      </c>
      <c r="AA145">
        <f t="shared" si="87"/>
        <v>20</v>
      </c>
    </row>
    <row r="146" spans="26:27" x14ac:dyDescent="0.25">
      <c r="Z146">
        <f t="shared" si="86"/>
        <v>20</v>
      </c>
      <c r="AA146">
        <f t="shared" si="87"/>
        <v>21</v>
      </c>
    </row>
    <row r="147" spans="26:27" x14ac:dyDescent="0.25">
      <c r="Z147">
        <f t="shared" si="86"/>
        <v>21</v>
      </c>
      <c r="AA147">
        <f t="shared" si="87"/>
        <v>22</v>
      </c>
    </row>
    <row r="148" spans="26:27" x14ac:dyDescent="0.25">
      <c r="Z148">
        <f t="shared" si="86"/>
        <v>22</v>
      </c>
      <c r="AA148">
        <f t="shared" si="87"/>
        <v>23</v>
      </c>
    </row>
    <row r="149" spans="26:27" x14ac:dyDescent="0.25">
      <c r="Z149">
        <f t="shared" si="86"/>
        <v>23</v>
      </c>
      <c r="AA149">
        <f t="shared" si="87"/>
        <v>24</v>
      </c>
    </row>
    <row r="150" spans="26:27" x14ac:dyDescent="0.25">
      <c r="Z150">
        <f t="shared" si="86"/>
        <v>24</v>
      </c>
      <c r="AA150">
        <f t="shared" si="87"/>
        <v>25</v>
      </c>
    </row>
    <row r="151" spans="26:27" x14ac:dyDescent="0.25">
      <c r="Z151">
        <f t="shared" si="86"/>
        <v>25</v>
      </c>
      <c r="AA151">
        <f t="shared" si="87"/>
        <v>26</v>
      </c>
    </row>
    <row r="152" spans="26:27" x14ac:dyDescent="0.25">
      <c r="Z152">
        <f t="shared" si="86"/>
        <v>26</v>
      </c>
      <c r="AA152">
        <f t="shared" si="87"/>
        <v>27</v>
      </c>
    </row>
    <row r="153" spans="26:27" x14ac:dyDescent="0.25">
      <c r="Z153">
        <f t="shared" si="86"/>
        <v>27</v>
      </c>
      <c r="AA153">
        <f t="shared" si="87"/>
        <v>28</v>
      </c>
    </row>
    <row r="154" spans="26:27" x14ac:dyDescent="0.25">
      <c r="Z154">
        <f t="shared" si="86"/>
        <v>28</v>
      </c>
      <c r="AA154">
        <f t="shared" si="87"/>
        <v>29</v>
      </c>
    </row>
    <row r="155" spans="26:27" x14ac:dyDescent="0.25">
      <c r="Z155">
        <f t="shared" si="86"/>
        <v>29</v>
      </c>
      <c r="AA155">
        <f t="shared" si="87"/>
        <v>30</v>
      </c>
    </row>
    <row r="156" spans="26:27" x14ac:dyDescent="0.25">
      <c r="Z156">
        <f t="shared" si="86"/>
        <v>30</v>
      </c>
      <c r="AA156">
        <f t="shared" si="87"/>
        <v>31</v>
      </c>
    </row>
    <row r="157" spans="26:27" x14ac:dyDescent="0.25">
      <c r="Z157">
        <f t="shared" si="86"/>
        <v>31</v>
      </c>
      <c r="AA157">
        <f t="shared" si="87"/>
        <v>32</v>
      </c>
    </row>
    <row r="158" spans="26:27" x14ac:dyDescent="0.25">
      <c r="Z158">
        <f t="shared" si="86"/>
        <v>32</v>
      </c>
      <c r="AA158">
        <f t="shared" si="87"/>
        <v>33</v>
      </c>
    </row>
    <row r="159" spans="26:27" x14ac:dyDescent="0.25">
      <c r="Z159">
        <f t="shared" si="86"/>
        <v>33</v>
      </c>
      <c r="AA159">
        <f t="shared" si="87"/>
        <v>34</v>
      </c>
    </row>
    <row r="160" spans="26:27" x14ac:dyDescent="0.25">
      <c r="Z160">
        <f t="shared" si="86"/>
        <v>34</v>
      </c>
      <c r="AA160">
        <f t="shared" si="87"/>
        <v>35</v>
      </c>
    </row>
    <row r="161" spans="26:27" x14ac:dyDescent="0.25">
      <c r="Z161">
        <f t="shared" si="86"/>
        <v>35</v>
      </c>
      <c r="AA161">
        <f t="shared" si="87"/>
        <v>36</v>
      </c>
    </row>
    <row r="162" spans="26:27" x14ac:dyDescent="0.25">
      <c r="Z162">
        <f t="shared" si="86"/>
        <v>36</v>
      </c>
      <c r="AA162">
        <f t="shared" si="87"/>
        <v>37</v>
      </c>
    </row>
    <row r="163" spans="26:27" x14ac:dyDescent="0.25">
      <c r="Z163">
        <f t="shared" si="86"/>
        <v>37</v>
      </c>
      <c r="AA163">
        <f t="shared" si="87"/>
        <v>38</v>
      </c>
    </row>
    <row r="164" spans="26:27" x14ac:dyDescent="0.25">
      <c r="Z164">
        <f t="shared" si="86"/>
        <v>38</v>
      </c>
      <c r="AA164">
        <f t="shared" si="87"/>
        <v>39</v>
      </c>
    </row>
    <row r="165" spans="26:27" x14ac:dyDescent="0.25">
      <c r="Z165">
        <f t="shared" si="86"/>
        <v>39</v>
      </c>
      <c r="AA165">
        <f t="shared" si="87"/>
        <v>40</v>
      </c>
    </row>
    <row r="166" spans="26:27" x14ac:dyDescent="0.25">
      <c r="Z166">
        <f t="shared" si="86"/>
        <v>40</v>
      </c>
      <c r="AA166">
        <f t="shared" si="87"/>
        <v>41</v>
      </c>
    </row>
    <row r="167" spans="26:27" x14ac:dyDescent="0.25">
      <c r="Z167">
        <f t="shared" si="86"/>
        <v>41</v>
      </c>
      <c r="AA167">
        <f t="shared" si="87"/>
        <v>42</v>
      </c>
    </row>
    <row r="168" spans="26:27" x14ac:dyDescent="0.25">
      <c r="Z168">
        <f t="shared" si="86"/>
        <v>42</v>
      </c>
      <c r="AA168">
        <f t="shared" si="87"/>
        <v>43</v>
      </c>
    </row>
    <row r="169" spans="26:27" x14ac:dyDescent="0.25">
      <c r="Z169">
        <f t="shared" si="86"/>
        <v>43</v>
      </c>
      <c r="AA169">
        <f t="shared" si="87"/>
        <v>44</v>
      </c>
    </row>
    <row r="170" spans="26:27" x14ac:dyDescent="0.25">
      <c r="Z170">
        <f t="shared" si="86"/>
        <v>44</v>
      </c>
      <c r="AA170">
        <f t="shared" si="87"/>
        <v>45</v>
      </c>
    </row>
    <row r="171" spans="26:27" x14ac:dyDescent="0.25">
      <c r="Z171">
        <f t="shared" si="86"/>
        <v>45</v>
      </c>
      <c r="AA171">
        <f t="shared" si="87"/>
        <v>46</v>
      </c>
    </row>
    <row r="172" spans="26:27" x14ac:dyDescent="0.25">
      <c r="Z172">
        <f t="shared" si="86"/>
        <v>46</v>
      </c>
      <c r="AA172">
        <f t="shared" si="87"/>
        <v>47</v>
      </c>
    </row>
    <row r="173" spans="26:27" x14ac:dyDescent="0.25">
      <c r="Z173">
        <f t="shared" si="86"/>
        <v>47</v>
      </c>
      <c r="AA173">
        <f t="shared" si="87"/>
        <v>48</v>
      </c>
    </row>
    <row r="174" spans="26:27" x14ac:dyDescent="0.25">
      <c r="Z174">
        <f t="shared" si="86"/>
        <v>48</v>
      </c>
      <c r="AA174">
        <f t="shared" si="87"/>
        <v>49</v>
      </c>
    </row>
    <row r="175" spans="26:27" x14ac:dyDescent="0.25">
      <c r="Z175">
        <f t="shared" si="86"/>
        <v>49</v>
      </c>
      <c r="AA175">
        <f t="shared" si="87"/>
        <v>50</v>
      </c>
    </row>
    <row r="176" spans="26:27" x14ac:dyDescent="0.25">
      <c r="Z176">
        <f t="shared" si="86"/>
        <v>50</v>
      </c>
      <c r="AA176">
        <f t="shared" si="87"/>
        <v>51</v>
      </c>
    </row>
    <row r="177" spans="26:27" x14ac:dyDescent="0.25">
      <c r="Z177">
        <f t="shared" si="86"/>
        <v>51</v>
      </c>
      <c r="AA177">
        <f t="shared" si="87"/>
        <v>52</v>
      </c>
    </row>
    <row r="178" spans="26:27" x14ac:dyDescent="0.25">
      <c r="Z178">
        <f t="shared" si="86"/>
        <v>52</v>
      </c>
      <c r="AA178">
        <f t="shared" si="87"/>
        <v>53</v>
      </c>
    </row>
    <row r="179" spans="26:27" x14ac:dyDescent="0.25">
      <c r="Z179">
        <f t="shared" si="86"/>
        <v>53</v>
      </c>
      <c r="AA179">
        <f t="shared" si="87"/>
        <v>54</v>
      </c>
    </row>
    <row r="180" spans="26:27" x14ac:dyDescent="0.25">
      <c r="Z180">
        <f t="shared" si="86"/>
        <v>54</v>
      </c>
      <c r="AA180">
        <f t="shared" si="87"/>
        <v>55</v>
      </c>
    </row>
    <row r="181" spans="26:27" x14ac:dyDescent="0.25">
      <c r="Z181">
        <f t="shared" si="86"/>
        <v>55</v>
      </c>
      <c r="AA181">
        <f t="shared" si="87"/>
        <v>56</v>
      </c>
    </row>
    <row r="182" spans="26:27" x14ac:dyDescent="0.25">
      <c r="Z182">
        <f t="shared" si="86"/>
        <v>56</v>
      </c>
      <c r="AA182">
        <f t="shared" si="87"/>
        <v>57</v>
      </c>
    </row>
    <row r="183" spans="26:27" x14ac:dyDescent="0.25">
      <c r="Z183">
        <f t="shared" si="86"/>
        <v>57</v>
      </c>
      <c r="AA183">
        <f t="shared" si="87"/>
        <v>58</v>
      </c>
    </row>
    <row r="184" spans="26:27" x14ac:dyDescent="0.25">
      <c r="Z184">
        <f t="shared" si="86"/>
        <v>58</v>
      </c>
      <c r="AA184">
        <f t="shared" si="87"/>
        <v>59</v>
      </c>
    </row>
    <row r="185" spans="26:27" x14ac:dyDescent="0.25">
      <c r="Z185">
        <f t="shared" si="86"/>
        <v>59</v>
      </c>
      <c r="AA185">
        <f t="shared" si="87"/>
        <v>60</v>
      </c>
    </row>
    <row r="186" spans="26:27" x14ac:dyDescent="0.25">
      <c r="Z186">
        <f t="shared" si="86"/>
        <v>60</v>
      </c>
      <c r="AA186">
        <f t="shared" si="87"/>
        <v>61</v>
      </c>
    </row>
    <row r="187" spans="26:27" x14ac:dyDescent="0.25">
      <c r="Z187">
        <f t="shared" si="86"/>
        <v>61</v>
      </c>
      <c r="AA187">
        <f t="shared" si="87"/>
        <v>62</v>
      </c>
    </row>
    <row r="188" spans="26:27" x14ac:dyDescent="0.25">
      <c r="Z188">
        <f t="shared" si="86"/>
        <v>62</v>
      </c>
      <c r="AA188">
        <f t="shared" si="87"/>
        <v>63</v>
      </c>
    </row>
    <row r="189" spans="26:27" x14ac:dyDescent="0.25">
      <c r="Z189">
        <f t="shared" si="86"/>
        <v>63</v>
      </c>
      <c r="AA189">
        <f t="shared" si="87"/>
        <v>64</v>
      </c>
    </row>
    <row r="190" spans="26:27" x14ac:dyDescent="0.25">
      <c r="Z190">
        <f t="shared" si="86"/>
        <v>64</v>
      </c>
      <c r="AA190">
        <f t="shared" si="87"/>
        <v>65</v>
      </c>
    </row>
    <row r="191" spans="26:27" x14ac:dyDescent="0.25">
      <c r="Z191">
        <f t="shared" si="86"/>
        <v>65</v>
      </c>
      <c r="AA191">
        <f t="shared" si="87"/>
        <v>66</v>
      </c>
    </row>
    <row r="192" spans="26:27" x14ac:dyDescent="0.25">
      <c r="Z192">
        <f t="shared" si="86"/>
        <v>66</v>
      </c>
      <c r="AA192">
        <f t="shared" si="87"/>
        <v>67</v>
      </c>
    </row>
    <row r="193" spans="26:27" x14ac:dyDescent="0.25">
      <c r="Z193">
        <f t="shared" si="86"/>
        <v>67</v>
      </c>
      <c r="AA193">
        <f t="shared" si="87"/>
        <v>68</v>
      </c>
    </row>
    <row r="194" spans="26:27" x14ac:dyDescent="0.25">
      <c r="Z194">
        <f t="shared" si="86"/>
        <v>68</v>
      </c>
      <c r="AA194">
        <f t="shared" si="87"/>
        <v>69</v>
      </c>
    </row>
    <row r="195" spans="26:27" x14ac:dyDescent="0.25">
      <c r="Z195">
        <f t="shared" ref="Z195:Z258" si="88">Z194+1</f>
        <v>69</v>
      </c>
      <c r="AA195">
        <f t="shared" ref="AA195:AA258" si="89">AA194+1</f>
        <v>70</v>
      </c>
    </row>
    <row r="196" spans="26:27" x14ac:dyDescent="0.25">
      <c r="Z196">
        <f t="shared" si="88"/>
        <v>70</v>
      </c>
      <c r="AA196">
        <f t="shared" si="89"/>
        <v>71</v>
      </c>
    </row>
    <row r="197" spans="26:27" x14ac:dyDescent="0.25">
      <c r="Z197">
        <f t="shared" si="88"/>
        <v>71</v>
      </c>
      <c r="AA197">
        <f t="shared" si="89"/>
        <v>72</v>
      </c>
    </row>
    <row r="198" spans="26:27" x14ac:dyDescent="0.25">
      <c r="Z198">
        <f t="shared" si="88"/>
        <v>72</v>
      </c>
      <c r="AA198">
        <f t="shared" si="89"/>
        <v>73</v>
      </c>
    </row>
    <row r="199" spans="26:27" x14ac:dyDescent="0.25">
      <c r="Z199">
        <f t="shared" si="88"/>
        <v>73</v>
      </c>
      <c r="AA199">
        <f t="shared" si="89"/>
        <v>74</v>
      </c>
    </row>
    <row r="200" spans="26:27" x14ac:dyDescent="0.25">
      <c r="Z200">
        <f t="shared" si="88"/>
        <v>74</v>
      </c>
      <c r="AA200">
        <f t="shared" si="89"/>
        <v>75</v>
      </c>
    </row>
    <row r="201" spans="26:27" x14ac:dyDescent="0.25">
      <c r="Z201">
        <f t="shared" si="88"/>
        <v>75</v>
      </c>
      <c r="AA201">
        <f t="shared" si="89"/>
        <v>76</v>
      </c>
    </row>
    <row r="202" spans="26:27" x14ac:dyDescent="0.25">
      <c r="Z202">
        <f t="shared" si="88"/>
        <v>76</v>
      </c>
      <c r="AA202">
        <f t="shared" si="89"/>
        <v>77</v>
      </c>
    </row>
    <row r="203" spans="26:27" x14ac:dyDescent="0.25">
      <c r="Z203">
        <f t="shared" si="88"/>
        <v>77</v>
      </c>
      <c r="AA203">
        <f t="shared" si="89"/>
        <v>78</v>
      </c>
    </row>
    <row r="204" spans="26:27" x14ac:dyDescent="0.25">
      <c r="Z204">
        <f t="shared" si="88"/>
        <v>78</v>
      </c>
      <c r="AA204">
        <f t="shared" si="89"/>
        <v>79</v>
      </c>
    </row>
    <row r="205" spans="26:27" x14ac:dyDescent="0.25">
      <c r="Z205">
        <f t="shared" si="88"/>
        <v>79</v>
      </c>
      <c r="AA205">
        <f t="shared" si="89"/>
        <v>80</v>
      </c>
    </row>
    <row r="206" spans="26:27" x14ac:dyDescent="0.25">
      <c r="Z206">
        <f t="shared" si="88"/>
        <v>80</v>
      </c>
      <c r="AA206">
        <f t="shared" si="89"/>
        <v>81</v>
      </c>
    </row>
    <row r="207" spans="26:27" x14ac:dyDescent="0.25">
      <c r="Z207">
        <f t="shared" si="88"/>
        <v>81</v>
      </c>
      <c r="AA207">
        <f t="shared" si="89"/>
        <v>82</v>
      </c>
    </row>
    <row r="208" spans="26:27" x14ac:dyDescent="0.25">
      <c r="Z208">
        <f t="shared" si="88"/>
        <v>82</v>
      </c>
      <c r="AA208">
        <f t="shared" si="89"/>
        <v>83</v>
      </c>
    </row>
    <row r="209" spans="26:27" x14ac:dyDescent="0.25">
      <c r="Z209">
        <f t="shared" si="88"/>
        <v>83</v>
      </c>
      <c r="AA209">
        <f t="shared" si="89"/>
        <v>84</v>
      </c>
    </row>
    <row r="210" spans="26:27" x14ac:dyDescent="0.25">
      <c r="Z210">
        <f t="shared" si="88"/>
        <v>84</v>
      </c>
      <c r="AA210">
        <f t="shared" si="89"/>
        <v>85</v>
      </c>
    </row>
    <row r="211" spans="26:27" x14ac:dyDescent="0.25">
      <c r="Z211">
        <f t="shared" si="88"/>
        <v>85</v>
      </c>
      <c r="AA211">
        <f t="shared" si="89"/>
        <v>86</v>
      </c>
    </row>
    <row r="212" spans="26:27" x14ac:dyDescent="0.25">
      <c r="Z212">
        <f t="shared" si="88"/>
        <v>86</v>
      </c>
      <c r="AA212">
        <f t="shared" si="89"/>
        <v>87</v>
      </c>
    </row>
    <row r="213" spans="26:27" x14ac:dyDescent="0.25">
      <c r="Z213">
        <f t="shared" si="88"/>
        <v>87</v>
      </c>
      <c r="AA213">
        <f t="shared" si="89"/>
        <v>88</v>
      </c>
    </row>
    <row r="214" spans="26:27" x14ac:dyDescent="0.25">
      <c r="Z214">
        <f t="shared" si="88"/>
        <v>88</v>
      </c>
      <c r="AA214">
        <f t="shared" si="89"/>
        <v>89</v>
      </c>
    </row>
    <row r="215" spans="26:27" x14ac:dyDescent="0.25">
      <c r="Z215">
        <f t="shared" si="88"/>
        <v>89</v>
      </c>
      <c r="AA215">
        <f t="shared" si="89"/>
        <v>90</v>
      </c>
    </row>
    <row r="216" spans="26:27" x14ac:dyDescent="0.25">
      <c r="Z216">
        <f t="shared" si="88"/>
        <v>90</v>
      </c>
      <c r="AA216">
        <f t="shared" si="89"/>
        <v>91</v>
      </c>
    </row>
    <row r="217" spans="26:27" x14ac:dyDescent="0.25">
      <c r="Z217">
        <f t="shared" si="88"/>
        <v>91</v>
      </c>
      <c r="AA217">
        <f t="shared" si="89"/>
        <v>92</v>
      </c>
    </row>
    <row r="218" spans="26:27" x14ac:dyDescent="0.25">
      <c r="Z218">
        <f t="shared" si="88"/>
        <v>92</v>
      </c>
      <c r="AA218">
        <f t="shared" si="89"/>
        <v>93</v>
      </c>
    </row>
    <row r="219" spans="26:27" x14ac:dyDescent="0.25">
      <c r="Z219">
        <f t="shared" si="88"/>
        <v>93</v>
      </c>
      <c r="AA219">
        <f t="shared" si="89"/>
        <v>94</v>
      </c>
    </row>
    <row r="220" spans="26:27" x14ac:dyDescent="0.25">
      <c r="Z220">
        <f t="shared" si="88"/>
        <v>94</v>
      </c>
      <c r="AA220">
        <f t="shared" si="89"/>
        <v>95</v>
      </c>
    </row>
    <row r="221" spans="26:27" x14ac:dyDescent="0.25">
      <c r="Z221">
        <f t="shared" si="88"/>
        <v>95</v>
      </c>
      <c r="AA221">
        <f t="shared" si="89"/>
        <v>96</v>
      </c>
    </row>
    <row r="222" spans="26:27" x14ac:dyDescent="0.25">
      <c r="Z222">
        <f t="shared" si="88"/>
        <v>96</v>
      </c>
      <c r="AA222">
        <f t="shared" si="89"/>
        <v>97</v>
      </c>
    </row>
    <row r="223" spans="26:27" x14ac:dyDescent="0.25">
      <c r="Z223">
        <f t="shared" si="88"/>
        <v>97</v>
      </c>
      <c r="AA223">
        <f t="shared" si="89"/>
        <v>98</v>
      </c>
    </row>
    <row r="224" spans="26:27" x14ac:dyDescent="0.25">
      <c r="Z224">
        <f t="shared" si="88"/>
        <v>98</v>
      </c>
      <c r="AA224">
        <f t="shared" si="89"/>
        <v>99</v>
      </c>
    </row>
    <row r="225" spans="26:27" x14ac:dyDescent="0.25">
      <c r="Z225">
        <f t="shared" si="88"/>
        <v>99</v>
      </c>
      <c r="AA225">
        <f t="shared" si="89"/>
        <v>100</v>
      </c>
    </row>
    <row r="226" spans="26:27" x14ac:dyDescent="0.25">
      <c r="Z226">
        <f t="shared" si="88"/>
        <v>100</v>
      </c>
      <c r="AA226">
        <f t="shared" si="89"/>
        <v>101</v>
      </c>
    </row>
    <row r="227" spans="26:27" x14ac:dyDescent="0.25">
      <c r="Z227">
        <f t="shared" si="88"/>
        <v>101</v>
      </c>
      <c r="AA227">
        <f t="shared" si="89"/>
        <v>102</v>
      </c>
    </row>
    <row r="228" spans="26:27" x14ac:dyDescent="0.25">
      <c r="Z228">
        <f t="shared" si="88"/>
        <v>102</v>
      </c>
      <c r="AA228">
        <f t="shared" si="89"/>
        <v>103</v>
      </c>
    </row>
    <row r="229" spans="26:27" x14ac:dyDescent="0.25">
      <c r="Z229">
        <f t="shared" si="88"/>
        <v>103</v>
      </c>
      <c r="AA229">
        <f t="shared" si="89"/>
        <v>104</v>
      </c>
    </row>
    <row r="230" spans="26:27" x14ac:dyDescent="0.25">
      <c r="Z230">
        <f t="shared" si="88"/>
        <v>104</v>
      </c>
      <c r="AA230">
        <f t="shared" si="89"/>
        <v>105</v>
      </c>
    </row>
    <row r="231" spans="26:27" x14ac:dyDescent="0.25">
      <c r="Z231">
        <f t="shared" si="88"/>
        <v>105</v>
      </c>
      <c r="AA231">
        <f t="shared" si="89"/>
        <v>106</v>
      </c>
    </row>
    <row r="232" spans="26:27" x14ac:dyDescent="0.25">
      <c r="Z232">
        <f t="shared" si="88"/>
        <v>106</v>
      </c>
      <c r="AA232">
        <f t="shared" si="89"/>
        <v>107</v>
      </c>
    </row>
    <row r="233" spans="26:27" x14ac:dyDescent="0.25">
      <c r="Z233">
        <f t="shared" si="88"/>
        <v>107</v>
      </c>
      <c r="AA233">
        <f t="shared" si="89"/>
        <v>108</v>
      </c>
    </row>
    <row r="234" spans="26:27" x14ac:dyDescent="0.25">
      <c r="Z234">
        <f t="shared" si="88"/>
        <v>108</v>
      </c>
      <c r="AA234">
        <f t="shared" si="89"/>
        <v>109</v>
      </c>
    </row>
    <row r="235" spans="26:27" x14ac:dyDescent="0.25">
      <c r="Z235">
        <f t="shared" si="88"/>
        <v>109</v>
      </c>
      <c r="AA235">
        <f t="shared" si="89"/>
        <v>110</v>
      </c>
    </row>
    <row r="236" spans="26:27" x14ac:dyDescent="0.25">
      <c r="Z236">
        <f t="shared" si="88"/>
        <v>110</v>
      </c>
      <c r="AA236">
        <f t="shared" si="89"/>
        <v>111</v>
      </c>
    </row>
    <row r="237" spans="26:27" x14ac:dyDescent="0.25">
      <c r="Z237">
        <f t="shared" si="88"/>
        <v>111</v>
      </c>
      <c r="AA237">
        <f t="shared" si="89"/>
        <v>112</v>
      </c>
    </row>
    <row r="238" spans="26:27" x14ac:dyDescent="0.25">
      <c r="Z238">
        <f t="shared" si="88"/>
        <v>112</v>
      </c>
      <c r="AA238">
        <f t="shared" si="89"/>
        <v>113</v>
      </c>
    </row>
    <row r="239" spans="26:27" x14ac:dyDescent="0.25">
      <c r="Z239">
        <f t="shared" si="88"/>
        <v>113</v>
      </c>
      <c r="AA239">
        <f t="shared" si="89"/>
        <v>114</v>
      </c>
    </row>
    <row r="240" spans="26:27" x14ac:dyDescent="0.25">
      <c r="Z240">
        <f t="shared" si="88"/>
        <v>114</v>
      </c>
      <c r="AA240">
        <f t="shared" si="89"/>
        <v>115</v>
      </c>
    </row>
    <row r="241" spans="26:27" x14ac:dyDescent="0.25">
      <c r="Z241">
        <f t="shared" si="88"/>
        <v>115</v>
      </c>
      <c r="AA241">
        <f t="shared" si="89"/>
        <v>116</v>
      </c>
    </row>
    <row r="242" spans="26:27" x14ac:dyDescent="0.25">
      <c r="Z242">
        <f t="shared" si="88"/>
        <v>116</v>
      </c>
      <c r="AA242">
        <f t="shared" si="89"/>
        <v>117</v>
      </c>
    </row>
    <row r="243" spans="26:27" x14ac:dyDescent="0.25">
      <c r="Z243">
        <f t="shared" si="88"/>
        <v>117</v>
      </c>
      <c r="AA243">
        <f t="shared" si="89"/>
        <v>118</v>
      </c>
    </row>
    <row r="244" spans="26:27" x14ac:dyDescent="0.25">
      <c r="Z244">
        <f t="shared" si="88"/>
        <v>118</v>
      </c>
      <c r="AA244">
        <f t="shared" si="89"/>
        <v>119</v>
      </c>
    </row>
    <row r="245" spans="26:27" x14ac:dyDescent="0.25">
      <c r="Z245">
        <f t="shared" si="88"/>
        <v>119</v>
      </c>
      <c r="AA245">
        <f t="shared" si="89"/>
        <v>120</v>
      </c>
    </row>
    <row r="246" spans="26:27" x14ac:dyDescent="0.25">
      <c r="Z246">
        <f t="shared" si="88"/>
        <v>120</v>
      </c>
      <c r="AA246">
        <f t="shared" si="89"/>
        <v>121</v>
      </c>
    </row>
    <row r="247" spans="26:27" x14ac:dyDescent="0.25">
      <c r="Z247">
        <f t="shared" si="88"/>
        <v>121</v>
      </c>
      <c r="AA247">
        <f t="shared" si="89"/>
        <v>122</v>
      </c>
    </row>
    <row r="248" spans="26:27" x14ac:dyDescent="0.25">
      <c r="Z248">
        <f t="shared" si="88"/>
        <v>122</v>
      </c>
      <c r="AA248">
        <f t="shared" si="89"/>
        <v>123</v>
      </c>
    </row>
    <row r="249" spans="26:27" x14ac:dyDescent="0.25">
      <c r="Z249">
        <f t="shared" si="88"/>
        <v>123</v>
      </c>
      <c r="AA249">
        <f t="shared" si="89"/>
        <v>124</v>
      </c>
    </row>
    <row r="250" spans="26:27" x14ac:dyDescent="0.25">
      <c r="Z250">
        <f t="shared" si="88"/>
        <v>124</v>
      </c>
      <c r="AA250">
        <f t="shared" si="89"/>
        <v>125</v>
      </c>
    </row>
    <row r="251" spans="26:27" x14ac:dyDescent="0.25">
      <c r="Z251">
        <f t="shared" si="88"/>
        <v>125</v>
      </c>
      <c r="AA251">
        <f t="shared" si="89"/>
        <v>126</v>
      </c>
    </row>
    <row r="252" spans="26:27" x14ac:dyDescent="0.25">
      <c r="Z252">
        <f t="shared" si="88"/>
        <v>126</v>
      </c>
      <c r="AA252">
        <f t="shared" si="89"/>
        <v>127</v>
      </c>
    </row>
    <row r="253" spans="26:27" x14ac:dyDescent="0.25">
      <c r="Z253">
        <f t="shared" si="88"/>
        <v>127</v>
      </c>
      <c r="AA253">
        <f t="shared" si="89"/>
        <v>128</v>
      </c>
    </row>
    <row r="254" spans="26:27" x14ac:dyDescent="0.25">
      <c r="Z254">
        <f t="shared" si="88"/>
        <v>128</v>
      </c>
      <c r="AA254">
        <f t="shared" si="89"/>
        <v>129</v>
      </c>
    </row>
    <row r="255" spans="26:27" x14ac:dyDescent="0.25">
      <c r="Z255">
        <f t="shared" si="88"/>
        <v>129</v>
      </c>
      <c r="AA255">
        <f t="shared" si="89"/>
        <v>130</v>
      </c>
    </row>
    <row r="256" spans="26:27" x14ac:dyDescent="0.25">
      <c r="Z256">
        <f t="shared" si="88"/>
        <v>130</v>
      </c>
      <c r="AA256">
        <f t="shared" si="89"/>
        <v>131</v>
      </c>
    </row>
    <row r="257" spans="26:27" x14ac:dyDescent="0.25">
      <c r="Z257">
        <f t="shared" si="88"/>
        <v>131</v>
      </c>
      <c r="AA257">
        <f t="shared" si="89"/>
        <v>132</v>
      </c>
    </row>
    <row r="258" spans="26:27" x14ac:dyDescent="0.25">
      <c r="Z258">
        <f t="shared" si="88"/>
        <v>132</v>
      </c>
      <c r="AA258">
        <f t="shared" si="89"/>
        <v>133</v>
      </c>
    </row>
    <row r="259" spans="26:27" x14ac:dyDescent="0.25">
      <c r="Z259">
        <f t="shared" ref="Z259:Z322" si="90">Z258+1</f>
        <v>133</v>
      </c>
      <c r="AA259">
        <f t="shared" ref="AA259:AA322" si="91">AA258+1</f>
        <v>134</v>
      </c>
    </row>
    <row r="260" spans="26:27" x14ac:dyDescent="0.25">
      <c r="Z260">
        <f t="shared" si="90"/>
        <v>134</v>
      </c>
      <c r="AA260">
        <f t="shared" si="91"/>
        <v>135</v>
      </c>
    </row>
    <row r="261" spans="26:27" x14ac:dyDescent="0.25">
      <c r="Z261">
        <f t="shared" si="90"/>
        <v>135</v>
      </c>
      <c r="AA261">
        <f t="shared" si="91"/>
        <v>136</v>
      </c>
    </row>
    <row r="262" spans="26:27" x14ac:dyDescent="0.25">
      <c r="Z262">
        <f t="shared" si="90"/>
        <v>136</v>
      </c>
      <c r="AA262">
        <f t="shared" si="91"/>
        <v>137</v>
      </c>
    </row>
    <row r="263" spans="26:27" x14ac:dyDescent="0.25">
      <c r="Z263">
        <f t="shared" si="90"/>
        <v>137</v>
      </c>
      <c r="AA263">
        <f t="shared" si="91"/>
        <v>138</v>
      </c>
    </row>
    <row r="264" spans="26:27" x14ac:dyDescent="0.25">
      <c r="Z264">
        <f t="shared" si="90"/>
        <v>138</v>
      </c>
      <c r="AA264">
        <f t="shared" si="91"/>
        <v>139</v>
      </c>
    </row>
    <row r="265" spans="26:27" x14ac:dyDescent="0.25">
      <c r="Z265">
        <f t="shared" si="90"/>
        <v>139</v>
      </c>
      <c r="AA265">
        <f t="shared" si="91"/>
        <v>140</v>
      </c>
    </row>
    <row r="266" spans="26:27" x14ac:dyDescent="0.25">
      <c r="Z266">
        <f t="shared" si="90"/>
        <v>140</v>
      </c>
      <c r="AA266">
        <f t="shared" si="91"/>
        <v>141</v>
      </c>
    </row>
    <row r="267" spans="26:27" x14ac:dyDescent="0.25">
      <c r="Z267">
        <f t="shared" si="90"/>
        <v>141</v>
      </c>
      <c r="AA267">
        <f t="shared" si="91"/>
        <v>142</v>
      </c>
    </row>
    <row r="268" spans="26:27" x14ac:dyDescent="0.25">
      <c r="Z268">
        <f t="shared" si="90"/>
        <v>142</v>
      </c>
      <c r="AA268">
        <f t="shared" si="91"/>
        <v>143</v>
      </c>
    </row>
    <row r="269" spans="26:27" x14ac:dyDescent="0.25">
      <c r="Z269">
        <f t="shared" si="90"/>
        <v>143</v>
      </c>
      <c r="AA269">
        <f t="shared" si="91"/>
        <v>144</v>
      </c>
    </row>
    <row r="270" spans="26:27" x14ac:dyDescent="0.25">
      <c r="Z270">
        <f t="shared" si="90"/>
        <v>144</v>
      </c>
      <c r="AA270">
        <f t="shared" si="91"/>
        <v>145</v>
      </c>
    </row>
    <row r="271" spans="26:27" x14ac:dyDescent="0.25">
      <c r="Z271">
        <f t="shared" si="90"/>
        <v>145</v>
      </c>
      <c r="AA271">
        <f t="shared" si="91"/>
        <v>146</v>
      </c>
    </row>
    <row r="272" spans="26:27" x14ac:dyDescent="0.25">
      <c r="Z272">
        <f t="shared" si="90"/>
        <v>146</v>
      </c>
      <c r="AA272">
        <f t="shared" si="91"/>
        <v>147</v>
      </c>
    </row>
    <row r="273" spans="26:27" x14ac:dyDescent="0.25">
      <c r="Z273">
        <f t="shared" si="90"/>
        <v>147</v>
      </c>
      <c r="AA273">
        <f t="shared" si="91"/>
        <v>148</v>
      </c>
    </row>
    <row r="274" spans="26:27" x14ac:dyDescent="0.25">
      <c r="Z274">
        <f t="shared" si="90"/>
        <v>148</v>
      </c>
      <c r="AA274">
        <f t="shared" si="91"/>
        <v>149</v>
      </c>
    </row>
    <row r="275" spans="26:27" x14ac:dyDescent="0.25">
      <c r="Z275">
        <f t="shared" si="90"/>
        <v>149</v>
      </c>
      <c r="AA275">
        <f t="shared" si="91"/>
        <v>150</v>
      </c>
    </row>
    <row r="276" spans="26:27" x14ac:dyDescent="0.25">
      <c r="Z276">
        <f t="shared" si="90"/>
        <v>150</v>
      </c>
      <c r="AA276">
        <f t="shared" si="91"/>
        <v>151</v>
      </c>
    </row>
    <row r="277" spans="26:27" x14ac:dyDescent="0.25">
      <c r="Z277">
        <f t="shared" si="90"/>
        <v>151</v>
      </c>
      <c r="AA277">
        <f t="shared" si="91"/>
        <v>152</v>
      </c>
    </row>
    <row r="278" spans="26:27" x14ac:dyDescent="0.25">
      <c r="Z278">
        <f t="shared" si="90"/>
        <v>152</v>
      </c>
      <c r="AA278">
        <f t="shared" si="91"/>
        <v>153</v>
      </c>
    </row>
    <row r="279" spans="26:27" x14ac:dyDescent="0.25">
      <c r="Z279">
        <f t="shared" si="90"/>
        <v>153</v>
      </c>
      <c r="AA279">
        <f t="shared" si="91"/>
        <v>154</v>
      </c>
    </row>
    <row r="280" spans="26:27" x14ac:dyDescent="0.25">
      <c r="Z280">
        <f t="shared" si="90"/>
        <v>154</v>
      </c>
      <c r="AA280">
        <f t="shared" si="91"/>
        <v>155</v>
      </c>
    </row>
    <row r="281" spans="26:27" x14ac:dyDescent="0.25">
      <c r="Z281">
        <f t="shared" si="90"/>
        <v>155</v>
      </c>
      <c r="AA281">
        <f t="shared" si="91"/>
        <v>156</v>
      </c>
    </row>
    <row r="282" spans="26:27" x14ac:dyDescent="0.25">
      <c r="Z282">
        <f t="shared" si="90"/>
        <v>156</v>
      </c>
      <c r="AA282">
        <f t="shared" si="91"/>
        <v>157</v>
      </c>
    </row>
    <row r="283" spans="26:27" x14ac:dyDescent="0.25">
      <c r="Z283">
        <f t="shared" si="90"/>
        <v>157</v>
      </c>
      <c r="AA283">
        <f t="shared" si="91"/>
        <v>158</v>
      </c>
    </row>
    <row r="284" spans="26:27" x14ac:dyDescent="0.25">
      <c r="Z284">
        <f t="shared" si="90"/>
        <v>158</v>
      </c>
      <c r="AA284">
        <f t="shared" si="91"/>
        <v>159</v>
      </c>
    </row>
    <row r="285" spans="26:27" x14ac:dyDescent="0.25">
      <c r="Z285">
        <f t="shared" si="90"/>
        <v>159</v>
      </c>
      <c r="AA285">
        <f t="shared" si="91"/>
        <v>160</v>
      </c>
    </row>
    <row r="286" spans="26:27" x14ac:dyDescent="0.25">
      <c r="Z286">
        <f t="shared" si="90"/>
        <v>160</v>
      </c>
      <c r="AA286">
        <f t="shared" si="91"/>
        <v>161</v>
      </c>
    </row>
    <row r="287" spans="26:27" x14ac:dyDescent="0.25">
      <c r="Z287">
        <f t="shared" si="90"/>
        <v>161</v>
      </c>
      <c r="AA287">
        <f t="shared" si="91"/>
        <v>162</v>
      </c>
    </row>
    <row r="288" spans="26:27" x14ac:dyDescent="0.25">
      <c r="Z288">
        <f t="shared" si="90"/>
        <v>162</v>
      </c>
      <c r="AA288">
        <f t="shared" si="91"/>
        <v>163</v>
      </c>
    </row>
    <row r="289" spans="26:27" x14ac:dyDescent="0.25">
      <c r="Z289">
        <f t="shared" si="90"/>
        <v>163</v>
      </c>
      <c r="AA289">
        <f t="shared" si="91"/>
        <v>164</v>
      </c>
    </row>
    <row r="290" spans="26:27" x14ac:dyDescent="0.25">
      <c r="Z290">
        <f t="shared" si="90"/>
        <v>164</v>
      </c>
      <c r="AA290">
        <f t="shared" si="91"/>
        <v>165</v>
      </c>
    </row>
    <row r="291" spans="26:27" x14ac:dyDescent="0.25">
      <c r="Z291">
        <f t="shared" si="90"/>
        <v>165</v>
      </c>
      <c r="AA291">
        <f t="shared" si="91"/>
        <v>166</v>
      </c>
    </row>
    <row r="292" spans="26:27" x14ac:dyDescent="0.25">
      <c r="Z292">
        <f t="shared" si="90"/>
        <v>166</v>
      </c>
      <c r="AA292">
        <f t="shared" si="91"/>
        <v>167</v>
      </c>
    </row>
    <row r="293" spans="26:27" x14ac:dyDescent="0.25">
      <c r="Z293">
        <f t="shared" si="90"/>
        <v>167</v>
      </c>
      <c r="AA293">
        <f t="shared" si="91"/>
        <v>168</v>
      </c>
    </row>
    <row r="294" spans="26:27" x14ac:dyDescent="0.25">
      <c r="Z294">
        <f t="shared" si="90"/>
        <v>168</v>
      </c>
      <c r="AA294">
        <f t="shared" si="91"/>
        <v>169</v>
      </c>
    </row>
    <row r="295" spans="26:27" x14ac:dyDescent="0.25">
      <c r="Z295">
        <f t="shared" si="90"/>
        <v>169</v>
      </c>
      <c r="AA295">
        <f t="shared" si="91"/>
        <v>170</v>
      </c>
    </row>
    <row r="296" spans="26:27" x14ac:dyDescent="0.25">
      <c r="Z296">
        <f t="shared" si="90"/>
        <v>170</v>
      </c>
      <c r="AA296">
        <f t="shared" si="91"/>
        <v>171</v>
      </c>
    </row>
    <row r="297" spans="26:27" x14ac:dyDescent="0.25">
      <c r="Z297">
        <f t="shared" si="90"/>
        <v>171</v>
      </c>
      <c r="AA297">
        <f t="shared" si="91"/>
        <v>172</v>
      </c>
    </row>
    <row r="298" spans="26:27" x14ac:dyDescent="0.25">
      <c r="Z298">
        <f t="shared" si="90"/>
        <v>172</v>
      </c>
      <c r="AA298">
        <f t="shared" si="91"/>
        <v>173</v>
      </c>
    </row>
    <row r="299" spans="26:27" x14ac:dyDescent="0.25">
      <c r="Z299">
        <f t="shared" si="90"/>
        <v>173</v>
      </c>
      <c r="AA299">
        <f t="shared" si="91"/>
        <v>174</v>
      </c>
    </row>
    <row r="300" spans="26:27" x14ac:dyDescent="0.25">
      <c r="Z300">
        <f t="shared" si="90"/>
        <v>174</v>
      </c>
      <c r="AA300">
        <f t="shared" si="91"/>
        <v>175</v>
      </c>
    </row>
    <row r="301" spans="26:27" x14ac:dyDescent="0.25">
      <c r="Z301">
        <f t="shared" si="90"/>
        <v>175</v>
      </c>
      <c r="AA301">
        <f t="shared" si="91"/>
        <v>176</v>
      </c>
    </row>
    <row r="302" spans="26:27" x14ac:dyDescent="0.25">
      <c r="Z302">
        <f t="shared" si="90"/>
        <v>176</v>
      </c>
      <c r="AA302">
        <f t="shared" si="91"/>
        <v>177</v>
      </c>
    </row>
    <row r="303" spans="26:27" x14ac:dyDescent="0.25">
      <c r="Z303">
        <f t="shared" si="90"/>
        <v>177</v>
      </c>
      <c r="AA303">
        <f t="shared" si="91"/>
        <v>178</v>
      </c>
    </row>
    <row r="304" spans="26:27" x14ac:dyDescent="0.25">
      <c r="Z304">
        <f t="shared" si="90"/>
        <v>178</v>
      </c>
      <c r="AA304">
        <f t="shared" si="91"/>
        <v>179</v>
      </c>
    </row>
    <row r="305" spans="26:27" x14ac:dyDescent="0.25">
      <c r="Z305">
        <f t="shared" si="90"/>
        <v>179</v>
      </c>
      <c r="AA305">
        <f t="shared" si="91"/>
        <v>180</v>
      </c>
    </row>
    <row r="306" spans="26:27" x14ac:dyDescent="0.25">
      <c r="Z306">
        <f t="shared" si="90"/>
        <v>180</v>
      </c>
      <c r="AA306">
        <f t="shared" si="91"/>
        <v>181</v>
      </c>
    </row>
    <row r="307" spans="26:27" x14ac:dyDescent="0.25">
      <c r="Z307">
        <f t="shared" si="90"/>
        <v>181</v>
      </c>
      <c r="AA307">
        <f t="shared" si="91"/>
        <v>182</v>
      </c>
    </row>
    <row r="308" spans="26:27" x14ac:dyDescent="0.25">
      <c r="Z308">
        <f t="shared" si="90"/>
        <v>182</v>
      </c>
      <c r="AA308">
        <f t="shared" si="91"/>
        <v>183</v>
      </c>
    </row>
    <row r="309" spans="26:27" x14ac:dyDescent="0.25">
      <c r="Z309">
        <f t="shared" si="90"/>
        <v>183</v>
      </c>
      <c r="AA309">
        <f t="shared" si="91"/>
        <v>184</v>
      </c>
    </row>
    <row r="310" spans="26:27" x14ac:dyDescent="0.25">
      <c r="Z310">
        <f t="shared" si="90"/>
        <v>184</v>
      </c>
      <c r="AA310">
        <f t="shared" si="91"/>
        <v>185</v>
      </c>
    </row>
    <row r="311" spans="26:27" x14ac:dyDescent="0.25">
      <c r="Z311">
        <f t="shared" si="90"/>
        <v>185</v>
      </c>
      <c r="AA311">
        <f t="shared" si="91"/>
        <v>186</v>
      </c>
    </row>
    <row r="312" spans="26:27" x14ac:dyDescent="0.25">
      <c r="Z312">
        <f t="shared" si="90"/>
        <v>186</v>
      </c>
      <c r="AA312">
        <f t="shared" si="91"/>
        <v>187</v>
      </c>
    </row>
    <row r="313" spans="26:27" x14ac:dyDescent="0.25">
      <c r="Z313">
        <f t="shared" si="90"/>
        <v>187</v>
      </c>
      <c r="AA313">
        <f t="shared" si="91"/>
        <v>188</v>
      </c>
    </row>
    <row r="314" spans="26:27" x14ac:dyDescent="0.25">
      <c r="Z314">
        <f t="shared" si="90"/>
        <v>188</v>
      </c>
      <c r="AA314">
        <f t="shared" si="91"/>
        <v>189</v>
      </c>
    </row>
    <row r="315" spans="26:27" x14ac:dyDescent="0.25">
      <c r="Z315">
        <f t="shared" si="90"/>
        <v>189</v>
      </c>
      <c r="AA315">
        <f t="shared" si="91"/>
        <v>190</v>
      </c>
    </row>
    <row r="316" spans="26:27" x14ac:dyDescent="0.25">
      <c r="Z316">
        <f t="shared" si="90"/>
        <v>190</v>
      </c>
      <c r="AA316">
        <f t="shared" si="91"/>
        <v>191</v>
      </c>
    </row>
    <row r="317" spans="26:27" x14ac:dyDescent="0.25">
      <c r="Z317">
        <f t="shared" si="90"/>
        <v>191</v>
      </c>
      <c r="AA317">
        <f t="shared" si="91"/>
        <v>192</v>
      </c>
    </row>
    <row r="318" spans="26:27" x14ac:dyDescent="0.25">
      <c r="Z318">
        <f t="shared" si="90"/>
        <v>192</v>
      </c>
      <c r="AA318">
        <f t="shared" si="91"/>
        <v>193</v>
      </c>
    </row>
    <row r="319" spans="26:27" x14ac:dyDescent="0.25">
      <c r="Z319">
        <f t="shared" si="90"/>
        <v>193</v>
      </c>
      <c r="AA319">
        <f t="shared" si="91"/>
        <v>194</v>
      </c>
    </row>
    <row r="320" spans="26:27" x14ac:dyDescent="0.25">
      <c r="Z320">
        <f t="shared" si="90"/>
        <v>194</v>
      </c>
      <c r="AA320">
        <f t="shared" si="91"/>
        <v>195</v>
      </c>
    </row>
    <row r="321" spans="26:27" x14ac:dyDescent="0.25">
      <c r="Z321">
        <f t="shared" si="90"/>
        <v>195</v>
      </c>
      <c r="AA321">
        <f t="shared" si="91"/>
        <v>196</v>
      </c>
    </row>
    <row r="322" spans="26:27" x14ac:dyDescent="0.25">
      <c r="Z322">
        <f t="shared" si="90"/>
        <v>196</v>
      </c>
      <c r="AA322">
        <f t="shared" si="91"/>
        <v>197</v>
      </c>
    </row>
    <row r="323" spans="26:27" x14ac:dyDescent="0.25">
      <c r="Z323">
        <f t="shared" ref="Z323:Z386" si="92">Z322+1</f>
        <v>197</v>
      </c>
      <c r="AA323">
        <f t="shared" ref="AA323:AA386" si="93">AA322+1</f>
        <v>198</v>
      </c>
    </row>
    <row r="324" spans="26:27" x14ac:dyDescent="0.25">
      <c r="Z324">
        <f t="shared" si="92"/>
        <v>198</v>
      </c>
      <c r="AA324">
        <f t="shared" si="93"/>
        <v>199</v>
      </c>
    </row>
    <row r="325" spans="26:27" x14ac:dyDescent="0.25">
      <c r="Z325">
        <f t="shared" si="92"/>
        <v>199</v>
      </c>
      <c r="AA325">
        <f t="shared" si="93"/>
        <v>200</v>
      </c>
    </row>
    <row r="326" spans="26:27" x14ac:dyDescent="0.25">
      <c r="Z326">
        <f t="shared" si="92"/>
        <v>200</v>
      </c>
      <c r="AA326">
        <f t="shared" si="93"/>
        <v>201</v>
      </c>
    </row>
    <row r="327" spans="26:27" x14ac:dyDescent="0.25">
      <c r="Z327">
        <f t="shared" si="92"/>
        <v>201</v>
      </c>
      <c r="AA327">
        <f t="shared" si="93"/>
        <v>202</v>
      </c>
    </row>
    <row r="328" spans="26:27" x14ac:dyDescent="0.25">
      <c r="Z328">
        <f t="shared" si="92"/>
        <v>202</v>
      </c>
      <c r="AA328">
        <f t="shared" si="93"/>
        <v>203</v>
      </c>
    </row>
    <row r="329" spans="26:27" x14ac:dyDescent="0.25">
      <c r="Z329">
        <f t="shared" si="92"/>
        <v>203</v>
      </c>
      <c r="AA329">
        <f t="shared" si="93"/>
        <v>204</v>
      </c>
    </row>
    <row r="330" spans="26:27" x14ac:dyDescent="0.25">
      <c r="Z330">
        <f t="shared" si="92"/>
        <v>204</v>
      </c>
      <c r="AA330">
        <f t="shared" si="93"/>
        <v>205</v>
      </c>
    </row>
    <row r="331" spans="26:27" x14ac:dyDescent="0.25">
      <c r="Z331">
        <f t="shared" si="92"/>
        <v>205</v>
      </c>
      <c r="AA331">
        <f t="shared" si="93"/>
        <v>206</v>
      </c>
    </row>
    <row r="332" spans="26:27" x14ac:dyDescent="0.25">
      <c r="Z332">
        <f t="shared" si="92"/>
        <v>206</v>
      </c>
      <c r="AA332">
        <f t="shared" si="93"/>
        <v>207</v>
      </c>
    </row>
    <row r="333" spans="26:27" x14ac:dyDescent="0.25">
      <c r="Z333">
        <f t="shared" si="92"/>
        <v>207</v>
      </c>
      <c r="AA333">
        <f t="shared" si="93"/>
        <v>208</v>
      </c>
    </row>
    <row r="334" spans="26:27" x14ac:dyDescent="0.25">
      <c r="Z334">
        <f t="shared" si="92"/>
        <v>208</v>
      </c>
      <c r="AA334">
        <f t="shared" si="93"/>
        <v>209</v>
      </c>
    </row>
    <row r="335" spans="26:27" x14ac:dyDescent="0.25">
      <c r="Z335">
        <f t="shared" si="92"/>
        <v>209</v>
      </c>
      <c r="AA335">
        <f t="shared" si="93"/>
        <v>210</v>
      </c>
    </row>
    <row r="336" spans="26:27" x14ac:dyDescent="0.25">
      <c r="Z336">
        <f t="shared" si="92"/>
        <v>210</v>
      </c>
      <c r="AA336">
        <f t="shared" si="93"/>
        <v>211</v>
      </c>
    </row>
    <row r="337" spans="26:27" x14ac:dyDescent="0.25">
      <c r="Z337">
        <f t="shared" si="92"/>
        <v>211</v>
      </c>
      <c r="AA337">
        <f t="shared" si="93"/>
        <v>212</v>
      </c>
    </row>
    <row r="338" spans="26:27" x14ac:dyDescent="0.25">
      <c r="Z338">
        <f t="shared" si="92"/>
        <v>212</v>
      </c>
      <c r="AA338">
        <f t="shared" si="93"/>
        <v>213</v>
      </c>
    </row>
    <row r="339" spans="26:27" x14ac:dyDescent="0.25">
      <c r="Z339">
        <f t="shared" si="92"/>
        <v>213</v>
      </c>
      <c r="AA339">
        <f t="shared" si="93"/>
        <v>214</v>
      </c>
    </row>
    <row r="340" spans="26:27" x14ac:dyDescent="0.25">
      <c r="Z340">
        <f t="shared" si="92"/>
        <v>214</v>
      </c>
      <c r="AA340">
        <f t="shared" si="93"/>
        <v>215</v>
      </c>
    </row>
    <row r="341" spans="26:27" x14ac:dyDescent="0.25">
      <c r="Z341">
        <f t="shared" si="92"/>
        <v>215</v>
      </c>
      <c r="AA341">
        <f t="shared" si="93"/>
        <v>216</v>
      </c>
    </row>
    <row r="342" spans="26:27" x14ac:dyDescent="0.25">
      <c r="Z342">
        <f t="shared" si="92"/>
        <v>216</v>
      </c>
      <c r="AA342">
        <f t="shared" si="93"/>
        <v>217</v>
      </c>
    </row>
    <row r="343" spans="26:27" x14ac:dyDescent="0.25">
      <c r="Z343">
        <f t="shared" si="92"/>
        <v>217</v>
      </c>
      <c r="AA343">
        <f t="shared" si="93"/>
        <v>218</v>
      </c>
    </row>
    <row r="344" spans="26:27" x14ac:dyDescent="0.25">
      <c r="Z344">
        <f t="shared" si="92"/>
        <v>218</v>
      </c>
      <c r="AA344">
        <f t="shared" si="93"/>
        <v>219</v>
      </c>
    </row>
    <row r="345" spans="26:27" x14ac:dyDescent="0.25">
      <c r="Z345">
        <f t="shared" si="92"/>
        <v>219</v>
      </c>
      <c r="AA345">
        <f t="shared" si="93"/>
        <v>220</v>
      </c>
    </row>
    <row r="346" spans="26:27" x14ac:dyDescent="0.25">
      <c r="Z346">
        <f t="shared" si="92"/>
        <v>220</v>
      </c>
      <c r="AA346">
        <f t="shared" si="93"/>
        <v>221</v>
      </c>
    </row>
    <row r="347" spans="26:27" x14ac:dyDescent="0.25">
      <c r="Z347">
        <f t="shared" si="92"/>
        <v>221</v>
      </c>
      <c r="AA347">
        <f t="shared" si="93"/>
        <v>222</v>
      </c>
    </row>
    <row r="348" spans="26:27" x14ac:dyDescent="0.25">
      <c r="Z348">
        <f t="shared" si="92"/>
        <v>222</v>
      </c>
      <c r="AA348">
        <f t="shared" si="93"/>
        <v>223</v>
      </c>
    </row>
    <row r="349" spans="26:27" x14ac:dyDescent="0.25">
      <c r="Z349">
        <f t="shared" si="92"/>
        <v>223</v>
      </c>
      <c r="AA349">
        <f t="shared" si="93"/>
        <v>224</v>
      </c>
    </row>
    <row r="350" spans="26:27" x14ac:dyDescent="0.25">
      <c r="Z350">
        <f t="shared" si="92"/>
        <v>224</v>
      </c>
      <c r="AA350">
        <f t="shared" si="93"/>
        <v>225</v>
      </c>
    </row>
    <row r="351" spans="26:27" x14ac:dyDescent="0.25">
      <c r="Z351">
        <f t="shared" si="92"/>
        <v>225</v>
      </c>
      <c r="AA351">
        <f t="shared" si="93"/>
        <v>226</v>
      </c>
    </row>
    <row r="352" spans="26:27" x14ac:dyDescent="0.25">
      <c r="Z352">
        <f t="shared" si="92"/>
        <v>226</v>
      </c>
      <c r="AA352">
        <f t="shared" si="93"/>
        <v>227</v>
      </c>
    </row>
    <row r="353" spans="26:27" x14ac:dyDescent="0.25">
      <c r="Z353">
        <f t="shared" si="92"/>
        <v>227</v>
      </c>
      <c r="AA353">
        <f t="shared" si="93"/>
        <v>228</v>
      </c>
    </row>
    <row r="354" spans="26:27" x14ac:dyDescent="0.25">
      <c r="Z354">
        <f t="shared" si="92"/>
        <v>228</v>
      </c>
      <c r="AA354">
        <f t="shared" si="93"/>
        <v>229</v>
      </c>
    </row>
    <row r="355" spans="26:27" x14ac:dyDescent="0.25">
      <c r="Z355">
        <f t="shared" si="92"/>
        <v>229</v>
      </c>
      <c r="AA355">
        <f t="shared" si="93"/>
        <v>230</v>
      </c>
    </row>
    <row r="356" spans="26:27" x14ac:dyDescent="0.25">
      <c r="Z356">
        <f t="shared" si="92"/>
        <v>230</v>
      </c>
      <c r="AA356">
        <f t="shared" si="93"/>
        <v>231</v>
      </c>
    </row>
    <row r="357" spans="26:27" x14ac:dyDescent="0.25">
      <c r="Z357">
        <f t="shared" si="92"/>
        <v>231</v>
      </c>
      <c r="AA357">
        <f t="shared" si="93"/>
        <v>232</v>
      </c>
    </row>
    <row r="358" spans="26:27" x14ac:dyDescent="0.25">
      <c r="Z358">
        <f t="shared" si="92"/>
        <v>232</v>
      </c>
      <c r="AA358">
        <f t="shared" si="93"/>
        <v>233</v>
      </c>
    </row>
    <row r="359" spans="26:27" x14ac:dyDescent="0.25">
      <c r="Z359">
        <f t="shared" si="92"/>
        <v>233</v>
      </c>
      <c r="AA359">
        <f t="shared" si="93"/>
        <v>234</v>
      </c>
    </row>
    <row r="360" spans="26:27" x14ac:dyDescent="0.25">
      <c r="Z360">
        <f t="shared" si="92"/>
        <v>234</v>
      </c>
      <c r="AA360">
        <f t="shared" si="93"/>
        <v>235</v>
      </c>
    </row>
    <row r="361" spans="26:27" x14ac:dyDescent="0.25">
      <c r="Z361">
        <f t="shared" si="92"/>
        <v>235</v>
      </c>
      <c r="AA361">
        <f t="shared" si="93"/>
        <v>236</v>
      </c>
    </row>
    <row r="362" spans="26:27" x14ac:dyDescent="0.25">
      <c r="Z362">
        <f t="shared" si="92"/>
        <v>236</v>
      </c>
      <c r="AA362">
        <f t="shared" si="93"/>
        <v>237</v>
      </c>
    </row>
    <row r="363" spans="26:27" x14ac:dyDescent="0.25">
      <c r="Z363">
        <f t="shared" si="92"/>
        <v>237</v>
      </c>
      <c r="AA363">
        <f t="shared" si="93"/>
        <v>238</v>
      </c>
    </row>
    <row r="364" spans="26:27" x14ac:dyDescent="0.25">
      <c r="Z364">
        <f t="shared" si="92"/>
        <v>238</v>
      </c>
      <c r="AA364">
        <f t="shared" si="93"/>
        <v>239</v>
      </c>
    </row>
    <row r="365" spans="26:27" x14ac:dyDescent="0.25">
      <c r="Z365">
        <f t="shared" si="92"/>
        <v>239</v>
      </c>
      <c r="AA365">
        <f t="shared" si="93"/>
        <v>240</v>
      </c>
    </row>
    <row r="366" spans="26:27" x14ac:dyDescent="0.25">
      <c r="Z366">
        <f t="shared" si="92"/>
        <v>240</v>
      </c>
      <c r="AA366">
        <f t="shared" si="93"/>
        <v>241</v>
      </c>
    </row>
    <row r="367" spans="26:27" x14ac:dyDescent="0.25">
      <c r="Z367">
        <f t="shared" si="92"/>
        <v>241</v>
      </c>
      <c r="AA367">
        <f t="shared" si="93"/>
        <v>242</v>
      </c>
    </row>
    <row r="368" spans="26:27" x14ac:dyDescent="0.25">
      <c r="Z368">
        <f t="shared" si="92"/>
        <v>242</v>
      </c>
      <c r="AA368">
        <f t="shared" si="93"/>
        <v>243</v>
      </c>
    </row>
    <row r="369" spans="26:27" x14ac:dyDescent="0.25">
      <c r="Z369">
        <f t="shared" si="92"/>
        <v>243</v>
      </c>
      <c r="AA369">
        <f t="shared" si="93"/>
        <v>244</v>
      </c>
    </row>
    <row r="370" spans="26:27" x14ac:dyDescent="0.25">
      <c r="Z370">
        <f t="shared" si="92"/>
        <v>244</v>
      </c>
      <c r="AA370">
        <f t="shared" si="93"/>
        <v>245</v>
      </c>
    </row>
    <row r="371" spans="26:27" x14ac:dyDescent="0.25">
      <c r="Z371">
        <f t="shared" si="92"/>
        <v>245</v>
      </c>
      <c r="AA371">
        <f t="shared" si="93"/>
        <v>246</v>
      </c>
    </row>
    <row r="372" spans="26:27" x14ac:dyDescent="0.25">
      <c r="Z372">
        <f t="shared" si="92"/>
        <v>246</v>
      </c>
      <c r="AA372">
        <f t="shared" si="93"/>
        <v>247</v>
      </c>
    </row>
    <row r="373" spans="26:27" x14ac:dyDescent="0.25">
      <c r="Z373">
        <f t="shared" si="92"/>
        <v>247</v>
      </c>
      <c r="AA373">
        <f t="shared" si="93"/>
        <v>248</v>
      </c>
    </row>
    <row r="374" spans="26:27" x14ac:dyDescent="0.25">
      <c r="Z374">
        <f t="shared" si="92"/>
        <v>248</v>
      </c>
      <c r="AA374">
        <f t="shared" si="93"/>
        <v>249</v>
      </c>
    </row>
    <row r="375" spans="26:27" x14ac:dyDescent="0.25">
      <c r="Z375">
        <f t="shared" si="92"/>
        <v>249</v>
      </c>
      <c r="AA375">
        <f t="shared" si="93"/>
        <v>250</v>
      </c>
    </row>
    <row r="376" spans="26:27" x14ac:dyDescent="0.25">
      <c r="Z376">
        <f t="shared" si="92"/>
        <v>250</v>
      </c>
      <c r="AA376">
        <f t="shared" si="93"/>
        <v>251</v>
      </c>
    </row>
    <row r="377" spans="26:27" x14ac:dyDescent="0.25">
      <c r="Z377">
        <f t="shared" si="92"/>
        <v>251</v>
      </c>
      <c r="AA377">
        <f t="shared" si="93"/>
        <v>252</v>
      </c>
    </row>
    <row r="378" spans="26:27" x14ac:dyDescent="0.25">
      <c r="Z378">
        <f t="shared" si="92"/>
        <v>252</v>
      </c>
      <c r="AA378">
        <f t="shared" si="93"/>
        <v>253</v>
      </c>
    </row>
    <row r="379" spans="26:27" x14ac:dyDescent="0.25">
      <c r="Z379">
        <f t="shared" si="92"/>
        <v>253</v>
      </c>
      <c r="AA379">
        <f t="shared" si="93"/>
        <v>254</v>
      </c>
    </row>
    <row r="380" spans="26:27" x14ac:dyDescent="0.25">
      <c r="Z380">
        <f t="shared" si="92"/>
        <v>254</v>
      </c>
      <c r="AA380">
        <f t="shared" si="93"/>
        <v>255</v>
      </c>
    </row>
    <row r="381" spans="26:27" x14ac:dyDescent="0.25">
      <c r="Z381">
        <f t="shared" si="92"/>
        <v>255</v>
      </c>
      <c r="AA381">
        <f t="shared" si="93"/>
        <v>256</v>
      </c>
    </row>
    <row r="382" spans="26:27" x14ac:dyDescent="0.25">
      <c r="Z382">
        <f t="shared" si="92"/>
        <v>256</v>
      </c>
      <c r="AA382">
        <f t="shared" si="93"/>
        <v>257</v>
      </c>
    </row>
    <row r="383" spans="26:27" x14ac:dyDescent="0.25">
      <c r="Z383">
        <f t="shared" si="92"/>
        <v>257</v>
      </c>
      <c r="AA383">
        <f t="shared" si="93"/>
        <v>258</v>
      </c>
    </row>
    <row r="384" spans="26:27" x14ac:dyDescent="0.25">
      <c r="Z384">
        <f t="shared" si="92"/>
        <v>258</v>
      </c>
      <c r="AA384">
        <f t="shared" si="93"/>
        <v>259</v>
      </c>
    </row>
    <row r="385" spans="26:27" x14ac:dyDescent="0.25">
      <c r="Z385">
        <f t="shared" si="92"/>
        <v>259</v>
      </c>
      <c r="AA385">
        <f t="shared" si="93"/>
        <v>260</v>
      </c>
    </row>
    <row r="386" spans="26:27" x14ac:dyDescent="0.25">
      <c r="Z386">
        <f t="shared" si="92"/>
        <v>260</v>
      </c>
      <c r="AA386">
        <f t="shared" si="93"/>
        <v>261</v>
      </c>
    </row>
    <row r="387" spans="26:27" x14ac:dyDescent="0.25">
      <c r="Z387">
        <f t="shared" ref="Z387:Z401" si="94">Z386+1</f>
        <v>261</v>
      </c>
      <c r="AA387">
        <f t="shared" ref="AA387:AA401" si="95">AA386+1</f>
        <v>262</v>
      </c>
    </row>
    <row r="388" spans="26:27" x14ac:dyDescent="0.25">
      <c r="Z388">
        <f t="shared" si="94"/>
        <v>262</v>
      </c>
      <c r="AA388">
        <f t="shared" si="95"/>
        <v>263</v>
      </c>
    </row>
    <row r="389" spans="26:27" x14ac:dyDescent="0.25">
      <c r="Z389">
        <f t="shared" si="94"/>
        <v>263</v>
      </c>
      <c r="AA389">
        <f t="shared" si="95"/>
        <v>264</v>
      </c>
    </row>
    <row r="390" spans="26:27" x14ac:dyDescent="0.25">
      <c r="Z390">
        <f t="shared" si="94"/>
        <v>264</v>
      </c>
      <c r="AA390">
        <f t="shared" si="95"/>
        <v>265</v>
      </c>
    </row>
    <row r="391" spans="26:27" x14ac:dyDescent="0.25">
      <c r="Z391">
        <f t="shared" si="94"/>
        <v>265</v>
      </c>
      <c r="AA391">
        <f t="shared" si="95"/>
        <v>266</v>
      </c>
    </row>
    <row r="392" spans="26:27" x14ac:dyDescent="0.25">
      <c r="Z392">
        <f t="shared" si="94"/>
        <v>266</v>
      </c>
      <c r="AA392">
        <f t="shared" si="95"/>
        <v>267</v>
      </c>
    </row>
    <row r="393" spans="26:27" x14ac:dyDescent="0.25">
      <c r="Z393">
        <f t="shared" si="94"/>
        <v>267</v>
      </c>
      <c r="AA393">
        <f t="shared" si="95"/>
        <v>268</v>
      </c>
    </row>
    <row r="394" spans="26:27" x14ac:dyDescent="0.25">
      <c r="Z394">
        <f t="shared" si="94"/>
        <v>268</v>
      </c>
      <c r="AA394">
        <f t="shared" si="95"/>
        <v>269</v>
      </c>
    </row>
    <row r="395" spans="26:27" x14ac:dyDescent="0.25">
      <c r="Z395">
        <f t="shared" si="94"/>
        <v>269</v>
      </c>
      <c r="AA395">
        <f t="shared" si="95"/>
        <v>270</v>
      </c>
    </row>
    <row r="396" spans="26:27" x14ac:dyDescent="0.25">
      <c r="Z396">
        <f t="shared" si="94"/>
        <v>270</v>
      </c>
      <c r="AA396">
        <f t="shared" si="95"/>
        <v>271</v>
      </c>
    </row>
    <row r="397" spans="26:27" x14ac:dyDescent="0.25">
      <c r="Z397">
        <f t="shared" si="94"/>
        <v>271</v>
      </c>
      <c r="AA397">
        <f t="shared" si="95"/>
        <v>272</v>
      </c>
    </row>
    <row r="398" spans="26:27" x14ac:dyDescent="0.25">
      <c r="Z398">
        <f t="shared" si="94"/>
        <v>272</v>
      </c>
      <c r="AA398">
        <f t="shared" si="95"/>
        <v>273</v>
      </c>
    </row>
    <row r="399" spans="26:27" x14ac:dyDescent="0.25">
      <c r="Z399">
        <f t="shared" si="94"/>
        <v>273</v>
      </c>
      <c r="AA399">
        <f t="shared" si="95"/>
        <v>274</v>
      </c>
    </row>
    <row r="400" spans="26:27" x14ac:dyDescent="0.25">
      <c r="Z400">
        <f t="shared" si="94"/>
        <v>274</v>
      </c>
      <c r="AA400">
        <f t="shared" si="95"/>
        <v>275</v>
      </c>
    </row>
    <row r="401" spans="26:27" x14ac:dyDescent="0.25">
      <c r="Z401">
        <f t="shared" si="94"/>
        <v>275</v>
      </c>
      <c r="AA401">
        <f t="shared" si="95"/>
        <v>276</v>
      </c>
    </row>
  </sheetData>
  <sheetProtection sheet="1" formatCells="0" formatColumns="0" formatRows="0" insertHyperlinks="0" autoFilter="0"/>
  <autoFilter ref="C8:F8" xr:uid="{00000000-0001-0000-0100-000000000000}"/>
  <mergeCells count="2">
    <mergeCell ref="C1:I1"/>
    <mergeCell ref="D2:F2"/>
  </mergeCells>
  <phoneticPr fontId="6" type="noConversion"/>
  <conditionalFormatting sqref="I9:I127">
    <cfRule type="cellIs" dxfId="49" priority="1" stopIfTrue="1" operator="notEqual">
      <formula>""</formula>
    </cfRule>
  </conditionalFormatting>
  <conditionalFormatting sqref="I128">
    <cfRule type="cellIs" dxfId="48" priority="12" stopIfTrue="1" operator="notEqual">
      <formula>""</formula>
    </cfRule>
  </conditionalFormatting>
  <pageMargins left="0.78740157480314965" right="0.78740157480314965" top="0.39370078740157483" bottom="0.47244094488188981" header="0.51181102362204722" footer="0.19685039370078741"/>
  <pageSetup paperSize="9" fitToHeight="0" orientation="portrait" r:id="rId1"/>
  <headerFooter alignWithMargins="0">
    <oddFooter>&amp;L&amp;8Ausdruck vom &amp;D, &amp;T&amp;C&amp;8vereinsbuchhaltung.ch&amp;R&amp;8Seite  &amp;P/&amp;N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V162"/>
  <sheetViews>
    <sheetView topLeftCell="C1" workbookViewId="0">
      <pane ySplit="3" topLeftCell="A4" activePane="bottomLeft" state="frozen"/>
      <selection activeCell="C1" sqref="C1"/>
      <selection pane="bottomLeft" activeCell="C7" sqref="C7"/>
    </sheetView>
  </sheetViews>
  <sheetFormatPr baseColWidth="10" defaultRowHeight="12.5" x14ac:dyDescent="0.25"/>
  <cols>
    <col min="1" max="2" width="11.453125" hidden="1" customWidth="1"/>
    <col min="3" max="3" width="10.54296875" customWidth="1"/>
    <col min="4" max="4" width="32" customWidth="1"/>
    <col min="5" max="5" width="33.81640625" customWidth="1"/>
    <col min="6" max="6" width="64.26953125" customWidth="1"/>
    <col min="7" max="7" width="11.453125" customWidth="1"/>
    <col min="8" max="22" width="11.453125" hidden="1" customWidth="1"/>
    <col min="23" max="23" width="0" hidden="1" customWidth="1"/>
  </cols>
  <sheetData>
    <row r="1" spans="1:20" ht="124" customHeight="1" x14ac:dyDescent="0.25">
      <c r="C1" s="268" t="s">
        <v>173</v>
      </c>
      <c r="D1" s="269"/>
      <c r="E1" s="270"/>
      <c r="F1" s="270"/>
      <c r="I1" s="108"/>
    </row>
    <row r="2" spans="1:20" ht="28.5" customHeight="1" x14ac:dyDescent="0.25">
      <c r="C2" s="271" t="str">
        <f>IF(Calc!J2="","Bitte Vereins-/Firmennamen im Register Journal eingeben",CONCATENATE("Projektliste ",Journal!D1))</f>
        <v>Bitte Vereins-/Firmennamen im Register Journal eingeben</v>
      </c>
      <c r="D2" s="271"/>
      <c r="E2" s="272"/>
      <c r="T2" t="s">
        <v>48</v>
      </c>
    </row>
    <row r="3" spans="1:20" ht="31.5" customHeight="1" x14ac:dyDescent="0.25">
      <c r="A3" s="5" t="s">
        <v>54</v>
      </c>
      <c r="B3" s="5" t="s">
        <v>55</v>
      </c>
      <c r="C3" s="79" t="s">
        <v>96</v>
      </c>
      <c r="D3" s="5" t="s">
        <v>98</v>
      </c>
      <c r="E3" s="5" t="s">
        <v>102</v>
      </c>
      <c r="F3" s="5" t="s">
        <v>60</v>
      </c>
    </row>
    <row r="4" spans="1:20" ht="13" x14ac:dyDescent="0.3">
      <c r="A4">
        <v>1</v>
      </c>
      <c r="B4">
        <v>1</v>
      </c>
      <c r="C4" s="167">
        <v>1</v>
      </c>
      <c r="D4" s="167" t="s">
        <v>289</v>
      </c>
      <c r="E4" s="8"/>
      <c r="F4" s="9"/>
      <c r="J4" s="10"/>
      <c r="N4">
        <f t="shared" ref="N4:N35" si="0">C4</f>
        <v>1</v>
      </c>
      <c r="T4">
        <f t="shared" ref="T4:T35" si="1">IF(C4="",T3+0.0001,C4)</f>
        <v>1</v>
      </c>
    </row>
    <row r="5" spans="1:20" x14ac:dyDescent="0.25">
      <c r="A5">
        <v>2</v>
      </c>
      <c r="B5">
        <f>B4+2</f>
        <v>3</v>
      </c>
      <c r="C5" s="167">
        <v>2</v>
      </c>
      <c r="D5" s="167" t="s">
        <v>221</v>
      </c>
      <c r="E5" s="8"/>
      <c r="F5" s="9" t="str">
        <f>IF(C5="","",IF(C5&lt;=C4,"Bitte Projektnummern in aufsteigender Reihenfolge eingeben",IF(AND(D5="",OR(C6&lt;&gt;"",C7&lt;&gt;"")),"Bitte Projektname ausfüllen","")))</f>
        <v/>
      </c>
      <c r="N5">
        <f t="shared" si="0"/>
        <v>2</v>
      </c>
      <c r="T5">
        <f t="shared" si="1"/>
        <v>2</v>
      </c>
    </row>
    <row r="6" spans="1:20" ht="12.75" customHeight="1" x14ac:dyDescent="0.25">
      <c r="A6">
        <v>3</v>
      </c>
      <c r="B6">
        <f t="shared" ref="B6:B69" si="2">B5+2</f>
        <v>5</v>
      </c>
      <c r="C6" s="167">
        <v>3</v>
      </c>
      <c r="D6" s="167" t="s">
        <v>220</v>
      </c>
      <c r="E6" s="8"/>
      <c r="F6" s="9" t="str">
        <f t="shared" ref="F6:F69" si="3">IF(C6="","",IF(C6&lt;=C5,"Bitte Projektnummern in aufsteigender Reihenfolge eingeben",IF(AND(D6="",OR(C7&lt;&gt;"",C8&lt;&gt;"")),"Bitte Projektname ausfüllen","")))</f>
        <v/>
      </c>
      <c r="N6">
        <f t="shared" si="0"/>
        <v>3</v>
      </c>
      <c r="T6">
        <f t="shared" si="1"/>
        <v>3</v>
      </c>
    </row>
    <row r="7" spans="1:20" x14ac:dyDescent="0.25">
      <c r="A7">
        <v>4</v>
      </c>
      <c r="B7">
        <f t="shared" si="2"/>
        <v>7</v>
      </c>
      <c r="C7" s="167"/>
      <c r="D7" s="167"/>
      <c r="E7" s="8"/>
      <c r="F7" s="9" t="str">
        <f t="shared" si="3"/>
        <v/>
      </c>
      <c r="N7">
        <f t="shared" si="0"/>
        <v>0</v>
      </c>
      <c r="T7">
        <f t="shared" si="1"/>
        <v>3.0001000000000002</v>
      </c>
    </row>
    <row r="8" spans="1:20" ht="15" customHeight="1" x14ac:dyDescent="0.25">
      <c r="A8">
        <v>5</v>
      </c>
      <c r="B8">
        <f t="shared" si="2"/>
        <v>9</v>
      </c>
      <c r="C8" s="167"/>
      <c r="D8" s="167"/>
      <c r="E8" s="8"/>
      <c r="F8" s="9" t="str">
        <f t="shared" si="3"/>
        <v/>
      </c>
      <c r="N8">
        <f t="shared" si="0"/>
        <v>0</v>
      </c>
      <c r="T8">
        <f t="shared" si="1"/>
        <v>3.0002000000000004</v>
      </c>
    </row>
    <row r="9" spans="1:20" x14ac:dyDescent="0.25">
      <c r="A9">
        <v>6</v>
      </c>
      <c r="B9">
        <f t="shared" si="2"/>
        <v>11</v>
      </c>
      <c r="C9" s="167"/>
      <c r="D9" s="167"/>
      <c r="E9" s="8"/>
      <c r="F9" s="9" t="str">
        <f t="shared" si="3"/>
        <v/>
      </c>
      <c r="N9">
        <f t="shared" si="0"/>
        <v>0</v>
      </c>
      <c r="T9">
        <f t="shared" si="1"/>
        <v>3.0003000000000006</v>
      </c>
    </row>
    <row r="10" spans="1:20" x14ac:dyDescent="0.25">
      <c r="A10">
        <v>7</v>
      </c>
      <c r="B10">
        <f t="shared" si="2"/>
        <v>13</v>
      </c>
      <c r="C10" s="167"/>
      <c r="D10" s="167"/>
      <c r="E10" s="8"/>
      <c r="F10" s="9" t="str">
        <f t="shared" si="3"/>
        <v/>
      </c>
      <c r="N10">
        <f t="shared" si="0"/>
        <v>0</v>
      </c>
      <c r="T10">
        <f t="shared" si="1"/>
        <v>3.0004000000000008</v>
      </c>
    </row>
    <row r="11" spans="1:20" x14ac:dyDescent="0.25">
      <c r="A11">
        <v>8</v>
      </c>
      <c r="B11">
        <f t="shared" si="2"/>
        <v>15</v>
      </c>
      <c r="C11" s="167"/>
      <c r="D11" s="167"/>
      <c r="E11" s="8"/>
      <c r="F11" s="9" t="str">
        <f t="shared" si="3"/>
        <v/>
      </c>
      <c r="N11">
        <f t="shared" si="0"/>
        <v>0</v>
      </c>
      <c r="T11">
        <f t="shared" si="1"/>
        <v>3.0005000000000011</v>
      </c>
    </row>
    <row r="12" spans="1:20" x14ac:dyDescent="0.25">
      <c r="A12">
        <v>9</v>
      </c>
      <c r="B12">
        <f t="shared" si="2"/>
        <v>17</v>
      </c>
      <c r="C12" s="167"/>
      <c r="D12" s="167"/>
      <c r="E12" s="8"/>
      <c r="F12" s="9" t="str">
        <f t="shared" si="3"/>
        <v/>
      </c>
      <c r="N12">
        <f t="shared" si="0"/>
        <v>0</v>
      </c>
      <c r="T12">
        <f t="shared" si="1"/>
        <v>3.0006000000000013</v>
      </c>
    </row>
    <row r="13" spans="1:20" x14ac:dyDescent="0.25">
      <c r="A13">
        <v>10</v>
      </c>
      <c r="B13">
        <f t="shared" si="2"/>
        <v>19</v>
      </c>
      <c r="C13" s="167"/>
      <c r="D13" s="167"/>
      <c r="E13" s="8"/>
      <c r="F13" s="9" t="str">
        <f t="shared" si="3"/>
        <v/>
      </c>
      <c r="N13">
        <f t="shared" si="0"/>
        <v>0</v>
      </c>
      <c r="T13">
        <f t="shared" si="1"/>
        <v>3.0007000000000015</v>
      </c>
    </row>
    <row r="14" spans="1:20" x14ac:dyDescent="0.25">
      <c r="A14">
        <v>11</v>
      </c>
      <c r="B14">
        <f t="shared" si="2"/>
        <v>21</v>
      </c>
      <c r="C14" s="167"/>
      <c r="D14" s="167"/>
      <c r="E14" s="8"/>
      <c r="F14" s="9" t="str">
        <f t="shared" si="3"/>
        <v/>
      </c>
      <c r="N14">
        <f t="shared" si="0"/>
        <v>0</v>
      </c>
      <c r="T14">
        <f t="shared" si="1"/>
        <v>3.0008000000000017</v>
      </c>
    </row>
    <row r="15" spans="1:20" x14ac:dyDescent="0.25">
      <c r="A15">
        <v>12</v>
      </c>
      <c r="B15">
        <f t="shared" si="2"/>
        <v>23</v>
      </c>
      <c r="C15" s="167"/>
      <c r="D15" s="167"/>
      <c r="E15" s="8"/>
      <c r="F15" s="9" t="str">
        <f t="shared" si="3"/>
        <v/>
      </c>
      <c r="N15">
        <f t="shared" si="0"/>
        <v>0</v>
      </c>
      <c r="T15">
        <f t="shared" si="1"/>
        <v>3.0009000000000019</v>
      </c>
    </row>
    <row r="16" spans="1:20" x14ac:dyDescent="0.25">
      <c r="A16">
        <v>13</v>
      </c>
      <c r="B16">
        <f t="shared" si="2"/>
        <v>25</v>
      </c>
      <c r="C16" s="167"/>
      <c r="D16" s="167"/>
      <c r="E16" s="8"/>
      <c r="F16" s="9" t="str">
        <f t="shared" si="3"/>
        <v/>
      </c>
      <c r="N16">
        <f t="shared" si="0"/>
        <v>0</v>
      </c>
      <c r="T16">
        <f t="shared" si="1"/>
        <v>3.0010000000000021</v>
      </c>
    </row>
    <row r="17" spans="1:20" x14ac:dyDescent="0.25">
      <c r="A17">
        <v>14</v>
      </c>
      <c r="B17">
        <f t="shared" si="2"/>
        <v>27</v>
      </c>
      <c r="C17" s="167"/>
      <c r="D17" s="167"/>
      <c r="E17" s="8"/>
      <c r="F17" s="9" t="str">
        <f t="shared" si="3"/>
        <v/>
      </c>
      <c r="N17">
        <f t="shared" si="0"/>
        <v>0</v>
      </c>
      <c r="T17">
        <f t="shared" si="1"/>
        <v>3.0011000000000023</v>
      </c>
    </row>
    <row r="18" spans="1:20" x14ac:dyDescent="0.25">
      <c r="A18">
        <v>15</v>
      </c>
      <c r="B18">
        <f t="shared" si="2"/>
        <v>29</v>
      </c>
      <c r="C18" s="8"/>
      <c r="D18" s="8"/>
      <c r="E18" s="8"/>
      <c r="F18" s="9" t="str">
        <f t="shared" si="3"/>
        <v/>
      </c>
      <c r="N18">
        <f t="shared" si="0"/>
        <v>0</v>
      </c>
      <c r="T18">
        <f t="shared" si="1"/>
        <v>3.0012000000000025</v>
      </c>
    </row>
    <row r="19" spans="1:20" x14ac:dyDescent="0.25">
      <c r="A19">
        <v>16</v>
      </c>
      <c r="B19">
        <f t="shared" si="2"/>
        <v>31</v>
      </c>
      <c r="C19" s="8"/>
      <c r="D19" s="8"/>
      <c r="E19" s="8"/>
      <c r="F19" s="9" t="str">
        <f t="shared" si="3"/>
        <v/>
      </c>
      <c r="N19">
        <f t="shared" si="0"/>
        <v>0</v>
      </c>
      <c r="T19">
        <f t="shared" si="1"/>
        <v>3.0013000000000027</v>
      </c>
    </row>
    <row r="20" spans="1:20" x14ac:dyDescent="0.25">
      <c r="A20">
        <v>17</v>
      </c>
      <c r="B20">
        <f t="shared" si="2"/>
        <v>33</v>
      </c>
      <c r="C20" s="8"/>
      <c r="D20" s="8"/>
      <c r="E20" s="8"/>
      <c r="F20" s="9" t="str">
        <f t="shared" si="3"/>
        <v/>
      </c>
      <c r="N20">
        <f t="shared" si="0"/>
        <v>0</v>
      </c>
      <c r="T20">
        <f t="shared" si="1"/>
        <v>3.001400000000003</v>
      </c>
    </row>
    <row r="21" spans="1:20" x14ac:dyDescent="0.25">
      <c r="A21">
        <v>18</v>
      </c>
      <c r="B21">
        <f t="shared" si="2"/>
        <v>35</v>
      </c>
      <c r="C21" s="8"/>
      <c r="D21" s="8"/>
      <c r="E21" s="8"/>
      <c r="F21" s="9" t="str">
        <f t="shared" si="3"/>
        <v/>
      </c>
      <c r="N21">
        <f t="shared" si="0"/>
        <v>0</v>
      </c>
      <c r="T21">
        <f t="shared" si="1"/>
        <v>3.0015000000000032</v>
      </c>
    </row>
    <row r="22" spans="1:20" x14ac:dyDescent="0.25">
      <c r="A22">
        <v>19</v>
      </c>
      <c r="B22">
        <f t="shared" si="2"/>
        <v>37</v>
      </c>
      <c r="C22" s="8"/>
      <c r="D22" s="8"/>
      <c r="E22" s="8"/>
      <c r="F22" s="9" t="str">
        <f t="shared" si="3"/>
        <v/>
      </c>
      <c r="N22">
        <f t="shared" si="0"/>
        <v>0</v>
      </c>
      <c r="T22">
        <f t="shared" si="1"/>
        <v>3.0016000000000034</v>
      </c>
    </row>
    <row r="23" spans="1:20" x14ac:dyDescent="0.25">
      <c r="A23">
        <v>20</v>
      </c>
      <c r="B23">
        <f t="shared" si="2"/>
        <v>39</v>
      </c>
      <c r="C23" s="8"/>
      <c r="D23" s="8"/>
      <c r="E23" s="8"/>
      <c r="F23" s="9" t="str">
        <f t="shared" si="3"/>
        <v/>
      </c>
      <c r="N23">
        <f t="shared" si="0"/>
        <v>0</v>
      </c>
      <c r="T23">
        <f t="shared" si="1"/>
        <v>3.0017000000000036</v>
      </c>
    </row>
    <row r="24" spans="1:20" x14ac:dyDescent="0.25">
      <c r="A24">
        <v>21</v>
      </c>
      <c r="B24">
        <f t="shared" si="2"/>
        <v>41</v>
      </c>
      <c r="C24" s="8"/>
      <c r="D24" s="8"/>
      <c r="E24" s="8"/>
      <c r="F24" s="9" t="str">
        <f t="shared" si="3"/>
        <v/>
      </c>
      <c r="N24">
        <f t="shared" si="0"/>
        <v>0</v>
      </c>
      <c r="T24">
        <f t="shared" si="1"/>
        <v>3.0018000000000038</v>
      </c>
    </row>
    <row r="25" spans="1:20" x14ac:dyDescent="0.25">
      <c r="A25">
        <v>22</v>
      </c>
      <c r="B25">
        <f t="shared" si="2"/>
        <v>43</v>
      </c>
      <c r="C25" s="8"/>
      <c r="D25" s="8"/>
      <c r="E25" s="8"/>
      <c r="F25" s="9" t="str">
        <f t="shared" si="3"/>
        <v/>
      </c>
      <c r="N25">
        <f t="shared" si="0"/>
        <v>0</v>
      </c>
      <c r="T25">
        <f t="shared" si="1"/>
        <v>3.001900000000004</v>
      </c>
    </row>
    <row r="26" spans="1:20" x14ac:dyDescent="0.25">
      <c r="A26">
        <v>23</v>
      </c>
      <c r="B26">
        <f t="shared" si="2"/>
        <v>45</v>
      </c>
      <c r="C26" s="8"/>
      <c r="D26" s="8"/>
      <c r="E26" s="8"/>
      <c r="F26" s="9" t="str">
        <f t="shared" si="3"/>
        <v/>
      </c>
      <c r="N26">
        <f t="shared" si="0"/>
        <v>0</v>
      </c>
      <c r="T26">
        <f t="shared" si="1"/>
        <v>3.0020000000000042</v>
      </c>
    </row>
    <row r="27" spans="1:20" x14ac:dyDescent="0.25">
      <c r="A27">
        <v>24</v>
      </c>
      <c r="B27">
        <f t="shared" si="2"/>
        <v>47</v>
      </c>
      <c r="C27" s="8"/>
      <c r="D27" s="8"/>
      <c r="E27" s="8"/>
      <c r="F27" s="9" t="str">
        <f t="shared" si="3"/>
        <v/>
      </c>
      <c r="N27">
        <f t="shared" si="0"/>
        <v>0</v>
      </c>
      <c r="T27">
        <f t="shared" si="1"/>
        <v>3.0021000000000044</v>
      </c>
    </row>
    <row r="28" spans="1:20" x14ac:dyDescent="0.25">
      <c r="A28">
        <v>25</v>
      </c>
      <c r="B28">
        <f t="shared" si="2"/>
        <v>49</v>
      </c>
      <c r="C28" s="8"/>
      <c r="D28" s="8"/>
      <c r="E28" s="8"/>
      <c r="F28" s="9" t="str">
        <f t="shared" si="3"/>
        <v/>
      </c>
      <c r="N28">
        <f t="shared" si="0"/>
        <v>0</v>
      </c>
      <c r="T28">
        <f t="shared" si="1"/>
        <v>3.0022000000000046</v>
      </c>
    </row>
    <row r="29" spans="1:20" x14ac:dyDescent="0.25">
      <c r="A29">
        <v>26</v>
      </c>
      <c r="B29">
        <f t="shared" si="2"/>
        <v>51</v>
      </c>
      <c r="C29" s="8"/>
      <c r="D29" s="8"/>
      <c r="E29" s="8"/>
      <c r="F29" s="9" t="str">
        <f t="shared" si="3"/>
        <v/>
      </c>
      <c r="N29">
        <f t="shared" si="0"/>
        <v>0</v>
      </c>
      <c r="T29">
        <f t="shared" si="1"/>
        <v>3.0023000000000049</v>
      </c>
    </row>
    <row r="30" spans="1:20" x14ac:dyDescent="0.25">
      <c r="A30">
        <v>27</v>
      </c>
      <c r="B30">
        <f t="shared" si="2"/>
        <v>53</v>
      </c>
      <c r="C30" s="8"/>
      <c r="D30" s="8"/>
      <c r="E30" s="8"/>
      <c r="F30" s="9" t="str">
        <f t="shared" si="3"/>
        <v/>
      </c>
      <c r="N30">
        <f t="shared" si="0"/>
        <v>0</v>
      </c>
      <c r="T30">
        <f t="shared" si="1"/>
        <v>3.0024000000000051</v>
      </c>
    </row>
    <row r="31" spans="1:20" x14ac:dyDescent="0.25">
      <c r="A31">
        <v>28</v>
      </c>
      <c r="B31">
        <f t="shared" si="2"/>
        <v>55</v>
      </c>
      <c r="C31" s="8"/>
      <c r="D31" s="8"/>
      <c r="E31" s="8"/>
      <c r="F31" s="9" t="str">
        <f t="shared" si="3"/>
        <v/>
      </c>
      <c r="N31">
        <f t="shared" si="0"/>
        <v>0</v>
      </c>
      <c r="T31">
        <f t="shared" si="1"/>
        <v>3.0025000000000053</v>
      </c>
    </row>
    <row r="32" spans="1:20" x14ac:dyDescent="0.25">
      <c r="A32">
        <v>29</v>
      </c>
      <c r="B32">
        <f t="shared" si="2"/>
        <v>57</v>
      </c>
      <c r="C32" s="8"/>
      <c r="D32" s="8"/>
      <c r="E32" s="8"/>
      <c r="F32" s="9" t="str">
        <f t="shared" si="3"/>
        <v/>
      </c>
      <c r="N32">
        <f t="shared" si="0"/>
        <v>0</v>
      </c>
      <c r="T32">
        <f t="shared" si="1"/>
        <v>3.0026000000000055</v>
      </c>
    </row>
    <row r="33" spans="1:20" x14ac:dyDescent="0.25">
      <c r="A33">
        <v>30</v>
      </c>
      <c r="B33">
        <f t="shared" si="2"/>
        <v>59</v>
      </c>
      <c r="C33" s="8"/>
      <c r="D33" s="8"/>
      <c r="E33" s="8"/>
      <c r="F33" s="9" t="str">
        <f t="shared" si="3"/>
        <v/>
      </c>
      <c r="N33">
        <f t="shared" si="0"/>
        <v>0</v>
      </c>
      <c r="T33">
        <f t="shared" si="1"/>
        <v>3.0027000000000057</v>
      </c>
    </row>
    <row r="34" spans="1:20" x14ac:dyDescent="0.25">
      <c r="A34">
        <v>31</v>
      </c>
      <c r="B34">
        <f t="shared" si="2"/>
        <v>61</v>
      </c>
      <c r="C34" s="8"/>
      <c r="D34" s="8"/>
      <c r="E34" s="8"/>
      <c r="F34" s="9" t="str">
        <f t="shared" si="3"/>
        <v/>
      </c>
      <c r="N34">
        <f t="shared" si="0"/>
        <v>0</v>
      </c>
      <c r="T34">
        <f t="shared" si="1"/>
        <v>3.0028000000000059</v>
      </c>
    </row>
    <row r="35" spans="1:20" x14ac:dyDescent="0.25">
      <c r="A35">
        <v>32</v>
      </c>
      <c r="B35">
        <f t="shared" si="2"/>
        <v>63</v>
      </c>
      <c r="C35" s="8"/>
      <c r="D35" s="8"/>
      <c r="E35" s="8"/>
      <c r="F35" s="9" t="str">
        <f t="shared" si="3"/>
        <v/>
      </c>
      <c r="N35">
        <f t="shared" si="0"/>
        <v>0</v>
      </c>
      <c r="T35">
        <f t="shared" si="1"/>
        <v>3.0029000000000061</v>
      </c>
    </row>
    <row r="36" spans="1:20" x14ac:dyDescent="0.25">
      <c r="A36">
        <v>33</v>
      </c>
      <c r="B36">
        <f t="shared" si="2"/>
        <v>65</v>
      </c>
      <c r="C36" s="8"/>
      <c r="D36" s="8"/>
      <c r="E36" s="8"/>
      <c r="F36" s="9" t="str">
        <f t="shared" si="3"/>
        <v/>
      </c>
      <c r="N36">
        <f t="shared" ref="N36:N67" si="4">C36</f>
        <v>0</v>
      </c>
      <c r="T36">
        <f t="shared" ref="T36:T67" si="5">IF(C36="",T35+0.0001,C36)</f>
        <v>3.0030000000000063</v>
      </c>
    </row>
    <row r="37" spans="1:20" x14ac:dyDescent="0.25">
      <c r="A37">
        <v>34</v>
      </c>
      <c r="B37">
        <f t="shared" si="2"/>
        <v>67</v>
      </c>
      <c r="C37" s="8"/>
      <c r="D37" s="8"/>
      <c r="E37" s="8"/>
      <c r="F37" s="9" t="str">
        <f t="shared" si="3"/>
        <v/>
      </c>
      <c r="N37">
        <f t="shared" si="4"/>
        <v>0</v>
      </c>
      <c r="T37">
        <f t="shared" si="5"/>
        <v>3.0031000000000065</v>
      </c>
    </row>
    <row r="38" spans="1:20" x14ac:dyDescent="0.25">
      <c r="A38">
        <v>35</v>
      </c>
      <c r="B38">
        <f t="shared" si="2"/>
        <v>69</v>
      </c>
      <c r="C38" s="8"/>
      <c r="D38" s="8"/>
      <c r="E38" s="8"/>
      <c r="F38" s="9" t="str">
        <f t="shared" si="3"/>
        <v/>
      </c>
      <c r="N38">
        <f t="shared" si="4"/>
        <v>0</v>
      </c>
      <c r="T38">
        <f t="shared" si="5"/>
        <v>3.0032000000000068</v>
      </c>
    </row>
    <row r="39" spans="1:20" x14ac:dyDescent="0.25">
      <c r="A39">
        <v>36</v>
      </c>
      <c r="B39">
        <f t="shared" si="2"/>
        <v>71</v>
      </c>
      <c r="C39" s="8"/>
      <c r="D39" s="8"/>
      <c r="E39" s="8"/>
      <c r="F39" s="9" t="str">
        <f t="shared" si="3"/>
        <v/>
      </c>
      <c r="N39">
        <f t="shared" si="4"/>
        <v>0</v>
      </c>
      <c r="T39">
        <f t="shared" si="5"/>
        <v>3.003300000000007</v>
      </c>
    </row>
    <row r="40" spans="1:20" x14ac:dyDescent="0.25">
      <c r="A40">
        <v>37</v>
      </c>
      <c r="B40">
        <f t="shared" si="2"/>
        <v>73</v>
      </c>
      <c r="C40" s="8"/>
      <c r="D40" s="8"/>
      <c r="E40" s="8"/>
      <c r="F40" s="9" t="str">
        <f t="shared" si="3"/>
        <v/>
      </c>
      <c r="N40">
        <f t="shared" si="4"/>
        <v>0</v>
      </c>
      <c r="T40">
        <f t="shared" si="5"/>
        <v>3.0034000000000072</v>
      </c>
    </row>
    <row r="41" spans="1:20" x14ac:dyDescent="0.25">
      <c r="A41">
        <v>38</v>
      </c>
      <c r="B41">
        <f t="shared" si="2"/>
        <v>75</v>
      </c>
      <c r="C41" s="8"/>
      <c r="D41" s="8"/>
      <c r="E41" s="8"/>
      <c r="F41" s="9" t="str">
        <f t="shared" si="3"/>
        <v/>
      </c>
      <c r="N41">
        <f t="shared" si="4"/>
        <v>0</v>
      </c>
      <c r="T41">
        <f t="shared" si="5"/>
        <v>3.0035000000000074</v>
      </c>
    </row>
    <row r="42" spans="1:20" x14ac:dyDescent="0.25">
      <c r="A42">
        <v>39</v>
      </c>
      <c r="B42">
        <f t="shared" si="2"/>
        <v>77</v>
      </c>
      <c r="C42" s="8"/>
      <c r="D42" s="8"/>
      <c r="E42" s="8"/>
      <c r="F42" s="9" t="str">
        <f t="shared" si="3"/>
        <v/>
      </c>
      <c r="N42">
        <f t="shared" si="4"/>
        <v>0</v>
      </c>
      <c r="T42">
        <f t="shared" si="5"/>
        <v>3.0036000000000076</v>
      </c>
    </row>
    <row r="43" spans="1:20" x14ac:dyDescent="0.25">
      <c r="A43">
        <v>40</v>
      </c>
      <c r="B43">
        <f t="shared" si="2"/>
        <v>79</v>
      </c>
      <c r="C43" s="8"/>
      <c r="D43" s="8"/>
      <c r="E43" s="8"/>
      <c r="F43" s="9" t="str">
        <f t="shared" si="3"/>
        <v/>
      </c>
      <c r="N43">
        <f t="shared" si="4"/>
        <v>0</v>
      </c>
      <c r="T43">
        <f t="shared" si="5"/>
        <v>3.0037000000000078</v>
      </c>
    </row>
    <row r="44" spans="1:20" x14ac:dyDescent="0.25">
      <c r="A44">
        <v>41</v>
      </c>
      <c r="B44">
        <f t="shared" si="2"/>
        <v>81</v>
      </c>
      <c r="C44" s="8"/>
      <c r="D44" s="8"/>
      <c r="E44" s="8"/>
      <c r="F44" s="9" t="str">
        <f t="shared" si="3"/>
        <v/>
      </c>
      <c r="N44">
        <f t="shared" si="4"/>
        <v>0</v>
      </c>
      <c r="T44">
        <f t="shared" si="5"/>
        <v>3.003800000000008</v>
      </c>
    </row>
    <row r="45" spans="1:20" x14ac:dyDescent="0.25">
      <c r="A45">
        <v>42</v>
      </c>
      <c r="B45">
        <f t="shared" si="2"/>
        <v>83</v>
      </c>
      <c r="C45" s="8"/>
      <c r="D45" s="8"/>
      <c r="E45" s="8"/>
      <c r="F45" s="9" t="str">
        <f t="shared" si="3"/>
        <v/>
      </c>
      <c r="N45">
        <f t="shared" si="4"/>
        <v>0</v>
      </c>
      <c r="T45">
        <f t="shared" si="5"/>
        <v>3.0039000000000082</v>
      </c>
    </row>
    <row r="46" spans="1:20" x14ac:dyDescent="0.25">
      <c r="A46">
        <v>43</v>
      </c>
      <c r="B46">
        <f t="shared" si="2"/>
        <v>85</v>
      </c>
      <c r="C46" s="8"/>
      <c r="D46" s="8"/>
      <c r="E46" s="8"/>
      <c r="F46" s="9" t="str">
        <f t="shared" si="3"/>
        <v/>
      </c>
      <c r="N46">
        <f t="shared" si="4"/>
        <v>0</v>
      </c>
      <c r="T46">
        <f t="shared" si="5"/>
        <v>3.0040000000000084</v>
      </c>
    </row>
    <row r="47" spans="1:20" x14ac:dyDescent="0.25">
      <c r="A47">
        <v>44</v>
      </c>
      <c r="B47">
        <f t="shared" si="2"/>
        <v>87</v>
      </c>
      <c r="C47" s="8"/>
      <c r="D47" s="8"/>
      <c r="E47" s="8"/>
      <c r="F47" s="9" t="str">
        <f t="shared" si="3"/>
        <v/>
      </c>
      <c r="N47">
        <f t="shared" si="4"/>
        <v>0</v>
      </c>
      <c r="T47">
        <f t="shared" si="5"/>
        <v>3.0041000000000087</v>
      </c>
    </row>
    <row r="48" spans="1:20" x14ac:dyDescent="0.25">
      <c r="A48">
        <v>45</v>
      </c>
      <c r="B48">
        <f t="shared" si="2"/>
        <v>89</v>
      </c>
      <c r="C48" s="8"/>
      <c r="D48" s="8"/>
      <c r="E48" s="8"/>
      <c r="F48" s="9" t="str">
        <f t="shared" si="3"/>
        <v/>
      </c>
      <c r="N48">
        <f t="shared" si="4"/>
        <v>0</v>
      </c>
      <c r="T48">
        <f t="shared" si="5"/>
        <v>3.0042000000000089</v>
      </c>
    </row>
    <row r="49" spans="1:20" x14ac:dyDescent="0.25">
      <c r="A49">
        <v>46</v>
      </c>
      <c r="B49">
        <f t="shared" si="2"/>
        <v>91</v>
      </c>
      <c r="C49" s="8"/>
      <c r="D49" s="8"/>
      <c r="E49" s="8"/>
      <c r="F49" s="9" t="str">
        <f t="shared" si="3"/>
        <v/>
      </c>
      <c r="N49">
        <f t="shared" si="4"/>
        <v>0</v>
      </c>
      <c r="T49">
        <f t="shared" si="5"/>
        <v>3.0043000000000091</v>
      </c>
    </row>
    <row r="50" spans="1:20" x14ac:dyDescent="0.25">
      <c r="A50">
        <v>47</v>
      </c>
      <c r="B50">
        <f t="shared" si="2"/>
        <v>93</v>
      </c>
      <c r="C50" s="8"/>
      <c r="D50" s="8"/>
      <c r="E50" s="8"/>
      <c r="F50" s="9" t="str">
        <f t="shared" si="3"/>
        <v/>
      </c>
      <c r="N50">
        <f t="shared" si="4"/>
        <v>0</v>
      </c>
      <c r="T50">
        <f t="shared" si="5"/>
        <v>3.0044000000000093</v>
      </c>
    </row>
    <row r="51" spans="1:20" x14ac:dyDescent="0.25">
      <c r="A51">
        <v>48</v>
      </c>
      <c r="B51">
        <f t="shared" si="2"/>
        <v>95</v>
      </c>
      <c r="C51" s="8"/>
      <c r="D51" s="8"/>
      <c r="E51" s="8"/>
      <c r="F51" s="9" t="str">
        <f t="shared" si="3"/>
        <v/>
      </c>
      <c r="N51">
        <f t="shared" si="4"/>
        <v>0</v>
      </c>
      <c r="T51">
        <f t="shared" si="5"/>
        <v>3.0045000000000095</v>
      </c>
    </row>
    <row r="52" spans="1:20" x14ac:dyDescent="0.25">
      <c r="A52">
        <v>49</v>
      </c>
      <c r="B52">
        <f t="shared" si="2"/>
        <v>97</v>
      </c>
      <c r="C52" s="8"/>
      <c r="D52" s="8"/>
      <c r="E52" s="8"/>
      <c r="F52" s="9" t="str">
        <f t="shared" si="3"/>
        <v/>
      </c>
      <c r="N52">
        <f t="shared" si="4"/>
        <v>0</v>
      </c>
      <c r="T52">
        <f t="shared" si="5"/>
        <v>3.0046000000000097</v>
      </c>
    </row>
    <row r="53" spans="1:20" x14ac:dyDescent="0.25">
      <c r="A53">
        <v>50</v>
      </c>
      <c r="B53">
        <f t="shared" si="2"/>
        <v>99</v>
      </c>
      <c r="C53" s="8"/>
      <c r="D53" s="8"/>
      <c r="E53" s="8"/>
      <c r="F53" s="9" t="str">
        <f t="shared" si="3"/>
        <v/>
      </c>
      <c r="N53">
        <f t="shared" si="4"/>
        <v>0</v>
      </c>
      <c r="T53">
        <f t="shared" si="5"/>
        <v>3.0047000000000099</v>
      </c>
    </row>
    <row r="54" spans="1:20" x14ac:dyDescent="0.25">
      <c r="A54">
        <v>51</v>
      </c>
      <c r="B54">
        <f t="shared" si="2"/>
        <v>101</v>
      </c>
      <c r="C54" s="8"/>
      <c r="D54" s="8"/>
      <c r="E54" s="8"/>
      <c r="F54" s="9" t="str">
        <f t="shared" si="3"/>
        <v/>
      </c>
      <c r="N54">
        <f t="shared" si="4"/>
        <v>0</v>
      </c>
      <c r="T54">
        <f t="shared" si="5"/>
        <v>3.0048000000000101</v>
      </c>
    </row>
    <row r="55" spans="1:20" x14ac:dyDescent="0.25">
      <c r="A55">
        <v>52</v>
      </c>
      <c r="B55">
        <f t="shared" si="2"/>
        <v>103</v>
      </c>
      <c r="C55" s="8"/>
      <c r="D55" s="8"/>
      <c r="E55" s="8"/>
      <c r="F55" s="9" t="str">
        <f t="shared" si="3"/>
        <v/>
      </c>
      <c r="N55">
        <f t="shared" si="4"/>
        <v>0</v>
      </c>
      <c r="T55">
        <f t="shared" si="5"/>
        <v>3.0049000000000103</v>
      </c>
    </row>
    <row r="56" spans="1:20" x14ac:dyDescent="0.25">
      <c r="A56">
        <v>53</v>
      </c>
      <c r="B56">
        <f t="shared" si="2"/>
        <v>105</v>
      </c>
      <c r="C56" s="8"/>
      <c r="D56" s="8"/>
      <c r="E56" s="8"/>
      <c r="F56" s="9" t="str">
        <f t="shared" si="3"/>
        <v/>
      </c>
      <c r="N56">
        <f t="shared" si="4"/>
        <v>0</v>
      </c>
      <c r="T56">
        <f t="shared" si="5"/>
        <v>3.0050000000000106</v>
      </c>
    </row>
    <row r="57" spans="1:20" x14ac:dyDescent="0.25">
      <c r="A57">
        <v>54</v>
      </c>
      <c r="B57">
        <f t="shared" si="2"/>
        <v>107</v>
      </c>
      <c r="C57" s="8"/>
      <c r="D57" s="8"/>
      <c r="E57" s="8"/>
      <c r="F57" s="9" t="str">
        <f t="shared" si="3"/>
        <v/>
      </c>
      <c r="N57">
        <f t="shared" si="4"/>
        <v>0</v>
      </c>
      <c r="T57">
        <f t="shared" si="5"/>
        <v>3.0051000000000108</v>
      </c>
    </row>
    <row r="58" spans="1:20" x14ac:dyDescent="0.25">
      <c r="A58">
        <v>55</v>
      </c>
      <c r="B58">
        <f t="shared" si="2"/>
        <v>109</v>
      </c>
      <c r="C58" s="8"/>
      <c r="D58" s="8"/>
      <c r="E58" s="8"/>
      <c r="F58" s="9" t="str">
        <f t="shared" si="3"/>
        <v/>
      </c>
      <c r="N58">
        <f t="shared" si="4"/>
        <v>0</v>
      </c>
      <c r="T58">
        <f t="shared" si="5"/>
        <v>3.005200000000011</v>
      </c>
    </row>
    <row r="59" spans="1:20" x14ac:dyDescent="0.25">
      <c r="A59">
        <v>56</v>
      </c>
      <c r="B59">
        <f t="shared" si="2"/>
        <v>111</v>
      </c>
      <c r="C59" s="8"/>
      <c r="D59" s="8"/>
      <c r="E59" s="8"/>
      <c r="F59" s="9" t="str">
        <f t="shared" si="3"/>
        <v/>
      </c>
      <c r="N59">
        <f t="shared" si="4"/>
        <v>0</v>
      </c>
      <c r="T59">
        <f t="shared" si="5"/>
        <v>3.0053000000000112</v>
      </c>
    </row>
    <row r="60" spans="1:20" x14ac:dyDescent="0.25">
      <c r="A60">
        <v>57</v>
      </c>
      <c r="B60">
        <f t="shared" si="2"/>
        <v>113</v>
      </c>
      <c r="C60" s="8"/>
      <c r="D60" s="8"/>
      <c r="E60" s="8"/>
      <c r="F60" s="9" t="str">
        <f t="shared" si="3"/>
        <v/>
      </c>
      <c r="N60">
        <f t="shared" si="4"/>
        <v>0</v>
      </c>
      <c r="T60">
        <f t="shared" si="5"/>
        <v>3.0054000000000114</v>
      </c>
    </row>
    <row r="61" spans="1:20" x14ac:dyDescent="0.25">
      <c r="A61">
        <v>58</v>
      </c>
      <c r="B61">
        <f t="shared" si="2"/>
        <v>115</v>
      </c>
      <c r="C61" s="8"/>
      <c r="D61" s="8"/>
      <c r="E61" s="8"/>
      <c r="F61" s="9" t="str">
        <f t="shared" si="3"/>
        <v/>
      </c>
      <c r="N61">
        <f t="shared" si="4"/>
        <v>0</v>
      </c>
      <c r="T61">
        <f t="shared" si="5"/>
        <v>3.0055000000000116</v>
      </c>
    </row>
    <row r="62" spans="1:20" x14ac:dyDescent="0.25">
      <c r="A62">
        <v>59</v>
      </c>
      <c r="B62">
        <f t="shared" si="2"/>
        <v>117</v>
      </c>
      <c r="C62" s="8"/>
      <c r="D62" s="8"/>
      <c r="E62" s="8"/>
      <c r="F62" s="9" t="str">
        <f t="shared" si="3"/>
        <v/>
      </c>
      <c r="N62">
        <f t="shared" si="4"/>
        <v>0</v>
      </c>
      <c r="T62">
        <f t="shared" si="5"/>
        <v>3.0056000000000118</v>
      </c>
    </row>
    <row r="63" spans="1:20" x14ac:dyDescent="0.25">
      <c r="A63">
        <v>60</v>
      </c>
      <c r="B63">
        <f t="shared" si="2"/>
        <v>119</v>
      </c>
      <c r="C63" s="8"/>
      <c r="D63" s="8"/>
      <c r="E63" s="8"/>
      <c r="F63" s="9" t="str">
        <f t="shared" si="3"/>
        <v/>
      </c>
      <c r="N63">
        <f t="shared" si="4"/>
        <v>0</v>
      </c>
      <c r="T63">
        <f t="shared" si="5"/>
        <v>3.005700000000012</v>
      </c>
    </row>
    <row r="64" spans="1:20" x14ac:dyDescent="0.25">
      <c r="A64">
        <v>61</v>
      </c>
      <c r="B64">
        <f t="shared" si="2"/>
        <v>121</v>
      </c>
      <c r="C64" s="8"/>
      <c r="D64" s="8"/>
      <c r="E64" s="8"/>
      <c r="F64" s="9" t="str">
        <f t="shared" si="3"/>
        <v/>
      </c>
      <c r="N64">
        <f t="shared" si="4"/>
        <v>0</v>
      </c>
      <c r="T64">
        <f t="shared" si="5"/>
        <v>3.0058000000000122</v>
      </c>
    </row>
    <row r="65" spans="1:20" x14ac:dyDescent="0.25">
      <c r="A65">
        <v>62</v>
      </c>
      <c r="B65">
        <f t="shared" si="2"/>
        <v>123</v>
      </c>
      <c r="C65" s="8"/>
      <c r="D65" s="8"/>
      <c r="E65" s="8"/>
      <c r="F65" s="9" t="str">
        <f t="shared" si="3"/>
        <v/>
      </c>
      <c r="N65">
        <f t="shared" si="4"/>
        <v>0</v>
      </c>
      <c r="T65">
        <f t="shared" si="5"/>
        <v>3.0059000000000125</v>
      </c>
    </row>
    <row r="66" spans="1:20" x14ac:dyDescent="0.25">
      <c r="A66">
        <v>63</v>
      </c>
      <c r="B66">
        <f t="shared" si="2"/>
        <v>125</v>
      </c>
      <c r="C66" s="8"/>
      <c r="D66" s="8"/>
      <c r="E66" s="8"/>
      <c r="F66" s="9" t="str">
        <f t="shared" si="3"/>
        <v/>
      </c>
      <c r="N66">
        <f t="shared" si="4"/>
        <v>0</v>
      </c>
      <c r="T66">
        <f t="shared" si="5"/>
        <v>3.0060000000000127</v>
      </c>
    </row>
    <row r="67" spans="1:20" x14ac:dyDescent="0.25">
      <c r="A67">
        <v>64</v>
      </c>
      <c r="B67">
        <f t="shared" si="2"/>
        <v>127</v>
      </c>
      <c r="C67" s="8"/>
      <c r="D67" s="8"/>
      <c r="E67" s="8"/>
      <c r="F67" s="9" t="str">
        <f t="shared" si="3"/>
        <v/>
      </c>
      <c r="N67">
        <f t="shared" si="4"/>
        <v>0</v>
      </c>
      <c r="T67">
        <f t="shared" si="5"/>
        <v>3.0061000000000129</v>
      </c>
    </row>
    <row r="68" spans="1:20" x14ac:dyDescent="0.25">
      <c r="A68">
        <v>65</v>
      </c>
      <c r="B68">
        <f t="shared" si="2"/>
        <v>129</v>
      </c>
      <c r="C68" s="8"/>
      <c r="D68" s="8"/>
      <c r="E68" s="8"/>
      <c r="F68" s="9" t="str">
        <f t="shared" si="3"/>
        <v/>
      </c>
      <c r="N68">
        <f t="shared" ref="N68:N161" si="6">C68</f>
        <v>0</v>
      </c>
      <c r="T68">
        <f t="shared" ref="T68:T161" si="7">IF(C68="",T67+0.0001,C68)</f>
        <v>3.0062000000000131</v>
      </c>
    </row>
    <row r="69" spans="1:20" x14ac:dyDescent="0.25">
      <c r="A69">
        <v>66</v>
      </c>
      <c r="B69">
        <f t="shared" si="2"/>
        <v>131</v>
      </c>
      <c r="C69" s="8"/>
      <c r="D69" s="8"/>
      <c r="E69" s="8"/>
      <c r="F69" s="9" t="str">
        <f t="shared" si="3"/>
        <v/>
      </c>
      <c r="N69">
        <f t="shared" si="6"/>
        <v>0</v>
      </c>
      <c r="T69">
        <f t="shared" si="7"/>
        <v>3.0063000000000133</v>
      </c>
    </row>
    <row r="70" spans="1:20" x14ac:dyDescent="0.25">
      <c r="A70">
        <v>67</v>
      </c>
      <c r="B70">
        <f t="shared" ref="B70:B161" si="8">B69+2</f>
        <v>133</v>
      </c>
      <c r="C70" s="8"/>
      <c r="D70" s="8"/>
      <c r="E70" s="8"/>
      <c r="F70" s="9" t="str">
        <f t="shared" ref="F70:F121" si="9">IF(C70="","",IF(C70&lt;=C69,"Bitte Projektnummern in aufsteigender Reihenfolge eingeben",IF(AND(D70="",OR(C71&lt;&gt;"",C72&lt;&gt;"")),"Bitte Projektname ausfüllen","")))</f>
        <v/>
      </c>
      <c r="N70">
        <f t="shared" si="6"/>
        <v>0</v>
      </c>
      <c r="T70">
        <f t="shared" si="7"/>
        <v>3.0064000000000135</v>
      </c>
    </row>
    <row r="71" spans="1:20" x14ac:dyDescent="0.25">
      <c r="A71">
        <v>68</v>
      </c>
      <c r="B71">
        <f t="shared" si="8"/>
        <v>135</v>
      </c>
      <c r="C71" s="8"/>
      <c r="D71" s="8"/>
      <c r="E71" s="8"/>
      <c r="F71" s="9" t="str">
        <f t="shared" si="9"/>
        <v/>
      </c>
      <c r="N71">
        <f t="shared" si="6"/>
        <v>0</v>
      </c>
      <c r="T71">
        <f t="shared" si="7"/>
        <v>3.0065000000000137</v>
      </c>
    </row>
    <row r="72" spans="1:20" x14ac:dyDescent="0.25">
      <c r="A72">
        <v>69</v>
      </c>
      <c r="B72">
        <f t="shared" si="8"/>
        <v>137</v>
      </c>
      <c r="C72" s="8"/>
      <c r="D72" s="8"/>
      <c r="E72" s="8"/>
      <c r="F72" s="9" t="str">
        <f t="shared" si="9"/>
        <v/>
      </c>
      <c r="N72">
        <f t="shared" si="6"/>
        <v>0</v>
      </c>
      <c r="T72">
        <f t="shared" si="7"/>
        <v>3.0066000000000139</v>
      </c>
    </row>
    <row r="73" spans="1:20" x14ac:dyDescent="0.25">
      <c r="A73">
        <v>70</v>
      </c>
      <c r="B73">
        <f t="shared" si="8"/>
        <v>139</v>
      </c>
      <c r="C73" s="8"/>
      <c r="D73" s="8"/>
      <c r="E73" s="8"/>
      <c r="F73" s="9" t="str">
        <f t="shared" si="9"/>
        <v/>
      </c>
      <c r="N73">
        <f t="shared" si="6"/>
        <v>0</v>
      </c>
      <c r="T73">
        <f t="shared" si="7"/>
        <v>3.0067000000000141</v>
      </c>
    </row>
    <row r="74" spans="1:20" x14ac:dyDescent="0.25">
      <c r="A74">
        <v>71</v>
      </c>
      <c r="B74">
        <f t="shared" si="8"/>
        <v>141</v>
      </c>
      <c r="C74" s="8"/>
      <c r="D74" s="8"/>
      <c r="E74" s="8"/>
      <c r="F74" s="9" t="str">
        <f t="shared" si="9"/>
        <v/>
      </c>
      <c r="N74">
        <f t="shared" si="6"/>
        <v>0</v>
      </c>
      <c r="T74">
        <f t="shared" si="7"/>
        <v>3.0068000000000144</v>
      </c>
    </row>
    <row r="75" spans="1:20" x14ac:dyDescent="0.25">
      <c r="A75">
        <v>72</v>
      </c>
      <c r="B75">
        <f t="shared" si="8"/>
        <v>143</v>
      </c>
      <c r="C75" s="8"/>
      <c r="D75" s="8"/>
      <c r="E75" s="8"/>
      <c r="F75" s="9" t="str">
        <f t="shared" si="9"/>
        <v/>
      </c>
      <c r="N75">
        <f t="shared" si="6"/>
        <v>0</v>
      </c>
      <c r="T75">
        <f t="shared" si="7"/>
        <v>3.0069000000000146</v>
      </c>
    </row>
    <row r="76" spans="1:20" x14ac:dyDescent="0.25">
      <c r="A76">
        <v>73</v>
      </c>
      <c r="B76">
        <f t="shared" si="8"/>
        <v>145</v>
      </c>
      <c r="C76" s="8"/>
      <c r="D76" s="8"/>
      <c r="E76" s="8"/>
      <c r="F76" s="9" t="str">
        <f t="shared" si="9"/>
        <v/>
      </c>
      <c r="N76">
        <f t="shared" si="6"/>
        <v>0</v>
      </c>
      <c r="T76">
        <f t="shared" si="7"/>
        <v>3.0070000000000148</v>
      </c>
    </row>
    <row r="77" spans="1:20" x14ac:dyDescent="0.25">
      <c r="A77">
        <v>74</v>
      </c>
      <c r="B77">
        <f t="shared" si="8"/>
        <v>147</v>
      </c>
      <c r="C77" s="8"/>
      <c r="D77" s="8"/>
      <c r="E77" s="8"/>
      <c r="F77" s="9" t="str">
        <f t="shared" si="9"/>
        <v/>
      </c>
      <c r="N77">
        <f t="shared" si="6"/>
        <v>0</v>
      </c>
      <c r="T77">
        <f t="shared" si="7"/>
        <v>3.007100000000015</v>
      </c>
    </row>
    <row r="78" spans="1:20" x14ac:dyDescent="0.25">
      <c r="A78">
        <v>75</v>
      </c>
      <c r="B78">
        <f t="shared" si="8"/>
        <v>149</v>
      </c>
      <c r="C78" s="8"/>
      <c r="D78" s="8"/>
      <c r="E78" s="8"/>
      <c r="F78" s="9" t="str">
        <f t="shared" si="9"/>
        <v/>
      </c>
      <c r="N78">
        <f t="shared" si="6"/>
        <v>0</v>
      </c>
      <c r="T78">
        <f t="shared" si="7"/>
        <v>3.0072000000000152</v>
      </c>
    </row>
    <row r="79" spans="1:20" x14ac:dyDescent="0.25">
      <c r="A79">
        <v>76</v>
      </c>
      <c r="B79">
        <f t="shared" si="8"/>
        <v>151</v>
      </c>
      <c r="C79" s="8"/>
      <c r="D79" s="8"/>
      <c r="E79" s="8"/>
      <c r="F79" s="9" t="str">
        <f t="shared" si="9"/>
        <v/>
      </c>
      <c r="N79">
        <f t="shared" si="6"/>
        <v>0</v>
      </c>
      <c r="T79">
        <f t="shared" si="7"/>
        <v>3.0073000000000154</v>
      </c>
    </row>
    <row r="80" spans="1:20" x14ac:dyDescent="0.25">
      <c r="A80">
        <v>77</v>
      </c>
      <c r="B80">
        <f t="shared" si="8"/>
        <v>153</v>
      </c>
      <c r="C80" s="8"/>
      <c r="D80" s="8"/>
      <c r="E80" s="8"/>
      <c r="F80" s="9" t="str">
        <f t="shared" si="9"/>
        <v/>
      </c>
      <c r="N80">
        <f t="shared" si="6"/>
        <v>0</v>
      </c>
      <c r="T80">
        <f t="shared" si="7"/>
        <v>3.0074000000000156</v>
      </c>
    </row>
    <row r="81" spans="1:20" x14ac:dyDescent="0.25">
      <c r="A81">
        <v>78</v>
      </c>
      <c r="B81">
        <f t="shared" si="8"/>
        <v>155</v>
      </c>
      <c r="C81" s="8"/>
      <c r="D81" s="8"/>
      <c r="E81" s="8"/>
      <c r="F81" s="9" t="str">
        <f t="shared" si="9"/>
        <v/>
      </c>
      <c r="N81">
        <f t="shared" si="6"/>
        <v>0</v>
      </c>
      <c r="T81">
        <f t="shared" si="7"/>
        <v>3.0075000000000158</v>
      </c>
    </row>
    <row r="82" spans="1:20" x14ac:dyDescent="0.25">
      <c r="A82">
        <v>79</v>
      </c>
      <c r="B82">
        <f t="shared" si="8"/>
        <v>157</v>
      </c>
      <c r="C82" s="8"/>
      <c r="D82" s="8"/>
      <c r="E82" s="8"/>
      <c r="F82" s="9" t="str">
        <f t="shared" si="9"/>
        <v/>
      </c>
      <c r="N82">
        <f t="shared" si="6"/>
        <v>0</v>
      </c>
      <c r="T82">
        <f t="shared" si="7"/>
        <v>3.007600000000016</v>
      </c>
    </row>
    <row r="83" spans="1:20" x14ac:dyDescent="0.25">
      <c r="A83">
        <v>80</v>
      </c>
      <c r="B83">
        <f t="shared" si="8"/>
        <v>159</v>
      </c>
      <c r="C83" s="8"/>
      <c r="D83" s="8"/>
      <c r="E83" s="8"/>
      <c r="F83" s="9" t="str">
        <f t="shared" si="9"/>
        <v/>
      </c>
      <c r="N83">
        <f t="shared" si="6"/>
        <v>0</v>
      </c>
      <c r="T83">
        <f t="shared" si="7"/>
        <v>3.0077000000000162</v>
      </c>
    </row>
    <row r="84" spans="1:20" x14ac:dyDescent="0.25">
      <c r="A84">
        <v>81</v>
      </c>
      <c r="B84">
        <f t="shared" si="8"/>
        <v>161</v>
      </c>
      <c r="C84" s="8"/>
      <c r="D84" s="8"/>
      <c r="E84" s="8"/>
      <c r="F84" s="9" t="str">
        <f t="shared" si="9"/>
        <v/>
      </c>
      <c r="N84">
        <f t="shared" si="6"/>
        <v>0</v>
      </c>
      <c r="T84">
        <f t="shared" si="7"/>
        <v>3.0078000000000165</v>
      </c>
    </row>
    <row r="85" spans="1:20" x14ac:dyDescent="0.25">
      <c r="A85">
        <v>82</v>
      </c>
      <c r="B85">
        <f t="shared" si="8"/>
        <v>163</v>
      </c>
      <c r="C85" s="8"/>
      <c r="D85" s="8"/>
      <c r="E85" s="8"/>
      <c r="F85" s="9" t="str">
        <f t="shared" si="9"/>
        <v/>
      </c>
      <c r="N85">
        <f t="shared" si="6"/>
        <v>0</v>
      </c>
      <c r="T85">
        <f t="shared" si="7"/>
        <v>3.0079000000000167</v>
      </c>
    </row>
    <row r="86" spans="1:20" x14ac:dyDescent="0.25">
      <c r="A86">
        <v>83</v>
      </c>
      <c r="B86">
        <f t="shared" si="8"/>
        <v>165</v>
      </c>
      <c r="C86" s="8"/>
      <c r="D86" s="8"/>
      <c r="E86" s="8"/>
      <c r="F86" s="9" t="str">
        <f t="shared" si="9"/>
        <v/>
      </c>
      <c r="N86">
        <f t="shared" si="6"/>
        <v>0</v>
      </c>
      <c r="T86">
        <f t="shared" si="7"/>
        <v>3.0080000000000169</v>
      </c>
    </row>
    <row r="87" spans="1:20" x14ac:dyDescent="0.25">
      <c r="A87">
        <v>84</v>
      </c>
      <c r="B87">
        <f t="shared" si="8"/>
        <v>167</v>
      </c>
      <c r="C87" s="8"/>
      <c r="D87" s="8"/>
      <c r="E87" s="8"/>
      <c r="F87" s="9" t="str">
        <f t="shared" si="9"/>
        <v/>
      </c>
      <c r="N87">
        <f t="shared" si="6"/>
        <v>0</v>
      </c>
      <c r="T87">
        <f t="shared" si="7"/>
        <v>3.0081000000000171</v>
      </c>
    </row>
    <row r="88" spans="1:20" x14ac:dyDescent="0.25">
      <c r="A88">
        <v>85</v>
      </c>
      <c r="B88">
        <f t="shared" si="8"/>
        <v>169</v>
      </c>
      <c r="C88" s="8"/>
      <c r="D88" s="8"/>
      <c r="E88" s="8"/>
      <c r="F88" s="9" t="str">
        <f t="shared" si="9"/>
        <v/>
      </c>
      <c r="N88">
        <f t="shared" si="6"/>
        <v>0</v>
      </c>
      <c r="T88">
        <f t="shared" si="7"/>
        <v>3.0082000000000173</v>
      </c>
    </row>
    <row r="89" spans="1:20" x14ac:dyDescent="0.25">
      <c r="A89">
        <v>86</v>
      </c>
      <c r="B89">
        <f t="shared" si="8"/>
        <v>171</v>
      </c>
      <c r="C89" s="8"/>
      <c r="D89" s="8"/>
      <c r="E89" s="8"/>
      <c r="F89" s="9" t="str">
        <f t="shared" si="9"/>
        <v/>
      </c>
      <c r="N89">
        <f t="shared" si="6"/>
        <v>0</v>
      </c>
      <c r="T89">
        <f t="shared" si="7"/>
        <v>3.0083000000000175</v>
      </c>
    </row>
    <row r="90" spans="1:20" x14ac:dyDescent="0.25">
      <c r="A90">
        <v>87</v>
      </c>
      <c r="B90">
        <f t="shared" si="8"/>
        <v>173</v>
      </c>
      <c r="C90" s="8"/>
      <c r="D90" s="8"/>
      <c r="E90" s="8"/>
      <c r="F90" s="9" t="str">
        <f t="shared" si="9"/>
        <v/>
      </c>
      <c r="N90">
        <f t="shared" si="6"/>
        <v>0</v>
      </c>
      <c r="T90">
        <f t="shared" si="7"/>
        <v>3.0084000000000177</v>
      </c>
    </row>
    <row r="91" spans="1:20" x14ac:dyDescent="0.25">
      <c r="A91">
        <v>88</v>
      </c>
      <c r="B91">
        <f t="shared" si="8"/>
        <v>175</v>
      </c>
      <c r="C91" s="8"/>
      <c r="D91" s="8"/>
      <c r="E91" s="8"/>
      <c r="F91" s="9" t="str">
        <f t="shared" si="9"/>
        <v/>
      </c>
      <c r="N91">
        <f t="shared" si="6"/>
        <v>0</v>
      </c>
      <c r="T91">
        <f t="shared" si="7"/>
        <v>3.0085000000000179</v>
      </c>
    </row>
    <row r="92" spans="1:20" x14ac:dyDescent="0.25">
      <c r="A92">
        <v>89</v>
      </c>
      <c r="B92">
        <f t="shared" si="8"/>
        <v>177</v>
      </c>
      <c r="C92" s="8"/>
      <c r="D92" s="8"/>
      <c r="E92" s="8"/>
      <c r="F92" s="9" t="str">
        <f t="shared" si="9"/>
        <v/>
      </c>
      <c r="N92">
        <f t="shared" si="6"/>
        <v>0</v>
      </c>
      <c r="T92">
        <f t="shared" si="7"/>
        <v>3.0086000000000181</v>
      </c>
    </row>
    <row r="93" spans="1:20" x14ac:dyDescent="0.25">
      <c r="A93">
        <v>90</v>
      </c>
      <c r="B93">
        <f t="shared" si="8"/>
        <v>179</v>
      </c>
      <c r="C93" s="8"/>
      <c r="D93" s="8"/>
      <c r="E93" s="8"/>
      <c r="F93" s="9" t="str">
        <f t="shared" si="9"/>
        <v/>
      </c>
      <c r="N93">
        <f t="shared" si="6"/>
        <v>0</v>
      </c>
      <c r="T93">
        <f t="shared" si="7"/>
        <v>3.0087000000000184</v>
      </c>
    </row>
    <row r="94" spans="1:20" x14ac:dyDescent="0.25">
      <c r="A94">
        <v>91</v>
      </c>
      <c r="B94">
        <f t="shared" si="8"/>
        <v>181</v>
      </c>
      <c r="C94" s="8"/>
      <c r="D94" s="8"/>
      <c r="E94" s="8"/>
      <c r="F94" s="9" t="str">
        <f t="shared" si="9"/>
        <v/>
      </c>
      <c r="N94">
        <f t="shared" si="6"/>
        <v>0</v>
      </c>
      <c r="T94">
        <f t="shared" si="7"/>
        <v>3.0088000000000186</v>
      </c>
    </row>
    <row r="95" spans="1:20" x14ac:dyDescent="0.25">
      <c r="A95">
        <v>92</v>
      </c>
      <c r="B95">
        <f t="shared" si="8"/>
        <v>183</v>
      </c>
      <c r="C95" s="8"/>
      <c r="D95" s="8"/>
      <c r="E95" s="8"/>
      <c r="F95" s="9" t="str">
        <f t="shared" si="9"/>
        <v/>
      </c>
      <c r="N95">
        <f t="shared" si="6"/>
        <v>0</v>
      </c>
      <c r="T95">
        <f t="shared" si="7"/>
        <v>3.0089000000000188</v>
      </c>
    </row>
    <row r="96" spans="1:20" x14ac:dyDescent="0.25">
      <c r="A96">
        <v>93</v>
      </c>
      <c r="B96">
        <f t="shared" si="8"/>
        <v>185</v>
      </c>
      <c r="C96" s="8"/>
      <c r="D96" s="8"/>
      <c r="E96" s="8"/>
      <c r="F96" s="9" t="str">
        <f t="shared" si="9"/>
        <v/>
      </c>
      <c r="N96">
        <f t="shared" si="6"/>
        <v>0</v>
      </c>
      <c r="T96">
        <f t="shared" si="7"/>
        <v>3.009000000000019</v>
      </c>
    </row>
    <row r="97" spans="1:20" x14ac:dyDescent="0.25">
      <c r="A97">
        <v>94</v>
      </c>
      <c r="B97">
        <f t="shared" si="8"/>
        <v>187</v>
      </c>
      <c r="C97" s="8"/>
      <c r="D97" s="8"/>
      <c r="E97" s="8"/>
      <c r="F97" s="9" t="str">
        <f t="shared" si="9"/>
        <v/>
      </c>
      <c r="N97">
        <f t="shared" si="6"/>
        <v>0</v>
      </c>
      <c r="T97">
        <f t="shared" si="7"/>
        <v>3.0091000000000192</v>
      </c>
    </row>
    <row r="98" spans="1:20" x14ac:dyDescent="0.25">
      <c r="A98">
        <v>95</v>
      </c>
      <c r="B98">
        <f t="shared" si="8"/>
        <v>189</v>
      </c>
      <c r="C98" s="8"/>
      <c r="D98" s="8"/>
      <c r="E98" s="8"/>
      <c r="F98" s="9" t="str">
        <f t="shared" si="9"/>
        <v/>
      </c>
      <c r="N98">
        <f t="shared" si="6"/>
        <v>0</v>
      </c>
      <c r="T98">
        <f t="shared" si="7"/>
        <v>3.0092000000000194</v>
      </c>
    </row>
    <row r="99" spans="1:20" x14ac:dyDescent="0.25">
      <c r="A99">
        <v>96</v>
      </c>
      <c r="B99">
        <f t="shared" si="8"/>
        <v>191</v>
      </c>
      <c r="C99" s="8"/>
      <c r="D99" s="8"/>
      <c r="E99" s="8"/>
      <c r="F99" s="9" t="str">
        <f t="shared" si="9"/>
        <v/>
      </c>
      <c r="N99">
        <f t="shared" si="6"/>
        <v>0</v>
      </c>
      <c r="T99">
        <f t="shared" si="7"/>
        <v>3.0093000000000196</v>
      </c>
    </row>
    <row r="100" spans="1:20" x14ac:dyDescent="0.25">
      <c r="A100">
        <v>97</v>
      </c>
      <c r="B100">
        <f t="shared" si="8"/>
        <v>193</v>
      </c>
      <c r="C100" s="8"/>
      <c r="D100" s="8"/>
      <c r="E100" s="8"/>
      <c r="F100" s="9" t="str">
        <f t="shared" si="9"/>
        <v/>
      </c>
      <c r="N100">
        <f t="shared" si="6"/>
        <v>0</v>
      </c>
      <c r="T100">
        <f t="shared" si="7"/>
        <v>3.0094000000000198</v>
      </c>
    </row>
    <row r="101" spans="1:20" x14ac:dyDescent="0.25">
      <c r="A101">
        <v>98</v>
      </c>
      <c r="B101">
        <f t="shared" si="8"/>
        <v>195</v>
      </c>
      <c r="C101" s="8"/>
      <c r="D101" s="8"/>
      <c r="E101" s="8"/>
      <c r="F101" s="9" t="str">
        <f t="shared" si="9"/>
        <v/>
      </c>
      <c r="N101">
        <f t="shared" si="6"/>
        <v>0</v>
      </c>
      <c r="T101">
        <f t="shared" si="7"/>
        <v>3.00950000000002</v>
      </c>
    </row>
    <row r="102" spans="1:20" x14ac:dyDescent="0.25">
      <c r="A102">
        <v>99</v>
      </c>
      <c r="B102">
        <f t="shared" si="8"/>
        <v>197</v>
      </c>
      <c r="C102" s="8"/>
      <c r="D102" s="8"/>
      <c r="E102" s="8"/>
      <c r="F102" s="9" t="str">
        <f t="shared" si="9"/>
        <v/>
      </c>
      <c r="N102">
        <f t="shared" si="6"/>
        <v>0</v>
      </c>
      <c r="T102">
        <f t="shared" si="7"/>
        <v>3.0096000000000203</v>
      </c>
    </row>
    <row r="103" spans="1:20" x14ac:dyDescent="0.25">
      <c r="A103">
        <v>100</v>
      </c>
      <c r="B103">
        <f t="shared" si="8"/>
        <v>199</v>
      </c>
      <c r="C103" s="8"/>
      <c r="D103" s="8"/>
      <c r="E103" s="8"/>
      <c r="F103" s="9" t="str">
        <f t="shared" si="9"/>
        <v/>
      </c>
      <c r="N103">
        <f t="shared" si="6"/>
        <v>0</v>
      </c>
      <c r="T103">
        <f t="shared" si="7"/>
        <v>3.0097000000000205</v>
      </c>
    </row>
    <row r="104" spans="1:20" x14ac:dyDescent="0.25">
      <c r="A104">
        <v>101</v>
      </c>
      <c r="B104">
        <f t="shared" si="8"/>
        <v>201</v>
      </c>
      <c r="C104" s="8"/>
      <c r="D104" s="8"/>
      <c r="E104" s="8"/>
      <c r="F104" s="9" t="str">
        <f t="shared" si="9"/>
        <v/>
      </c>
      <c r="N104">
        <f t="shared" si="6"/>
        <v>0</v>
      </c>
      <c r="T104">
        <f t="shared" si="7"/>
        <v>3.0098000000000207</v>
      </c>
    </row>
    <row r="105" spans="1:20" x14ac:dyDescent="0.25">
      <c r="A105">
        <v>102</v>
      </c>
      <c r="B105">
        <f t="shared" si="8"/>
        <v>203</v>
      </c>
      <c r="C105" s="8"/>
      <c r="D105" s="8"/>
      <c r="E105" s="8"/>
      <c r="F105" s="9" t="str">
        <f t="shared" si="9"/>
        <v/>
      </c>
      <c r="N105">
        <f t="shared" si="6"/>
        <v>0</v>
      </c>
      <c r="T105">
        <f t="shared" si="7"/>
        <v>3.0099000000000209</v>
      </c>
    </row>
    <row r="106" spans="1:20" x14ac:dyDescent="0.25">
      <c r="A106">
        <v>103</v>
      </c>
      <c r="B106">
        <f t="shared" si="8"/>
        <v>205</v>
      </c>
      <c r="C106" s="8"/>
      <c r="D106" s="8"/>
      <c r="E106" s="8"/>
      <c r="F106" s="9" t="str">
        <f t="shared" si="9"/>
        <v/>
      </c>
      <c r="N106">
        <f t="shared" si="6"/>
        <v>0</v>
      </c>
      <c r="T106">
        <f t="shared" si="7"/>
        <v>3.0100000000000211</v>
      </c>
    </row>
    <row r="107" spans="1:20" x14ac:dyDescent="0.25">
      <c r="A107">
        <v>104</v>
      </c>
      <c r="B107">
        <f t="shared" si="8"/>
        <v>207</v>
      </c>
      <c r="C107" s="8"/>
      <c r="D107" s="8"/>
      <c r="E107" s="8"/>
      <c r="F107" s="9" t="str">
        <f t="shared" si="9"/>
        <v/>
      </c>
      <c r="N107">
        <f t="shared" si="6"/>
        <v>0</v>
      </c>
      <c r="T107">
        <f t="shared" si="7"/>
        <v>3.0101000000000213</v>
      </c>
    </row>
    <row r="108" spans="1:20" x14ac:dyDescent="0.25">
      <c r="A108">
        <v>105</v>
      </c>
      <c r="B108">
        <f t="shared" si="8"/>
        <v>209</v>
      </c>
      <c r="C108" s="8"/>
      <c r="D108" s="8"/>
      <c r="E108" s="8"/>
      <c r="F108" s="9" t="str">
        <f t="shared" si="9"/>
        <v/>
      </c>
      <c r="N108">
        <f t="shared" si="6"/>
        <v>0</v>
      </c>
      <c r="T108">
        <f t="shared" si="7"/>
        <v>3.0102000000000215</v>
      </c>
    </row>
    <row r="109" spans="1:20" x14ac:dyDescent="0.25">
      <c r="A109">
        <v>106</v>
      </c>
      <c r="B109">
        <f t="shared" si="8"/>
        <v>211</v>
      </c>
      <c r="C109" s="8"/>
      <c r="D109" s="8"/>
      <c r="E109" s="8"/>
      <c r="F109" s="9" t="str">
        <f t="shared" si="9"/>
        <v/>
      </c>
      <c r="N109">
        <f t="shared" si="6"/>
        <v>0</v>
      </c>
      <c r="T109">
        <f t="shared" si="7"/>
        <v>3.0103000000000217</v>
      </c>
    </row>
    <row r="110" spans="1:20" x14ac:dyDescent="0.25">
      <c r="A110">
        <v>107</v>
      </c>
      <c r="B110">
        <f t="shared" si="8"/>
        <v>213</v>
      </c>
      <c r="C110" s="8"/>
      <c r="D110" s="8"/>
      <c r="E110" s="8"/>
      <c r="F110" s="9" t="str">
        <f t="shared" si="9"/>
        <v/>
      </c>
      <c r="N110">
        <f t="shared" si="6"/>
        <v>0</v>
      </c>
      <c r="T110">
        <f t="shared" si="7"/>
        <v>3.0104000000000219</v>
      </c>
    </row>
    <row r="111" spans="1:20" x14ac:dyDescent="0.25">
      <c r="A111">
        <v>108</v>
      </c>
      <c r="B111">
        <f t="shared" si="8"/>
        <v>215</v>
      </c>
      <c r="C111" s="8"/>
      <c r="D111" s="8"/>
      <c r="E111" s="8"/>
      <c r="F111" s="9" t="str">
        <f t="shared" si="9"/>
        <v/>
      </c>
      <c r="N111">
        <f t="shared" si="6"/>
        <v>0</v>
      </c>
      <c r="T111">
        <f t="shared" si="7"/>
        <v>3.0105000000000222</v>
      </c>
    </row>
    <row r="112" spans="1:20" x14ac:dyDescent="0.25">
      <c r="A112">
        <v>109</v>
      </c>
      <c r="B112">
        <f t="shared" si="8"/>
        <v>217</v>
      </c>
      <c r="C112" s="8"/>
      <c r="D112" s="8"/>
      <c r="E112" s="8"/>
      <c r="F112" s="9" t="str">
        <f t="shared" si="9"/>
        <v/>
      </c>
      <c r="N112">
        <f t="shared" si="6"/>
        <v>0</v>
      </c>
      <c r="T112">
        <f t="shared" si="7"/>
        <v>3.0106000000000224</v>
      </c>
    </row>
    <row r="113" spans="1:20" x14ac:dyDescent="0.25">
      <c r="A113">
        <v>110</v>
      </c>
      <c r="B113">
        <f t="shared" si="8"/>
        <v>219</v>
      </c>
      <c r="C113" s="8"/>
      <c r="D113" s="8"/>
      <c r="E113" s="8"/>
      <c r="F113" s="9" t="str">
        <f t="shared" si="9"/>
        <v/>
      </c>
      <c r="N113">
        <f t="shared" si="6"/>
        <v>0</v>
      </c>
      <c r="T113">
        <f t="shared" si="7"/>
        <v>3.0107000000000226</v>
      </c>
    </row>
    <row r="114" spans="1:20" x14ac:dyDescent="0.25">
      <c r="A114">
        <v>111</v>
      </c>
      <c r="B114">
        <f t="shared" si="8"/>
        <v>221</v>
      </c>
      <c r="C114" s="8"/>
      <c r="D114" s="8"/>
      <c r="E114" s="8"/>
      <c r="F114" s="9" t="str">
        <f t="shared" si="9"/>
        <v/>
      </c>
      <c r="N114">
        <f t="shared" si="6"/>
        <v>0</v>
      </c>
      <c r="T114">
        <f t="shared" si="7"/>
        <v>3.0108000000000228</v>
      </c>
    </row>
    <row r="115" spans="1:20" x14ac:dyDescent="0.25">
      <c r="A115">
        <v>112</v>
      </c>
      <c r="B115">
        <f t="shared" si="8"/>
        <v>223</v>
      </c>
      <c r="C115" s="8"/>
      <c r="D115" s="8"/>
      <c r="E115" s="8"/>
      <c r="F115" s="9" t="str">
        <f t="shared" si="9"/>
        <v/>
      </c>
      <c r="N115">
        <f t="shared" si="6"/>
        <v>0</v>
      </c>
      <c r="T115">
        <f t="shared" si="7"/>
        <v>3.010900000000023</v>
      </c>
    </row>
    <row r="116" spans="1:20" x14ac:dyDescent="0.25">
      <c r="A116">
        <v>113</v>
      </c>
      <c r="B116">
        <f t="shared" si="8"/>
        <v>225</v>
      </c>
      <c r="C116" s="8"/>
      <c r="D116" s="8"/>
      <c r="E116" s="8"/>
      <c r="F116" s="9" t="str">
        <f t="shared" si="9"/>
        <v/>
      </c>
      <c r="N116">
        <f t="shared" si="6"/>
        <v>0</v>
      </c>
      <c r="T116">
        <f t="shared" si="7"/>
        <v>3.0110000000000232</v>
      </c>
    </row>
    <row r="117" spans="1:20" x14ac:dyDescent="0.25">
      <c r="A117">
        <v>114</v>
      </c>
      <c r="B117">
        <f t="shared" si="8"/>
        <v>227</v>
      </c>
      <c r="C117" s="8"/>
      <c r="D117" s="8"/>
      <c r="E117" s="8"/>
      <c r="F117" s="9" t="str">
        <f t="shared" si="9"/>
        <v/>
      </c>
      <c r="N117">
        <f t="shared" si="6"/>
        <v>0</v>
      </c>
      <c r="T117">
        <f t="shared" si="7"/>
        <v>3.0111000000000234</v>
      </c>
    </row>
    <row r="118" spans="1:20" x14ac:dyDescent="0.25">
      <c r="A118">
        <v>115</v>
      </c>
      <c r="B118">
        <f t="shared" si="8"/>
        <v>229</v>
      </c>
      <c r="C118" s="8"/>
      <c r="D118" s="8"/>
      <c r="E118" s="8"/>
      <c r="F118" s="9" t="str">
        <f t="shared" si="9"/>
        <v/>
      </c>
      <c r="N118">
        <f t="shared" si="6"/>
        <v>0</v>
      </c>
      <c r="T118">
        <f t="shared" si="7"/>
        <v>3.0112000000000236</v>
      </c>
    </row>
    <row r="119" spans="1:20" x14ac:dyDescent="0.25">
      <c r="A119">
        <v>116</v>
      </c>
      <c r="B119">
        <f t="shared" si="8"/>
        <v>231</v>
      </c>
      <c r="C119" s="8"/>
      <c r="D119" s="8"/>
      <c r="E119" s="8"/>
      <c r="F119" s="9" t="str">
        <f t="shared" si="9"/>
        <v/>
      </c>
      <c r="N119">
        <f t="shared" si="6"/>
        <v>0</v>
      </c>
      <c r="T119">
        <f t="shared" si="7"/>
        <v>3.0113000000000238</v>
      </c>
    </row>
    <row r="120" spans="1:20" x14ac:dyDescent="0.25">
      <c r="A120">
        <v>117</v>
      </c>
      <c r="B120">
        <f t="shared" si="8"/>
        <v>233</v>
      </c>
      <c r="C120" s="8"/>
      <c r="D120" s="8"/>
      <c r="E120" s="8"/>
      <c r="F120" s="9" t="str">
        <f t="shared" si="9"/>
        <v/>
      </c>
      <c r="N120">
        <f t="shared" si="6"/>
        <v>0</v>
      </c>
      <c r="T120">
        <f t="shared" si="7"/>
        <v>3.0114000000000241</v>
      </c>
    </row>
    <row r="121" spans="1:20" x14ac:dyDescent="0.25">
      <c r="A121">
        <v>118</v>
      </c>
      <c r="B121">
        <f t="shared" si="8"/>
        <v>235</v>
      </c>
      <c r="C121" s="8"/>
      <c r="D121" s="8"/>
      <c r="E121" s="8"/>
      <c r="F121" s="9" t="str">
        <f t="shared" si="9"/>
        <v/>
      </c>
      <c r="N121">
        <f t="shared" si="6"/>
        <v>0</v>
      </c>
      <c r="T121">
        <f t="shared" si="7"/>
        <v>3.0115000000000243</v>
      </c>
    </row>
    <row r="122" spans="1:20" x14ac:dyDescent="0.25">
      <c r="A122">
        <v>119</v>
      </c>
      <c r="B122">
        <f t="shared" si="8"/>
        <v>237</v>
      </c>
      <c r="C122" s="8"/>
      <c r="D122" s="8"/>
      <c r="E122" s="8"/>
      <c r="F122" s="9"/>
      <c r="N122">
        <f t="shared" si="6"/>
        <v>0</v>
      </c>
      <c r="T122">
        <f t="shared" si="7"/>
        <v>3.0116000000000245</v>
      </c>
    </row>
    <row r="123" spans="1:20" x14ac:dyDescent="0.25">
      <c r="A123">
        <v>120</v>
      </c>
      <c r="B123">
        <f t="shared" si="8"/>
        <v>239</v>
      </c>
      <c r="C123" s="8"/>
      <c r="D123" s="8"/>
      <c r="E123" s="8"/>
      <c r="F123" s="9"/>
      <c r="N123">
        <f t="shared" si="6"/>
        <v>0</v>
      </c>
      <c r="T123">
        <f t="shared" si="7"/>
        <v>3.0117000000000247</v>
      </c>
    </row>
    <row r="124" spans="1:20" x14ac:dyDescent="0.25">
      <c r="A124">
        <v>121</v>
      </c>
      <c r="B124">
        <f t="shared" si="8"/>
        <v>241</v>
      </c>
      <c r="C124" s="8"/>
      <c r="D124" s="8"/>
      <c r="E124" s="8"/>
      <c r="F124" s="9"/>
      <c r="N124">
        <f t="shared" si="6"/>
        <v>0</v>
      </c>
      <c r="T124">
        <f t="shared" si="7"/>
        <v>3.0118000000000249</v>
      </c>
    </row>
    <row r="125" spans="1:20" x14ac:dyDescent="0.25">
      <c r="A125">
        <v>122</v>
      </c>
      <c r="B125">
        <f t="shared" si="8"/>
        <v>243</v>
      </c>
      <c r="C125" s="8"/>
      <c r="D125" s="8"/>
      <c r="E125" s="8"/>
      <c r="F125" s="9"/>
      <c r="N125">
        <f t="shared" si="6"/>
        <v>0</v>
      </c>
      <c r="T125">
        <f t="shared" si="7"/>
        <v>3.0119000000000251</v>
      </c>
    </row>
    <row r="126" spans="1:20" x14ac:dyDescent="0.25">
      <c r="A126">
        <v>123</v>
      </c>
      <c r="B126">
        <f t="shared" si="8"/>
        <v>245</v>
      </c>
      <c r="C126" s="8"/>
      <c r="D126" s="8"/>
      <c r="E126" s="8"/>
      <c r="F126" s="9"/>
      <c r="N126">
        <f t="shared" si="6"/>
        <v>0</v>
      </c>
      <c r="T126">
        <f t="shared" si="7"/>
        <v>3.0120000000000253</v>
      </c>
    </row>
    <row r="127" spans="1:20" x14ac:dyDescent="0.25">
      <c r="A127">
        <v>124</v>
      </c>
      <c r="B127">
        <f t="shared" si="8"/>
        <v>247</v>
      </c>
      <c r="C127" s="8"/>
      <c r="D127" s="8"/>
      <c r="E127" s="8"/>
      <c r="F127" s="9"/>
      <c r="N127">
        <f t="shared" si="6"/>
        <v>0</v>
      </c>
      <c r="T127">
        <f t="shared" si="7"/>
        <v>3.0121000000000255</v>
      </c>
    </row>
    <row r="128" spans="1:20" x14ac:dyDescent="0.25">
      <c r="A128">
        <v>125</v>
      </c>
      <c r="B128">
        <f t="shared" si="8"/>
        <v>249</v>
      </c>
      <c r="C128" s="8"/>
      <c r="D128" s="8"/>
      <c r="E128" s="8"/>
      <c r="F128" s="9"/>
      <c r="N128">
        <f t="shared" si="6"/>
        <v>0</v>
      </c>
      <c r="T128">
        <f t="shared" si="7"/>
        <v>3.0122000000000257</v>
      </c>
    </row>
    <row r="129" spans="1:20" x14ac:dyDescent="0.25">
      <c r="A129">
        <v>126</v>
      </c>
      <c r="B129">
        <f t="shared" si="8"/>
        <v>251</v>
      </c>
      <c r="C129" s="8"/>
      <c r="D129" s="8"/>
      <c r="E129" s="8"/>
      <c r="F129" s="9"/>
      <c r="N129">
        <f t="shared" si="6"/>
        <v>0</v>
      </c>
      <c r="T129">
        <f t="shared" si="7"/>
        <v>3.012300000000026</v>
      </c>
    </row>
    <row r="130" spans="1:20" x14ac:dyDescent="0.25">
      <c r="A130">
        <v>127</v>
      </c>
      <c r="B130">
        <f t="shared" si="8"/>
        <v>253</v>
      </c>
      <c r="C130" s="8"/>
      <c r="D130" s="8"/>
      <c r="E130" s="8"/>
      <c r="F130" s="9"/>
      <c r="N130">
        <f t="shared" si="6"/>
        <v>0</v>
      </c>
      <c r="T130">
        <f t="shared" si="7"/>
        <v>3.0124000000000262</v>
      </c>
    </row>
    <row r="131" spans="1:20" x14ac:dyDescent="0.25">
      <c r="A131">
        <v>128</v>
      </c>
      <c r="B131">
        <f t="shared" si="8"/>
        <v>255</v>
      </c>
      <c r="C131" s="8"/>
      <c r="D131" s="8"/>
      <c r="E131" s="8"/>
      <c r="F131" s="9"/>
      <c r="N131">
        <f t="shared" si="6"/>
        <v>0</v>
      </c>
      <c r="T131">
        <f t="shared" si="7"/>
        <v>3.0125000000000264</v>
      </c>
    </row>
    <row r="132" spans="1:20" x14ac:dyDescent="0.25">
      <c r="A132">
        <v>129</v>
      </c>
      <c r="B132">
        <f t="shared" si="8"/>
        <v>257</v>
      </c>
      <c r="C132" s="8"/>
      <c r="D132" s="8"/>
      <c r="E132" s="8"/>
      <c r="F132" s="9"/>
      <c r="N132">
        <f t="shared" si="6"/>
        <v>0</v>
      </c>
      <c r="T132">
        <f t="shared" si="7"/>
        <v>3.0126000000000266</v>
      </c>
    </row>
    <row r="133" spans="1:20" x14ac:dyDescent="0.25">
      <c r="A133">
        <v>130</v>
      </c>
      <c r="B133">
        <f t="shared" si="8"/>
        <v>259</v>
      </c>
      <c r="C133" s="8"/>
      <c r="D133" s="8"/>
      <c r="E133" s="8"/>
      <c r="F133" s="9"/>
      <c r="N133">
        <f t="shared" si="6"/>
        <v>0</v>
      </c>
      <c r="T133">
        <f t="shared" si="7"/>
        <v>3.0127000000000268</v>
      </c>
    </row>
    <row r="134" spans="1:20" x14ac:dyDescent="0.25">
      <c r="A134">
        <v>131</v>
      </c>
      <c r="B134">
        <f t="shared" si="8"/>
        <v>261</v>
      </c>
      <c r="C134" s="8"/>
      <c r="D134" s="8"/>
      <c r="E134" s="8"/>
      <c r="F134" s="9"/>
      <c r="N134">
        <f t="shared" si="6"/>
        <v>0</v>
      </c>
      <c r="T134">
        <f t="shared" si="7"/>
        <v>3.012800000000027</v>
      </c>
    </row>
    <row r="135" spans="1:20" x14ac:dyDescent="0.25">
      <c r="A135">
        <v>132</v>
      </c>
      <c r="B135">
        <f t="shared" si="8"/>
        <v>263</v>
      </c>
      <c r="C135" s="8"/>
      <c r="D135" s="8"/>
      <c r="E135" s="8"/>
      <c r="F135" s="9"/>
      <c r="N135">
        <f t="shared" si="6"/>
        <v>0</v>
      </c>
      <c r="T135">
        <f t="shared" si="7"/>
        <v>3.0129000000000272</v>
      </c>
    </row>
    <row r="136" spans="1:20" x14ac:dyDescent="0.25">
      <c r="A136">
        <v>133</v>
      </c>
      <c r="B136">
        <f t="shared" si="8"/>
        <v>265</v>
      </c>
      <c r="C136" s="8"/>
      <c r="D136" s="8"/>
      <c r="E136" s="8"/>
      <c r="F136" s="9"/>
      <c r="N136">
        <f t="shared" si="6"/>
        <v>0</v>
      </c>
      <c r="T136">
        <f t="shared" si="7"/>
        <v>3.0130000000000274</v>
      </c>
    </row>
    <row r="137" spans="1:20" x14ac:dyDescent="0.25">
      <c r="A137">
        <v>134</v>
      </c>
      <c r="B137">
        <f t="shared" si="8"/>
        <v>267</v>
      </c>
      <c r="C137" s="8"/>
      <c r="D137" s="8"/>
      <c r="E137" s="8"/>
      <c r="F137" s="9"/>
      <c r="N137">
        <f t="shared" si="6"/>
        <v>0</v>
      </c>
      <c r="T137">
        <f t="shared" si="7"/>
        <v>3.0131000000000276</v>
      </c>
    </row>
    <row r="138" spans="1:20" x14ac:dyDescent="0.25">
      <c r="A138">
        <v>135</v>
      </c>
      <c r="B138">
        <f t="shared" si="8"/>
        <v>269</v>
      </c>
      <c r="C138" s="8"/>
      <c r="D138" s="8"/>
      <c r="E138" s="8"/>
      <c r="F138" s="9"/>
      <c r="N138">
        <f t="shared" si="6"/>
        <v>0</v>
      </c>
      <c r="T138">
        <f t="shared" si="7"/>
        <v>3.0132000000000279</v>
      </c>
    </row>
    <row r="139" spans="1:20" x14ac:dyDescent="0.25">
      <c r="A139">
        <v>136</v>
      </c>
      <c r="B139">
        <f t="shared" si="8"/>
        <v>271</v>
      </c>
      <c r="C139" s="8"/>
      <c r="D139" s="8"/>
      <c r="E139" s="8"/>
      <c r="F139" s="9"/>
      <c r="N139">
        <f t="shared" si="6"/>
        <v>0</v>
      </c>
      <c r="T139">
        <f t="shared" si="7"/>
        <v>3.0133000000000281</v>
      </c>
    </row>
    <row r="140" spans="1:20" x14ac:dyDescent="0.25">
      <c r="A140">
        <v>137</v>
      </c>
      <c r="B140">
        <f t="shared" si="8"/>
        <v>273</v>
      </c>
      <c r="C140" s="8"/>
      <c r="D140" s="8"/>
      <c r="E140" s="8"/>
      <c r="F140" s="9"/>
      <c r="N140">
        <f t="shared" si="6"/>
        <v>0</v>
      </c>
      <c r="T140">
        <f t="shared" si="7"/>
        <v>3.0134000000000283</v>
      </c>
    </row>
    <row r="141" spans="1:20" x14ac:dyDescent="0.25">
      <c r="A141">
        <v>138</v>
      </c>
      <c r="B141">
        <f t="shared" si="8"/>
        <v>275</v>
      </c>
      <c r="C141" s="8"/>
      <c r="D141" s="8"/>
      <c r="E141" s="8"/>
      <c r="F141" s="9"/>
      <c r="N141">
        <f t="shared" si="6"/>
        <v>0</v>
      </c>
      <c r="T141">
        <f t="shared" si="7"/>
        <v>3.0135000000000285</v>
      </c>
    </row>
    <row r="142" spans="1:20" x14ac:dyDescent="0.25">
      <c r="A142">
        <v>139</v>
      </c>
      <c r="B142">
        <f t="shared" si="8"/>
        <v>277</v>
      </c>
      <c r="C142" s="8"/>
      <c r="D142" s="8"/>
      <c r="E142" s="8"/>
      <c r="F142" s="9"/>
      <c r="N142">
        <f t="shared" si="6"/>
        <v>0</v>
      </c>
      <c r="T142">
        <f t="shared" si="7"/>
        <v>3.0136000000000287</v>
      </c>
    </row>
    <row r="143" spans="1:20" x14ac:dyDescent="0.25">
      <c r="A143">
        <v>140</v>
      </c>
      <c r="B143">
        <f t="shared" si="8"/>
        <v>279</v>
      </c>
      <c r="C143" s="8"/>
      <c r="D143" s="8"/>
      <c r="E143" s="8"/>
      <c r="F143" s="9"/>
      <c r="N143">
        <f t="shared" si="6"/>
        <v>0</v>
      </c>
      <c r="T143">
        <f t="shared" si="7"/>
        <v>3.0137000000000289</v>
      </c>
    </row>
    <row r="144" spans="1:20" x14ac:dyDescent="0.25">
      <c r="A144">
        <v>141</v>
      </c>
      <c r="B144">
        <f t="shared" si="8"/>
        <v>281</v>
      </c>
      <c r="C144" s="8"/>
      <c r="D144" s="8"/>
      <c r="E144" s="8"/>
      <c r="F144" s="9"/>
      <c r="N144">
        <f t="shared" si="6"/>
        <v>0</v>
      </c>
      <c r="T144">
        <f t="shared" si="7"/>
        <v>3.0138000000000291</v>
      </c>
    </row>
    <row r="145" spans="1:20" x14ac:dyDescent="0.25">
      <c r="A145">
        <v>142</v>
      </c>
      <c r="B145">
        <f t="shared" si="8"/>
        <v>283</v>
      </c>
      <c r="C145" s="8"/>
      <c r="D145" s="8"/>
      <c r="E145" s="8"/>
      <c r="F145" s="9"/>
      <c r="N145">
        <f t="shared" si="6"/>
        <v>0</v>
      </c>
      <c r="T145">
        <f t="shared" si="7"/>
        <v>3.0139000000000293</v>
      </c>
    </row>
    <row r="146" spans="1:20" x14ac:dyDescent="0.25">
      <c r="A146">
        <v>143</v>
      </c>
      <c r="B146">
        <f t="shared" si="8"/>
        <v>285</v>
      </c>
      <c r="C146" s="8"/>
      <c r="D146" s="8"/>
      <c r="E146" s="8"/>
      <c r="F146" s="9"/>
      <c r="N146">
        <f t="shared" si="6"/>
        <v>0</v>
      </c>
      <c r="T146">
        <f t="shared" si="7"/>
        <v>3.0140000000000295</v>
      </c>
    </row>
    <row r="147" spans="1:20" x14ac:dyDescent="0.25">
      <c r="A147">
        <v>144</v>
      </c>
      <c r="B147">
        <f t="shared" si="8"/>
        <v>287</v>
      </c>
      <c r="C147" s="8"/>
      <c r="D147" s="8"/>
      <c r="E147" s="8"/>
      <c r="F147" s="9"/>
      <c r="N147">
        <f t="shared" si="6"/>
        <v>0</v>
      </c>
      <c r="T147">
        <f t="shared" si="7"/>
        <v>3.0141000000000298</v>
      </c>
    </row>
    <row r="148" spans="1:20" x14ac:dyDescent="0.25">
      <c r="A148">
        <v>145</v>
      </c>
      <c r="B148">
        <f t="shared" si="8"/>
        <v>289</v>
      </c>
      <c r="C148" s="8"/>
      <c r="D148" s="8"/>
      <c r="E148" s="8"/>
      <c r="F148" s="9"/>
      <c r="N148">
        <f t="shared" si="6"/>
        <v>0</v>
      </c>
      <c r="T148">
        <f t="shared" si="7"/>
        <v>3.01420000000003</v>
      </c>
    </row>
    <row r="149" spans="1:20" x14ac:dyDescent="0.25">
      <c r="A149">
        <v>146</v>
      </c>
      <c r="B149">
        <f t="shared" si="8"/>
        <v>291</v>
      </c>
      <c r="C149" s="8"/>
      <c r="D149" s="8"/>
      <c r="E149" s="8"/>
      <c r="F149" s="9"/>
      <c r="N149">
        <f t="shared" si="6"/>
        <v>0</v>
      </c>
      <c r="T149">
        <f t="shared" si="7"/>
        <v>3.0143000000000302</v>
      </c>
    </row>
    <row r="150" spans="1:20" x14ac:dyDescent="0.25">
      <c r="A150">
        <v>147</v>
      </c>
      <c r="B150">
        <f t="shared" si="8"/>
        <v>293</v>
      </c>
      <c r="C150" s="8"/>
      <c r="D150" s="8"/>
      <c r="E150" s="8"/>
      <c r="F150" s="9"/>
      <c r="N150">
        <f t="shared" si="6"/>
        <v>0</v>
      </c>
      <c r="T150">
        <f t="shared" si="7"/>
        <v>3.0144000000000304</v>
      </c>
    </row>
    <row r="151" spans="1:20" x14ac:dyDescent="0.25">
      <c r="A151">
        <v>148</v>
      </c>
      <c r="B151">
        <f t="shared" si="8"/>
        <v>295</v>
      </c>
      <c r="C151" s="8"/>
      <c r="D151" s="8"/>
      <c r="E151" s="8"/>
      <c r="F151" s="9"/>
      <c r="N151">
        <f t="shared" si="6"/>
        <v>0</v>
      </c>
      <c r="T151">
        <f t="shared" si="7"/>
        <v>3.0145000000000306</v>
      </c>
    </row>
    <row r="152" spans="1:20" x14ac:dyDescent="0.25">
      <c r="A152">
        <v>149</v>
      </c>
      <c r="B152">
        <f t="shared" si="8"/>
        <v>297</v>
      </c>
      <c r="C152" s="8"/>
      <c r="D152" s="8"/>
      <c r="E152" s="8"/>
      <c r="F152" s="9"/>
      <c r="N152">
        <f t="shared" si="6"/>
        <v>0</v>
      </c>
      <c r="T152">
        <f t="shared" si="7"/>
        <v>3.0146000000000308</v>
      </c>
    </row>
    <row r="153" spans="1:20" x14ac:dyDescent="0.25">
      <c r="A153">
        <v>150</v>
      </c>
      <c r="B153">
        <f t="shared" si="8"/>
        <v>299</v>
      </c>
      <c r="C153" s="8"/>
      <c r="D153" s="8"/>
      <c r="E153" s="8"/>
      <c r="F153" s="9"/>
      <c r="N153">
        <f t="shared" si="6"/>
        <v>0</v>
      </c>
      <c r="T153">
        <f t="shared" si="7"/>
        <v>3.014700000000031</v>
      </c>
    </row>
    <row r="154" spans="1:20" x14ac:dyDescent="0.25">
      <c r="A154">
        <v>151</v>
      </c>
      <c r="B154">
        <f t="shared" si="8"/>
        <v>301</v>
      </c>
      <c r="C154" s="8"/>
      <c r="D154" s="8"/>
      <c r="E154" s="8"/>
      <c r="F154" s="9"/>
      <c r="N154">
        <f t="shared" si="6"/>
        <v>0</v>
      </c>
      <c r="T154">
        <f t="shared" si="7"/>
        <v>3.0148000000000312</v>
      </c>
    </row>
    <row r="155" spans="1:20" x14ac:dyDescent="0.25">
      <c r="A155">
        <v>152</v>
      </c>
      <c r="B155">
        <f t="shared" si="8"/>
        <v>303</v>
      </c>
      <c r="C155" s="8"/>
      <c r="D155" s="8"/>
      <c r="E155" s="8"/>
      <c r="F155" s="9"/>
      <c r="N155">
        <f t="shared" si="6"/>
        <v>0</v>
      </c>
      <c r="T155">
        <f t="shared" si="7"/>
        <v>3.0149000000000314</v>
      </c>
    </row>
    <row r="156" spans="1:20" x14ac:dyDescent="0.25">
      <c r="A156">
        <v>153</v>
      </c>
      <c r="B156">
        <f t="shared" si="8"/>
        <v>305</v>
      </c>
      <c r="C156" s="8"/>
      <c r="D156" s="8"/>
      <c r="E156" s="8"/>
      <c r="F156" s="9"/>
      <c r="N156">
        <f t="shared" si="6"/>
        <v>0</v>
      </c>
      <c r="T156">
        <f t="shared" si="7"/>
        <v>3.0150000000000317</v>
      </c>
    </row>
    <row r="157" spans="1:20" x14ac:dyDescent="0.25">
      <c r="A157">
        <v>154</v>
      </c>
      <c r="B157">
        <f t="shared" si="8"/>
        <v>307</v>
      </c>
      <c r="C157" s="8"/>
      <c r="D157" s="8"/>
      <c r="E157" s="8"/>
      <c r="F157" s="9"/>
      <c r="N157">
        <f t="shared" si="6"/>
        <v>0</v>
      </c>
      <c r="T157">
        <f t="shared" si="7"/>
        <v>3.0151000000000319</v>
      </c>
    </row>
    <row r="158" spans="1:20" x14ac:dyDescent="0.25">
      <c r="A158">
        <v>155</v>
      </c>
      <c r="B158">
        <f t="shared" si="8"/>
        <v>309</v>
      </c>
      <c r="C158" s="8"/>
      <c r="D158" s="8"/>
      <c r="E158" s="8"/>
      <c r="F158" s="9"/>
      <c r="N158">
        <f t="shared" si="6"/>
        <v>0</v>
      </c>
      <c r="T158">
        <f t="shared" si="7"/>
        <v>3.0152000000000321</v>
      </c>
    </row>
    <row r="159" spans="1:20" x14ac:dyDescent="0.25">
      <c r="A159">
        <v>156</v>
      </c>
      <c r="B159">
        <f t="shared" si="8"/>
        <v>311</v>
      </c>
      <c r="C159" s="8"/>
      <c r="D159" s="8"/>
      <c r="E159" s="8"/>
      <c r="F159" s="9" t="str">
        <f>IF(C159="","",IF(OR(C159&lt;C121,C159&lt;C120),"Bitte Projektnummern in aufsteigender Reihenfolge eingeben",IF(AND(D159="",OR(C160&lt;&gt;"",C161&lt;&gt;"")),"Bitte Projektname ausfüllen","")))</f>
        <v/>
      </c>
      <c r="N159">
        <f t="shared" si="6"/>
        <v>0</v>
      </c>
      <c r="T159">
        <f t="shared" si="7"/>
        <v>3.0153000000000323</v>
      </c>
    </row>
    <row r="160" spans="1:20" x14ac:dyDescent="0.25">
      <c r="A160">
        <v>157</v>
      </c>
      <c r="B160">
        <f t="shared" si="8"/>
        <v>313</v>
      </c>
      <c r="C160" s="8"/>
      <c r="D160" s="8"/>
      <c r="E160" s="8"/>
      <c r="F160" s="9" t="str">
        <f>IF(C160="","",IF(OR(C160&lt;C159,C160&lt;C121),"Bitte Projektnummern in aufsteigender Reihenfolge eingeben",IF(AND(D160="",OR(C161&lt;&gt;"",C162&lt;&gt;"")),"Bitte Projektname ausfüllen","")))</f>
        <v/>
      </c>
      <c r="N160">
        <f t="shared" si="6"/>
        <v>0</v>
      </c>
      <c r="T160">
        <f t="shared" si="7"/>
        <v>3.0154000000000325</v>
      </c>
    </row>
    <row r="161" spans="1:20" x14ac:dyDescent="0.25">
      <c r="A161">
        <v>158</v>
      </c>
      <c r="B161">
        <f t="shared" si="8"/>
        <v>315</v>
      </c>
      <c r="C161" s="12"/>
      <c r="D161" s="12"/>
      <c r="F161" s="9"/>
      <c r="N161">
        <f t="shared" si="6"/>
        <v>0</v>
      </c>
      <c r="T161">
        <f t="shared" si="7"/>
        <v>3.0155000000000327</v>
      </c>
    </row>
    <row r="162" spans="1:20" x14ac:dyDescent="0.25">
      <c r="C162" s="13"/>
      <c r="D162" s="13"/>
    </row>
  </sheetData>
  <sheetProtection sheet="1" formatCells="0" formatColumns="0" formatRows="0" insertHyperlinks="0"/>
  <mergeCells count="2">
    <mergeCell ref="C1:F1"/>
    <mergeCell ref="C2:E2"/>
  </mergeCells>
  <phoneticPr fontId="0" type="noConversion"/>
  <conditionalFormatting sqref="F4:F160">
    <cfRule type="cellIs" dxfId="47" priority="2" stopIfTrue="1" operator="notEqual">
      <formula>""</formula>
    </cfRule>
  </conditionalFormatting>
  <conditionalFormatting sqref="F161">
    <cfRule type="cellIs" dxfId="46" priority="1" stopIfTrue="1" operator="notEqual">
      <formula>""</formula>
    </cfRule>
  </conditionalFormatting>
  <pageMargins left="0.78740157480314965" right="0.78740157480314965" top="0.78740157480314965" bottom="0.87" header="0.51181102362204722" footer="0.51181102362204722"/>
  <pageSetup paperSize="9" orientation="portrait" r:id="rId1"/>
  <headerFooter alignWithMargins="0">
    <oddFooter>&amp;L&amp;8Ausdruck vom &amp;D, &amp;T&amp;C&amp;8vereinsbuchhaltung.ch&amp;R&amp;8Seite  &amp;P/&amp;N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S91"/>
  <sheetViews>
    <sheetView workbookViewId="0">
      <pane xSplit="2" ySplit="6" topLeftCell="D7" activePane="bottomRight" state="frozen"/>
      <selection pane="topRight" activeCell="B1" sqref="B1"/>
      <selection pane="bottomLeft" activeCell="A7" sqref="A7"/>
      <selection pane="bottomRight" activeCell="D3" sqref="D3:D4"/>
    </sheetView>
  </sheetViews>
  <sheetFormatPr baseColWidth="10" defaultRowHeight="12.5" x14ac:dyDescent="0.25"/>
  <cols>
    <col min="1" max="3" width="10.6328125" hidden="1" customWidth="1"/>
    <col min="4" max="4" width="10.1796875" customWidth="1"/>
    <col min="5" max="5" width="11.26953125" customWidth="1"/>
    <col min="6" max="7" width="6.453125" customWidth="1"/>
    <col min="8" max="8" width="6.90625" customWidth="1"/>
    <col min="9" max="9" width="12.453125" customWidth="1"/>
    <col min="10" max="10" width="41" customWidth="1"/>
    <col min="11" max="11" width="43.1796875" customWidth="1"/>
    <col min="12" max="13" width="23.7265625" customWidth="1"/>
    <col min="14" max="21" width="11.453125" hidden="1" customWidth="1"/>
    <col min="22" max="22" width="11.453125" customWidth="1"/>
    <col min="23" max="26" width="10.90625" customWidth="1"/>
  </cols>
  <sheetData>
    <row r="1" spans="1:45" ht="51.75" customHeight="1" x14ac:dyDescent="0.25">
      <c r="B1" s="124" t="str">
        <f ca="1">Calc!H139</f>
        <v/>
      </c>
      <c r="D1" s="276" t="s">
        <v>252</v>
      </c>
      <c r="E1" s="277"/>
      <c r="F1" s="277"/>
      <c r="G1" s="277"/>
      <c r="H1" s="277"/>
      <c r="I1" s="277"/>
      <c r="J1" s="277"/>
      <c r="K1" s="279" t="s">
        <v>213</v>
      </c>
      <c r="L1" s="273" t="str">
        <f>Calc!M1</f>
        <v>Status ok</v>
      </c>
      <c r="M1" s="274"/>
    </row>
    <row r="2" spans="1:45" ht="37.5" customHeight="1" x14ac:dyDescent="0.25">
      <c r="B2" s="120">
        <f>Kontoauszug!J2</f>
        <v>0</v>
      </c>
      <c r="D2" s="278" t="s">
        <v>337</v>
      </c>
      <c r="E2" s="278"/>
      <c r="F2" s="278"/>
      <c r="G2" s="278"/>
      <c r="H2" s="278"/>
      <c r="I2" s="278"/>
      <c r="J2" s="278"/>
      <c r="K2" s="280"/>
      <c r="L2" s="275"/>
      <c r="M2" s="274"/>
      <c r="N2">
        <f>MIN(Kontenplan!E9:E100)</f>
        <v>1000</v>
      </c>
    </row>
    <row r="3" spans="1:45" x14ac:dyDescent="0.25">
      <c r="B3" s="121">
        <f>IF(Kontoauszug!K2="",65000,Kontoauszug!K2)</f>
        <v>65000</v>
      </c>
      <c r="C3" s="80"/>
      <c r="D3" s="282" t="s">
        <v>86</v>
      </c>
      <c r="E3" s="284" t="s">
        <v>62</v>
      </c>
      <c r="F3" s="286" t="s">
        <v>63</v>
      </c>
      <c r="G3" s="286"/>
      <c r="H3" s="221" t="s">
        <v>174</v>
      </c>
      <c r="I3" s="284" t="s">
        <v>64</v>
      </c>
      <c r="J3" s="284" t="s">
        <v>65</v>
      </c>
      <c r="K3" s="284" t="s">
        <v>120</v>
      </c>
      <c r="L3" s="77"/>
      <c r="M3" s="77"/>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row>
    <row r="4" spans="1:45" x14ac:dyDescent="0.25">
      <c r="A4" s="13" t="s">
        <v>103</v>
      </c>
      <c r="B4" s="106" t="s">
        <v>92</v>
      </c>
      <c r="C4" s="106" t="s">
        <v>97</v>
      </c>
      <c r="D4" s="283"/>
      <c r="E4" s="285"/>
      <c r="F4" s="78" t="s">
        <v>66</v>
      </c>
      <c r="G4" s="78" t="s">
        <v>67</v>
      </c>
      <c r="H4" s="159" t="s">
        <v>38</v>
      </c>
      <c r="I4" s="285"/>
      <c r="J4" s="285"/>
      <c r="K4" s="285"/>
      <c r="L4" s="78"/>
      <c r="M4" s="78"/>
      <c r="N4" s="13"/>
      <c r="O4" s="13"/>
      <c r="P4" s="13">
        <v>1</v>
      </c>
      <c r="Q4" s="13"/>
      <c r="R4" s="13"/>
      <c r="S4" s="13"/>
      <c r="T4" s="13"/>
      <c r="U4" s="13"/>
      <c r="V4" s="13"/>
      <c r="W4" s="13"/>
      <c r="X4" s="13"/>
      <c r="Y4" s="13"/>
      <c r="Z4" s="13"/>
      <c r="AA4" s="13"/>
    </row>
    <row r="5" spans="1:45" ht="24.5" customHeight="1" x14ac:dyDescent="0.25">
      <c r="D5" s="281" t="s">
        <v>253</v>
      </c>
      <c r="E5" s="281"/>
      <c r="F5" s="281"/>
      <c r="G5" s="281"/>
      <c r="H5" s="281"/>
      <c r="I5" s="281"/>
      <c r="J5" s="281"/>
      <c r="K5" s="281"/>
      <c r="L5" s="287" t="s">
        <v>251</v>
      </c>
      <c r="M5" s="287"/>
      <c r="P5">
        <v>2</v>
      </c>
    </row>
    <row r="6" spans="1:45" x14ac:dyDescent="0.25">
      <c r="I6" s="14"/>
      <c r="L6" s="15" t="s">
        <v>66</v>
      </c>
      <c r="M6" s="15" t="s">
        <v>67</v>
      </c>
      <c r="P6">
        <v>3</v>
      </c>
      <c r="R6" s="230" t="s">
        <v>203</v>
      </c>
      <c r="S6" s="230"/>
    </row>
    <row r="7" spans="1:45" x14ac:dyDescent="0.25">
      <c r="A7">
        <f>IF(OR(F7=Kontoauszug!$H$2,G7=Kontoauszug!$H$2),ROUND(A6+1,0),A6+0.0001)</f>
        <v>1</v>
      </c>
      <c r="B7">
        <f>IF(AND(E7&gt;=$B$2,E7&lt;=$B$3,OR(F7=Kontoauszug!$H$2,G7=Kontoauszug!$H$2)),ROUND(B6+1,0),B6+0.0001)</f>
        <v>1</v>
      </c>
      <c r="C7">
        <f>IF(H7=Projektabrechnung!$F$2,ROUND(C6+1,0),C6+0.0001)</f>
        <v>1E-4</v>
      </c>
      <c r="D7" s="225">
        <v>1</v>
      </c>
      <c r="E7" s="19">
        <v>45658</v>
      </c>
      <c r="F7" s="20">
        <v>1000</v>
      </c>
      <c r="G7" s="21">
        <v>1010</v>
      </c>
      <c r="H7" s="154"/>
      <c r="I7" s="22">
        <v>40</v>
      </c>
      <c r="J7" s="155" t="s">
        <v>290</v>
      </c>
      <c r="K7" t="str">
        <f t="shared" ref="K7:K8" si="0">IF(N7&lt;&gt;"",N7,IF(O7&lt;&gt;"",O7,IF(S7&lt;&gt;"",S7,"")))</f>
        <v/>
      </c>
      <c r="L7" s="83" t="str">
        <f>IF(F7="","",VLOOKUP(Journal!F7,Kontenplan!$E$9:$F$128,2))</f>
        <v>Kasse</v>
      </c>
      <c r="M7" s="82" t="str">
        <f>IF(G7="","",VLOOKUP(Journal!G7,Kontenplan!$E$9:$F$128,2))</f>
        <v>Postkonto</v>
      </c>
      <c r="N7" s="24" t="str">
        <f>IF(AND(G7="",I7="",J7=""),"",IF(AND(I7&gt;0,F7=""),"Bitte Sollkontonummer eingeben",IF(AND(I7&gt;0,G7=""),"Bitte Habenkontonummer eingeben",IF(F7&lt;$N$2,"Sollkontonummer nicht im Kontenplan",IF(VLOOKUP(F7,Kontenplan!$E$9:$E$128,1)&lt;&gt;F7,"Sollkontonummer nicht im Kontenplan",IF(G7&lt;$N$2,"Habenkontonummer nicht im Kontenplan",IF(OR(G7&lt;1000,G7&gt;9999,VLOOKUP(G7,Kontenplan!$E$9:$F$128,1)&lt;&gt;G7),"Habenkontonummer nicht im Kontenplan","")))))))</f>
        <v/>
      </c>
      <c r="O7" s="24" t="str">
        <f t="shared" ref="O7:O62" si="1">IF(AND(D8&lt;&gt;"",G7&gt;0,F7&gt;0,OR(I7="",I7&lt;=0)),"Bitte Betrag prüfen",IF(AND(J7="",D8&gt;0),"Kein Text ist ok, aber nicht empfehlenswert",IF(AND(E7&lt;&gt;"",G7&lt;&gt;"",D7=0),"Bitte Beleg-Nr. prüfen",IF(AND(F7&lt;&gt;"",F7=G7),"Soll- und Habenkontonr. identisch",IF(OR(AND(E7="",G7&gt;0),AND(E7&lt;MAX(E6)-20,G7&gt;0)),"Datum möglicherweise falsch","")))))</f>
        <v/>
      </c>
      <c r="P7">
        <v>4</v>
      </c>
      <c r="Q7" s="24"/>
      <c r="R7" s="24">
        <f>IF(H7&lt;&gt;"",VLOOKUP(H7,Projektliste!$C$4:$C$160,1,-102),-101)</f>
        <v>-101</v>
      </c>
      <c r="S7" s="24" t="str">
        <f>IF(H7="","",IF(H7&lt;MIN(Projektliste!$C$4:$C$19),"Projektnummer nicht in Projektliste",IF(H7&lt;&gt;R7,"Projektnummer nicht in Projektliste","")))</f>
        <v/>
      </c>
      <c r="T7" s="24"/>
      <c r="U7" s="24"/>
      <c r="V7" s="24"/>
      <c r="W7" s="24"/>
      <c r="X7" s="24"/>
      <c r="Z7" s="24"/>
      <c r="AA7" s="24"/>
    </row>
    <row r="8" spans="1:45" x14ac:dyDescent="0.25">
      <c r="A8">
        <f>IF(OR(F8=Kontoauszug!$H$2,G8=Kontoauszug!$H$2),ROUND(A7+1,0),A7+0.0001)</f>
        <v>1.0001</v>
      </c>
      <c r="B8">
        <f>IF(AND(E8&gt;=$B$2,E8&lt;=$B$3,OR(F8=Kontoauszug!$H$2,G8=Kontoauszug!$H$2)),ROUND(B7+1,0),B7+0.0001)</f>
        <v>1.0001</v>
      </c>
      <c r="C8">
        <f>IF(H8=Projektabrechnung!$F$2,ROUND(C7+1,0),C7+0.0001)</f>
        <v>2.0000000000000001E-4</v>
      </c>
      <c r="D8" s="225"/>
      <c r="E8" s="19"/>
      <c r="F8" s="20"/>
      <c r="G8" s="21"/>
      <c r="H8" s="154"/>
      <c r="I8" s="259"/>
      <c r="J8" s="157"/>
      <c r="K8" t="str">
        <f t="shared" si="0"/>
        <v/>
      </c>
      <c r="L8" s="83" t="str">
        <f>IF(F8="","",VLOOKUP(Journal!F8,Kontenplan!$E$9:$F$128,2))</f>
        <v/>
      </c>
      <c r="M8" s="82" t="str">
        <f>IF(G8="","",VLOOKUP(Journal!G8,Kontenplan!$E$9:$F$128,2))</f>
        <v/>
      </c>
      <c r="N8" s="24" t="str">
        <f>IF(AND(G8="",I8="",J8=""),"",IF(AND(I8&gt;0,F8=""),"Bitte Sollkontonummer eingeben",IF(AND(I8&gt;0,G8=""),"Bitte Habenkontonummer eingeben",IF(F8&lt;$N$2,"Sollkontonummer nicht im Kontenplan",IF(VLOOKUP(F8,Kontenplan!$E$9:$E$128,1)&lt;&gt;F8,"Sollkontonummer nicht im Kontenplan",IF(G8&lt;$N$2,"Habenkontonummer nicht im Kontenplan",IF(OR(G8&lt;1000,G8&gt;9999,VLOOKUP(G8,Kontenplan!$E$9:$F$128,1)&lt;&gt;G8),"Habenkontonummer nicht im Kontenplan","")))))))</f>
        <v/>
      </c>
      <c r="O8" s="24" t="str">
        <f t="shared" si="1"/>
        <v/>
      </c>
      <c r="P8">
        <v>5</v>
      </c>
      <c r="Q8" s="24"/>
      <c r="R8" s="24">
        <f>IF(H8&lt;&gt;"",VLOOKUP(H8,Projektliste!$C$4:$C$160,1,-102),-101)</f>
        <v>-101</v>
      </c>
      <c r="S8" s="24" t="str">
        <f>IF(H8="","",IF(H8&lt;MIN(Projektliste!$C$4:$C$19),"Projektnummer nicht in Projektliste",IF(H8&lt;&gt;R8,"Projektnummer nicht in Projektliste","")))</f>
        <v/>
      </c>
      <c r="T8" s="24"/>
      <c r="U8" s="24"/>
      <c r="V8" s="24"/>
      <c r="W8" s="24"/>
      <c r="X8" s="24"/>
      <c r="Z8" s="24"/>
      <c r="AA8" s="24"/>
    </row>
    <row r="9" spans="1:45" x14ac:dyDescent="0.25">
      <c r="A9">
        <f>IF(OR(F9=Kontoauszug!$H$2,G9=Kontoauszug!$H$2),ROUND(A8+1,0),A8+0.0001)</f>
        <v>1.0002</v>
      </c>
      <c r="B9">
        <f>IF(AND(E9&gt;=$B$2,E9&lt;=$B$3,OR(F9=Kontoauszug!$H$2,G9=Kontoauszug!$H$2)),ROUND(B8+1,0),B8+0.0001)</f>
        <v>1.0002</v>
      </c>
      <c r="C9">
        <f>IF(H9=Projektabrechnung!$F$2,ROUND(C8+1,0),C8+0.0001)</f>
        <v>3.0000000000000003E-4</v>
      </c>
      <c r="D9" s="225"/>
      <c r="E9" s="19"/>
      <c r="F9" s="20"/>
      <c r="G9" s="21"/>
      <c r="H9" s="154"/>
      <c r="I9" s="22"/>
      <c r="J9" s="157"/>
      <c r="K9" t="str">
        <f>IF(N9&lt;&gt;"",N9,IF(O9&lt;&gt;"",O9,IF(S9&lt;&gt;"",S9,"")))</f>
        <v/>
      </c>
      <c r="L9" s="83" t="str">
        <f>IF(F9="","",VLOOKUP(Journal!F9,Kontenplan!$E$9:$F$128,2))</f>
        <v/>
      </c>
      <c r="M9" s="82" t="str">
        <f>IF(G9="","",VLOOKUP(Journal!G9,Kontenplan!$E$9:$F$128,2))</f>
        <v/>
      </c>
      <c r="N9" s="24" t="str">
        <f>IF(AND(G9="",I9="",J9=""),"",IF(AND(I9&gt;0,F9=""),"Bitte Sollkontonummer eingeben",IF(AND(I9&gt;0,G9=""),"Bitte Habenkontonummer eingeben",IF(F9&lt;$N$2,"Sollkontonummer nicht im Kontenplan",IF(VLOOKUP(F9,Kontenplan!$E$9:$E$128,1)&lt;&gt;F9,"Sollkontonummer nicht im Kontenplan",IF(G9&lt;$N$2,"Habenkontonummer nicht im Kontenplan",IF(OR(G9&lt;1000,G9&gt;9999,VLOOKUP(G9,Kontenplan!$E$9:$F$128,1)&lt;&gt;G9),"Habenkontonummer nicht im Kontenplan","")))))))</f>
        <v/>
      </c>
      <c r="O9" s="24" t="str">
        <f>IF(AND(D10&lt;&gt;"",G9&gt;0,F9&gt;0,OR(I9="",I9&lt;=0)),"Bitte Betrag prüfen",IF(AND(J9="",D10&gt;0),"Kein Text ist ok, aber nicht empfehlenswert",IF(AND(E9&lt;&gt;"",G9&lt;&gt;"",D9=0),"Bitte Beleg-Nr. prüfen",IF(AND(F9&lt;&gt;"",F9=G9),"Soll- und Habenkontonr. identisch",IF(OR(AND(E9="",G9&gt;0),AND(E9&lt;MAX(E8)-20,G9&gt;0)),"Datum möglicherweise falsch","")))))</f>
        <v/>
      </c>
      <c r="P9">
        <v>6</v>
      </c>
      <c r="Q9" s="24"/>
      <c r="R9" s="24">
        <f>IF(H9&lt;&gt;"",VLOOKUP(H9,Projektliste!$C$4:$C$160,1,-102),-101)</f>
        <v>-101</v>
      </c>
      <c r="S9" s="24" t="str">
        <f>IF(H9="","",IF(H9&lt;MIN(Projektliste!$C$4:$C$19),"Projektnummer nicht in Projektliste",IF(H9&lt;&gt;R9,"Projektnummer nicht in Projektliste","")))</f>
        <v/>
      </c>
      <c r="T9" s="24"/>
      <c r="U9" s="24"/>
      <c r="V9" s="24"/>
      <c r="W9" s="24"/>
      <c r="X9" s="24"/>
      <c r="Z9" s="24"/>
      <c r="AA9" s="24"/>
    </row>
    <row r="10" spans="1:45" x14ac:dyDescent="0.25">
      <c r="A10">
        <f>IF(OR(F10=Kontoauszug!$H$2,G10=Kontoauszug!$H$2),ROUND(A9+1,0),A9+0.0001)</f>
        <v>1.0003</v>
      </c>
      <c r="B10">
        <f>IF(AND(E10&gt;=$B$2,E10&lt;=$B$3,OR(F10=Kontoauszug!$H$2,G10=Kontoauszug!$H$2)),ROUND(B9+1,0),B9+0.0001)</f>
        <v>1.0003</v>
      </c>
      <c r="C10">
        <f>IF(H10=Projektabrechnung!$F$2,ROUND(C9+1,0),C9+0.0001)</f>
        <v>4.0000000000000002E-4</v>
      </c>
      <c r="D10" s="225"/>
      <c r="E10" s="19"/>
      <c r="F10" s="20"/>
      <c r="G10" s="21"/>
      <c r="H10" s="154"/>
      <c r="I10" s="22"/>
      <c r="J10" s="157"/>
      <c r="K10" t="str">
        <f t="shared" ref="K10:K68" si="2">IF(N10&lt;&gt;"",N10,IF(O10&lt;&gt;"",O10,IF(S10&lt;&gt;"",S10,"")))</f>
        <v/>
      </c>
      <c r="L10" s="83" t="str">
        <f>IF(F10="","",VLOOKUP(Journal!F10,Kontenplan!$E$9:$F$128,2))</f>
        <v/>
      </c>
      <c r="M10" s="82" t="str">
        <f>IF(G10="","",VLOOKUP(Journal!G10,Kontenplan!$E$9:$F$128,2))</f>
        <v/>
      </c>
      <c r="N10" s="24" t="str">
        <f>IF(AND(G10="",I10="",J10=""),"",IF(AND(I10&gt;0,F10=""),"Bitte Sollkontonummer eingeben",IF(AND(I10&gt;0,G10=""),"Bitte Habenkontonummer eingeben",IF(F10&lt;$N$2,"Sollkontonummer nicht im Kontenplan",IF(VLOOKUP(F10,Kontenplan!$E$9:$E$128,1)&lt;&gt;F10,"Sollkontonummer nicht im Kontenplan",IF(G10&lt;$N$2,"Habenkontonummer nicht im Kontenplan",IF(OR(G10&lt;1000,G10&gt;9999,VLOOKUP(G10,Kontenplan!$E$9:$F$128,1)&lt;&gt;G10),"Habenkontonummer nicht im Kontenplan","")))))))</f>
        <v/>
      </c>
      <c r="O10" s="24" t="str">
        <f>IF(AND(D11&lt;&gt;"",G10&gt;0,F10&gt;0,OR(I10="",I10&lt;=0)),"Bitte Betrag prüfen",IF(AND(J10="",D11&gt;0),"Kein Text ist ok, aber nicht empfehlenswert",IF(AND(E10&lt;&gt;"",G10&lt;&gt;"",D10=0),"Bitte Beleg-Nr. prüfen",IF(AND(F10&lt;&gt;"",F10=G10),"Soll- und Habenkontonr. identisch",IF(OR(AND(E10="",G10&gt;0),AND(E10&lt;MAX(E9)-20,G10&gt;0)),"Datum möglicherweise falsch","")))))</f>
        <v/>
      </c>
      <c r="P10">
        <v>7</v>
      </c>
      <c r="Q10" s="24"/>
      <c r="R10" s="24">
        <f>IF(H10&lt;&gt;"",VLOOKUP(H10,Projektliste!$C$4:$C$160,1,-102),-101)</f>
        <v>-101</v>
      </c>
      <c r="S10" s="24" t="str">
        <f>IF(H10="","",IF(H10&lt;MIN(Projektliste!$C$4:$C$19),"Projektnummer nicht in Projektliste",IF(H10&lt;&gt;R10,"Projektnummer nicht in Projektliste","")))</f>
        <v/>
      </c>
      <c r="T10" s="24"/>
      <c r="U10" s="24"/>
      <c r="V10" s="24"/>
      <c r="W10" s="24"/>
      <c r="X10" s="24"/>
      <c r="Z10" s="24"/>
      <c r="AA10" s="24"/>
    </row>
    <row r="11" spans="1:45" x14ac:dyDescent="0.25">
      <c r="A11">
        <f>IF(OR(F11=Kontoauszug!$H$2,G11=Kontoauszug!$H$2),ROUND(A10+1,0),A10+0.0001)</f>
        <v>1.0004</v>
      </c>
      <c r="B11">
        <f>IF(AND(E11&gt;=$B$2,E11&lt;=$B$3,OR(F11=Kontoauszug!$H$2,G11=Kontoauszug!$H$2)),ROUND(B10+1,0),B10+0.0001)</f>
        <v>1.0004</v>
      </c>
      <c r="C11">
        <f>IF(H11=Projektabrechnung!$F$2,ROUND(C10+1,0),C10+0.0001)</f>
        <v>5.0000000000000001E-4</v>
      </c>
      <c r="D11" s="225"/>
      <c r="E11" s="19"/>
      <c r="F11" s="20"/>
      <c r="G11" s="21"/>
      <c r="H11" s="154"/>
      <c r="I11" s="22"/>
      <c r="J11" s="157"/>
      <c r="K11" t="str">
        <f t="shared" si="2"/>
        <v/>
      </c>
      <c r="L11" s="83" t="str">
        <f>IF(F11="","",VLOOKUP(Journal!F11,Kontenplan!$E$9:$F$128,2))</f>
        <v/>
      </c>
      <c r="M11" s="82" t="str">
        <f>IF(G11="","",VLOOKUP(Journal!G11,Kontenplan!$E$9:$F$128,2))</f>
        <v/>
      </c>
      <c r="N11" s="24" t="str">
        <f>IF(AND(G11="",I11="",J11=""),"",IF(AND(I11&gt;0,F11=""),"Bitte Sollkontonummer eingeben",IF(AND(I11&gt;0,G11=""),"Bitte Habenkontonummer eingeben",IF(F11&lt;$N$2,"Sollkontonummer nicht im Kontenplan",IF(VLOOKUP(F11,Kontenplan!$E$9:$E$128,1)&lt;&gt;F11,"Sollkontonummer nicht im Kontenplan",IF(G11&lt;$N$2,"Habenkontonummer nicht im Kontenplan",IF(OR(G11&lt;1000,G11&gt;9999,VLOOKUP(G11,Kontenplan!$E$9:$F$128,1)&lt;&gt;G11),"Habenkontonummer nicht im Kontenplan","")))))))</f>
        <v/>
      </c>
      <c r="O11" s="24" t="str">
        <f>IF(AND(D12&lt;&gt;"",G11&gt;0,F11&gt;0,OR(I11="",I11&lt;=0)),"Bitte Betrag prüfen",IF(AND(J11="",D12&gt;0),"Kein Text ist ok, aber nicht empfehlenswert",IF(AND(E11&lt;&gt;"",G11&lt;&gt;"",D11=0),"Bitte Beleg-Nr. prüfen",IF(AND(F11&lt;&gt;"",F11=G11),"Soll- und Habenkontonr. identisch",IF(OR(AND(E11="",G11&gt;0),AND(E11&lt;MAX(E10)-20,G11&gt;0)),"Datum möglicherweise falsch","")))))</f>
        <v/>
      </c>
      <c r="P11" s="13">
        <v>8</v>
      </c>
      <c r="Q11" s="24"/>
      <c r="R11" s="24">
        <f>IF(H11&lt;&gt;"",VLOOKUP(H11,Projektliste!$C$4:$C$160,1,-102),-101)</f>
        <v>-101</v>
      </c>
      <c r="S11" s="24" t="str">
        <f>IF(H11="","",IF(H11&lt;MIN(Projektliste!$C$4:$C$19),"Projektnummer nicht in Projektliste",IF(H11&lt;&gt;R11,"Projektnummer nicht in Projektliste","")))</f>
        <v/>
      </c>
      <c r="T11" s="24"/>
      <c r="U11" s="24"/>
      <c r="V11" s="24"/>
      <c r="W11" s="24"/>
      <c r="X11" s="24"/>
      <c r="Z11" s="24"/>
      <c r="AA11" s="24"/>
    </row>
    <row r="12" spans="1:45" x14ac:dyDescent="0.25">
      <c r="A12">
        <f>IF(OR(F12=Kontoauszug!$H$2,G12=Kontoauszug!$H$2),ROUND(A11+1,0),A11+0.0001)</f>
        <v>1.0004999999999999</v>
      </c>
      <c r="B12">
        <f>IF(AND(E12&gt;=$B$2,E12&lt;=$B$3,OR(F12=Kontoauszug!$H$2,G12=Kontoauszug!$H$2)),ROUND(B11+1,0),B11+0.0001)</f>
        <v>1.0004999999999999</v>
      </c>
      <c r="C12">
        <f>IF(H12=Projektabrechnung!$F$2,ROUND(C11+1,0),C11+0.0001)</f>
        <v>6.0000000000000006E-4</v>
      </c>
      <c r="D12" s="225"/>
      <c r="E12" s="19"/>
      <c r="F12" s="20"/>
      <c r="G12" s="21"/>
      <c r="H12" s="154"/>
      <c r="I12" s="22"/>
      <c r="J12" s="157"/>
      <c r="K12" t="str">
        <f t="shared" si="2"/>
        <v/>
      </c>
      <c r="L12" s="83" t="str">
        <f>IF(F12="","",VLOOKUP(Journal!F12,Kontenplan!$E$9:$F$128,2))</f>
        <v/>
      </c>
      <c r="M12" s="82" t="str">
        <f>IF(G12="","",VLOOKUP(Journal!G12,Kontenplan!$E$9:$F$128,2))</f>
        <v/>
      </c>
      <c r="N12" s="24" t="str">
        <f>IF(AND(G12="",I12="",J12=""),"",IF(AND(I12&gt;0,F12=""),"Bitte Sollkontonummer eingeben",IF(AND(I12&gt;0,G12=""),"Bitte Habenkontonummer eingeben",IF(F12&lt;$N$2,"Sollkontonummer nicht im Kontenplan",IF(VLOOKUP(F12,Kontenplan!$E$9:$E$128,1)&lt;&gt;F12,"Sollkontonummer nicht im Kontenplan",IF(G12&lt;$N$2,"Habenkontonummer nicht im Kontenplan",IF(OR(G12&lt;1000,G12&gt;9999,VLOOKUP(G12,Kontenplan!$E$9:$F$128,1)&lt;&gt;G12),"Habenkontonummer nicht im Kontenplan","")))))))</f>
        <v/>
      </c>
      <c r="O12" s="24" t="str">
        <f>IF(AND(D13&lt;&gt;"",G12&gt;0,F12&gt;0,OR(I12="",I12&lt;=0)),"Bitte Betrag prüfen",IF(AND(J12="",D13&gt;0),"Kein Text ist ok, aber nicht empfehlenswert",IF(AND(E12&lt;&gt;"",G12&lt;&gt;"",D12=0),"Bitte Beleg-Nr. prüfen",IF(AND(F12&lt;&gt;"",F12=G12),"Soll- und Habenkontonr. identisch",IF(OR(AND(E12="",G12&gt;0),AND(E12&lt;MAX(E11)-20,G12&gt;0)),"Datum möglicherweise falsch","")))))</f>
        <v/>
      </c>
      <c r="P12">
        <v>9</v>
      </c>
      <c r="Q12" s="24"/>
      <c r="R12" s="24">
        <f>IF(H12&lt;&gt;"",VLOOKUP(H12,Projektliste!$C$4:$C$160,1,-102),-101)</f>
        <v>-101</v>
      </c>
      <c r="S12" s="24" t="str">
        <f>IF(H12="","",IF(H12&lt;MIN(Projektliste!$C$4:$C$19),"Projektnummer nicht in Projektliste",IF(H12&lt;&gt;R12,"Projektnummer nicht in Projektliste","")))</f>
        <v/>
      </c>
      <c r="T12" s="24"/>
      <c r="U12" s="24"/>
      <c r="V12" s="24"/>
      <c r="W12" s="24"/>
      <c r="X12" s="24"/>
      <c r="Z12" s="24"/>
      <c r="AA12" s="24"/>
    </row>
    <row r="13" spans="1:45" x14ac:dyDescent="0.25">
      <c r="A13">
        <f>IF(OR(F13=Kontoauszug!$H$2,G13=Kontoauszug!$H$2),ROUND(A12+1,0),A12+0.0001)</f>
        <v>1.0005999999999999</v>
      </c>
      <c r="B13">
        <f>IF(AND(E13&gt;=$B$2,E13&lt;=$B$3,OR(F13=Kontoauszug!$H$2,G13=Kontoauszug!$H$2)),ROUND(B12+1,0),B12+0.0001)</f>
        <v>1.0005999999999999</v>
      </c>
      <c r="C13">
        <f>IF(H13=Projektabrechnung!$F$2,ROUND(C12+1,0),C12+0.0001)</f>
        <v>7.000000000000001E-4</v>
      </c>
      <c r="D13" s="225"/>
      <c r="E13" s="19"/>
      <c r="F13" s="20"/>
      <c r="G13" s="21"/>
      <c r="H13" s="154"/>
      <c r="I13" s="22"/>
      <c r="J13" s="157"/>
      <c r="K13" t="str">
        <f t="shared" si="2"/>
        <v/>
      </c>
      <c r="L13" s="83" t="str">
        <f>IF(F13="","",VLOOKUP(Journal!F13,Kontenplan!$E$9:$F$128,2))</f>
        <v/>
      </c>
      <c r="M13" s="82" t="str">
        <f>IF(G13="","",VLOOKUP(Journal!G13,Kontenplan!$E$9:$F$128,2))</f>
        <v/>
      </c>
      <c r="N13" s="24" t="str">
        <f>IF(AND(G13="",I13="",J13=""),"",IF(AND(I13&gt;0,F13=""),"Bitte Sollkontonummer eingeben",IF(AND(I13&gt;0,G13=""),"Bitte Habenkontonummer eingeben",IF(F13&lt;$N$2,"Sollkontonummer nicht im Kontenplan",IF(VLOOKUP(F13,Kontenplan!$E$9:$E$128,1)&lt;&gt;F13,"Sollkontonummer nicht im Kontenplan",IF(G13&lt;$N$2,"Habenkontonummer nicht im Kontenplan",IF(OR(G13&lt;1000,G13&gt;9999,VLOOKUP(G13,Kontenplan!$E$9:$F$128,1)&lt;&gt;G13),"Habenkontonummer nicht im Kontenplan","")))))))</f>
        <v/>
      </c>
      <c r="O13" s="24" t="str">
        <f t="shared" si="1"/>
        <v/>
      </c>
      <c r="P13">
        <v>10</v>
      </c>
      <c r="Q13" s="24"/>
      <c r="R13" s="24">
        <f>IF(H13&lt;&gt;"",VLOOKUP(H13,Projektliste!$C$4:$C$160,1,-102),-101)</f>
        <v>-101</v>
      </c>
      <c r="S13" s="24" t="str">
        <f>IF(H13="","",IF(H13&lt;MIN(Projektliste!$C$4:$C$19),"Projektnummer nicht in Projektliste",IF(H13&lt;&gt;R13,"Projektnummer nicht in Projektliste","")))</f>
        <v/>
      </c>
      <c r="T13" s="24"/>
      <c r="U13" s="24"/>
      <c r="V13" s="24"/>
      <c r="W13" s="24"/>
      <c r="X13" s="24"/>
      <c r="Z13" s="24"/>
      <c r="AA13" s="24"/>
    </row>
    <row r="14" spans="1:45" x14ac:dyDescent="0.25">
      <c r="A14">
        <f>IF(OR(F14=Kontoauszug!$H$2,G14=Kontoauszug!$H$2),ROUND(A13+1,0),A13+0.0001)</f>
        <v>1.0006999999999999</v>
      </c>
      <c r="B14">
        <f>IF(AND(E14&gt;=$B$2,E14&lt;=$B$3,OR(F14=Kontoauszug!$H$2,G14=Kontoauszug!$H$2)),ROUND(B13+1,0),B13+0.0001)</f>
        <v>1.0006999999999999</v>
      </c>
      <c r="C14">
        <f>IF(H14=Projektabrechnung!$F$2,ROUND(C13+1,0),C13+0.0001)</f>
        <v>8.0000000000000015E-4</v>
      </c>
      <c r="D14" s="225"/>
      <c r="E14" s="19"/>
      <c r="F14" s="20"/>
      <c r="G14" s="21"/>
      <c r="H14" s="154"/>
      <c r="I14" s="22"/>
      <c r="J14" s="157"/>
      <c r="K14" t="str">
        <f t="shared" si="2"/>
        <v/>
      </c>
      <c r="L14" s="83" t="str">
        <f>IF(F14="","",VLOOKUP(Journal!F14,Kontenplan!$E$9:$F$128,2))</f>
        <v/>
      </c>
      <c r="M14" s="82" t="str">
        <f>IF(G14="","",VLOOKUP(Journal!G14,Kontenplan!$E$9:$F$128,2))</f>
        <v/>
      </c>
      <c r="N14" s="24" t="str">
        <f>IF(AND(G14="",I14="",J14=""),"",IF(AND(I14&gt;0,F14=""),"Bitte Sollkontonummer eingeben",IF(AND(I14&gt;0,G14=""),"Bitte Habenkontonummer eingeben",IF(F14&lt;$N$2,"Sollkontonummer nicht im Kontenplan",IF(VLOOKUP(F14,Kontenplan!$E$9:$E$128,1)&lt;&gt;F14,"Sollkontonummer nicht im Kontenplan",IF(G14&lt;$N$2,"Habenkontonummer nicht im Kontenplan",IF(OR(G14&lt;1000,G14&gt;9999,VLOOKUP(G14,Kontenplan!$E$9:$F$128,1)&lt;&gt;G14),"Habenkontonummer nicht im Kontenplan","")))))))</f>
        <v/>
      </c>
      <c r="O14" s="24" t="str">
        <f t="shared" si="1"/>
        <v/>
      </c>
      <c r="P14">
        <v>11</v>
      </c>
      <c r="Q14" s="24"/>
      <c r="R14" s="24">
        <f>IF(H14&lt;&gt;"",VLOOKUP(H14,Projektliste!$C$4:$C$160,1,-102),-101)</f>
        <v>-101</v>
      </c>
      <c r="S14" s="24" t="str">
        <f>IF(H14="","",IF(H14&lt;MIN(Projektliste!$C$4:$C$19),"Projektnummer nicht in Projektliste",IF(H14&lt;&gt;R14,"Projektnummer nicht in Projektliste","")))</f>
        <v/>
      </c>
      <c r="T14" s="24"/>
      <c r="U14" s="24"/>
      <c r="V14" s="24"/>
      <c r="W14" s="24"/>
      <c r="X14" s="24"/>
      <c r="Z14" s="24"/>
      <c r="AA14" s="24"/>
    </row>
    <row r="15" spans="1:45" x14ac:dyDescent="0.25">
      <c r="A15">
        <f>IF(OR(F15=Kontoauszug!$H$2,G15=Kontoauszug!$H$2),ROUND(A14+1,0),A14+0.0001)</f>
        <v>1.0007999999999999</v>
      </c>
      <c r="B15">
        <f>IF(AND(E15&gt;=$B$2,E15&lt;=$B$3,OR(F15=Kontoauszug!$H$2,G15=Kontoauszug!$H$2)),ROUND(B14+1,0),B14+0.0001)</f>
        <v>1.0007999999999999</v>
      </c>
      <c r="C15">
        <f>IF(H15=Projektabrechnung!$F$2,ROUND(C14+1,0),C14+0.0001)</f>
        <v>9.0000000000000019E-4</v>
      </c>
      <c r="D15" s="225"/>
      <c r="E15" s="19"/>
      <c r="F15" s="20"/>
      <c r="G15" s="21"/>
      <c r="H15" s="154"/>
      <c r="I15" s="22"/>
      <c r="J15" s="157"/>
      <c r="K15" t="str">
        <f t="shared" si="2"/>
        <v/>
      </c>
      <c r="L15" s="83" t="str">
        <f>IF(F15="","",VLOOKUP(Journal!F15,Kontenplan!$E$9:$F$128,2))</f>
        <v/>
      </c>
      <c r="M15" s="82" t="str">
        <f>IF(G15="","",VLOOKUP(Journal!G15,Kontenplan!$E$9:$F$128,2))</f>
        <v/>
      </c>
      <c r="N15" s="24" t="str">
        <f>IF(AND(G15="",I15="",J15=""),"",IF(AND(I15&gt;0,F15=""),"Bitte Sollkontonummer eingeben",IF(AND(I15&gt;0,G15=""),"Bitte Habenkontonummer eingeben",IF(F15&lt;$N$2,"Sollkontonummer nicht im Kontenplan",IF(VLOOKUP(F15,Kontenplan!$E$9:$E$128,1)&lt;&gt;F15,"Sollkontonummer nicht im Kontenplan",IF(G15&lt;$N$2,"Habenkontonummer nicht im Kontenplan",IF(OR(G15&lt;1000,G15&gt;9999,VLOOKUP(G15,Kontenplan!$E$9:$F$128,1)&lt;&gt;G15),"Habenkontonummer nicht im Kontenplan","")))))))</f>
        <v/>
      </c>
      <c r="O15" s="24" t="str">
        <f t="shared" si="1"/>
        <v/>
      </c>
      <c r="P15">
        <v>12</v>
      </c>
      <c r="Q15" s="24"/>
      <c r="R15" s="24">
        <f>IF(H15&lt;&gt;"",VLOOKUP(H15,Projektliste!$C$4:$C$160,1,-102),-101)</f>
        <v>-101</v>
      </c>
      <c r="S15" s="24" t="str">
        <f>IF(H15="","",IF(H15&lt;MIN(Projektliste!$C$4:$C$19),"Projektnummer nicht in Projektliste",IF(H15&lt;&gt;R15,"Projektnummer nicht in Projektliste","")))</f>
        <v/>
      </c>
      <c r="T15" s="24"/>
      <c r="U15" s="24"/>
      <c r="V15" s="24"/>
      <c r="W15" s="24"/>
      <c r="X15" s="24"/>
      <c r="Z15" s="24"/>
      <c r="AA15" s="24"/>
    </row>
    <row r="16" spans="1:45" x14ac:dyDescent="0.25">
      <c r="A16">
        <f>IF(OR(F16=Kontoauszug!$H$2,G16=Kontoauszug!$H$2),ROUND(A15+1,0),A15+0.0001)</f>
        <v>1.0008999999999999</v>
      </c>
      <c r="B16">
        <f>IF(AND(E16&gt;=$B$2,E16&lt;=$B$3,OR(F16=Kontoauszug!$H$2,G16=Kontoauszug!$H$2)),ROUND(B15+1,0),B15+0.0001)</f>
        <v>1.0008999999999999</v>
      </c>
      <c r="C16">
        <f>IF(H16=Projektabrechnung!$F$2,ROUND(C15+1,0),C15+0.0001)</f>
        <v>1.0000000000000002E-3</v>
      </c>
      <c r="D16" s="225"/>
      <c r="E16" s="19"/>
      <c r="F16" s="20"/>
      <c r="G16" s="21"/>
      <c r="H16" s="154"/>
      <c r="I16" s="22"/>
      <c r="J16" s="157"/>
      <c r="K16" t="str">
        <f t="shared" si="2"/>
        <v/>
      </c>
      <c r="L16" s="83" t="str">
        <f>IF(F16="","",VLOOKUP(Journal!F16,Kontenplan!$E$9:$F$128,2))</f>
        <v/>
      </c>
      <c r="M16" s="82" t="str">
        <f>IF(G16="","",VLOOKUP(Journal!G16,Kontenplan!$E$9:$F$128,2))</f>
        <v/>
      </c>
      <c r="N16" s="24" t="str">
        <f>IF(AND(G16="",I16="",J16=""),"",IF(AND(I16&gt;0,F16=""),"Bitte Sollkontonummer eingeben",IF(AND(I16&gt;0,G16=""),"Bitte Habenkontonummer eingeben",IF(F16&lt;$N$2,"Sollkontonummer nicht im Kontenplan",IF(VLOOKUP(F16,Kontenplan!$E$9:$E$128,1)&lt;&gt;F16,"Sollkontonummer nicht im Kontenplan",IF(G16&lt;$N$2,"Habenkontonummer nicht im Kontenplan",IF(OR(G16&lt;1000,G16&gt;9999,VLOOKUP(G16,Kontenplan!$E$9:$F$128,1)&lt;&gt;G16),"Habenkontonummer nicht im Kontenplan","")))))))</f>
        <v/>
      </c>
      <c r="O16" s="24" t="str">
        <f t="shared" si="1"/>
        <v/>
      </c>
      <c r="P16">
        <v>13</v>
      </c>
      <c r="Q16" s="24"/>
      <c r="R16" s="24">
        <f>IF(H16&lt;&gt;"",VLOOKUP(H16,Projektliste!$C$4:$C$160,1,-102),-101)</f>
        <v>-101</v>
      </c>
      <c r="S16" s="24" t="str">
        <f>IF(H16="","",IF(H16&lt;MIN(Projektliste!$C$4:$C$19),"Projektnummer nicht in Projektliste",IF(H16&lt;&gt;R16,"Projektnummer nicht in Projektliste","")))</f>
        <v/>
      </c>
      <c r="T16" s="24"/>
      <c r="U16" s="24"/>
      <c r="V16" s="24"/>
      <c r="W16" s="24"/>
      <c r="X16" s="24"/>
      <c r="Z16" s="24"/>
      <c r="AA16" s="24"/>
    </row>
    <row r="17" spans="1:27" x14ac:dyDescent="0.25">
      <c r="A17">
        <f>IF(OR(F17=Kontoauszug!$H$2,G17=Kontoauszug!$H$2),ROUND(A16+1,0),A16+0.0001)</f>
        <v>1.0009999999999999</v>
      </c>
      <c r="B17">
        <f>IF(AND(E17&gt;=$B$2,E17&lt;=$B$3,OR(F17=Kontoauszug!$H$2,G17=Kontoauszug!$H$2)),ROUND(B16+1,0),B16+0.0001)</f>
        <v>1.0009999999999999</v>
      </c>
      <c r="C17">
        <f>IF(H17=Projektabrechnung!$F$2,ROUND(C16+1,0),C16+0.0001)</f>
        <v>1.1000000000000003E-3</v>
      </c>
      <c r="D17" s="225"/>
      <c r="E17" s="19"/>
      <c r="F17" s="20"/>
      <c r="G17" s="21"/>
      <c r="H17" s="154"/>
      <c r="I17" s="22"/>
      <c r="J17" s="157"/>
      <c r="K17" t="str">
        <f t="shared" si="2"/>
        <v/>
      </c>
      <c r="L17" s="83" t="str">
        <f>IF(F17="","",VLOOKUP(Journal!F17,Kontenplan!$E$9:$F$128,2))</f>
        <v/>
      </c>
      <c r="M17" s="82" t="str">
        <f>IF(G17="","",VLOOKUP(Journal!G17,Kontenplan!$E$9:$F$128,2))</f>
        <v/>
      </c>
      <c r="N17" s="24" t="str">
        <f>IF(AND(G17="",I17="",J17=""),"",IF(AND(I17&gt;0,F17=""),"Bitte Sollkontonummer eingeben",IF(AND(I17&gt;0,G17=""),"Bitte Habenkontonummer eingeben",IF(F17&lt;$N$2,"Sollkontonummer nicht im Kontenplan",IF(VLOOKUP(F17,Kontenplan!$E$9:$E$128,1)&lt;&gt;F17,"Sollkontonummer nicht im Kontenplan",IF(G17&lt;$N$2,"Habenkontonummer nicht im Kontenplan",IF(OR(G17&lt;1000,G17&gt;9999,VLOOKUP(G17,Kontenplan!$E$9:$F$128,1)&lt;&gt;G17),"Habenkontonummer nicht im Kontenplan","")))))))</f>
        <v/>
      </c>
      <c r="O17" s="24" t="str">
        <f t="shared" si="1"/>
        <v/>
      </c>
      <c r="P17">
        <v>14</v>
      </c>
      <c r="Q17" s="24"/>
      <c r="R17" s="24">
        <f>IF(H17&lt;&gt;"",VLOOKUP(H17,Projektliste!$C$4:$C$160,1,-102),-101)</f>
        <v>-101</v>
      </c>
      <c r="S17" s="24" t="str">
        <f>IF(H17="","",IF(H17&lt;MIN(Projektliste!$C$4:$C$19),"Projektnummer nicht in Projektliste",IF(H17&lt;&gt;R17,"Projektnummer nicht in Projektliste","")))</f>
        <v/>
      </c>
      <c r="T17" s="24"/>
      <c r="U17" s="24"/>
      <c r="V17" s="24"/>
      <c r="W17" s="24"/>
      <c r="X17" s="24"/>
      <c r="Z17" s="24"/>
      <c r="AA17" s="24"/>
    </row>
    <row r="18" spans="1:27" x14ac:dyDescent="0.25">
      <c r="A18">
        <f>IF(OR(F18=Kontoauszug!$H$2,G18=Kontoauszug!$H$2),ROUND(A17+1,0),A17+0.0001)</f>
        <v>1.0010999999999999</v>
      </c>
      <c r="B18">
        <f>IF(AND(E18&gt;=$B$2,E18&lt;=$B$3,OR(F18=Kontoauszug!$H$2,G18=Kontoauszug!$H$2)),ROUND(B17+1,0),B17+0.0001)</f>
        <v>1.0010999999999999</v>
      </c>
      <c r="C18">
        <f>IF(H18=Projektabrechnung!$F$2,ROUND(C17+1,0),C17+0.0001)</f>
        <v>1.2000000000000003E-3</v>
      </c>
      <c r="D18" s="225"/>
      <c r="E18" s="19"/>
      <c r="F18" s="20"/>
      <c r="G18" s="21"/>
      <c r="H18" s="154"/>
      <c r="I18" s="22"/>
      <c r="J18" s="157"/>
      <c r="K18" t="str">
        <f t="shared" si="2"/>
        <v/>
      </c>
      <c r="L18" s="83" t="str">
        <f>IF(F18="","",VLOOKUP(Journal!F18,Kontenplan!$E$9:$F$128,2))</f>
        <v/>
      </c>
      <c r="M18" s="82" t="str">
        <f>IF(G18="","",VLOOKUP(Journal!G18,Kontenplan!$E$9:$F$128,2))</f>
        <v/>
      </c>
      <c r="N18" s="24" t="str">
        <f>IF(AND(G18="",I18="",J18=""),"",IF(AND(I18&gt;0,F18=""),"Bitte Sollkontonummer eingeben",IF(AND(I18&gt;0,G18=""),"Bitte Habenkontonummer eingeben",IF(F18&lt;$N$2,"Sollkontonummer nicht im Kontenplan",IF(VLOOKUP(F18,Kontenplan!$E$9:$E$128,1)&lt;&gt;F18,"Sollkontonummer nicht im Kontenplan",IF(G18&lt;$N$2,"Habenkontonummer nicht im Kontenplan",IF(OR(G18&lt;1000,G18&gt;9999,VLOOKUP(G18,Kontenplan!$E$9:$F$128,1)&lt;&gt;G18),"Habenkontonummer nicht im Kontenplan","")))))))</f>
        <v/>
      </c>
      <c r="O18" s="24" t="str">
        <f t="shared" si="1"/>
        <v/>
      </c>
      <c r="P18" s="13">
        <v>15</v>
      </c>
      <c r="Q18" s="24"/>
      <c r="R18" s="24">
        <f>IF(H18&lt;&gt;"",VLOOKUP(H18,Projektliste!$C$4:$C$160,1,-102),-101)</f>
        <v>-101</v>
      </c>
      <c r="S18" s="24" t="str">
        <f>IF(H18="","",IF(H18&lt;MIN(Projektliste!$C$4:$C$19),"Projektnummer nicht in Projektliste",IF(H18&lt;&gt;R18,"Projektnummer nicht in Projektliste","")))</f>
        <v/>
      </c>
      <c r="T18" s="24"/>
      <c r="U18" s="24"/>
      <c r="V18" s="24"/>
      <c r="W18" s="24"/>
      <c r="X18" s="24"/>
      <c r="Z18" s="24"/>
      <c r="AA18" s="24"/>
    </row>
    <row r="19" spans="1:27" x14ac:dyDescent="0.25">
      <c r="A19">
        <f>IF(OR(F19=Kontoauszug!$H$2,G19=Kontoauszug!$H$2),ROUND(A18+1,0),A18+0.0001)</f>
        <v>1.0011999999999999</v>
      </c>
      <c r="B19">
        <f>IF(AND(E19&gt;=$B$2,E19&lt;=$B$3,OR(F19=Kontoauszug!$H$2,G19=Kontoauszug!$H$2)),ROUND(B18+1,0),B18+0.0001)</f>
        <v>1.0011999999999999</v>
      </c>
      <c r="C19">
        <f>IF(H19=Projektabrechnung!$F$2,ROUND(C18+1,0),C18+0.0001)</f>
        <v>1.3000000000000004E-3</v>
      </c>
      <c r="D19" s="225"/>
      <c r="E19" s="19"/>
      <c r="F19" s="20"/>
      <c r="G19" s="21"/>
      <c r="H19" s="154"/>
      <c r="I19" s="22"/>
      <c r="J19" s="157"/>
      <c r="K19" t="str">
        <f t="shared" si="2"/>
        <v/>
      </c>
      <c r="L19" s="83" t="str">
        <f>IF(F19="","",VLOOKUP(Journal!F19,Kontenplan!$E$9:$F$128,2))</f>
        <v/>
      </c>
      <c r="M19" s="82" t="str">
        <f>IF(G19="","",VLOOKUP(Journal!G19,Kontenplan!$E$9:$F$128,2))</f>
        <v/>
      </c>
      <c r="N19" s="24" t="str">
        <f>IF(AND(G19="",I19="",J19=""),"",IF(AND(I19&gt;0,F19=""),"Bitte Sollkontonummer eingeben",IF(AND(I19&gt;0,G19=""),"Bitte Habenkontonummer eingeben",IF(F19&lt;$N$2,"Sollkontonummer nicht im Kontenplan",IF(VLOOKUP(F19,Kontenplan!$E$9:$E$128,1)&lt;&gt;F19,"Sollkontonummer nicht im Kontenplan",IF(G19&lt;$N$2,"Habenkontonummer nicht im Kontenplan",IF(OR(G19&lt;1000,G19&gt;9999,VLOOKUP(G19,Kontenplan!$E$9:$F$128,1)&lt;&gt;G19),"Habenkontonummer nicht im Kontenplan","")))))))</f>
        <v/>
      </c>
      <c r="O19" s="24" t="str">
        <f t="shared" si="1"/>
        <v/>
      </c>
      <c r="P19">
        <v>16</v>
      </c>
      <c r="Q19" s="24"/>
      <c r="R19" s="24">
        <f>IF(H19&lt;&gt;"",VLOOKUP(H19,Projektliste!$C$4:$C$160,1,-102),-101)</f>
        <v>-101</v>
      </c>
      <c r="S19" s="24" t="str">
        <f>IF(H19="","",IF(H19&lt;MIN(Projektliste!$C$4:$C$19),"Projektnummer nicht in Projektliste",IF(H19&lt;&gt;R19,"Projektnummer nicht in Projektliste","")))</f>
        <v/>
      </c>
      <c r="T19" s="24"/>
      <c r="U19" s="24"/>
      <c r="V19" s="24"/>
      <c r="W19" s="24"/>
      <c r="X19" s="24"/>
      <c r="Z19" s="24"/>
      <c r="AA19" s="24"/>
    </row>
    <row r="20" spans="1:27" x14ac:dyDescent="0.25">
      <c r="A20">
        <f>IF(OR(F20=Kontoauszug!$H$2,G20=Kontoauszug!$H$2),ROUND(A19+1,0),A19+0.0001)</f>
        <v>1.0012999999999999</v>
      </c>
      <c r="B20">
        <f>IF(AND(E20&gt;=$B$2,E20&lt;=$B$3,OR(F20=Kontoauszug!$H$2,G20=Kontoauszug!$H$2)),ROUND(B19+1,0),B19+0.0001)</f>
        <v>1.0012999999999999</v>
      </c>
      <c r="C20">
        <f>IF(H20=Projektabrechnung!$F$2,ROUND(C19+1,0),C19+0.0001)</f>
        <v>1.4000000000000004E-3</v>
      </c>
      <c r="D20" s="225"/>
      <c r="E20" s="19"/>
      <c r="F20" s="20"/>
      <c r="G20" s="21"/>
      <c r="H20" s="154"/>
      <c r="I20" s="22"/>
      <c r="J20" s="157"/>
      <c r="K20" t="str">
        <f t="shared" si="2"/>
        <v/>
      </c>
      <c r="L20" s="83" t="str">
        <f>IF(F20="","",VLOOKUP(Journal!F20,Kontenplan!$E$9:$F$128,2))</f>
        <v/>
      </c>
      <c r="M20" s="82" t="str">
        <f>IF(G20="","",VLOOKUP(Journal!G20,Kontenplan!$E$9:$F$128,2))</f>
        <v/>
      </c>
      <c r="N20" s="24" t="str">
        <f>IF(AND(G20="",I20="",J20=""),"",IF(AND(I20&gt;0,F20=""),"Bitte Sollkontonummer eingeben",IF(AND(I20&gt;0,G20=""),"Bitte Habenkontonummer eingeben",IF(F20&lt;$N$2,"Sollkontonummer nicht im Kontenplan",IF(VLOOKUP(F20,Kontenplan!$E$9:$E$128,1)&lt;&gt;F20,"Sollkontonummer nicht im Kontenplan",IF(G20&lt;$N$2,"Habenkontonummer nicht im Kontenplan",IF(OR(G20&lt;1000,G20&gt;9999,VLOOKUP(G20,Kontenplan!$E$9:$F$128,1)&lt;&gt;G20),"Habenkontonummer nicht im Kontenplan","")))))))</f>
        <v/>
      </c>
      <c r="O20" s="24" t="str">
        <f t="shared" si="1"/>
        <v/>
      </c>
      <c r="P20">
        <v>17</v>
      </c>
      <c r="Q20" s="24"/>
      <c r="R20" s="24">
        <f>IF(H20&lt;&gt;"",VLOOKUP(H20,Projektliste!$C$4:$C$160,1,-102),-101)</f>
        <v>-101</v>
      </c>
      <c r="S20" s="24" t="str">
        <f>IF(H20="","",IF(H20&lt;MIN(Projektliste!$C$4:$C$19),"Projektnummer nicht in Projektliste",IF(H20&lt;&gt;R20,"Projektnummer nicht in Projektliste","")))</f>
        <v/>
      </c>
      <c r="T20" s="24"/>
      <c r="U20" s="24"/>
      <c r="V20" s="24"/>
      <c r="W20" s="24"/>
      <c r="X20" s="24"/>
      <c r="Z20" s="24"/>
      <c r="AA20" s="24"/>
    </row>
    <row r="21" spans="1:27" x14ac:dyDescent="0.25">
      <c r="A21">
        <f>IF(OR(F21=Kontoauszug!$H$2,G21=Kontoauszug!$H$2),ROUND(A20+1,0),A20+0.0001)</f>
        <v>1.0013999999999998</v>
      </c>
      <c r="B21">
        <f>IF(AND(E21&gt;=$B$2,E21&lt;=$B$3,OR(F21=Kontoauszug!$H$2,G21=Kontoauszug!$H$2)),ROUND(B20+1,0),B20+0.0001)</f>
        <v>1.0013999999999998</v>
      </c>
      <c r="C21">
        <f>IF(H21=Projektabrechnung!$F$2,ROUND(C20+1,0),C20+0.0001)</f>
        <v>1.5000000000000005E-3</v>
      </c>
      <c r="D21" s="225"/>
      <c r="E21" s="19"/>
      <c r="F21" s="20"/>
      <c r="G21" s="21"/>
      <c r="H21" s="154"/>
      <c r="I21" s="22"/>
      <c r="J21" s="157"/>
      <c r="K21" t="str">
        <f t="shared" si="2"/>
        <v/>
      </c>
      <c r="L21" s="83" t="str">
        <f>IF(F21="","",VLOOKUP(Journal!F21,Kontenplan!$E$9:$F$128,2))</f>
        <v/>
      </c>
      <c r="M21" s="82" t="str">
        <f>IF(G21="","",VLOOKUP(Journal!G21,Kontenplan!$E$9:$F$128,2))</f>
        <v/>
      </c>
      <c r="N21" s="24" t="str">
        <f>IF(AND(G21="",I21="",J21=""),"",IF(AND(I21&gt;0,F21=""),"Bitte Sollkontonummer eingeben",IF(AND(I21&gt;0,G21=""),"Bitte Habenkontonummer eingeben",IF(F21&lt;$N$2,"Sollkontonummer nicht im Kontenplan",IF(VLOOKUP(F21,Kontenplan!$E$9:$E$128,1)&lt;&gt;F21,"Sollkontonummer nicht im Kontenplan",IF(G21&lt;$N$2,"Habenkontonummer nicht im Kontenplan",IF(OR(G21&lt;1000,G21&gt;9999,VLOOKUP(G21,Kontenplan!$E$9:$F$128,1)&lt;&gt;G21),"Habenkontonummer nicht im Kontenplan","")))))))</f>
        <v/>
      </c>
      <c r="O21" s="24" t="str">
        <f t="shared" si="1"/>
        <v/>
      </c>
      <c r="P21">
        <v>18</v>
      </c>
      <c r="Q21" s="24"/>
      <c r="R21" s="24">
        <f>IF(H21&lt;&gt;"",VLOOKUP(H21,Projektliste!$C$4:$C$160,1,-102),-101)</f>
        <v>-101</v>
      </c>
      <c r="S21" s="24" t="str">
        <f>IF(H21="","",IF(H21&lt;MIN(Projektliste!$C$4:$C$19),"Projektnummer nicht in Projektliste",IF(H21&lt;&gt;R21,"Projektnummer nicht in Projektliste","")))</f>
        <v/>
      </c>
      <c r="T21" s="24"/>
      <c r="U21" s="24"/>
      <c r="V21" s="24"/>
      <c r="W21" s="24"/>
      <c r="X21" s="24"/>
      <c r="Z21" s="24"/>
      <c r="AA21" s="24"/>
    </row>
    <row r="22" spans="1:27" x14ac:dyDescent="0.25">
      <c r="A22">
        <f>IF(OR(F22=Kontoauszug!$H$2,G22=Kontoauszug!$H$2),ROUND(A21+1,0),A21+0.0001)</f>
        <v>1.0014999999999998</v>
      </c>
      <c r="B22">
        <f>IF(AND(E22&gt;=$B$2,E22&lt;=$B$3,OR(F22=Kontoauszug!$H$2,G22=Kontoauszug!$H$2)),ROUND(B21+1,0),B21+0.0001)</f>
        <v>1.0014999999999998</v>
      </c>
      <c r="C22">
        <f>IF(H22=Projektabrechnung!$F$2,ROUND(C21+1,0),C21+0.0001)</f>
        <v>1.6000000000000005E-3</v>
      </c>
      <c r="D22" s="225"/>
      <c r="E22" s="19"/>
      <c r="F22" s="20"/>
      <c r="G22" s="21"/>
      <c r="H22" s="154"/>
      <c r="I22" s="22"/>
      <c r="J22" s="157"/>
      <c r="K22" t="str">
        <f t="shared" si="2"/>
        <v/>
      </c>
      <c r="L22" s="83" t="str">
        <f>IF(F22="","",VLOOKUP(Journal!F22,Kontenplan!$E$9:$F$128,2))</f>
        <v/>
      </c>
      <c r="M22" s="82" t="str">
        <f>IF(G22="","",VLOOKUP(Journal!G22,Kontenplan!$E$9:$F$128,2))</f>
        <v/>
      </c>
      <c r="N22" s="24" t="str">
        <f>IF(AND(G22="",I22="",J22=""),"",IF(AND(I22&gt;0,F22=""),"Bitte Sollkontonummer eingeben",IF(AND(I22&gt;0,G22=""),"Bitte Habenkontonummer eingeben",IF(F22&lt;$N$2,"Sollkontonummer nicht im Kontenplan",IF(VLOOKUP(F22,Kontenplan!$E$9:$E$128,1)&lt;&gt;F22,"Sollkontonummer nicht im Kontenplan",IF(G22&lt;$N$2,"Habenkontonummer nicht im Kontenplan",IF(OR(G22&lt;1000,G22&gt;9999,VLOOKUP(G22,Kontenplan!$E$9:$F$128,1)&lt;&gt;G22),"Habenkontonummer nicht im Kontenplan","")))))))</f>
        <v/>
      </c>
      <c r="O22" s="24" t="str">
        <f t="shared" si="1"/>
        <v/>
      </c>
      <c r="P22">
        <v>19</v>
      </c>
      <c r="Q22" s="24"/>
      <c r="R22" s="24">
        <f>IF(H22&lt;&gt;"",VLOOKUP(H22,Projektliste!$C$4:$C$160,1,-102),-101)</f>
        <v>-101</v>
      </c>
      <c r="S22" s="24" t="str">
        <f>IF(H22="","",IF(H22&lt;MIN(Projektliste!$C$4:$C$19),"Projektnummer nicht in Projektliste",IF(H22&lt;&gt;R22,"Projektnummer nicht in Projektliste","")))</f>
        <v/>
      </c>
      <c r="T22" s="24"/>
      <c r="U22" s="24"/>
      <c r="V22" s="24"/>
      <c r="W22" s="24"/>
      <c r="X22" s="24"/>
      <c r="Z22" s="24"/>
      <c r="AA22" s="24"/>
    </row>
    <row r="23" spans="1:27" x14ac:dyDescent="0.25">
      <c r="A23">
        <f>IF(OR(F23=Kontoauszug!$H$2,G23=Kontoauszug!$H$2),ROUND(A22+1,0),A22+0.0001)</f>
        <v>1.0015999999999998</v>
      </c>
      <c r="B23">
        <f>IF(AND(E23&gt;=$B$2,E23&lt;=$B$3,OR(F23=Kontoauszug!$H$2,G23=Kontoauszug!$H$2)),ROUND(B22+1,0),B22+0.0001)</f>
        <v>1.0015999999999998</v>
      </c>
      <c r="C23">
        <f>IF(H23=Projektabrechnung!$F$2,ROUND(C22+1,0),C22+0.0001)</f>
        <v>1.7000000000000006E-3</v>
      </c>
      <c r="D23" s="225"/>
      <c r="E23" s="19"/>
      <c r="F23" s="20"/>
      <c r="G23" s="21"/>
      <c r="H23" s="154"/>
      <c r="I23" s="22"/>
      <c r="J23" s="157"/>
      <c r="K23" t="str">
        <f t="shared" si="2"/>
        <v/>
      </c>
      <c r="L23" s="83" t="str">
        <f>IF(F23="","",VLOOKUP(Journal!F23,Kontenplan!$E$9:$F$128,2))</f>
        <v/>
      </c>
      <c r="M23" s="82" t="str">
        <f>IF(G23="","",VLOOKUP(Journal!G23,Kontenplan!$E$9:$F$128,2))</f>
        <v/>
      </c>
      <c r="N23" s="24" t="str">
        <f>IF(AND(G23="",I23="",J23=""),"",IF(AND(I23&gt;0,F23=""),"Bitte Sollkontonummer eingeben",IF(AND(I23&gt;0,G23=""),"Bitte Habenkontonummer eingeben",IF(F23&lt;$N$2,"Sollkontonummer nicht im Kontenplan",IF(VLOOKUP(F23,Kontenplan!$E$9:$E$128,1)&lt;&gt;F23,"Sollkontonummer nicht im Kontenplan",IF(G23&lt;$N$2,"Habenkontonummer nicht im Kontenplan",IF(OR(G23&lt;1000,G23&gt;9999,VLOOKUP(G23,Kontenplan!$E$9:$F$128,1)&lt;&gt;G23),"Habenkontonummer nicht im Kontenplan","")))))))</f>
        <v/>
      </c>
      <c r="O23" s="24" t="str">
        <f t="shared" si="1"/>
        <v/>
      </c>
      <c r="P23">
        <v>20</v>
      </c>
      <c r="Q23" s="24"/>
      <c r="R23" s="24">
        <f>IF(H23&lt;&gt;"",VLOOKUP(H23,Projektliste!$C$4:$C$160,1,-102),-101)</f>
        <v>-101</v>
      </c>
      <c r="S23" s="24" t="str">
        <f>IF(H23="","",IF(H23&lt;MIN(Projektliste!$C$4:$C$19),"Projektnummer nicht in Projektliste",IF(H23&lt;&gt;R23,"Projektnummer nicht in Projektliste","")))</f>
        <v/>
      </c>
      <c r="T23" s="24"/>
      <c r="U23" s="24"/>
      <c r="V23" s="24"/>
      <c r="W23" s="24"/>
      <c r="X23" s="24"/>
      <c r="Z23" s="24"/>
      <c r="AA23" s="24"/>
    </row>
    <row r="24" spans="1:27" x14ac:dyDescent="0.25">
      <c r="A24">
        <f>IF(OR(F24=Kontoauszug!$H$2,G24=Kontoauszug!$H$2),ROUND(A23+1,0),A23+0.0001)</f>
        <v>1.0016999999999998</v>
      </c>
      <c r="B24">
        <f>IF(AND(E24&gt;=$B$2,E24&lt;=$B$3,OR(F24=Kontoauszug!$H$2,G24=Kontoauszug!$H$2)),ROUND(B23+1,0),B23+0.0001)</f>
        <v>1.0016999999999998</v>
      </c>
      <c r="C24">
        <f>IF(H24=Projektabrechnung!$F$2,ROUND(C23+1,0),C23+0.0001)</f>
        <v>1.8000000000000006E-3</v>
      </c>
      <c r="D24" s="225"/>
      <c r="E24" s="19"/>
      <c r="F24" s="20"/>
      <c r="G24" s="21"/>
      <c r="H24" s="154"/>
      <c r="I24" s="22"/>
      <c r="J24" s="157"/>
      <c r="K24" t="str">
        <f t="shared" si="2"/>
        <v/>
      </c>
      <c r="L24" s="83" t="str">
        <f>IF(F24="","",VLOOKUP(Journal!F24,Kontenplan!$E$9:$F$128,2))</f>
        <v/>
      </c>
      <c r="M24" s="82" t="str">
        <f>IF(G24="","",VLOOKUP(Journal!G24,Kontenplan!$E$9:$F$128,2))</f>
        <v/>
      </c>
      <c r="N24" s="24" t="str">
        <f>IF(AND(G24="",I24="",J24=""),"",IF(AND(I24&gt;0,F24=""),"Bitte Sollkontonummer eingeben",IF(AND(I24&gt;0,G24=""),"Bitte Habenkontonummer eingeben",IF(F24&lt;$N$2,"Sollkontonummer nicht im Kontenplan",IF(VLOOKUP(F24,Kontenplan!$E$9:$E$128,1)&lt;&gt;F24,"Sollkontonummer nicht im Kontenplan",IF(G24&lt;$N$2,"Habenkontonummer nicht im Kontenplan",IF(OR(G24&lt;1000,G24&gt;9999,VLOOKUP(G24,Kontenplan!$E$9:$F$128,1)&lt;&gt;G24),"Habenkontonummer nicht im Kontenplan","")))))))</f>
        <v/>
      </c>
      <c r="O24" s="24" t="str">
        <f t="shared" si="1"/>
        <v/>
      </c>
      <c r="P24">
        <v>21</v>
      </c>
      <c r="Q24" s="24"/>
      <c r="R24" s="24">
        <f>IF(H24&lt;&gt;"",VLOOKUP(H24,Projektliste!$C$4:$C$160,1,-102),-101)</f>
        <v>-101</v>
      </c>
      <c r="S24" s="24" t="str">
        <f>IF(H24="","",IF(H24&lt;MIN(Projektliste!$C$4:$C$19),"Projektnummer nicht in Projektliste",IF(H24&lt;&gt;R24,"Projektnummer nicht in Projektliste","")))</f>
        <v/>
      </c>
      <c r="T24" s="24"/>
      <c r="U24" s="24"/>
      <c r="V24" s="24"/>
      <c r="W24" s="24"/>
      <c r="X24" s="24"/>
      <c r="Z24" s="24"/>
      <c r="AA24" s="24"/>
    </row>
    <row r="25" spans="1:27" x14ac:dyDescent="0.25">
      <c r="A25">
        <f>IF(OR(F25=Kontoauszug!$H$2,G25=Kontoauszug!$H$2),ROUND(A24+1,0),A24+0.0001)</f>
        <v>1.0017999999999998</v>
      </c>
      <c r="B25">
        <f>IF(AND(E25&gt;=$B$2,E25&lt;=$B$3,OR(F25=Kontoauszug!$H$2,G25=Kontoauszug!$H$2)),ROUND(B24+1,0),B24+0.0001)</f>
        <v>1.0017999999999998</v>
      </c>
      <c r="C25">
        <f>IF(H25=Projektabrechnung!$F$2,ROUND(C24+1,0),C24+0.0001)</f>
        <v>1.9000000000000006E-3</v>
      </c>
      <c r="D25" s="225"/>
      <c r="E25" s="19"/>
      <c r="F25" s="20"/>
      <c r="G25" s="21"/>
      <c r="H25" s="154"/>
      <c r="I25" s="22"/>
      <c r="J25" s="157"/>
      <c r="K25" t="str">
        <f t="shared" si="2"/>
        <v/>
      </c>
      <c r="L25" s="83" t="str">
        <f>IF(F25="","",VLOOKUP(Journal!F25,Kontenplan!$E$9:$F$128,2))</f>
        <v/>
      </c>
      <c r="M25" s="82" t="str">
        <f>IF(G25="","",VLOOKUP(Journal!G25,Kontenplan!$E$9:$F$128,2))</f>
        <v/>
      </c>
      <c r="N25" s="24" t="str">
        <f>IF(AND(G25="",I25="",J25=""),"",IF(AND(I25&gt;0,F25=""),"Bitte Sollkontonummer eingeben",IF(AND(I25&gt;0,G25=""),"Bitte Habenkontonummer eingeben",IF(F25&lt;$N$2,"Sollkontonummer nicht im Kontenplan",IF(VLOOKUP(F25,Kontenplan!$E$9:$E$128,1)&lt;&gt;F25,"Sollkontonummer nicht im Kontenplan",IF(G25&lt;$N$2,"Habenkontonummer nicht im Kontenplan",IF(OR(G25&lt;1000,G25&gt;9999,VLOOKUP(G25,Kontenplan!$E$9:$F$128,1)&lt;&gt;G25),"Habenkontonummer nicht im Kontenplan","")))))))</f>
        <v/>
      </c>
      <c r="O25" s="24" t="str">
        <f t="shared" si="1"/>
        <v/>
      </c>
      <c r="P25" s="13">
        <v>22</v>
      </c>
      <c r="Q25" s="24"/>
      <c r="R25" s="24">
        <f>IF(H25&lt;&gt;"",VLOOKUP(H25,Projektliste!$C$4:$C$160,1,-102),-101)</f>
        <v>-101</v>
      </c>
      <c r="S25" s="24" t="str">
        <f>IF(H25="","",IF(H25&lt;MIN(Projektliste!$C$4:$C$19),"Projektnummer nicht in Projektliste",IF(H25&lt;&gt;R25,"Projektnummer nicht in Projektliste","")))</f>
        <v/>
      </c>
      <c r="T25" s="24"/>
      <c r="U25" s="24"/>
      <c r="V25" s="24"/>
      <c r="W25" s="24"/>
      <c r="X25" s="24"/>
      <c r="Z25" s="24"/>
      <c r="AA25" s="24"/>
    </row>
    <row r="26" spans="1:27" x14ac:dyDescent="0.25">
      <c r="A26">
        <f>IF(OR(F26=Kontoauszug!$H$2,G26=Kontoauszug!$H$2),ROUND(A25+1,0),A25+0.0001)</f>
        <v>1.0018999999999998</v>
      </c>
      <c r="B26">
        <f>IF(AND(E26&gt;=$B$2,E26&lt;=$B$3,OR(F26=Kontoauszug!$H$2,G26=Kontoauszug!$H$2)),ROUND(B25+1,0),B25+0.0001)</f>
        <v>1.0018999999999998</v>
      </c>
      <c r="C26">
        <f>IF(H26=Projektabrechnung!$F$2,ROUND(C25+1,0),C25+0.0001)</f>
        <v>2.0000000000000005E-3</v>
      </c>
      <c r="D26" s="225"/>
      <c r="E26" s="19"/>
      <c r="F26" s="20"/>
      <c r="G26" s="21"/>
      <c r="H26" s="154"/>
      <c r="I26" s="22"/>
      <c r="J26" s="157"/>
      <c r="K26" t="str">
        <f t="shared" si="2"/>
        <v/>
      </c>
      <c r="L26" s="83" t="str">
        <f>IF(F26="","",VLOOKUP(Journal!F26,Kontenplan!$E$9:$F$128,2))</f>
        <v/>
      </c>
      <c r="M26" s="82" t="str">
        <f>IF(G26="","",VLOOKUP(Journal!G26,Kontenplan!$E$9:$F$128,2))</f>
        <v/>
      </c>
      <c r="N26" s="24" t="str">
        <f>IF(AND(G26="",I26="",J26=""),"",IF(AND(I26&gt;0,F26=""),"Bitte Sollkontonummer eingeben",IF(AND(I26&gt;0,G26=""),"Bitte Habenkontonummer eingeben",IF(F26&lt;$N$2,"Sollkontonummer nicht im Kontenplan",IF(VLOOKUP(F26,Kontenplan!$E$9:$E$128,1)&lt;&gt;F26,"Sollkontonummer nicht im Kontenplan",IF(G26&lt;$N$2,"Habenkontonummer nicht im Kontenplan",IF(OR(G26&lt;1000,G26&gt;9999,VLOOKUP(G26,Kontenplan!$E$9:$F$128,1)&lt;&gt;G26),"Habenkontonummer nicht im Kontenplan","")))))))</f>
        <v/>
      </c>
      <c r="O26" s="24" t="str">
        <f t="shared" si="1"/>
        <v/>
      </c>
      <c r="P26">
        <v>23</v>
      </c>
      <c r="Q26" s="24"/>
      <c r="R26" s="24">
        <f>IF(H26&lt;&gt;"",VLOOKUP(H26,Projektliste!$C$4:$C$160,1,-102),-101)</f>
        <v>-101</v>
      </c>
      <c r="S26" s="24" t="str">
        <f>IF(H26="","",IF(H26&lt;MIN(Projektliste!$C$4:$C$19),"Projektnummer nicht in Projektliste",IF(H26&lt;&gt;R26,"Projektnummer nicht in Projektliste","")))</f>
        <v/>
      </c>
      <c r="T26" s="24"/>
      <c r="U26" s="24"/>
      <c r="V26" s="24"/>
      <c r="W26" s="24"/>
      <c r="X26" s="24"/>
      <c r="Z26" s="24"/>
      <c r="AA26" s="24"/>
    </row>
    <row r="27" spans="1:27" x14ac:dyDescent="0.25">
      <c r="A27">
        <f>IF(OR(F27=Kontoauszug!$H$2,G27=Kontoauszug!$H$2),ROUND(A26+1,0),A26+0.0001)</f>
        <v>1.0019999999999998</v>
      </c>
      <c r="B27">
        <f>IF(AND(E27&gt;=$B$2,E27&lt;=$B$3,OR(F27=Kontoauszug!$H$2,G27=Kontoauszug!$H$2)),ROUND(B26+1,0),B26+0.0001)</f>
        <v>1.0019999999999998</v>
      </c>
      <c r="C27">
        <f>IF(H27=Projektabrechnung!$F$2,ROUND(C26+1,0),C26+0.0001)</f>
        <v>2.1000000000000003E-3</v>
      </c>
      <c r="D27" s="225"/>
      <c r="E27" s="19"/>
      <c r="F27" s="20"/>
      <c r="G27" s="21"/>
      <c r="H27" s="154"/>
      <c r="I27" s="22"/>
      <c r="J27" s="157"/>
      <c r="K27" t="str">
        <f t="shared" si="2"/>
        <v/>
      </c>
      <c r="L27" s="83" t="str">
        <f>IF(F27="","",VLOOKUP(Journal!F27,Kontenplan!$E$9:$F$128,2))</f>
        <v/>
      </c>
      <c r="M27" s="82" t="str">
        <f>IF(G27="","",VLOOKUP(Journal!G27,Kontenplan!$E$9:$F$128,2))</f>
        <v/>
      </c>
      <c r="N27" s="24" t="str">
        <f>IF(AND(G27="",I27="",J27=""),"",IF(AND(I27&gt;0,F27=""),"Bitte Sollkontonummer eingeben",IF(AND(I27&gt;0,G27=""),"Bitte Habenkontonummer eingeben",IF(F27&lt;$N$2,"Sollkontonummer nicht im Kontenplan",IF(VLOOKUP(F27,Kontenplan!$E$9:$E$128,1)&lt;&gt;F27,"Sollkontonummer nicht im Kontenplan",IF(G27&lt;$N$2,"Habenkontonummer nicht im Kontenplan",IF(OR(G27&lt;1000,G27&gt;9999,VLOOKUP(G27,Kontenplan!$E$9:$F$128,1)&lt;&gt;G27),"Habenkontonummer nicht im Kontenplan","")))))))</f>
        <v/>
      </c>
      <c r="O27" s="24" t="str">
        <f t="shared" si="1"/>
        <v/>
      </c>
      <c r="P27">
        <v>24</v>
      </c>
      <c r="Q27" s="24"/>
      <c r="R27" s="24">
        <f>IF(H27&lt;&gt;"",VLOOKUP(H27,Projektliste!$C$4:$C$160,1,-102),-101)</f>
        <v>-101</v>
      </c>
      <c r="S27" s="24" t="str">
        <f>IF(H27="","",IF(H27&lt;MIN(Projektliste!$C$4:$C$19),"Projektnummer nicht in Projektliste",IF(H27&lt;&gt;R27,"Projektnummer nicht in Projektliste","")))</f>
        <v/>
      </c>
      <c r="T27" s="24"/>
      <c r="U27" s="24"/>
      <c r="V27" s="24"/>
      <c r="W27" s="24"/>
      <c r="X27" s="24"/>
      <c r="Z27" s="24"/>
      <c r="AA27" s="24"/>
    </row>
    <row r="28" spans="1:27" x14ac:dyDescent="0.25">
      <c r="A28">
        <f>IF(OR(F28=Kontoauszug!$H$2,G28=Kontoauszug!$H$2),ROUND(A27+1,0),A27+0.0001)</f>
        <v>1.0020999999999998</v>
      </c>
      <c r="B28">
        <f>IF(AND(E28&gt;=$B$2,E28&lt;=$B$3,OR(F28=Kontoauszug!$H$2,G28=Kontoauszug!$H$2)),ROUND(B27+1,0),B27+0.0001)</f>
        <v>1.0020999999999998</v>
      </c>
      <c r="C28">
        <f>IF(H28=Projektabrechnung!$F$2,ROUND(C27+1,0),C27+0.0001)</f>
        <v>2.2000000000000001E-3</v>
      </c>
      <c r="D28" s="225"/>
      <c r="E28" s="19"/>
      <c r="F28" s="20"/>
      <c r="G28" s="21"/>
      <c r="H28" s="154"/>
      <c r="I28" s="22"/>
      <c r="J28" s="157"/>
      <c r="K28" t="str">
        <f t="shared" si="2"/>
        <v/>
      </c>
      <c r="L28" s="83" t="str">
        <f>IF(F28="","",VLOOKUP(Journal!F28,Kontenplan!$E$9:$F$128,2))</f>
        <v/>
      </c>
      <c r="M28" s="82" t="str">
        <f>IF(G28="","",VLOOKUP(Journal!G28,Kontenplan!$E$9:$F$128,2))</f>
        <v/>
      </c>
      <c r="N28" s="24" t="str">
        <f>IF(AND(G28="",I28="",J28=""),"",IF(AND(I28&gt;0,F28=""),"Bitte Sollkontonummer eingeben",IF(AND(I28&gt;0,G28=""),"Bitte Habenkontonummer eingeben",IF(F28&lt;$N$2,"Sollkontonummer nicht im Kontenplan",IF(VLOOKUP(F28,Kontenplan!$E$9:$E$128,1)&lt;&gt;F28,"Sollkontonummer nicht im Kontenplan",IF(G28&lt;$N$2,"Habenkontonummer nicht im Kontenplan",IF(OR(G28&lt;1000,G28&gt;9999,VLOOKUP(G28,Kontenplan!$E$9:$F$128,1)&lt;&gt;G28),"Habenkontonummer nicht im Kontenplan","")))))))</f>
        <v/>
      </c>
      <c r="O28" s="24" t="str">
        <f t="shared" si="1"/>
        <v/>
      </c>
      <c r="P28">
        <v>25</v>
      </c>
      <c r="Q28" s="24"/>
      <c r="R28" s="24">
        <f>IF(H28&lt;&gt;"",VLOOKUP(H28,Projektliste!$C$4:$C$160,1,-102),-101)</f>
        <v>-101</v>
      </c>
      <c r="S28" s="24" t="str">
        <f>IF(H28="","",IF(H28&lt;MIN(Projektliste!$C$4:$C$19),"Projektnummer nicht in Projektliste",IF(H28&lt;&gt;R28,"Projektnummer nicht in Projektliste","")))</f>
        <v/>
      </c>
      <c r="T28" s="24"/>
      <c r="U28" s="24"/>
      <c r="V28" s="24"/>
      <c r="W28" s="24"/>
      <c r="X28" s="24"/>
      <c r="Z28" s="24"/>
      <c r="AA28" s="24"/>
    </row>
    <row r="29" spans="1:27" x14ac:dyDescent="0.25">
      <c r="A29">
        <f>IF(OR(F29=Kontoauszug!$H$2,G29=Kontoauszug!$H$2),ROUND(A28+1,0),A28+0.0001)</f>
        <v>1.0021999999999998</v>
      </c>
      <c r="B29">
        <f>IF(AND(E29&gt;=$B$2,E29&lt;=$B$3,OR(F29=Kontoauszug!$H$2,G29=Kontoauszug!$H$2)),ROUND(B28+1,0),B28+0.0001)</f>
        <v>1.0021999999999998</v>
      </c>
      <c r="C29">
        <f>IF(H29=Projektabrechnung!$F$2,ROUND(C28+1,0),C28+0.0001)</f>
        <v>2.3E-3</v>
      </c>
      <c r="D29" s="225"/>
      <c r="E29" s="19"/>
      <c r="F29" s="20"/>
      <c r="G29" s="21"/>
      <c r="H29" s="154"/>
      <c r="I29" s="22"/>
      <c r="J29" s="155"/>
      <c r="K29" t="str">
        <f t="shared" si="2"/>
        <v/>
      </c>
      <c r="L29" s="83" t="str">
        <f>IF(F29="","",VLOOKUP(Journal!F29,Kontenplan!$E$9:$F$128,2))</f>
        <v/>
      </c>
      <c r="M29" s="82" t="str">
        <f>IF(G29="","",VLOOKUP(Journal!G29,Kontenplan!$E$9:$F$128,2))</f>
        <v/>
      </c>
      <c r="N29" s="24" t="str">
        <f>IF(AND(G29="",I29="",J29=""),"",IF(AND(I29&gt;0,F29=""),"Bitte Sollkontonummer eingeben",IF(AND(I29&gt;0,G29=""),"Bitte Habenkontonummer eingeben",IF(F29&lt;$N$2,"Sollkontonummer nicht im Kontenplan",IF(VLOOKUP(F29,Kontenplan!$E$9:$E$128,1)&lt;&gt;F29,"Sollkontonummer nicht im Kontenplan",IF(G29&lt;$N$2,"Habenkontonummer nicht im Kontenplan",IF(OR(G29&lt;1000,G29&gt;9999,VLOOKUP(G29,Kontenplan!$E$9:$F$128,1)&lt;&gt;G29),"Habenkontonummer nicht im Kontenplan","")))))))</f>
        <v/>
      </c>
      <c r="O29" s="24" t="str">
        <f t="shared" si="1"/>
        <v/>
      </c>
      <c r="P29">
        <v>26</v>
      </c>
      <c r="Q29" s="24"/>
      <c r="R29" s="24">
        <f>IF(H29&lt;&gt;"",VLOOKUP(H29,Projektliste!$C$4:$C$160,1,-102),-101)</f>
        <v>-101</v>
      </c>
      <c r="S29" s="24" t="str">
        <f>IF(H29="","",IF(H29&lt;MIN(Projektliste!$C$4:$C$19),"Projektnummer nicht in Projektliste",IF(H29&lt;&gt;R29,"Projektnummer nicht in Projektliste","")))</f>
        <v/>
      </c>
      <c r="T29" s="24"/>
      <c r="U29" s="24"/>
      <c r="V29" s="24"/>
      <c r="W29" s="24"/>
      <c r="X29" s="24"/>
      <c r="Z29" s="24"/>
      <c r="AA29" s="24"/>
    </row>
    <row r="30" spans="1:27" x14ac:dyDescent="0.25">
      <c r="A30">
        <f>IF(OR(F30=Kontoauszug!$H$2,G30=Kontoauszug!$H$2),ROUND(A29+1,0),A29+0.0001)</f>
        <v>1.0022999999999997</v>
      </c>
      <c r="B30">
        <f>IF(AND(E30&gt;=$B$2,E30&lt;=$B$3,OR(F30=Kontoauszug!$H$2,G30=Kontoauszug!$H$2)),ROUND(B29+1,0),B29+0.0001)</f>
        <v>1.0022999999999997</v>
      </c>
      <c r="C30">
        <f>IF(H30=Projektabrechnung!$F$2,ROUND(C29+1,0),C29+0.0001)</f>
        <v>2.3999999999999998E-3</v>
      </c>
      <c r="D30" s="18"/>
      <c r="E30" s="19"/>
      <c r="F30" s="20"/>
      <c r="G30" s="21"/>
      <c r="H30" s="154"/>
      <c r="I30" s="22"/>
      <c r="J30" s="155"/>
      <c r="K30" t="str">
        <f t="shared" si="2"/>
        <v/>
      </c>
      <c r="L30" s="83" t="str">
        <f>IF(F30="","",VLOOKUP(Journal!F30,Kontenplan!$E$9:$F$128,2))</f>
        <v/>
      </c>
      <c r="M30" s="82" t="str">
        <f>IF(G30="","",VLOOKUP(Journal!G30,Kontenplan!$E$9:$F$128,2))</f>
        <v/>
      </c>
      <c r="N30" s="24" t="str">
        <f>IF(AND(G30="",I30="",J30=""),"",IF(AND(I30&gt;0,F30=""),"Bitte Sollkontonummer eingeben",IF(AND(I30&gt;0,G30=""),"Bitte Habenkontonummer eingeben",IF(F30&lt;$N$2,"Sollkontonummer nicht im Kontenplan",IF(VLOOKUP(F30,Kontenplan!$E$9:$E$128,1)&lt;&gt;F30,"Sollkontonummer nicht im Kontenplan",IF(G30&lt;$N$2,"Habenkontonummer nicht im Kontenplan",IF(OR(G30&lt;1000,G30&gt;9999,VLOOKUP(G30,Kontenplan!$E$9:$F$128,1)&lt;&gt;G30),"Habenkontonummer nicht im Kontenplan","")))))))</f>
        <v/>
      </c>
      <c r="O30" s="24" t="str">
        <f t="shared" si="1"/>
        <v/>
      </c>
      <c r="P30">
        <v>27</v>
      </c>
      <c r="Q30" s="24"/>
      <c r="R30" s="24">
        <f>IF(H30&lt;&gt;"",VLOOKUP(H30,Projektliste!$C$4:$C$160,1,-102),-101)</f>
        <v>-101</v>
      </c>
      <c r="S30" s="24" t="str">
        <f>IF(H30="","",IF(H30&lt;MIN(Projektliste!$C$4:$C$19),"Projektnummer nicht in Projektliste",IF(H30&lt;&gt;R30,"Projektnummer nicht in Projektliste","")))</f>
        <v/>
      </c>
      <c r="T30" s="24"/>
      <c r="U30" s="24"/>
      <c r="V30" s="24"/>
      <c r="W30" s="24"/>
      <c r="X30" s="24"/>
      <c r="Z30" s="24"/>
      <c r="AA30" s="24"/>
    </row>
    <row r="31" spans="1:27" x14ac:dyDescent="0.25">
      <c r="A31">
        <f>IF(OR(F31=Kontoauszug!$H$2,G31=Kontoauszug!$H$2),ROUND(A30+1,0),A30+0.0001)</f>
        <v>1.0023999999999997</v>
      </c>
      <c r="B31">
        <f>IF(AND(E31&gt;=$B$2,E31&lt;=$B$3,OR(F31=Kontoauszug!$H$2,G31=Kontoauszug!$H$2)),ROUND(B30+1,0),B30+0.0001)</f>
        <v>1.0023999999999997</v>
      </c>
      <c r="C31">
        <f>IF(H31=Projektabrechnung!$F$2,ROUND(C30+1,0),C30+0.0001)</f>
        <v>2.4999999999999996E-3</v>
      </c>
      <c r="D31" s="18"/>
      <c r="E31" s="19"/>
      <c r="F31" s="20"/>
      <c r="G31" s="21"/>
      <c r="H31" s="154"/>
      <c r="I31" s="22"/>
      <c r="J31" s="155"/>
      <c r="K31" t="str">
        <f t="shared" si="2"/>
        <v/>
      </c>
      <c r="L31" s="83" t="str">
        <f>IF(F31="","",VLOOKUP(Journal!F31,Kontenplan!$E$9:$F$128,2))</f>
        <v/>
      </c>
      <c r="M31" s="82" t="str">
        <f>IF(G31="","",VLOOKUP(Journal!G31,Kontenplan!$E$9:$F$128,2))</f>
        <v/>
      </c>
      <c r="N31" s="24" t="str">
        <f>IF(AND(G31="",I31="",J31=""),"",IF(AND(I31&gt;0,F31=""),"Bitte Sollkontonummer eingeben",IF(AND(I31&gt;0,G31=""),"Bitte Habenkontonummer eingeben",IF(F31&lt;$N$2,"Sollkontonummer nicht im Kontenplan",IF(VLOOKUP(F31,Kontenplan!$E$9:$E$128,1)&lt;&gt;F31,"Sollkontonummer nicht im Kontenplan",IF(G31&lt;$N$2,"Habenkontonummer nicht im Kontenplan",IF(OR(G31&lt;1000,G31&gt;9999,VLOOKUP(G31,Kontenplan!$E$9:$F$128,1)&lt;&gt;G31),"Habenkontonummer nicht im Kontenplan","")))))))</f>
        <v/>
      </c>
      <c r="O31" s="24" t="str">
        <f t="shared" si="1"/>
        <v/>
      </c>
      <c r="P31">
        <v>28</v>
      </c>
      <c r="Q31" s="24"/>
      <c r="R31" s="24">
        <f>IF(H31&lt;&gt;"",VLOOKUP(H31,Projektliste!$C$4:$C$160,1,-102),-101)</f>
        <v>-101</v>
      </c>
      <c r="S31" s="24" t="str">
        <f>IF(H31="","",IF(H31&lt;MIN(Projektliste!$C$4:$C$19),"Projektnummer nicht in Projektliste",IF(H31&lt;&gt;R31,"Projektnummer nicht in Projektliste","")))</f>
        <v/>
      </c>
      <c r="T31" s="24"/>
      <c r="U31" s="24"/>
      <c r="V31" s="24"/>
      <c r="W31" s="24"/>
      <c r="X31" s="24"/>
      <c r="Z31" s="24"/>
      <c r="AA31" s="24"/>
    </row>
    <row r="32" spans="1:27" x14ac:dyDescent="0.25">
      <c r="A32">
        <f>IF(OR(F32=Kontoauszug!$H$2,G32=Kontoauszug!$H$2),ROUND(A31+1,0),A31+0.0001)</f>
        <v>1.0024999999999997</v>
      </c>
      <c r="B32">
        <f>IF(AND(E32&gt;=$B$2,E32&lt;=$B$3,OR(F32=Kontoauszug!$H$2,G32=Kontoauszug!$H$2)),ROUND(B31+1,0),B31+0.0001)</f>
        <v>1.0024999999999997</v>
      </c>
      <c r="C32">
        <f>IF(H32=Projektabrechnung!$F$2,ROUND(C31+1,0),C31+0.0001)</f>
        <v>2.5999999999999994E-3</v>
      </c>
      <c r="D32" s="18"/>
      <c r="E32" s="19"/>
      <c r="F32" s="20"/>
      <c r="G32" s="21"/>
      <c r="H32" s="154"/>
      <c r="I32" s="22"/>
      <c r="J32" s="155"/>
      <c r="K32" t="str">
        <f t="shared" si="2"/>
        <v/>
      </c>
      <c r="L32" s="83" t="str">
        <f>IF(F32="","",VLOOKUP(Journal!F32,Kontenplan!$E$9:$F$128,2))</f>
        <v/>
      </c>
      <c r="M32" s="82" t="str">
        <f>IF(G32="","",VLOOKUP(Journal!G32,Kontenplan!$E$9:$F$128,2))</f>
        <v/>
      </c>
      <c r="N32" s="24" t="str">
        <f>IF(AND(G32="",I32="",J32=""),"",IF(AND(I32&gt;0,F32=""),"Bitte Sollkontonummer eingeben",IF(AND(I32&gt;0,G32=""),"Bitte Habenkontonummer eingeben",IF(F32&lt;$N$2,"Sollkontonummer nicht im Kontenplan",IF(VLOOKUP(F32,Kontenplan!$E$9:$E$128,1)&lt;&gt;F32,"Sollkontonummer nicht im Kontenplan",IF(G32&lt;$N$2,"Habenkontonummer nicht im Kontenplan",IF(OR(G32&lt;1000,G32&gt;9999,VLOOKUP(G32,Kontenplan!$E$9:$F$128,1)&lt;&gt;G32),"Habenkontonummer nicht im Kontenplan","")))))))</f>
        <v/>
      </c>
      <c r="O32" s="24" t="str">
        <f t="shared" si="1"/>
        <v/>
      </c>
      <c r="P32" s="13">
        <v>29</v>
      </c>
      <c r="Q32" s="24"/>
      <c r="R32" s="24">
        <f>IF(H32&lt;&gt;"",VLOOKUP(H32,Projektliste!$C$4:$C$160,1,-102),-101)</f>
        <v>-101</v>
      </c>
      <c r="S32" s="24" t="str">
        <f>IF(H32="","",IF(H32&lt;MIN(Projektliste!$C$4:$C$19),"Projektnummer nicht in Projektliste",IF(H32&lt;&gt;R32,"Projektnummer nicht in Projektliste","")))</f>
        <v/>
      </c>
      <c r="T32" s="24"/>
      <c r="U32" s="24"/>
      <c r="V32" s="24"/>
      <c r="W32" s="24"/>
      <c r="X32" s="24"/>
      <c r="Z32" s="24"/>
      <c r="AA32" s="24"/>
    </row>
    <row r="33" spans="1:27" x14ac:dyDescent="0.25">
      <c r="A33">
        <f>IF(OR(F33=Kontoauszug!$H$2,G33=Kontoauszug!$H$2),ROUND(A32+1,0),A32+0.0001)</f>
        <v>1.0025999999999997</v>
      </c>
      <c r="B33">
        <f>IF(AND(E33&gt;=$B$2,E33&lt;=$B$3,OR(F33=Kontoauszug!$H$2,G33=Kontoauszug!$H$2)),ROUND(B32+1,0),B32+0.0001)</f>
        <v>1.0025999999999997</v>
      </c>
      <c r="C33">
        <f>IF(H33=Projektabrechnung!$F$2,ROUND(C32+1,0),C32+0.0001)</f>
        <v>2.6999999999999993E-3</v>
      </c>
      <c r="D33" s="18"/>
      <c r="E33" s="19"/>
      <c r="F33" s="20"/>
      <c r="G33" s="21"/>
      <c r="H33" s="154"/>
      <c r="I33" s="22"/>
      <c r="J33" s="155"/>
      <c r="K33" t="str">
        <f t="shared" si="2"/>
        <v/>
      </c>
      <c r="L33" s="83" t="str">
        <f>IF(F33="","",VLOOKUP(Journal!F33,Kontenplan!$E$9:$F$128,2))</f>
        <v/>
      </c>
      <c r="M33" s="82" t="str">
        <f>IF(G33="","",VLOOKUP(Journal!G33,Kontenplan!$E$9:$F$128,2))</f>
        <v/>
      </c>
      <c r="N33" s="24" t="str">
        <f>IF(AND(G33="",I33="",J33=""),"",IF(AND(I33&gt;0,F33=""),"Bitte Sollkontonummer eingeben",IF(AND(I33&gt;0,G33=""),"Bitte Habenkontonummer eingeben",IF(F33&lt;$N$2,"Sollkontonummer nicht im Kontenplan",IF(VLOOKUP(F33,Kontenplan!$E$9:$E$128,1)&lt;&gt;F33,"Sollkontonummer nicht im Kontenplan",IF(G33&lt;$N$2,"Habenkontonummer nicht im Kontenplan",IF(OR(G33&lt;1000,G33&gt;9999,VLOOKUP(G33,Kontenplan!$E$9:$F$128,1)&lt;&gt;G33),"Habenkontonummer nicht im Kontenplan","")))))))</f>
        <v/>
      </c>
      <c r="O33" s="24" t="str">
        <f t="shared" si="1"/>
        <v/>
      </c>
      <c r="P33">
        <v>30</v>
      </c>
      <c r="Q33" s="24"/>
      <c r="R33" s="24">
        <f>IF(H33&lt;&gt;"",VLOOKUP(H33,Projektliste!$C$4:$C$160,1,-102),-101)</f>
        <v>-101</v>
      </c>
      <c r="S33" s="24" t="str">
        <f>IF(H33="","",IF(H33&lt;MIN(Projektliste!$C$4:$C$19),"Projektnummer nicht in Projektliste",IF(H33&lt;&gt;R33,"Projektnummer nicht in Projektliste","")))</f>
        <v/>
      </c>
      <c r="T33" s="24"/>
      <c r="U33" s="24"/>
      <c r="V33" s="24"/>
      <c r="W33" s="24"/>
      <c r="X33" s="24"/>
      <c r="Z33" s="24"/>
      <c r="AA33" s="24"/>
    </row>
    <row r="34" spans="1:27" x14ac:dyDescent="0.25">
      <c r="A34">
        <f>IF(OR(F34=Kontoauszug!$H$2,G34=Kontoauszug!$H$2),ROUND(A33+1,0),A33+0.0001)</f>
        <v>1.0026999999999997</v>
      </c>
      <c r="B34">
        <f>IF(AND(E34&gt;=$B$2,E34&lt;=$B$3,OR(F34=Kontoauszug!$H$2,G34=Kontoauszug!$H$2)),ROUND(B33+1,0),B33+0.0001)</f>
        <v>1.0026999999999997</v>
      </c>
      <c r="C34">
        <f>IF(H34=Projektabrechnung!$F$2,ROUND(C33+1,0),C33+0.0001)</f>
        <v>2.7999999999999991E-3</v>
      </c>
      <c r="D34" s="18"/>
      <c r="E34" s="19"/>
      <c r="F34" s="20"/>
      <c r="G34" s="21"/>
      <c r="H34" s="154"/>
      <c r="I34" s="22"/>
      <c r="J34" s="155"/>
      <c r="K34" t="str">
        <f t="shared" si="2"/>
        <v/>
      </c>
      <c r="L34" s="83" t="str">
        <f>IF(F34="","",VLOOKUP(Journal!F34,Kontenplan!$E$9:$F$128,2))</f>
        <v/>
      </c>
      <c r="M34" s="82" t="str">
        <f>IF(G34="","",VLOOKUP(Journal!G34,Kontenplan!$E$9:$F$128,2))</f>
        <v/>
      </c>
      <c r="N34" s="24" t="str">
        <f>IF(AND(G34="",I34="",J34=""),"",IF(AND(I34&gt;0,F34=""),"Bitte Sollkontonummer eingeben",IF(AND(I34&gt;0,G34=""),"Bitte Habenkontonummer eingeben",IF(F34&lt;$N$2,"Sollkontonummer nicht im Kontenplan",IF(VLOOKUP(F34,Kontenplan!$E$9:$E$128,1)&lt;&gt;F34,"Sollkontonummer nicht im Kontenplan",IF(G34&lt;$N$2,"Habenkontonummer nicht im Kontenplan",IF(OR(G34&lt;1000,G34&gt;9999,VLOOKUP(G34,Kontenplan!$E$9:$F$128,1)&lt;&gt;G34),"Habenkontonummer nicht im Kontenplan","")))))))</f>
        <v/>
      </c>
      <c r="O34" s="24" t="str">
        <f t="shared" si="1"/>
        <v/>
      </c>
      <c r="P34">
        <v>31</v>
      </c>
      <c r="Q34" s="24"/>
      <c r="R34" s="24">
        <f>IF(H34&lt;&gt;"",VLOOKUP(H34,Projektliste!$C$4:$C$160,1,-102),-101)</f>
        <v>-101</v>
      </c>
      <c r="S34" s="24" t="str">
        <f>IF(H34="","",IF(H34&lt;MIN(Projektliste!$C$4:$C$19),"Projektnummer nicht in Projektliste",IF(H34&lt;&gt;R34,"Projektnummer nicht in Projektliste","")))</f>
        <v/>
      </c>
      <c r="T34" s="24"/>
      <c r="U34" s="24"/>
      <c r="V34" s="24"/>
      <c r="W34" s="24"/>
      <c r="X34" s="24"/>
      <c r="Z34" s="24"/>
      <c r="AA34" s="24"/>
    </row>
    <row r="35" spans="1:27" x14ac:dyDescent="0.25">
      <c r="A35">
        <f>IF(OR(F35=Kontoauszug!$H$2,G35=Kontoauszug!$H$2),ROUND(A34+1,0),A34+0.0001)</f>
        <v>1.0027999999999997</v>
      </c>
      <c r="B35">
        <f>IF(AND(E35&gt;=$B$2,E35&lt;=$B$3,OR(F35=Kontoauszug!$H$2,G35=Kontoauszug!$H$2)),ROUND(B34+1,0),B34+0.0001)</f>
        <v>1.0027999999999997</v>
      </c>
      <c r="C35">
        <f>IF(H35=Projektabrechnung!$F$2,ROUND(C34+1,0),C34+0.0001)</f>
        <v>2.8999999999999989E-3</v>
      </c>
      <c r="D35" s="18"/>
      <c r="E35" s="19"/>
      <c r="F35" s="20"/>
      <c r="G35" s="21"/>
      <c r="H35" s="154"/>
      <c r="I35" s="22"/>
      <c r="J35" s="155"/>
      <c r="K35" t="str">
        <f t="shared" si="2"/>
        <v/>
      </c>
      <c r="L35" s="83" t="str">
        <f>IF(F35="","",VLOOKUP(Journal!F35,Kontenplan!$E$9:$F$128,2))</f>
        <v/>
      </c>
      <c r="M35" s="82" t="str">
        <f>IF(G35="","",VLOOKUP(Journal!G35,Kontenplan!$E$9:$F$128,2))</f>
        <v/>
      </c>
      <c r="N35" s="24" t="str">
        <f>IF(AND(G35="",I35="",J35=""),"",IF(AND(I35&gt;0,F35=""),"Bitte Sollkontonummer eingeben",IF(AND(I35&gt;0,G35=""),"Bitte Habenkontonummer eingeben",IF(F35&lt;$N$2,"Sollkontonummer nicht im Kontenplan",IF(VLOOKUP(F35,Kontenplan!$E$9:$E$128,1)&lt;&gt;F35,"Sollkontonummer nicht im Kontenplan",IF(G35&lt;$N$2,"Habenkontonummer nicht im Kontenplan",IF(OR(G35&lt;1000,G35&gt;9999,VLOOKUP(G35,Kontenplan!$E$9:$F$128,1)&lt;&gt;G35),"Habenkontonummer nicht im Kontenplan","")))))))</f>
        <v/>
      </c>
      <c r="O35" s="24" t="str">
        <f t="shared" si="1"/>
        <v/>
      </c>
      <c r="P35">
        <v>32</v>
      </c>
      <c r="Q35" s="24"/>
      <c r="R35" s="24">
        <f>IF(H35&lt;&gt;"",VLOOKUP(H35,Projektliste!$C$4:$C$160,1,-102),-101)</f>
        <v>-101</v>
      </c>
      <c r="S35" s="24" t="str">
        <f>IF(H35="","",IF(H35&lt;MIN(Projektliste!$C$4:$C$19),"Projektnummer nicht in Projektliste",IF(H35&lt;&gt;R35,"Projektnummer nicht in Projektliste","")))</f>
        <v/>
      </c>
      <c r="T35" s="24"/>
      <c r="U35" s="24"/>
      <c r="V35" s="24"/>
      <c r="W35" s="24"/>
      <c r="X35" s="24"/>
      <c r="Z35" s="24"/>
      <c r="AA35" s="24"/>
    </row>
    <row r="36" spans="1:27" x14ac:dyDescent="0.25">
      <c r="A36">
        <f>IF(OR(F36=Kontoauszug!$H$2,G36=Kontoauszug!$H$2),ROUND(A35+1,0),A35+0.0001)</f>
        <v>1.0028999999999997</v>
      </c>
      <c r="B36">
        <f>IF(AND(E36&gt;=$B$2,E36&lt;=$B$3,OR(F36=Kontoauszug!$H$2,G36=Kontoauszug!$H$2)),ROUND(B35+1,0),B35+0.0001)</f>
        <v>1.0028999999999997</v>
      </c>
      <c r="C36">
        <f>IF(H36=Projektabrechnung!$F$2,ROUND(C35+1,0),C35+0.0001)</f>
        <v>2.9999999999999988E-3</v>
      </c>
      <c r="D36" s="18"/>
      <c r="E36" s="19"/>
      <c r="F36" s="20"/>
      <c r="G36" s="20"/>
      <c r="H36" s="154"/>
      <c r="I36" s="22"/>
      <c r="J36" s="155"/>
      <c r="K36" t="str">
        <f t="shared" si="2"/>
        <v/>
      </c>
      <c r="L36" s="83" t="str">
        <f>IF(F36="","",VLOOKUP(Journal!F36,Kontenplan!$E$9:$F$128,2))</f>
        <v/>
      </c>
      <c r="M36" s="82" t="str">
        <f>IF(G36="","",VLOOKUP(Journal!G36,Kontenplan!$E$9:$F$128,2))</f>
        <v/>
      </c>
      <c r="N36" s="24" t="str">
        <f>IF(AND(G36="",I36="",J36=""),"",IF(AND(I36&gt;0,F36=""),"Bitte Sollkontonummer eingeben",IF(AND(I36&gt;0,G36=""),"Bitte Habenkontonummer eingeben",IF(F36&lt;$N$2,"Sollkontonummer nicht im Kontenplan",IF(VLOOKUP(F36,Kontenplan!$E$9:$E$128,1)&lt;&gt;F36,"Sollkontonummer nicht im Kontenplan",IF(G36&lt;$N$2,"Habenkontonummer nicht im Kontenplan",IF(OR(G36&lt;1000,G36&gt;9999,VLOOKUP(G36,Kontenplan!$E$9:$F$128,1)&lt;&gt;G36),"Habenkontonummer nicht im Kontenplan","")))))))</f>
        <v/>
      </c>
      <c r="O36" s="24" t="str">
        <f t="shared" si="1"/>
        <v/>
      </c>
      <c r="P36">
        <v>33</v>
      </c>
      <c r="Q36" s="24"/>
      <c r="R36" s="24">
        <f>IF(H36&lt;&gt;"",VLOOKUP(H36,Projektliste!$C$4:$C$160,1,-102),-101)</f>
        <v>-101</v>
      </c>
      <c r="S36" s="24" t="str">
        <f>IF(H36="","",IF(H36&lt;MIN(Projektliste!$C$4:$C$19),"Projektnummer nicht in Projektliste",IF(H36&lt;&gt;R36,"Projektnummer nicht in Projektliste","")))</f>
        <v/>
      </c>
      <c r="T36" s="24"/>
      <c r="U36" s="24"/>
      <c r="V36" s="24"/>
      <c r="W36" s="24"/>
      <c r="X36" s="24"/>
      <c r="Z36" s="24"/>
      <c r="AA36" s="24"/>
    </row>
    <row r="37" spans="1:27" x14ac:dyDescent="0.25">
      <c r="A37">
        <f>IF(OR(F37=Kontoauszug!$H$2,G37=Kontoauszug!$H$2),ROUND(A36+1,0),A36+0.0001)</f>
        <v>1.0029999999999997</v>
      </c>
      <c r="B37">
        <f>IF(AND(E37&gt;=$B$2,E37&lt;=$B$3,OR(F37=Kontoauszug!$H$2,G37=Kontoauszug!$H$2)),ROUND(B36+1,0),B36+0.0001)</f>
        <v>1.0029999999999997</v>
      </c>
      <c r="C37">
        <f>IF(H37=Projektabrechnung!$F$2,ROUND(C36+1,0),C36+0.0001)</f>
        <v>3.0999999999999986E-3</v>
      </c>
      <c r="D37" s="18"/>
      <c r="E37" s="19"/>
      <c r="F37" s="20"/>
      <c r="G37" s="21"/>
      <c r="H37" s="154"/>
      <c r="I37" s="22"/>
      <c r="J37" s="155"/>
      <c r="K37" t="str">
        <f t="shared" si="2"/>
        <v/>
      </c>
      <c r="L37" s="83" t="str">
        <f>IF(F37="","",VLOOKUP(Journal!F37,Kontenplan!$E$9:$F$128,2))</f>
        <v/>
      </c>
      <c r="M37" s="82" t="str">
        <f>IF(G37="","",VLOOKUP(Journal!G37,Kontenplan!$E$9:$F$128,2))</f>
        <v/>
      </c>
      <c r="N37" s="24" t="str">
        <f>IF(AND(G37="",I37="",J37=""),"",IF(AND(I37&gt;0,F37=""),"Bitte Sollkontonummer eingeben",IF(AND(I37&gt;0,G37=""),"Bitte Habenkontonummer eingeben",IF(F37&lt;$N$2,"Sollkontonummer nicht im Kontenplan",IF(VLOOKUP(F37,Kontenplan!$E$9:$E$128,1)&lt;&gt;F37,"Sollkontonummer nicht im Kontenplan",IF(G37&lt;$N$2,"Habenkontonummer nicht im Kontenplan",IF(OR(G37&lt;1000,G37&gt;9999,VLOOKUP(G37,Kontenplan!$E$9:$F$128,1)&lt;&gt;G37),"Habenkontonummer nicht im Kontenplan","")))))))</f>
        <v/>
      </c>
      <c r="O37" s="24" t="str">
        <f t="shared" si="1"/>
        <v/>
      </c>
      <c r="P37">
        <v>34</v>
      </c>
      <c r="Q37" s="24"/>
      <c r="R37" s="24">
        <f>IF(H37&lt;&gt;"",VLOOKUP(H37,Projektliste!$C$4:$C$160,1,-102),-101)</f>
        <v>-101</v>
      </c>
      <c r="S37" s="24" t="str">
        <f>IF(H37="","",IF(H37&lt;MIN(Projektliste!$C$4:$C$19),"Projektnummer nicht in Projektliste",IF(H37&lt;&gt;R37,"Projektnummer nicht in Projektliste","")))</f>
        <v/>
      </c>
      <c r="T37" s="24"/>
      <c r="U37" s="24"/>
      <c r="V37" s="24"/>
      <c r="W37" s="24"/>
      <c r="X37" s="24"/>
      <c r="Z37" s="24"/>
      <c r="AA37" s="24"/>
    </row>
    <row r="38" spans="1:27" x14ac:dyDescent="0.25">
      <c r="A38">
        <f>IF(OR(F38=Kontoauszug!$H$2,G38=Kontoauszug!$H$2),ROUND(A37+1,0),A37+0.0001)</f>
        <v>1.0030999999999997</v>
      </c>
      <c r="B38">
        <f>IF(AND(E38&gt;=$B$2,E38&lt;=$B$3,OR(F38=Kontoauszug!$H$2,G38=Kontoauszug!$H$2)),ROUND(B37+1,0),B37+0.0001)</f>
        <v>1.0030999999999997</v>
      </c>
      <c r="C38">
        <f>IF(H38=Projektabrechnung!$F$2,ROUND(C37+1,0),C37+0.0001)</f>
        <v>3.1999999999999984E-3</v>
      </c>
      <c r="D38" s="18"/>
      <c r="E38" s="19"/>
      <c r="F38" s="20"/>
      <c r="G38" s="21"/>
      <c r="H38" s="154"/>
      <c r="I38" s="22"/>
      <c r="J38" s="155"/>
      <c r="K38" t="str">
        <f t="shared" si="2"/>
        <v/>
      </c>
      <c r="L38" s="83" t="str">
        <f>IF(F38="","",VLOOKUP(Journal!F38,Kontenplan!$E$9:$F$128,2))</f>
        <v/>
      </c>
      <c r="M38" s="82" t="str">
        <f>IF(G38="","",VLOOKUP(Journal!G38,Kontenplan!$E$9:$F$128,2))</f>
        <v/>
      </c>
      <c r="N38" s="24" t="str">
        <f>IF(AND(G38="",I38="",J38=""),"",IF(AND(I38&gt;0,F38=""),"Bitte Sollkontonummer eingeben",IF(AND(I38&gt;0,G38=""),"Bitte Habenkontonummer eingeben",IF(F38&lt;$N$2,"Sollkontonummer nicht im Kontenplan",IF(VLOOKUP(F38,Kontenplan!$E$9:$E$128,1)&lt;&gt;F38,"Sollkontonummer nicht im Kontenplan",IF(G38&lt;$N$2,"Habenkontonummer nicht im Kontenplan",IF(OR(G38&lt;1000,G38&gt;9999,VLOOKUP(G38,Kontenplan!$E$9:$F$128,1)&lt;&gt;G38),"Habenkontonummer nicht im Kontenplan","")))))))</f>
        <v/>
      </c>
      <c r="O38" s="24" t="str">
        <f t="shared" si="1"/>
        <v/>
      </c>
      <c r="P38">
        <v>35</v>
      </c>
      <c r="Q38" s="24"/>
      <c r="R38" s="24">
        <f>IF(H38&lt;&gt;"",VLOOKUP(H38,Projektliste!$C$4:$C$160,1,-102),-101)</f>
        <v>-101</v>
      </c>
      <c r="S38" s="24" t="str">
        <f>IF(H38="","",IF(H38&lt;MIN(Projektliste!$C$4:$C$19),"Projektnummer nicht in Projektliste",IF(H38&lt;&gt;R38,"Projektnummer nicht in Projektliste","")))</f>
        <v/>
      </c>
      <c r="T38" s="24"/>
      <c r="U38" s="24"/>
      <c r="V38" s="24"/>
      <c r="W38" s="24"/>
      <c r="X38" s="24"/>
      <c r="Z38" s="24"/>
      <c r="AA38" s="24"/>
    </row>
    <row r="39" spans="1:27" x14ac:dyDescent="0.25">
      <c r="A39">
        <f>IF(OR(F39=Kontoauszug!$H$2,G39=Kontoauszug!$H$2),ROUND(A38+1,0),A38+0.0001)</f>
        <v>1.0031999999999996</v>
      </c>
      <c r="B39">
        <f>IF(AND(E39&gt;=$B$2,E39&lt;=$B$3,OR(F39=Kontoauszug!$H$2,G39=Kontoauszug!$H$2)),ROUND(B38+1,0),B38+0.0001)</f>
        <v>1.0031999999999996</v>
      </c>
      <c r="C39">
        <f>IF(H39=Projektabrechnung!$F$2,ROUND(C38+1,0),C38+0.0001)</f>
        <v>3.2999999999999982E-3</v>
      </c>
      <c r="D39" s="18"/>
      <c r="E39" s="19"/>
      <c r="F39" s="20"/>
      <c r="G39" s="20"/>
      <c r="H39" s="154"/>
      <c r="I39" s="22"/>
      <c r="J39" s="155"/>
      <c r="K39" t="str">
        <f t="shared" si="2"/>
        <v/>
      </c>
      <c r="L39" s="83" t="str">
        <f>IF(F39="","",VLOOKUP(Journal!F39,Kontenplan!$E$9:$F$128,2))</f>
        <v/>
      </c>
      <c r="M39" s="82" t="str">
        <f>IF(G39="","",VLOOKUP(Journal!G39,Kontenplan!$E$9:$F$128,2))</f>
        <v/>
      </c>
      <c r="N39" s="24" t="str">
        <f>IF(AND(G39="",I39="",J39=""),"",IF(AND(I39&gt;0,F39=""),"Bitte Sollkontonummer eingeben",IF(AND(I39&gt;0,G39=""),"Bitte Habenkontonummer eingeben",IF(F39&lt;$N$2,"Sollkontonummer nicht im Kontenplan",IF(VLOOKUP(F39,Kontenplan!$E$9:$E$128,1)&lt;&gt;F39,"Sollkontonummer nicht im Kontenplan",IF(G39&lt;$N$2,"Habenkontonummer nicht im Kontenplan",IF(OR(G39&lt;1000,G39&gt;9999,VLOOKUP(G39,Kontenplan!$E$9:$F$128,1)&lt;&gt;G39),"Habenkontonummer nicht im Kontenplan","")))))))</f>
        <v/>
      </c>
      <c r="O39" s="24" t="str">
        <f t="shared" si="1"/>
        <v/>
      </c>
      <c r="P39" s="13">
        <v>36</v>
      </c>
      <c r="Q39" s="24"/>
      <c r="R39" s="24">
        <f>IF(H39&lt;&gt;"",VLOOKUP(H39,Projektliste!$C$4:$C$160,1,-102),-101)</f>
        <v>-101</v>
      </c>
      <c r="S39" s="24" t="str">
        <f>IF(H39="","",IF(H39&lt;MIN(Projektliste!$C$4:$C$19),"Projektnummer nicht in Projektliste",IF(H39&lt;&gt;R39,"Projektnummer nicht in Projektliste","")))</f>
        <v/>
      </c>
      <c r="T39" s="24"/>
      <c r="U39" s="24"/>
      <c r="V39" s="24"/>
      <c r="W39" s="24"/>
      <c r="X39" s="24"/>
      <c r="Z39" s="24"/>
      <c r="AA39" s="24"/>
    </row>
    <row r="40" spans="1:27" x14ac:dyDescent="0.25">
      <c r="A40">
        <f>IF(OR(F40=Kontoauszug!$H$2,G40=Kontoauszug!$H$2),ROUND(A39+1,0),A39+0.0001)</f>
        <v>1.0032999999999996</v>
      </c>
      <c r="B40">
        <f>IF(AND(E40&gt;=$B$2,E40&lt;=$B$3,OR(F40=Kontoauszug!$H$2,G40=Kontoauszug!$H$2)),ROUND(B39+1,0),B39+0.0001)</f>
        <v>1.0032999999999996</v>
      </c>
      <c r="C40">
        <f>IF(H40=Projektabrechnung!$F$2,ROUND(C39+1,0),C39+0.0001)</f>
        <v>3.3999999999999981E-3</v>
      </c>
      <c r="D40" s="18"/>
      <c r="E40" s="19"/>
      <c r="F40" s="20"/>
      <c r="G40" s="21"/>
      <c r="H40" s="154"/>
      <c r="I40" s="22"/>
      <c r="J40" s="155"/>
      <c r="K40" t="str">
        <f t="shared" si="2"/>
        <v/>
      </c>
      <c r="L40" s="83" t="str">
        <f>IF(F40="","",VLOOKUP(Journal!F40,Kontenplan!$E$9:$F$128,2))</f>
        <v/>
      </c>
      <c r="M40" s="82" t="str">
        <f>IF(G40="","",VLOOKUP(Journal!G40,Kontenplan!$E$9:$F$128,2))</f>
        <v/>
      </c>
      <c r="N40" s="24" t="str">
        <f>IF(AND(G40="",I40="",J40=""),"",IF(AND(I40&gt;0,F40=""),"Bitte Sollkontonummer eingeben",IF(AND(I40&gt;0,G40=""),"Bitte Habenkontonummer eingeben",IF(F40&lt;$N$2,"Sollkontonummer nicht im Kontenplan",IF(VLOOKUP(F40,Kontenplan!$E$9:$E$128,1)&lt;&gt;F40,"Sollkontonummer nicht im Kontenplan",IF(G40&lt;$N$2,"Habenkontonummer nicht im Kontenplan",IF(OR(G40&lt;1000,G40&gt;9999,VLOOKUP(G40,Kontenplan!$E$9:$F$128,1)&lt;&gt;G40),"Habenkontonummer nicht im Kontenplan","")))))))</f>
        <v/>
      </c>
      <c r="O40" s="24" t="str">
        <f t="shared" si="1"/>
        <v/>
      </c>
      <c r="P40">
        <v>37</v>
      </c>
      <c r="Q40" s="24"/>
      <c r="R40" s="24">
        <f>IF(H40&lt;&gt;"",VLOOKUP(H40,Projektliste!$C$4:$C$160,1,-102),-101)</f>
        <v>-101</v>
      </c>
      <c r="S40" s="24" t="str">
        <f>IF(H40="","",IF(H40&lt;MIN(Projektliste!$C$4:$C$19),"Projektnummer nicht in Projektliste",IF(H40&lt;&gt;R40,"Projektnummer nicht in Projektliste","")))</f>
        <v/>
      </c>
      <c r="T40" s="24"/>
      <c r="U40" s="24"/>
      <c r="V40" s="24"/>
      <c r="W40" s="24"/>
      <c r="X40" s="24"/>
      <c r="Z40" s="24"/>
      <c r="AA40" s="24"/>
    </row>
    <row r="41" spans="1:27" x14ac:dyDescent="0.25">
      <c r="A41">
        <f>IF(OR(F41=Kontoauszug!$H$2,G41=Kontoauszug!$H$2),ROUND(A40+1,0),A40+0.0001)</f>
        <v>1.0033999999999996</v>
      </c>
      <c r="B41">
        <f>IF(AND(E41&gt;=$B$2,E41&lt;=$B$3,OR(F41=Kontoauszug!$H$2,G41=Kontoauszug!$H$2)),ROUND(B40+1,0),B40+0.0001)</f>
        <v>1.0033999999999996</v>
      </c>
      <c r="C41">
        <f>IF(H41=Projektabrechnung!$F$2,ROUND(C40+1,0),C40+0.0001)</f>
        <v>3.4999999999999979E-3</v>
      </c>
      <c r="D41" s="18"/>
      <c r="E41" s="19"/>
      <c r="F41" s="20"/>
      <c r="G41" s="21"/>
      <c r="H41" s="154"/>
      <c r="I41" s="22"/>
      <c r="J41" s="155"/>
      <c r="K41" t="str">
        <f t="shared" si="2"/>
        <v/>
      </c>
      <c r="L41" s="83" t="str">
        <f>IF(F41="","",VLOOKUP(Journal!F41,Kontenplan!$E$9:$F$128,2))</f>
        <v/>
      </c>
      <c r="M41" s="82" t="str">
        <f>IF(G41="","",VLOOKUP(Journal!G41,Kontenplan!$E$9:$F$128,2))</f>
        <v/>
      </c>
      <c r="N41" s="24" t="str">
        <f>IF(AND(G41="",I41="",J41=""),"",IF(AND(I41&gt;0,F41=""),"Bitte Sollkontonummer eingeben",IF(AND(I41&gt;0,G41=""),"Bitte Habenkontonummer eingeben",IF(F41&lt;$N$2,"Sollkontonummer nicht im Kontenplan",IF(VLOOKUP(F41,Kontenplan!$E$9:$E$128,1)&lt;&gt;F41,"Sollkontonummer nicht im Kontenplan",IF(G41&lt;$N$2,"Habenkontonummer nicht im Kontenplan",IF(OR(G41&lt;1000,G41&gt;9999,VLOOKUP(G41,Kontenplan!$E$9:$F$128,1)&lt;&gt;G41),"Habenkontonummer nicht im Kontenplan","")))))))</f>
        <v/>
      </c>
      <c r="O41" s="24" t="str">
        <f t="shared" si="1"/>
        <v/>
      </c>
      <c r="P41">
        <v>38</v>
      </c>
      <c r="Q41" s="24"/>
      <c r="R41" s="24">
        <f>IF(H41&lt;&gt;"",VLOOKUP(H41,Projektliste!$C$4:$C$160,1,-102),-101)</f>
        <v>-101</v>
      </c>
      <c r="S41" s="24" t="str">
        <f>IF(H41="","",IF(H41&lt;MIN(Projektliste!$C$4:$C$19),"Projektnummer nicht in Projektliste",IF(H41&lt;&gt;R41,"Projektnummer nicht in Projektliste","")))</f>
        <v/>
      </c>
      <c r="T41" s="24"/>
      <c r="U41" s="24"/>
      <c r="V41" s="24"/>
      <c r="W41" s="24"/>
      <c r="X41" s="24"/>
      <c r="Z41" s="24"/>
      <c r="AA41" s="24"/>
    </row>
    <row r="42" spans="1:27" x14ac:dyDescent="0.25">
      <c r="A42">
        <f>IF(OR(F42=Kontoauszug!$H$2,G42=Kontoauszug!$H$2),ROUND(A41+1,0),A41+0.0001)</f>
        <v>1.0034999999999996</v>
      </c>
      <c r="B42">
        <f>IF(AND(E42&gt;=$B$2,E42&lt;=$B$3,OR(F42=Kontoauszug!$H$2,G42=Kontoauszug!$H$2)),ROUND(B41+1,0),B41+0.0001)</f>
        <v>1.0034999999999996</v>
      </c>
      <c r="C42">
        <f>IF(H42=Projektabrechnung!$F$2,ROUND(C41+1,0),C41+0.0001)</f>
        <v>3.5999999999999977E-3</v>
      </c>
      <c r="D42" s="18"/>
      <c r="E42" s="19"/>
      <c r="F42" s="20"/>
      <c r="G42" s="21"/>
      <c r="H42" s="154"/>
      <c r="I42" s="22"/>
      <c r="J42" s="155"/>
      <c r="K42" t="str">
        <f t="shared" si="2"/>
        <v/>
      </c>
      <c r="L42" s="83" t="str">
        <f>IF(F42="","",VLOOKUP(Journal!F42,Kontenplan!$E$9:$F$128,2))</f>
        <v/>
      </c>
      <c r="M42" s="82" t="str">
        <f>IF(G42="","",VLOOKUP(Journal!G42,Kontenplan!$E$9:$F$128,2))</f>
        <v/>
      </c>
      <c r="N42" s="24" t="str">
        <f>IF(AND(G42="",I42="",J42=""),"",IF(AND(I42&gt;0,F42=""),"Bitte Sollkontonummer eingeben",IF(AND(I42&gt;0,G42=""),"Bitte Habenkontonummer eingeben",IF(F42&lt;$N$2,"Sollkontonummer nicht im Kontenplan",IF(VLOOKUP(F42,Kontenplan!$E$9:$E$128,1)&lt;&gt;F42,"Sollkontonummer nicht im Kontenplan",IF(G42&lt;$N$2,"Habenkontonummer nicht im Kontenplan",IF(OR(G42&lt;1000,G42&gt;9999,VLOOKUP(G42,Kontenplan!$E$9:$F$128,1)&lt;&gt;G42),"Habenkontonummer nicht im Kontenplan","")))))))</f>
        <v/>
      </c>
      <c r="O42" s="24" t="str">
        <f t="shared" si="1"/>
        <v/>
      </c>
      <c r="P42">
        <v>39</v>
      </c>
      <c r="Q42" s="24"/>
      <c r="R42" s="24">
        <f>IF(H42&lt;&gt;"",VLOOKUP(H42,Projektliste!$C$4:$C$160,1,-102),-101)</f>
        <v>-101</v>
      </c>
      <c r="S42" s="24" t="str">
        <f>IF(H42="","",IF(H42&lt;MIN(Projektliste!$C$4:$C$19),"Projektnummer nicht in Projektliste",IF(H42&lt;&gt;R42,"Projektnummer nicht in Projektliste","")))</f>
        <v/>
      </c>
      <c r="T42" s="24"/>
      <c r="U42" s="24"/>
      <c r="V42" s="24"/>
      <c r="W42" s="24"/>
      <c r="X42" s="24"/>
      <c r="Z42" s="24"/>
      <c r="AA42" s="24"/>
    </row>
    <row r="43" spans="1:27" x14ac:dyDescent="0.25">
      <c r="A43">
        <f>IF(OR(F43=Kontoauszug!$H$2,G43=Kontoauszug!$H$2),ROUND(A42+1,0),A42+0.0001)</f>
        <v>1.0035999999999996</v>
      </c>
      <c r="B43">
        <f>IF(AND(E43&gt;=$B$2,E43&lt;=$B$3,OR(F43=Kontoauszug!$H$2,G43=Kontoauszug!$H$2)),ROUND(B42+1,0),B42+0.0001)</f>
        <v>1.0035999999999996</v>
      </c>
      <c r="C43">
        <f>IF(H43=Projektabrechnung!$F$2,ROUND(C42+1,0),C42+0.0001)</f>
        <v>3.6999999999999976E-3</v>
      </c>
      <c r="D43" s="18"/>
      <c r="E43" s="19"/>
      <c r="F43" s="20"/>
      <c r="G43" s="21"/>
      <c r="H43" s="154"/>
      <c r="I43" s="22"/>
      <c r="J43" s="155"/>
      <c r="K43" t="str">
        <f t="shared" si="2"/>
        <v/>
      </c>
      <c r="L43" s="83" t="str">
        <f>IF(F43="","",VLOOKUP(Journal!F43,Kontenplan!$E$9:$F$128,2))</f>
        <v/>
      </c>
      <c r="M43" s="82" t="str">
        <f>IF(G43="","",VLOOKUP(Journal!G43,Kontenplan!$E$9:$F$128,2))</f>
        <v/>
      </c>
      <c r="N43" s="24" t="str">
        <f>IF(AND(G43="",I43="",J43=""),"",IF(AND(I43&gt;0,F43=""),"Bitte Sollkontonummer eingeben",IF(AND(I43&gt;0,G43=""),"Bitte Habenkontonummer eingeben",IF(F43&lt;$N$2,"Sollkontonummer nicht im Kontenplan",IF(VLOOKUP(F43,Kontenplan!$E$9:$E$128,1)&lt;&gt;F43,"Sollkontonummer nicht im Kontenplan",IF(G43&lt;$N$2,"Habenkontonummer nicht im Kontenplan",IF(OR(G43&lt;1000,G43&gt;9999,VLOOKUP(G43,Kontenplan!$E$9:$F$128,1)&lt;&gt;G43),"Habenkontonummer nicht im Kontenplan","")))))))</f>
        <v/>
      </c>
      <c r="O43" s="24" t="str">
        <f t="shared" si="1"/>
        <v/>
      </c>
      <c r="P43">
        <v>40</v>
      </c>
      <c r="Q43" s="24"/>
      <c r="R43" s="24">
        <f>IF(H43&lt;&gt;"",VLOOKUP(H43,Projektliste!$C$4:$C$160,1,-102),-101)</f>
        <v>-101</v>
      </c>
      <c r="S43" s="24" t="str">
        <f>IF(H43="","",IF(H43&lt;MIN(Projektliste!$C$4:$C$19),"Projektnummer nicht in Projektliste",IF(H43&lt;&gt;R43,"Projektnummer nicht in Projektliste","")))</f>
        <v/>
      </c>
      <c r="T43" s="24"/>
      <c r="U43" s="24"/>
      <c r="V43" s="24"/>
      <c r="W43" s="24"/>
      <c r="X43" s="24"/>
      <c r="Z43" s="24"/>
      <c r="AA43" s="24"/>
    </row>
    <row r="44" spans="1:27" x14ac:dyDescent="0.25">
      <c r="A44">
        <f>IF(OR(F44=Kontoauszug!$H$2,G44=Kontoauszug!$H$2),ROUND(A43+1,0),A43+0.0001)</f>
        <v>1.0036999999999996</v>
      </c>
      <c r="B44">
        <f>IF(AND(E44&gt;=$B$2,E44&lt;=$B$3,OR(F44=Kontoauszug!$H$2,G44=Kontoauszug!$H$2)),ROUND(B43+1,0),B43+0.0001)</f>
        <v>1.0036999999999996</v>
      </c>
      <c r="C44">
        <f>IF(H44=Projektabrechnung!$F$2,ROUND(C43+1,0),C43+0.0001)</f>
        <v>3.7999999999999974E-3</v>
      </c>
      <c r="D44" s="18"/>
      <c r="E44" s="19"/>
      <c r="F44" s="20"/>
      <c r="G44" s="21"/>
      <c r="H44" s="154"/>
      <c r="I44" s="22"/>
      <c r="J44" s="155"/>
      <c r="K44" t="str">
        <f t="shared" si="2"/>
        <v/>
      </c>
      <c r="L44" s="83" t="str">
        <f>IF(F44="","",VLOOKUP(Journal!F44,Kontenplan!$E$9:$F$128,2))</f>
        <v/>
      </c>
      <c r="M44" s="82" t="str">
        <f>IF(G44="","",VLOOKUP(Journal!G44,Kontenplan!$E$9:$F$128,2))</f>
        <v/>
      </c>
      <c r="N44" s="24" t="str">
        <f>IF(AND(G44="",I44="",J44=""),"",IF(AND(I44&gt;0,F44=""),"Bitte Sollkontonummer eingeben",IF(AND(I44&gt;0,G44=""),"Bitte Habenkontonummer eingeben",IF(F44&lt;$N$2,"Sollkontonummer nicht im Kontenplan",IF(VLOOKUP(F44,Kontenplan!$E$9:$E$128,1)&lt;&gt;F44,"Sollkontonummer nicht im Kontenplan",IF(G44&lt;$N$2,"Habenkontonummer nicht im Kontenplan",IF(OR(G44&lt;1000,G44&gt;9999,VLOOKUP(G44,Kontenplan!$E$9:$F$128,1)&lt;&gt;G44),"Habenkontonummer nicht im Kontenplan","")))))))</f>
        <v/>
      </c>
      <c r="O44" s="24" t="str">
        <f t="shared" si="1"/>
        <v/>
      </c>
      <c r="P44">
        <v>41</v>
      </c>
      <c r="Q44" s="24"/>
      <c r="R44" s="24">
        <f>IF(H44&lt;&gt;"",VLOOKUP(H44,Projektliste!$C$4:$C$160,1,-102),-101)</f>
        <v>-101</v>
      </c>
      <c r="S44" s="24" t="str">
        <f>IF(H44="","",IF(H44&lt;MIN(Projektliste!$C$4:$C$19),"Projektnummer nicht in Projektliste",IF(H44&lt;&gt;R44,"Projektnummer nicht in Projektliste","")))</f>
        <v/>
      </c>
      <c r="T44" s="24"/>
      <c r="U44" s="24"/>
      <c r="V44" s="24"/>
      <c r="W44" s="24"/>
      <c r="X44" s="24"/>
      <c r="Z44" s="24"/>
      <c r="AA44" s="24"/>
    </row>
    <row r="45" spans="1:27" x14ac:dyDescent="0.25">
      <c r="A45">
        <f>IF(OR(F45=Kontoauszug!$H$2,G45=Kontoauszug!$H$2),ROUND(A44+1,0),A44+0.0001)</f>
        <v>1.0037999999999996</v>
      </c>
      <c r="B45">
        <f>IF(AND(E45&gt;=$B$2,E45&lt;=$B$3,OR(F45=Kontoauszug!$H$2,G45=Kontoauszug!$H$2)),ROUND(B44+1,0),B44+0.0001)</f>
        <v>1.0037999999999996</v>
      </c>
      <c r="C45">
        <f>IF(H45=Projektabrechnung!$F$2,ROUND(C44+1,0),C44+0.0001)</f>
        <v>3.8999999999999972E-3</v>
      </c>
      <c r="D45" s="18"/>
      <c r="E45" s="19"/>
      <c r="F45" s="20"/>
      <c r="G45" s="21"/>
      <c r="H45" s="154"/>
      <c r="I45" s="22"/>
      <c r="J45" s="155"/>
      <c r="K45" t="str">
        <f t="shared" si="2"/>
        <v/>
      </c>
      <c r="L45" s="83" t="str">
        <f>IF(F45="","",VLOOKUP(Journal!F45,Kontenplan!$E$9:$F$128,2))</f>
        <v/>
      </c>
      <c r="M45" s="82" t="str">
        <f>IF(G45="","",VLOOKUP(Journal!G45,Kontenplan!$E$9:$F$128,2))</f>
        <v/>
      </c>
      <c r="N45" s="24" t="str">
        <f>IF(AND(G45="",I45="",J45=""),"",IF(AND(I45&gt;0,F45=""),"Bitte Sollkontonummer eingeben",IF(AND(I45&gt;0,G45=""),"Bitte Habenkontonummer eingeben",IF(F45&lt;$N$2,"Sollkontonummer nicht im Kontenplan",IF(VLOOKUP(F45,Kontenplan!$E$9:$E$128,1)&lt;&gt;F45,"Sollkontonummer nicht im Kontenplan",IF(G45&lt;$N$2,"Habenkontonummer nicht im Kontenplan",IF(OR(G45&lt;1000,G45&gt;9999,VLOOKUP(G45,Kontenplan!$E$9:$F$128,1)&lt;&gt;G45),"Habenkontonummer nicht im Kontenplan","")))))))</f>
        <v/>
      </c>
      <c r="O45" s="24" t="str">
        <f t="shared" si="1"/>
        <v/>
      </c>
      <c r="P45">
        <v>42</v>
      </c>
      <c r="Q45" s="24"/>
      <c r="R45" s="24">
        <f>IF(H45&lt;&gt;"",VLOOKUP(H45,Projektliste!$C$4:$C$160,1,-102),-101)</f>
        <v>-101</v>
      </c>
      <c r="S45" s="24" t="str">
        <f>IF(H45="","",IF(H45&lt;MIN(Projektliste!$C$4:$C$19),"Projektnummer nicht in Projektliste",IF(H45&lt;&gt;R45,"Projektnummer nicht in Projektliste","")))</f>
        <v/>
      </c>
      <c r="T45" s="24"/>
      <c r="U45" s="24"/>
      <c r="V45" s="24"/>
      <c r="W45" s="24"/>
      <c r="X45" s="24"/>
      <c r="Z45" s="24"/>
      <c r="AA45" s="24"/>
    </row>
    <row r="46" spans="1:27" x14ac:dyDescent="0.25">
      <c r="A46">
        <f>IF(OR(F46=Kontoauszug!$H$2,G46=Kontoauszug!$H$2),ROUND(A45+1,0),A45+0.0001)</f>
        <v>1.0038999999999996</v>
      </c>
      <c r="B46">
        <f>IF(AND(E46&gt;=$B$2,E46&lt;=$B$3,OR(F46=Kontoauszug!$H$2,G46=Kontoauszug!$H$2)),ROUND(B45+1,0),B45+0.0001)</f>
        <v>1.0038999999999996</v>
      </c>
      <c r="C46">
        <f>IF(H46=Projektabrechnung!$F$2,ROUND(C45+1,0),C45+0.0001)</f>
        <v>3.9999999999999975E-3</v>
      </c>
      <c r="D46" s="18"/>
      <c r="E46" s="19"/>
      <c r="F46" s="20"/>
      <c r="G46" s="21"/>
      <c r="H46" s="154"/>
      <c r="I46" s="22"/>
      <c r="J46" s="155"/>
      <c r="K46" t="str">
        <f t="shared" si="2"/>
        <v/>
      </c>
      <c r="L46" s="83" t="str">
        <f>IF(F46="","",VLOOKUP(Journal!F46,Kontenplan!$E$9:$F$128,2))</f>
        <v/>
      </c>
      <c r="M46" s="82" t="str">
        <f>IF(G46="","",VLOOKUP(Journal!G46,Kontenplan!$E$9:$F$128,2))</f>
        <v/>
      </c>
      <c r="N46" s="24" t="str">
        <f>IF(AND(G46="",I46="",J46=""),"",IF(AND(I46&gt;0,F46=""),"Bitte Sollkontonummer eingeben",IF(AND(I46&gt;0,G46=""),"Bitte Habenkontonummer eingeben",IF(F46&lt;$N$2,"Sollkontonummer nicht im Kontenplan",IF(VLOOKUP(F46,Kontenplan!$E$9:$E$128,1)&lt;&gt;F46,"Sollkontonummer nicht im Kontenplan",IF(G46&lt;$N$2,"Habenkontonummer nicht im Kontenplan",IF(OR(G46&lt;1000,G46&gt;9999,VLOOKUP(G46,Kontenplan!$E$9:$F$128,1)&lt;&gt;G46),"Habenkontonummer nicht im Kontenplan","")))))))</f>
        <v/>
      </c>
      <c r="O46" s="24" t="str">
        <f t="shared" si="1"/>
        <v/>
      </c>
      <c r="P46" s="13">
        <v>43</v>
      </c>
      <c r="Q46" s="24"/>
      <c r="R46" s="24">
        <f>IF(H46&lt;&gt;"",VLOOKUP(H46,Projektliste!$C$4:$C$160,1,-102),-101)</f>
        <v>-101</v>
      </c>
      <c r="S46" s="24" t="str">
        <f>IF(H46="","",IF(H46&lt;MIN(Projektliste!$C$4:$C$19),"Projektnummer nicht in Projektliste",IF(H46&lt;&gt;R46,"Projektnummer nicht in Projektliste","")))</f>
        <v/>
      </c>
      <c r="T46" s="24"/>
      <c r="U46" s="24"/>
      <c r="V46" s="24"/>
      <c r="W46" s="24"/>
      <c r="X46" s="24"/>
      <c r="Z46" s="24"/>
      <c r="AA46" s="24"/>
    </row>
    <row r="47" spans="1:27" x14ac:dyDescent="0.25">
      <c r="A47">
        <f>IF(OR(F47=Kontoauszug!$H$2,G47=Kontoauszug!$H$2),ROUND(A46+1,0),A46+0.0001)</f>
        <v>1.0039999999999996</v>
      </c>
      <c r="B47">
        <f>IF(AND(E47&gt;=$B$2,E47&lt;=$B$3,OR(F47=Kontoauszug!$H$2,G47=Kontoauszug!$H$2)),ROUND(B46+1,0),B46+0.0001)</f>
        <v>1.0039999999999996</v>
      </c>
      <c r="C47">
        <f>IF(H47=Projektabrechnung!$F$2,ROUND(C46+1,0),C46+0.0001)</f>
        <v>4.0999999999999977E-3</v>
      </c>
      <c r="D47" s="18"/>
      <c r="E47" s="19"/>
      <c r="F47" s="20"/>
      <c r="G47" s="21"/>
      <c r="H47" s="154"/>
      <c r="I47" s="22"/>
      <c r="J47" s="155"/>
      <c r="K47" t="str">
        <f t="shared" si="2"/>
        <v/>
      </c>
      <c r="L47" s="83" t="str">
        <f>IF(F47="","",VLOOKUP(Journal!F47,Kontenplan!$E$9:$F$128,2))</f>
        <v/>
      </c>
      <c r="M47" s="82" t="str">
        <f>IF(G47="","",VLOOKUP(Journal!G47,Kontenplan!$E$9:$F$128,2))</f>
        <v/>
      </c>
      <c r="N47" s="24" t="str">
        <f>IF(AND(G47="",I47="",J47=""),"",IF(AND(I47&gt;0,F47=""),"Bitte Sollkontonummer eingeben",IF(AND(I47&gt;0,G47=""),"Bitte Habenkontonummer eingeben",IF(F47&lt;$N$2,"Sollkontonummer nicht im Kontenplan",IF(VLOOKUP(F47,Kontenplan!$E$9:$E$128,1)&lt;&gt;F47,"Sollkontonummer nicht im Kontenplan",IF(G47&lt;$N$2,"Habenkontonummer nicht im Kontenplan",IF(OR(G47&lt;1000,G47&gt;9999,VLOOKUP(G47,Kontenplan!$E$9:$F$128,1)&lt;&gt;G47),"Habenkontonummer nicht im Kontenplan","")))))))</f>
        <v/>
      </c>
      <c r="O47" s="24" t="str">
        <f t="shared" si="1"/>
        <v/>
      </c>
      <c r="P47">
        <v>44</v>
      </c>
      <c r="Q47" s="24"/>
      <c r="R47" s="24">
        <f>IF(H47&lt;&gt;"",VLOOKUP(H47,Projektliste!$C$4:$C$160,1,-102),-101)</f>
        <v>-101</v>
      </c>
      <c r="S47" s="24" t="str">
        <f>IF(H47="","",IF(H47&lt;MIN(Projektliste!$C$4:$C$19),"Projektnummer nicht in Projektliste",IF(H47&lt;&gt;R47,"Projektnummer nicht in Projektliste","")))</f>
        <v/>
      </c>
      <c r="T47" s="24"/>
      <c r="U47" s="24"/>
      <c r="V47" s="24"/>
      <c r="W47" s="24"/>
      <c r="X47" s="24"/>
      <c r="Z47" s="24"/>
      <c r="AA47" s="24"/>
    </row>
    <row r="48" spans="1:27" x14ac:dyDescent="0.25">
      <c r="A48">
        <f>IF(OR(F48=Kontoauszug!$H$2,G48=Kontoauszug!$H$2),ROUND(A47+1,0),A47+0.0001)</f>
        <v>1.0040999999999995</v>
      </c>
      <c r="B48">
        <f>IF(AND(E48&gt;=$B$2,E48&lt;=$B$3,OR(F48=Kontoauszug!$H$2,G48=Kontoauszug!$H$2)),ROUND(B47+1,0),B47+0.0001)</f>
        <v>1.0040999999999995</v>
      </c>
      <c r="C48">
        <f>IF(H48=Projektabrechnung!$F$2,ROUND(C47+1,0),C47+0.0001)</f>
        <v>4.199999999999998E-3</v>
      </c>
      <c r="D48" s="18"/>
      <c r="E48" s="19"/>
      <c r="F48" s="20"/>
      <c r="G48" s="21"/>
      <c r="H48" s="154"/>
      <c r="I48" s="22"/>
      <c r="J48" s="155"/>
      <c r="K48" t="str">
        <f t="shared" si="2"/>
        <v/>
      </c>
      <c r="L48" s="83" t="str">
        <f>IF(F48="","",VLOOKUP(Journal!F48,Kontenplan!$E$9:$F$128,2))</f>
        <v/>
      </c>
      <c r="M48" s="82" t="str">
        <f>IF(G48="","",VLOOKUP(Journal!G48,Kontenplan!$E$9:$F$128,2))</f>
        <v/>
      </c>
      <c r="N48" s="24" t="str">
        <f>IF(AND(G48="",I48="",J48=""),"",IF(AND(I48&gt;0,F48=""),"Bitte Sollkontonummer eingeben",IF(AND(I48&gt;0,G48=""),"Bitte Habenkontonummer eingeben",IF(F48&lt;$N$2,"Sollkontonummer nicht im Kontenplan",IF(VLOOKUP(F48,Kontenplan!$E$9:$E$128,1)&lt;&gt;F48,"Sollkontonummer nicht im Kontenplan",IF(G48&lt;$N$2,"Habenkontonummer nicht im Kontenplan",IF(OR(G48&lt;1000,G48&gt;9999,VLOOKUP(G48,Kontenplan!$E$9:$F$128,1)&lt;&gt;G48),"Habenkontonummer nicht im Kontenplan","")))))))</f>
        <v/>
      </c>
      <c r="O48" s="24" t="str">
        <f t="shared" si="1"/>
        <v/>
      </c>
      <c r="P48">
        <v>45</v>
      </c>
      <c r="Q48" s="24"/>
      <c r="R48" s="24">
        <f>IF(H48&lt;&gt;"",VLOOKUP(H48,Projektliste!$C$4:$C$160,1,-102),-101)</f>
        <v>-101</v>
      </c>
      <c r="S48" s="24" t="str">
        <f>IF(H48="","",IF(H48&lt;MIN(Projektliste!$C$4:$C$19),"Projektnummer nicht in Projektliste",IF(H48&lt;&gt;R48,"Projektnummer nicht in Projektliste","")))</f>
        <v/>
      </c>
      <c r="T48" s="24"/>
      <c r="U48" s="24"/>
      <c r="V48" s="24"/>
      <c r="W48" s="24"/>
      <c r="X48" s="24"/>
      <c r="Z48" s="24"/>
      <c r="AA48" s="24"/>
    </row>
    <row r="49" spans="1:27" x14ac:dyDescent="0.25">
      <c r="A49">
        <f>IF(OR(F49=Kontoauszug!$H$2,G49=Kontoauszug!$H$2),ROUND(A48+1,0),A48+0.0001)</f>
        <v>1.0041999999999995</v>
      </c>
      <c r="B49">
        <f>IF(AND(E49&gt;=$B$2,E49&lt;=$B$3,OR(F49=Kontoauszug!$H$2,G49=Kontoauszug!$H$2)),ROUND(B48+1,0),B48+0.0001)</f>
        <v>1.0041999999999995</v>
      </c>
      <c r="C49">
        <f>IF(H49=Projektabrechnung!$F$2,ROUND(C48+1,0),C48+0.0001)</f>
        <v>4.2999999999999983E-3</v>
      </c>
      <c r="D49" s="18"/>
      <c r="E49" s="19"/>
      <c r="F49" s="20"/>
      <c r="G49" s="21"/>
      <c r="H49" s="154"/>
      <c r="I49" s="22"/>
      <c r="J49" s="155"/>
      <c r="K49" t="str">
        <f t="shared" si="2"/>
        <v/>
      </c>
      <c r="L49" s="83" t="str">
        <f>IF(F49="","",VLOOKUP(Journal!F49,Kontenplan!$E$9:$F$128,2))</f>
        <v/>
      </c>
      <c r="M49" s="82" t="str">
        <f>IF(G49="","",VLOOKUP(Journal!G49,Kontenplan!$E$9:$F$128,2))</f>
        <v/>
      </c>
      <c r="N49" s="24" t="str">
        <f>IF(AND(G49="",I49="",J49=""),"",IF(AND(I49&gt;0,F49=""),"Bitte Sollkontonummer eingeben",IF(AND(I49&gt;0,G49=""),"Bitte Habenkontonummer eingeben",IF(F49&lt;$N$2,"Sollkontonummer nicht im Kontenplan",IF(VLOOKUP(F49,Kontenplan!$E$9:$E$128,1)&lt;&gt;F49,"Sollkontonummer nicht im Kontenplan",IF(G49&lt;$N$2,"Habenkontonummer nicht im Kontenplan",IF(OR(G49&lt;1000,G49&gt;9999,VLOOKUP(G49,Kontenplan!$E$9:$F$128,1)&lt;&gt;G49),"Habenkontonummer nicht im Kontenplan","")))))))</f>
        <v/>
      </c>
      <c r="O49" s="24" t="str">
        <f t="shared" si="1"/>
        <v/>
      </c>
      <c r="P49">
        <v>46</v>
      </c>
      <c r="Q49" s="24"/>
      <c r="R49" s="24">
        <f>IF(H49&lt;&gt;"",VLOOKUP(H49,Projektliste!$C$4:$C$160,1,-102),-101)</f>
        <v>-101</v>
      </c>
      <c r="S49" s="24" t="str">
        <f>IF(H49="","",IF(H49&lt;MIN(Projektliste!$C$4:$C$19),"Projektnummer nicht in Projektliste",IF(H49&lt;&gt;R49,"Projektnummer nicht in Projektliste","")))</f>
        <v/>
      </c>
      <c r="T49" s="24"/>
      <c r="U49" s="24"/>
      <c r="V49" s="24"/>
      <c r="W49" s="24"/>
      <c r="X49" s="24"/>
      <c r="Z49" s="24"/>
      <c r="AA49" s="24"/>
    </row>
    <row r="50" spans="1:27" x14ac:dyDescent="0.25">
      <c r="A50">
        <f>IF(OR(F50=Kontoauszug!$H$2,G50=Kontoauszug!$H$2),ROUND(A49+1,0),A49+0.0001)</f>
        <v>1.0042999999999995</v>
      </c>
      <c r="B50">
        <f>IF(AND(E50&gt;=$B$2,E50&lt;=$B$3,OR(F50=Kontoauszug!$H$2,G50=Kontoauszug!$H$2)),ROUND(B49+1,0),B49+0.0001)</f>
        <v>1.0042999999999995</v>
      </c>
      <c r="C50">
        <f>IF(H50=Projektabrechnung!$F$2,ROUND(C49+1,0),C49+0.0001)</f>
        <v>4.3999999999999985E-3</v>
      </c>
      <c r="D50" s="18"/>
      <c r="E50" s="19"/>
      <c r="F50" s="20"/>
      <c r="G50" s="21"/>
      <c r="H50" s="154"/>
      <c r="I50" s="22"/>
      <c r="J50" s="155"/>
      <c r="K50" t="str">
        <f t="shared" si="2"/>
        <v/>
      </c>
      <c r="L50" s="83" t="str">
        <f>IF(F50="","",VLOOKUP(Journal!F50,Kontenplan!$E$9:$F$128,2))</f>
        <v/>
      </c>
      <c r="M50" s="82" t="str">
        <f>IF(G50="","",VLOOKUP(Journal!G50,Kontenplan!$E$9:$F$128,2))</f>
        <v/>
      </c>
      <c r="N50" s="24" t="str">
        <f>IF(AND(G50="",I50="",J50=""),"",IF(AND(I50&gt;0,F50=""),"Bitte Sollkontonummer eingeben",IF(AND(I50&gt;0,G50=""),"Bitte Habenkontonummer eingeben",IF(F50&lt;$N$2,"Sollkontonummer nicht im Kontenplan",IF(VLOOKUP(F50,Kontenplan!$E$9:$E$128,1)&lt;&gt;F50,"Sollkontonummer nicht im Kontenplan",IF(G50&lt;$N$2,"Habenkontonummer nicht im Kontenplan",IF(OR(G50&lt;1000,G50&gt;9999,VLOOKUP(G50,Kontenplan!$E$9:$F$128,1)&lt;&gt;G50),"Habenkontonummer nicht im Kontenplan","")))))))</f>
        <v/>
      </c>
      <c r="O50" s="24" t="str">
        <f t="shared" si="1"/>
        <v/>
      </c>
      <c r="P50">
        <v>47</v>
      </c>
      <c r="Q50" s="24"/>
      <c r="R50" s="24">
        <f>IF(H50&lt;&gt;"",VLOOKUP(H50,Projektliste!$C$4:$C$160,1,-102),-101)</f>
        <v>-101</v>
      </c>
      <c r="S50" s="24" t="str">
        <f>IF(H50="","",IF(H50&lt;MIN(Projektliste!$C$4:$C$19),"Projektnummer nicht in Projektliste",IF(H50&lt;&gt;R50,"Projektnummer nicht in Projektliste","")))</f>
        <v/>
      </c>
      <c r="T50" s="24"/>
      <c r="U50" s="24"/>
      <c r="V50" s="24"/>
      <c r="W50" s="24"/>
      <c r="X50" s="24"/>
      <c r="Z50" s="24"/>
      <c r="AA50" s="24"/>
    </row>
    <row r="51" spans="1:27" x14ac:dyDescent="0.25">
      <c r="A51">
        <f>IF(OR(F51=Kontoauszug!$H$2,G51=Kontoauszug!$H$2),ROUND(A50+1,0),A50+0.0001)</f>
        <v>1.0043999999999995</v>
      </c>
      <c r="B51">
        <f>IF(AND(E51&gt;=$B$2,E51&lt;=$B$3,OR(F51=Kontoauszug!$H$2,G51=Kontoauszug!$H$2)),ROUND(B50+1,0),B50+0.0001)</f>
        <v>1.0043999999999995</v>
      </c>
      <c r="C51">
        <f>IF(H51=Projektabrechnung!$F$2,ROUND(C50+1,0),C50+0.0001)</f>
        <v>4.4999999999999988E-3</v>
      </c>
      <c r="D51" s="18"/>
      <c r="E51" s="19"/>
      <c r="F51" s="20"/>
      <c r="G51" s="21"/>
      <c r="H51" s="154"/>
      <c r="I51" s="22"/>
      <c r="J51" s="155"/>
      <c r="K51" t="str">
        <f t="shared" si="2"/>
        <v/>
      </c>
      <c r="L51" s="83" t="str">
        <f>IF(F51="","",VLOOKUP(Journal!F51,Kontenplan!$E$9:$F$128,2))</f>
        <v/>
      </c>
      <c r="M51" s="82" t="str">
        <f>IF(G51="","",VLOOKUP(Journal!G51,Kontenplan!$E$9:$F$128,2))</f>
        <v/>
      </c>
      <c r="N51" s="24" t="str">
        <f>IF(AND(G51="",I51="",J51=""),"",IF(AND(I51&gt;0,F51=""),"Bitte Sollkontonummer eingeben",IF(AND(I51&gt;0,G51=""),"Bitte Habenkontonummer eingeben",IF(F51&lt;$N$2,"Sollkontonummer nicht im Kontenplan",IF(VLOOKUP(F51,Kontenplan!$E$9:$E$128,1)&lt;&gt;F51,"Sollkontonummer nicht im Kontenplan",IF(G51&lt;$N$2,"Habenkontonummer nicht im Kontenplan",IF(OR(G51&lt;1000,G51&gt;9999,VLOOKUP(G51,Kontenplan!$E$9:$F$128,1)&lt;&gt;G51),"Habenkontonummer nicht im Kontenplan","")))))))</f>
        <v/>
      </c>
      <c r="O51" s="24" t="str">
        <f t="shared" si="1"/>
        <v/>
      </c>
      <c r="P51">
        <v>48</v>
      </c>
      <c r="Q51" s="24"/>
      <c r="R51" s="24">
        <f>IF(H51&lt;&gt;"",VLOOKUP(H51,Projektliste!$C$4:$C$160,1,-102),-101)</f>
        <v>-101</v>
      </c>
      <c r="S51" s="24" t="str">
        <f>IF(H51="","",IF(H51&lt;MIN(Projektliste!$C$4:$C$19),"Projektnummer nicht in Projektliste",IF(H51&lt;&gt;R51,"Projektnummer nicht in Projektliste","")))</f>
        <v/>
      </c>
      <c r="T51" s="24"/>
      <c r="U51" s="24"/>
      <c r="V51" s="24"/>
      <c r="W51" s="24"/>
      <c r="X51" s="24"/>
      <c r="Z51" s="24"/>
      <c r="AA51" s="24"/>
    </row>
    <row r="52" spans="1:27" x14ac:dyDescent="0.25">
      <c r="A52">
        <f>IF(OR(F52=Kontoauszug!$H$2,G52=Kontoauszug!$H$2),ROUND(A51+1,0),A51+0.0001)</f>
        <v>1.0044999999999995</v>
      </c>
      <c r="B52">
        <f>IF(AND(E52&gt;=$B$2,E52&lt;=$B$3,OR(F52=Kontoauszug!$H$2,G52=Kontoauszug!$H$2)),ROUND(B51+1,0),B51+0.0001)</f>
        <v>1.0044999999999995</v>
      </c>
      <c r="C52">
        <f>IF(H52=Projektabrechnung!$F$2,ROUND(C51+1,0),C51+0.0001)</f>
        <v>4.5999999999999991E-3</v>
      </c>
      <c r="D52" s="18"/>
      <c r="E52" s="19"/>
      <c r="F52" s="20"/>
      <c r="G52" s="21"/>
      <c r="H52" s="154"/>
      <c r="I52" s="22"/>
      <c r="J52" s="155"/>
      <c r="K52" t="str">
        <f t="shared" si="2"/>
        <v/>
      </c>
      <c r="L52" s="83" t="str">
        <f>IF(F52="","",VLOOKUP(Journal!F52,Kontenplan!$E$9:$F$128,2))</f>
        <v/>
      </c>
      <c r="M52" s="82" t="str">
        <f>IF(G52="","",VLOOKUP(Journal!G52,Kontenplan!$E$9:$F$128,2))</f>
        <v/>
      </c>
      <c r="N52" s="24" t="str">
        <f>IF(AND(G52="",I52="",J52=""),"",IF(AND(I52&gt;0,F52=""),"Bitte Sollkontonummer eingeben",IF(AND(I52&gt;0,G52=""),"Bitte Habenkontonummer eingeben",IF(F52&lt;$N$2,"Sollkontonummer nicht im Kontenplan",IF(VLOOKUP(F52,Kontenplan!$E$9:$E$128,1)&lt;&gt;F52,"Sollkontonummer nicht im Kontenplan",IF(G52&lt;$N$2,"Habenkontonummer nicht im Kontenplan",IF(OR(G52&lt;1000,G52&gt;9999,VLOOKUP(G52,Kontenplan!$E$9:$F$128,1)&lt;&gt;G52),"Habenkontonummer nicht im Kontenplan","")))))))</f>
        <v/>
      </c>
      <c r="O52" s="24" t="str">
        <f t="shared" si="1"/>
        <v/>
      </c>
      <c r="P52">
        <v>49</v>
      </c>
      <c r="Q52" s="24"/>
      <c r="R52" s="24">
        <f>IF(H52&lt;&gt;"",VLOOKUP(H52,Projektliste!$C$4:$C$160,1,-102),-101)</f>
        <v>-101</v>
      </c>
      <c r="S52" s="24" t="str">
        <f>IF(H52="","",IF(H52&lt;MIN(Projektliste!$C$4:$C$19),"Projektnummer nicht in Projektliste",IF(H52&lt;&gt;R52,"Projektnummer nicht in Projektliste","")))</f>
        <v/>
      </c>
      <c r="T52" s="24"/>
      <c r="U52" s="24"/>
      <c r="V52" s="24"/>
      <c r="W52" s="24"/>
      <c r="X52" s="24"/>
      <c r="Z52" s="24"/>
      <c r="AA52" s="24"/>
    </row>
    <row r="53" spans="1:27" x14ac:dyDescent="0.25">
      <c r="A53">
        <f>IF(OR(F53=Kontoauszug!$H$2,G53=Kontoauszug!$H$2),ROUND(A52+1,0),A52+0.0001)</f>
        <v>1.0045999999999995</v>
      </c>
      <c r="B53">
        <f>IF(AND(E53&gt;=$B$2,E53&lt;=$B$3,OR(F53=Kontoauszug!$H$2,G53=Kontoauszug!$H$2)),ROUND(B52+1,0),B52+0.0001)</f>
        <v>1.0045999999999995</v>
      </c>
      <c r="C53">
        <f>IF(H53=Projektabrechnung!$F$2,ROUND(C52+1,0),C52+0.0001)</f>
        <v>4.6999999999999993E-3</v>
      </c>
      <c r="D53" s="18"/>
      <c r="E53" s="19"/>
      <c r="F53" s="20"/>
      <c r="G53" s="21"/>
      <c r="H53" s="154"/>
      <c r="I53" s="22"/>
      <c r="J53" s="155"/>
      <c r="K53" t="str">
        <f t="shared" si="2"/>
        <v/>
      </c>
      <c r="L53" s="83" t="str">
        <f>IF(F53="","",VLOOKUP(Journal!F53,Kontenplan!$E$9:$F$128,2))</f>
        <v/>
      </c>
      <c r="M53" s="82" t="str">
        <f>IF(G53="","",VLOOKUP(Journal!G53,Kontenplan!$E$9:$F$128,2))</f>
        <v/>
      </c>
      <c r="N53" s="24" t="str">
        <f>IF(AND(G53="",I53="",J53=""),"",IF(AND(I53&gt;0,F53=""),"Bitte Sollkontonummer eingeben",IF(AND(I53&gt;0,G53=""),"Bitte Habenkontonummer eingeben",IF(F53&lt;$N$2,"Sollkontonummer nicht im Kontenplan",IF(VLOOKUP(F53,Kontenplan!$E$9:$E$128,1)&lt;&gt;F53,"Sollkontonummer nicht im Kontenplan",IF(G53&lt;$N$2,"Habenkontonummer nicht im Kontenplan",IF(OR(G53&lt;1000,G53&gt;9999,VLOOKUP(G53,Kontenplan!$E$9:$F$128,1)&lt;&gt;G53),"Habenkontonummer nicht im Kontenplan","")))))))</f>
        <v/>
      </c>
      <c r="O53" s="24" t="str">
        <f t="shared" si="1"/>
        <v/>
      </c>
      <c r="P53" s="13">
        <v>50</v>
      </c>
      <c r="Q53" s="24"/>
      <c r="R53" s="24">
        <f>IF(H53&lt;&gt;"",VLOOKUP(H53,Projektliste!$C$4:$C$160,1,-102),-101)</f>
        <v>-101</v>
      </c>
      <c r="S53" s="24" t="str">
        <f>IF(H53="","",IF(H53&lt;MIN(Projektliste!$C$4:$C$19),"Projektnummer nicht in Projektliste",IF(H53&lt;&gt;R53,"Projektnummer nicht in Projektliste","")))</f>
        <v/>
      </c>
      <c r="T53" s="24"/>
      <c r="U53" s="24"/>
      <c r="V53" s="24"/>
      <c r="W53" s="24"/>
      <c r="X53" s="24"/>
      <c r="Z53" s="24"/>
      <c r="AA53" s="24"/>
    </row>
    <row r="54" spans="1:27" x14ac:dyDescent="0.25">
      <c r="A54">
        <f>IF(OR(F54=Kontoauszug!$H$2,G54=Kontoauszug!$H$2),ROUND(A53+1,0),A53+0.0001)</f>
        <v>1.0046999999999995</v>
      </c>
      <c r="B54">
        <f>IF(AND(E54&gt;=$B$2,E54&lt;=$B$3,OR(F54=Kontoauszug!$H$2,G54=Kontoauszug!$H$2)),ROUND(B53+1,0),B53+0.0001)</f>
        <v>1.0046999999999995</v>
      </c>
      <c r="C54">
        <f>IF(H54=Projektabrechnung!$F$2,ROUND(C53+1,0),C53+0.0001)</f>
        <v>4.7999999999999996E-3</v>
      </c>
      <c r="D54" s="18"/>
      <c r="E54" s="19"/>
      <c r="F54" s="20"/>
      <c r="G54" s="21"/>
      <c r="H54" s="154"/>
      <c r="I54" s="22"/>
      <c r="J54" s="155"/>
      <c r="K54" t="str">
        <f t="shared" si="2"/>
        <v/>
      </c>
      <c r="L54" s="83" t="str">
        <f>IF(F54="","",VLOOKUP(Journal!F54,Kontenplan!$E$9:$F$128,2))</f>
        <v/>
      </c>
      <c r="M54" s="82" t="str">
        <f>IF(G54="","",VLOOKUP(Journal!G54,Kontenplan!$E$9:$F$128,2))</f>
        <v/>
      </c>
      <c r="N54" s="24" t="str">
        <f>IF(AND(G54="",I54="",J54=""),"",IF(AND(I54&gt;0,F54=""),"Bitte Sollkontonummer eingeben",IF(AND(I54&gt;0,G54=""),"Bitte Habenkontonummer eingeben",IF(F54&lt;$N$2,"Sollkontonummer nicht im Kontenplan",IF(VLOOKUP(F54,Kontenplan!$E$9:$E$128,1)&lt;&gt;F54,"Sollkontonummer nicht im Kontenplan",IF(G54&lt;$N$2,"Habenkontonummer nicht im Kontenplan",IF(OR(G54&lt;1000,G54&gt;9999,VLOOKUP(G54,Kontenplan!$E$9:$F$128,1)&lt;&gt;G54),"Habenkontonummer nicht im Kontenplan","")))))))</f>
        <v/>
      </c>
      <c r="O54" s="24" t="str">
        <f t="shared" si="1"/>
        <v/>
      </c>
      <c r="P54">
        <v>51</v>
      </c>
      <c r="Q54" s="24"/>
      <c r="R54" s="24">
        <f>IF(H54&lt;&gt;"",VLOOKUP(H54,Projektliste!$C$4:$C$160,1,-102),-101)</f>
        <v>-101</v>
      </c>
      <c r="S54" s="24" t="str">
        <f>IF(H54="","",IF(H54&lt;MIN(Projektliste!$C$4:$C$19),"Projektnummer nicht in Projektliste",IF(H54&lt;&gt;R54,"Projektnummer nicht in Projektliste","")))</f>
        <v/>
      </c>
      <c r="T54" s="24"/>
      <c r="U54" s="24"/>
      <c r="V54" s="24"/>
      <c r="W54" s="24"/>
      <c r="X54" s="24"/>
      <c r="Z54" s="24"/>
      <c r="AA54" s="24"/>
    </row>
    <row r="55" spans="1:27" x14ac:dyDescent="0.25">
      <c r="A55">
        <f>IF(OR(F55=Kontoauszug!$H$2,G55=Kontoauszug!$H$2),ROUND(A54+1,0),A54+0.0001)</f>
        <v>1.0047999999999995</v>
      </c>
      <c r="B55">
        <f>IF(AND(E55&gt;=$B$2,E55&lt;=$B$3,OR(F55=Kontoauszug!$H$2,G55=Kontoauszug!$H$2)),ROUND(B54+1,0),B54+0.0001)</f>
        <v>1.0047999999999995</v>
      </c>
      <c r="C55">
        <f>IF(H55=Projektabrechnung!$F$2,ROUND(C54+1,0),C54+0.0001)</f>
        <v>4.8999999999999998E-3</v>
      </c>
      <c r="D55" s="18"/>
      <c r="E55" s="19"/>
      <c r="F55" s="20"/>
      <c r="G55" s="21"/>
      <c r="H55" s="154"/>
      <c r="I55" s="22"/>
      <c r="J55" s="155"/>
      <c r="K55" t="str">
        <f t="shared" si="2"/>
        <v/>
      </c>
      <c r="L55" s="83" t="str">
        <f>IF(F55="","",VLOOKUP(Journal!F55,Kontenplan!$E$9:$F$128,2))</f>
        <v/>
      </c>
      <c r="M55" s="82" t="str">
        <f>IF(G55="","",VLOOKUP(Journal!G55,Kontenplan!$E$9:$F$128,2))</f>
        <v/>
      </c>
      <c r="N55" s="24" t="str">
        <f>IF(AND(G55="",I55="",J55=""),"",IF(AND(I55&gt;0,F55=""),"Bitte Sollkontonummer eingeben",IF(AND(I55&gt;0,G55=""),"Bitte Habenkontonummer eingeben",IF(F55&lt;$N$2,"Sollkontonummer nicht im Kontenplan",IF(VLOOKUP(F55,Kontenplan!$E$9:$E$128,1)&lt;&gt;F55,"Sollkontonummer nicht im Kontenplan",IF(G55&lt;$N$2,"Habenkontonummer nicht im Kontenplan",IF(OR(G55&lt;1000,G55&gt;9999,VLOOKUP(G55,Kontenplan!$E$9:$F$128,1)&lt;&gt;G55),"Habenkontonummer nicht im Kontenplan","")))))))</f>
        <v/>
      </c>
      <c r="O55" s="24" t="str">
        <f t="shared" si="1"/>
        <v/>
      </c>
      <c r="P55">
        <v>52</v>
      </c>
      <c r="Q55" s="24"/>
      <c r="R55" s="24">
        <f>IF(H55&lt;&gt;"",VLOOKUP(H55,Projektliste!$C$4:$C$160,1,-102),-101)</f>
        <v>-101</v>
      </c>
      <c r="S55" s="24" t="str">
        <f>IF(H55="","",IF(H55&lt;MIN(Projektliste!$C$4:$C$19),"Projektnummer nicht in Projektliste",IF(H55&lt;&gt;R55,"Projektnummer nicht in Projektliste","")))</f>
        <v/>
      </c>
      <c r="T55" s="24"/>
      <c r="U55" s="24"/>
      <c r="V55" s="24"/>
      <c r="W55" s="24"/>
      <c r="X55" s="24"/>
      <c r="Z55" s="24"/>
      <c r="AA55" s="24"/>
    </row>
    <row r="56" spans="1:27" x14ac:dyDescent="0.25">
      <c r="A56">
        <f>IF(OR(F56=Kontoauszug!$H$2,G56=Kontoauszug!$H$2),ROUND(A55+1,0),A55+0.0001)</f>
        <v>1.0048999999999995</v>
      </c>
      <c r="B56">
        <f>IF(AND(E56&gt;=$B$2,E56&lt;=$B$3,OR(F56=Kontoauszug!$H$2,G56=Kontoauszug!$H$2)),ROUND(B55+1,0),B55+0.0001)</f>
        <v>1.0048999999999995</v>
      </c>
      <c r="C56">
        <f>IF(H56=Projektabrechnung!$F$2,ROUND(C55+1,0),C55+0.0001)</f>
        <v>5.0000000000000001E-3</v>
      </c>
      <c r="D56" s="18"/>
      <c r="E56" s="19"/>
      <c r="F56" s="20"/>
      <c r="G56" s="21"/>
      <c r="H56" s="154"/>
      <c r="I56" s="22"/>
      <c r="J56" s="155"/>
      <c r="K56" t="str">
        <f t="shared" si="2"/>
        <v/>
      </c>
      <c r="L56" s="83" t="str">
        <f>IF(F56="","",VLOOKUP(Journal!F56,Kontenplan!$E$9:$F$128,2))</f>
        <v/>
      </c>
      <c r="M56" s="82" t="str">
        <f>IF(G56="","",VLOOKUP(Journal!G56,Kontenplan!$E$9:$F$128,2))</f>
        <v/>
      </c>
      <c r="N56" s="24" t="str">
        <f>IF(AND(G56="",I56="",J56=""),"",IF(AND(I56&gt;0,F56=""),"Bitte Sollkontonummer eingeben",IF(AND(I56&gt;0,G56=""),"Bitte Habenkontonummer eingeben",IF(F56&lt;$N$2,"Sollkontonummer nicht im Kontenplan",IF(VLOOKUP(F56,Kontenplan!$E$9:$E$128,1)&lt;&gt;F56,"Sollkontonummer nicht im Kontenplan",IF(G56&lt;$N$2,"Habenkontonummer nicht im Kontenplan",IF(OR(G56&lt;1000,G56&gt;9999,VLOOKUP(G56,Kontenplan!$E$9:$F$128,1)&lt;&gt;G56),"Habenkontonummer nicht im Kontenplan","")))))))</f>
        <v/>
      </c>
      <c r="O56" s="24" t="str">
        <f t="shared" si="1"/>
        <v/>
      </c>
      <c r="P56">
        <v>53</v>
      </c>
      <c r="Q56" s="24"/>
      <c r="R56" s="24">
        <f>IF(H56&lt;&gt;"",VLOOKUP(H56,Projektliste!$C$4:$C$160,1,-102),-101)</f>
        <v>-101</v>
      </c>
      <c r="S56" s="24" t="str">
        <f>IF(H56="","",IF(H56&lt;MIN(Projektliste!$C$4:$C$19),"Projektnummer nicht in Projektliste",IF(H56&lt;&gt;R56,"Projektnummer nicht in Projektliste","")))</f>
        <v/>
      </c>
      <c r="T56" s="24"/>
      <c r="U56" s="24"/>
      <c r="V56" s="24"/>
      <c r="W56" s="24"/>
      <c r="X56" s="24"/>
      <c r="Z56" s="24"/>
      <c r="AA56" s="24"/>
    </row>
    <row r="57" spans="1:27" x14ac:dyDescent="0.25">
      <c r="A57">
        <f>IF(OR(F57=Kontoauszug!$H$2,G57=Kontoauszug!$H$2),ROUND(A56+1,0),A56+0.0001)</f>
        <v>1.0049999999999994</v>
      </c>
      <c r="B57">
        <f>IF(AND(E57&gt;=$B$2,E57&lt;=$B$3,OR(F57=Kontoauszug!$H$2,G57=Kontoauszug!$H$2)),ROUND(B56+1,0),B56+0.0001)</f>
        <v>1.0049999999999994</v>
      </c>
      <c r="C57">
        <f>IF(H57=Projektabrechnung!$F$2,ROUND(C56+1,0),C56+0.0001)</f>
        <v>5.1000000000000004E-3</v>
      </c>
      <c r="D57" s="18"/>
      <c r="E57" s="19"/>
      <c r="F57" s="20"/>
      <c r="G57" s="21"/>
      <c r="H57" s="154"/>
      <c r="I57" s="22"/>
      <c r="J57" s="155"/>
      <c r="K57" t="str">
        <f t="shared" si="2"/>
        <v/>
      </c>
      <c r="L57" s="83" t="str">
        <f>IF(F57="","",VLOOKUP(Journal!F57,Kontenplan!$E$9:$F$128,2))</f>
        <v/>
      </c>
      <c r="M57" s="82" t="str">
        <f>IF(G57="","",VLOOKUP(Journal!G57,Kontenplan!$E$9:$F$128,2))</f>
        <v/>
      </c>
      <c r="N57" s="24" t="str">
        <f>IF(AND(G57="",I57="",J57=""),"",IF(AND(I57&gt;0,F57=""),"Bitte Sollkontonummer eingeben",IF(AND(I57&gt;0,G57=""),"Bitte Habenkontonummer eingeben",IF(F57&lt;$N$2,"Sollkontonummer nicht im Kontenplan",IF(VLOOKUP(F57,Kontenplan!$E$9:$E$128,1)&lt;&gt;F57,"Sollkontonummer nicht im Kontenplan",IF(G57&lt;$N$2,"Habenkontonummer nicht im Kontenplan",IF(OR(G57&lt;1000,G57&gt;9999,VLOOKUP(G57,Kontenplan!$E$9:$F$128,1)&lt;&gt;G57),"Habenkontonummer nicht im Kontenplan","")))))))</f>
        <v/>
      </c>
      <c r="O57" s="24" t="str">
        <f>IF(AND(D58&lt;&gt;"",G57&gt;0,F57&gt;0,OR(I57="",I57&lt;=0)),"Bitte Betrag prüfen",IF(AND(J57="",D58&gt;0),"Kein Text ist ok, aber nicht empfehlenswert",IF(AND(E57&lt;&gt;"",G57&lt;&gt;"",D57=0),"Bitte Beleg-Nr. prüfen",IF(AND(F57&lt;&gt;"",F57=G57),"Soll- und Habenkontonr. identisch",IF(OR(AND(E57="",G57&gt;0),AND(E57&lt;MAX(E56)-20,G57&gt;0)),"Datum möglicherweise falsch","")))))</f>
        <v/>
      </c>
      <c r="P57">
        <v>54</v>
      </c>
      <c r="Q57" s="24"/>
      <c r="R57" s="24">
        <f>IF(H57&lt;&gt;"",VLOOKUP(H57,Projektliste!$C$4:$C$160,1,-102),-101)</f>
        <v>-101</v>
      </c>
      <c r="S57" s="24" t="str">
        <f>IF(H57="","",IF(H57&lt;MIN(Projektliste!$C$4:$C$19),"Projektnummer nicht in Projektliste",IF(H57&lt;&gt;R57,"Projektnummer nicht in Projektliste","")))</f>
        <v/>
      </c>
      <c r="T57" s="24"/>
      <c r="U57" s="24"/>
      <c r="V57" s="24"/>
      <c r="W57" s="24"/>
      <c r="X57" s="24"/>
      <c r="Z57" s="24"/>
      <c r="AA57" s="24"/>
    </row>
    <row r="58" spans="1:27" x14ac:dyDescent="0.25">
      <c r="A58">
        <f>IF(OR(F58=Kontoauszug!$H$2,G58=Kontoauszug!$H$2),ROUND(A57+1,0),A57+0.0001)</f>
        <v>1.0050999999999994</v>
      </c>
      <c r="B58">
        <f>IF(AND(E58&gt;=$B$2,E58&lt;=$B$3,OR(F58=Kontoauszug!$H$2,G58=Kontoauszug!$H$2)),ROUND(B57+1,0),B57+0.0001)</f>
        <v>1.0050999999999994</v>
      </c>
      <c r="C58">
        <f>IF(H58=Projektabrechnung!$F$2,ROUND(C57+1,0),C57+0.0001)</f>
        <v>5.2000000000000006E-3</v>
      </c>
      <c r="D58" s="18"/>
      <c r="E58" s="19"/>
      <c r="F58" s="20"/>
      <c r="G58" s="21"/>
      <c r="H58" s="154"/>
      <c r="I58" s="22"/>
      <c r="J58" s="155"/>
      <c r="K58" t="str">
        <f t="shared" si="2"/>
        <v/>
      </c>
      <c r="L58" s="83" t="str">
        <f>IF(F58="","",VLOOKUP(Journal!F58,Kontenplan!$E$9:$F$128,2))</f>
        <v/>
      </c>
      <c r="M58" s="82" t="str">
        <f>IF(G58="","",VLOOKUP(Journal!G58,Kontenplan!$E$9:$F$128,2))</f>
        <v/>
      </c>
      <c r="N58" s="24" t="str">
        <f>IF(AND(G58="",I58="",J58=""),"",IF(AND(I58&gt;0,F58=""),"Bitte Sollkontonummer eingeben",IF(AND(I58&gt;0,G58=""),"Bitte Habenkontonummer eingeben",IF(F58&lt;$N$2,"Sollkontonummer nicht im Kontenplan",IF(VLOOKUP(F58,Kontenplan!$E$9:$E$128,1)&lt;&gt;F58,"Sollkontonummer nicht im Kontenplan",IF(G58&lt;$N$2,"Habenkontonummer nicht im Kontenplan",IF(OR(G58&lt;1000,G58&gt;9999,VLOOKUP(G58,Kontenplan!$E$9:$F$128,1)&lt;&gt;G58),"Habenkontonummer nicht im Kontenplan","")))))))</f>
        <v/>
      </c>
      <c r="O58" s="24" t="str">
        <f>IF(AND(D59&lt;&gt;"",G58&gt;0,F58&gt;0,OR(I58="",I58&lt;=0)),"Bitte Betrag prüfen",IF(AND(J58="",D59&gt;0),"Kein Text ist ok, aber nicht empfehlenswert",IF(AND(E58&lt;&gt;"",G58&lt;&gt;"",D58=0),"Bitte Beleg-Nr. prüfen",IF(AND(F58&lt;&gt;"",F58=G58),"Soll- und Habenkontonr. identisch",IF(OR(AND(E58="",G58&gt;0),AND(E58&lt;MAX(E57)-20,G58&gt;0)),"Datum möglicherweise falsch","")))))</f>
        <v/>
      </c>
      <c r="P58">
        <v>55</v>
      </c>
      <c r="Q58" s="24"/>
      <c r="R58" s="24">
        <f>IF(H58&lt;&gt;"",VLOOKUP(H58,Projektliste!$C$4:$C$160,1,-102),-101)</f>
        <v>-101</v>
      </c>
      <c r="S58" s="24" t="str">
        <f>IF(H58="","",IF(H58&lt;MIN(Projektliste!$C$4:$C$19),"Projektnummer nicht in Projektliste",IF(H58&lt;&gt;R58,"Projektnummer nicht in Projektliste","")))</f>
        <v/>
      </c>
      <c r="T58" s="24"/>
      <c r="U58" s="24"/>
      <c r="V58" s="24"/>
      <c r="W58" s="24"/>
      <c r="X58" s="24"/>
      <c r="Z58" s="24"/>
      <c r="AA58" s="24"/>
    </row>
    <row r="59" spans="1:27" x14ac:dyDescent="0.25">
      <c r="A59">
        <f>IF(OR(F59=Kontoauszug!$H$2,G59=Kontoauszug!$H$2),ROUND(A58+1,0),A58+0.0001)</f>
        <v>1.0051999999999994</v>
      </c>
      <c r="B59">
        <f>IF(AND(E59&gt;=$B$2,E59&lt;=$B$3,OR(F59=Kontoauszug!$H$2,G59=Kontoauszug!$H$2)),ROUND(B58+1,0),B58+0.0001)</f>
        <v>1.0051999999999994</v>
      </c>
      <c r="C59">
        <f>IF(H59=Projektabrechnung!$F$2,ROUND(C58+1,0),C58+0.0001)</f>
        <v>5.3000000000000009E-3</v>
      </c>
      <c r="D59" s="18"/>
      <c r="E59" s="19"/>
      <c r="F59" s="20"/>
      <c r="G59" s="21"/>
      <c r="H59" s="154"/>
      <c r="I59" s="22"/>
      <c r="J59" s="155"/>
      <c r="K59" t="str">
        <f t="shared" si="2"/>
        <v/>
      </c>
      <c r="L59" s="83" t="str">
        <f>IF(F59="","",VLOOKUP(Journal!F59,Kontenplan!$E$9:$F$128,2))</f>
        <v/>
      </c>
      <c r="M59" s="82" t="str">
        <f>IF(G59="","",VLOOKUP(Journal!G59,Kontenplan!$E$9:$F$128,2))</f>
        <v/>
      </c>
      <c r="N59" s="24" t="str">
        <f>IF(AND(G59="",I59="",J59=""),"",IF(AND(I59&gt;0,F59=""),"Bitte Sollkontonummer eingeben",IF(AND(I59&gt;0,G59=""),"Bitte Habenkontonummer eingeben",IF(F59&lt;$N$2,"Sollkontonummer nicht im Kontenplan",IF(VLOOKUP(F59,Kontenplan!$E$9:$E$128,1)&lt;&gt;F59,"Sollkontonummer nicht im Kontenplan",IF(G59&lt;$N$2,"Habenkontonummer nicht im Kontenplan",IF(OR(G59&lt;1000,G59&gt;9999,VLOOKUP(G59,Kontenplan!$E$9:$F$128,1)&lt;&gt;G59),"Habenkontonummer nicht im Kontenplan","")))))))</f>
        <v/>
      </c>
      <c r="O59" s="24" t="str">
        <f t="shared" si="1"/>
        <v/>
      </c>
      <c r="P59">
        <v>56</v>
      </c>
      <c r="Q59" s="24"/>
      <c r="R59" s="24">
        <f>IF(H59&lt;&gt;"",VLOOKUP(H59,Projektliste!$C$4:$C$160,1,-102),-101)</f>
        <v>-101</v>
      </c>
      <c r="S59" s="24" t="str">
        <f>IF(H59="","",IF(H59&lt;MIN(Projektliste!$C$4:$C$19),"Projektnummer nicht in Projektliste",IF(H59&lt;&gt;R59,"Projektnummer nicht in Projektliste","")))</f>
        <v/>
      </c>
      <c r="T59" s="24"/>
      <c r="U59" s="24"/>
      <c r="V59" s="24"/>
      <c r="W59" s="24"/>
      <c r="X59" s="24"/>
      <c r="Z59" s="24"/>
      <c r="AA59" s="24"/>
    </row>
    <row r="60" spans="1:27" x14ac:dyDescent="0.25">
      <c r="A60">
        <f>IF(OR(F60=Kontoauszug!$H$2,G60=Kontoauszug!$H$2),ROUND(A59+1,0),A59+0.0001)</f>
        <v>1.0052999999999994</v>
      </c>
      <c r="B60">
        <f>IF(AND(E60&gt;=$B$2,E60&lt;=$B$3,OR(F60=Kontoauszug!$H$2,G60=Kontoauszug!$H$2)),ROUND(B59+1,0),B59+0.0001)</f>
        <v>1.0052999999999994</v>
      </c>
      <c r="C60">
        <f>IF(H60=Projektabrechnung!$F$2,ROUND(C59+1,0),C59+0.0001)</f>
        <v>5.4000000000000012E-3</v>
      </c>
      <c r="D60" s="18"/>
      <c r="E60" s="19"/>
      <c r="F60" s="20"/>
      <c r="G60" s="21"/>
      <c r="H60" s="154"/>
      <c r="I60" s="22"/>
      <c r="J60" s="155"/>
      <c r="K60" t="str">
        <f t="shared" si="2"/>
        <v/>
      </c>
      <c r="L60" s="83" t="str">
        <f>IF(F60="","",VLOOKUP(Journal!F60,Kontenplan!$E$9:$F$128,2))</f>
        <v/>
      </c>
      <c r="M60" s="82" t="str">
        <f>IF(G60="","",VLOOKUP(Journal!G60,Kontenplan!$E$9:$F$128,2))</f>
        <v/>
      </c>
      <c r="N60" s="24" t="str">
        <f>IF(AND(G60="",I60="",J60=""),"",IF(AND(I60&gt;0,F60=""),"Bitte Sollkontonummer eingeben",IF(AND(I60&gt;0,G60=""),"Bitte Habenkontonummer eingeben",IF(F60&lt;$N$2,"Sollkontonummer nicht im Kontenplan",IF(VLOOKUP(F60,Kontenplan!$E$9:$E$128,1)&lt;&gt;F60,"Sollkontonummer nicht im Kontenplan",IF(G60&lt;$N$2,"Habenkontonummer nicht im Kontenplan",IF(OR(G60&lt;1000,G60&gt;9999,VLOOKUP(G60,Kontenplan!$E$9:$F$128,1)&lt;&gt;G60),"Habenkontonummer nicht im Kontenplan","")))))))</f>
        <v/>
      </c>
      <c r="O60" s="24" t="str">
        <f t="shared" si="1"/>
        <v/>
      </c>
      <c r="P60" s="13">
        <v>57</v>
      </c>
      <c r="Q60" s="24"/>
      <c r="R60" s="24">
        <f>IF(H60&lt;&gt;"",VLOOKUP(H60,Projektliste!$C$4:$C$160,1,-102),-101)</f>
        <v>-101</v>
      </c>
      <c r="S60" s="24" t="str">
        <f>IF(H60="","",IF(H60&lt;MIN(Projektliste!$C$4:$C$19),"Projektnummer nicht in Projektliste",IF(H60&lt;&gt;R60,"Projektnummer nicht in Projektliste","")))</f>
        <v/>
      </c>
      <c r="T60" s="24"/>
      <c r="U60" s="24"/>
      <c r="V60" s="24"/>
      <c r="W60" s="24"/>
      <c r="X60" s="24"/>
      <c r="Z60" s="24"/>
      <c r="AA60" s="24"/>
    </row>
    <row r="61" spans="1:27" x14ac:dyDescent="0.25">
      <c r="A61">
        <f>IF(OR(F61=Kontoauszug!$H$2,G61=Kontoauszug!$H$2),ROUND(A60+1,0),A60+0.0001)</f>
        <v>1.0053999999999994</v>
      </c>
      <c r="B61">
        <f>IF(AND(E61&gt;=$B$2,E61&lt;=$B$3,OR(F61=Kontoauszug!$H$2,G61=Kontoauszug!$H$2)),ROUND(B60+1,0),B60+0.0001)</f>
        <v>1.0053999999999994</v>
      </c>
      <c r="C61">
        <f>IF(H61=Projektabrechnung!$F$2,ROUND(C60+1,0),C60+0.0001)</f>
        <v>5.5000000000000014E-3</v>
      </c>
      <c r="D61" s="18"/>
      <c r="E61" s="19"/>
      <c r="F61" s="20"/>
      <c r="G61" s="21"/>
      <c r="H61" s="154"/>
      <c r="I61" s="22"/>
      <c r="J61" s="155"/>
      <c r="K61" t="str">
        <f t="shared" si="2"/>
        <v/>
      </c>
      <c r="L61" s="83" t="str">
        <f>IF(F61="","",VLOOKUP(Journal!F61,Kontenplan!$E$9:$F$128,2))</f>
        <v/>
      </c>
      <c r="M61" s="82" t="str">
        <f>IF(G61="","",VLOOKUP(Journal!G61,Kontenplan!$E$9:$F$128,2))</f>
        <v/>
      </c>
      <c r="N61" s="24" t="str">
        <f>IF(AND(G61="",I61="",J61=""),"",IF(AND(I61&gt;0,F61=""),"Bitte Sollkontonummer eingeben",IF(AND(I61&gt;0,G61=""),"Bitte Habenkontonummer eingeben",IF(F61&lt;$N$2,"Sollkontonummer nicht im Kontenplan",IF(VLOOKUP(F61,Kontenplan!$E$9:$E$128,1)&lt;&gt;F61,"Sollkontonummer nicht im Kontenplan",IF(G61&lt;$N$2,"Habenkontonummer nicht im Kontenplan",IF(OR(G61&lt;1000,G61&gt;9999,VLOOKUP(G61,Kontenplan!$E$9:$F$128,1)&lt;&gt;G61),"Habenkontonummer nicht im Kontenplan","")))))))</f>
        <v/>
      </c>
      <c r="O61" s="24" t="str">
        <f t="shared" si="1"/>
        <v/>
      </c>
      <c r="P61">
        <v>58</v>
      </c>
      <c r="Q61" s="24"/>
      <c r="R61" s="24">
        <f>IF(H61&lt;&gt;"",VLOOKUP(H61,Projektliste!$C$4:$C$160,1,-102),-101)</f>
        <v>-101</v>
      </c>
      <c r="S61" s="24" t="str">
        <f>IF(H61="","",IF(H61&lt;MIN(Projektliste!$C$4:$C$19),"Projektnummer nicht in Projektliste",IF(H61&lt;&gt;R61,"Projektnummer nicht in Projektliste","")))</f>
        <v/>
      </c>
      <c r="T61" s="24"/>
      <c r="U61" s="24"/>
      <c r="V61" s="24"/>
      <c r="W61" s="24"/>
      <c r="X61" s="24"/>
      <c r="Z61" s="24"/>
      <c r="AA61" s="24"/>
    </row>
    <row r="62" spans="1:27" x14ac:dyDescent="0.25">
      <c r="A62">
        <f>IF(OR(F62=Kontoauszug!$H$2,G62=Kontoauszug!$H$2),ROUND(A61+1,0),A61+0.0001)</f>
        <v>1.0054999999999994</v>
      </c>
      <c r="B62">
        <f>IF(AND(E62&gt;=$B$2,E62&lt;=$B$3,OR(F62=Kontoauszug!$H$2,G62=Kontoauszug!$H$2)),ROUND(B61+1,0),B61+0.0001)</f>
        <v>1.0054999999999994</v>
      </c>
      <c r="C62">
        <f>IF(H62=Projektabrechnung!$F$2,ROUND(C61+1,0),C61+0.0001)</f>
        <v>5.6000000000000017E-3</v>
      </c>
      <c r="D62" s="18"/>
      <c r="E62" s="19"/>
      <c r="F62" s="20"/>
      <c r="G62" s="21"/>
      <c r="H62" s="154"/>
      <c r="I62" s="22"/>
      <c r="J62" s="155"/>
      <c r="K62" t="str">
        <f t="shared" si="2"/>
        <v/>
      </c>
      <c r="L62" s="83" t="str">
        <f>IF(F62="","",VLOOKUP(Journal!F62,Kontenplan!$E$9:$F$128,2))</f>
        <v/>
      </c>
      <c r="M62" s="82" t="str">
        <f>IF(G62="","",VLOOKUP(Journal!G62,Kontenplan!$E$9:$F$128,2))</f>
        <v/>
      </c>
      <c r="N62" s="24" t="str">
        <f>IF(AND(G62="",I62="",J62=""),"",IF(AND(I62&gt;0,F62=""),"Bitte Sollkontonummer eingeben",IF(AND(I62&gt;0,G62=""),"Bitte Habenkontonummer eingeben",IF(F62&lt;$N$2,"Sollkontonummer nicht im Kontenplan",IF(VLOOKUP(F62,Kontenplan!$E$9:$E$128,1)&lt;&gt;F62,"Sollkontonummer nicht im Kontenplan",IF(G62&lt;$N$2,"Habenkontonummer nicht im Kontenplan",IF(OR(G62&lt;1000,G62&gt;9999,VLOOKUP(G62,Kontenplan!$E$9:$F$128,1)&lt;&gt;G62),"Habenkontonummer nicht im Kontenplan","")))))))</f>
        <v/>
      </c>
      <c r="O62" s="24" t="str">
        <f t="shared" si="1"/>
        <v/>
      </c>
      <c r="P62">
        <v>59</v>
      </c>
      <c r="Q62" s="24"/>
      <c r="R62" s="24">
        <f>IF(H62&lt;&gt;"",VLOOKUP(H62,Projektliste!$C$4:$C$160,1,-102),-101)</f>
        <v>-101</v>
      </c>
      <c r="S62" s="24" t="str">
        <f>IF(H62="","",IF(H62&lt;MIN(Projektliste!$C$4:$C$19),"Projektnummer nicht in Projektliste",IF(H62&lt;&gt;R62,"Projektnummer nicht in Projektliste","")))</f>
        <v/>
      </c>
      <c r="T62" s="24"/>
      <c r="U62" s="24"/>
      <c r="V62" s="24"/>
      <c r="W62" s="24"/>
      <c r="X62" s="24"/>
      <c r="Z62" s="24"/>
      <c r="AA62" s="24"/>
    </row>
    <row r="63" spans="1:27" x14ac:dyDescent="0.25">
      <c r="A63">
        <f>IF(OR(F63=Kontoauszug!$H$2,G63=Kontoauszug!$H$2),ROUND(A62+1,0),A62+0.0001)</f>
        <v>1.0055999999999994</v>
      </c>
      <c r="B63">
        <f>IF(AND(E63&gt;=$B$2,E63&lt;=$B$3,OR(F63=Kontoauszug!$H$2,G63=Kontoauszug!$H$2)),ROUND(B62+1,0),B62+0.0001)</f>
        <v>1.0055999999999994</v>
      </c>
      <c r="C63">
        <f>IF(H63=Projektabrechnung!$F$2,ROUND(C62+1,0),C62+0.0001)</f>
        <v>5.7000000000000019E-3</v>
      </c>
      <c r="D63" s="18"/>
      <c r="E63" s="19"/>
      <c r="F63" s="20"/>
      <c r="G63" s="21"/>
      <c r="H63" s="154"/>
      <c r="I63" s="22"/>
      <c r="J63" s="155"/>
      <c r="K63" t="str">
        <f t="shared" si="2"/>
        <v/>
      </c>
      <c r="L63" s="83" t="str">
        <f>IF(F63="","",VLOOKUP(Journal!F63,Kontenplan!$E$9:$F$128,2))</f>
        <v/>
      </c>
      <c r="M63" s="82" t="str">
        <f>IF(G63="","",VLOOKUP(Journal!G63,Kontenplan!$E$9:$F$128,2))</f>
        <v/>
      </c>
      <c r="N63" s="24" t="str">
        <f>IF(AND(G63="",I63="",J63=""),"",IF(AND(I63&gt;0,F63=""),"Bitte Sollkontonummer eingeben",IF(AND(I63&gt;0,G63=""),"Bitte Habenkontonummer eingeben",IF(F63&lt;$N$2,"Sollkontonummer nicht im Kontenplan",IF(VLOOKUP(F63,Kontenplan!$E$9:$E$128,1)&lt;&gt;F63,"Sollkontonummer nicht im Kontenplan",IF(G63&lt;$N$2,"Habenkontonummer nicht im Kontenplan",IF(OR(G63&lt;1000,G63&gt;9999,VLOOKUP(G63,Kontenplan!$E$9:$F$128,1)&lt;&gt;G63),"Habenkontonummer nicht im Kontenplan","")))))))</f>
        <v/>
      </c>
      <c r="O63" s="24" t="str">
        <f>IF(AND(D64&lt;&gt;"",G63&gt;0,F63&gt;0,OR(I63="",I63&lt;=0)),"Bitte Betrag prüfen",IF(AND(J63="",D64&gt;0),"Kein Text ist ok, aber nicht empfehlenswert",IF(AND(E63&lt;&gt;"",G63&lt;&gt;"",D63=0),"Bitte Beleg-Nr. prüfen",IF(AND(F63&lt;&gt;"",F63=G63),"Soll- und Habenkontonr. identisch",IF(OR(AND(E63="",G63&gt;0),AND(E63&lt;MAX(E62)-20,G63&gt;0)),"Datum möglicherweise falsch","")))))</f>
        <v/>
      </c>
      <c r="P63">
        <v>60</v>
      </c>
      <c r="Q63" s="24"/>
      <c r="R63" s="24">
        <f>IF(H63&lt;&gt;"",VLOOKUP(H63,Projektliste!$C$4:$C$160,1,-102),-101)</f>
        <v>-101</v>
      </c>
      <c r="S63" s="24" t="str">
        <f>IF(H63="","",IF(H63&lt;MIN(Projektliste!$C$4:$C$19),"Projektnummer nicht in Projektliste",IF(H63&lt;&gt;R63,"Projektnummer nicht in Projektliste","")))</f>
        <v/>
      </c>
      <c r="T63" s="24"/>
      <c r="U63" s="24"/>
      <c r="V63" s="24"/>
      <c r="W63" s="24"/>
      <c r="X63" s="24"/>
      <c r="Z63" s="24"/>
      <c r="AA63" s="24"/>
    </row>
    <row r="64" spans="1:27" x14ac:dyDescent="0.25">
      <c r="A64">
        <f>IF(OR(F64=Kontoauszug!$H$2,G64=Kontoauszug!$H$2),ROUND(A63+1,0),A63+0.0001)</f>
        <v>1.0056999999999994</v>
      </c>
      <c r="B64">
        <f>IF(AND(E64&gt;=$B$2,E64&lt;=$B$3,OR(F64=Kontoauszug!$H$2,G64=Kontoauszug!$H$2)),ROUND(B63+1,0),B63+0.0001)</f>
        <v>1.0056999999999994</v>
      </c>
      <c r="C64">
        <f>IF(H64=Projektabrechnung!$F$2,ROUND(C63+1,0),C63+0.0001)</f>
        <v>5.8000000000000022E-3</v>
      </c>
      <c r="D64" s="18"/>
      <c r="E64" s="19"/>
      <c r="F64" s="20"/>
      <c r="G64" s="21"/>
      <c r="H64" s="154"/>
      <c r="I64" s="22"/>
      <c r="J64" s="155"/>
      <c r="K64" t="str">
        <f t="shared" si="2"/>
        <v/>
      </c>
      <c r="L64" s="83" t="str">
        <f>IF(F64="","",VLOOKUP(Journal!F64,Kontenplan!$E$9:$F$128,2))</f>
        <v/>
      </c>
      <c r="M64" s="82" t="str">
        <f>IF(G64="","",VLOOKUP(Journal!G64,Kontenplan!$E$9:$F$128,2))</f>
        <v/>
      </c>
      <c r="N64" s="24" t="str">
        <f>IF(AND(G64="",I64="",J64=""),"",IF(AND(I64&gt;0,F64=""),"Bitte Sollkontonummer eingeben",IF(AND(I64&gt;0,G64=""),"Bitte Habenkontonummer eingeben",IF(F64&lt;$N$2,"Sollkontonummer nicht im Kontenplan",IF(VLOOKUP(F64,Kontenplan!$E$9:$E$128,1)&lt;&gt;F64,"Sollkontonummer nicht im Kontenplan",IF(G64&lt;$N$2,"Habenkontonummer nicht im Kontenplan",IF(OR(G64&lt;1000,G64&gt;9999,VLOOKUP(G64,Kontenplan!$E$9:$F$128,1)&lt;&gt;G64),"Habenkontonummer nicht im Kontenplan","")))))))</f>
        <v/>
      </c>
      <c r="O64" s="24" t="str">
        <f t="shared" ref="O64:O67" si="3">IF(AND(D65&lt;&gt;"",G64&gt;0,F64&gt;0,OR(I64="",I64&lt;=0)),"Bitte Betrag prüfen",IF(AND(J64="",D65&gt;0),"Kein Text ist ok, aber nicht empfehlenswert",IF(AND(E64&lt;&gt;"",G64&lt;&gt;"",D64=0),"Bitte Beleg-Nr. prüfen",IF(AND(F64&lt;&gt;"",F64=G64),"Soll- und Habenkontonr. identisch",IF(OR(AND(E64="",G64&gt;0),AND(E64&lt;MAX(E63)-20,G64&gt;0)),"Datum möglicherweise falsch","")))))</f>
        <v/>
      </c>
      <c r="P64">
        <v>61</v>
      </c>
      <c r="Q64" s="24"/>
      <c r="R64" s="24">
        <f>IF(H64&lt;&gt;"",VLOOKUP(H64,Projektliste!$C$4:$C$160,1,-102),-101)</f>
        <v>-101</v>
      </c>
      <c r="S64" s="24" t="str">
        <f>IF(H64="","",IF(H64&lt;MIN(Projektliste!$C$4:$C$19),"Projektnummer nicht in Projektliste",IF(H64&lt;&gt;R64,"Projektnummer nicht in Projektliste","")))</f>
        <v/>
      </c>
      <c r="T64" s="24"/>
      <c r="U64" s="24"/>
      <c r="V64" s="24"/>
      <c r="W64" s="24"/>
      <c r="X64" s="24"/>
      <c r="Z64" s="24"/>
      <c r="AA64" s="24"/>
    </row>
    <row r="65" spans="1:27" x14ac:dyDescent="0.25">
      <c r="A65">
        <f>IF(OR(F65=Kontoauszug!$H$2,G65=Kontoauszug!$H$2),ROUND(A64+1,0),A64+0.0001)</f>
        <v>1.0057999999999994</v>
      </c>
      <c r="B65">
        <f>IF(AND(E65&gt;=$B$2,E65&lt;=$B$3,OR(F65=Kontoauszug!$H$2,G65=Kontoauszug!$H$2)),ROUND(B64+1,0),B64+0.0001)</f>
        <v>1.0057999999999994</v>
      </c>
      <c r="C65">
        <f>IF(H65=Projektabrechnung!$F$2,ROUND(C64+1,0),C64+0.0001)</f>
        <v>5.9000000000000025E-3</v>
      </c>
      <c r="D65" s="18"/>
      <c r="E65" s="19"/>
      <c r="F65" s="20"/>
      <c r="G65" s="21"/>
      <c r="H65" s="154"/>
      <c r="I65" s="22"/>
      <c r="J65" s="155"/>
      <c r="K65" t="str">
        <f t="shared" si="2"/>
        <v/>
      </c>
      <c r="L65" s="83" t="str">
        <f>IF(F65="","",VLOOKUP(Journal!F65,Kontenplan!$E$9:$F$128,2))</f>
        <v/>
      </c>
      <c r="M65" s="82" t="str">
        <f>IF(G65="","",VLOOKUP(Journal!G65,Kontenplan!$E$9:$F$128,2))</f>
        <v/>
      </c>
      <c r="N65" s="24" t="str">
        <f>IF(AND(G65="",I65="",J65=""),"",IF(AND(I65&gt;0,F65=""),"Bitte Sollkontonummer eingeben",IF(AND(I65&gt;0,G65=""),"Bitte Habenkontonummer eingeben",IF(F65&lt;$N$2,"Sollkontonummer nicht im Kontenplan",IF(VLOOKUP(F65,Kontenplan!$E$9:$E$128,1)&lt;&gt;F65,"Sollkontonummer nicht im Kontenplan",IF(G65&lt;$N$2,"Habenkontonummer nicht im Kontenplan",IF(OR(G65&lt;1000,G65&gt;9999,VLOOKUP(G65,Kontenplan!$E$9:$F$128,1)&lt;&gt;G65),"Habenkontonummer nicht im Kontenplan","")))))))</f>
        <v/>
      </c>
      <c r="O65" s="24" t="str">
        <f t="shared" si="3"/>
        <v/>
      </c>
      <c r="P65">
        <v>62</v>
      </c>
      <c r="Q65" s="24"/>
      <c r="R65" s="24">
        <f>IF(H65&lt;&gt;"",VLOOKUP(H65,Projektliste!$C$4:$C$160,1,-102),-101)</f>
        <v>-101</v>
      </c>
      <c r="S65" s="24" t="str">
        <f>IF(H65="","",IF(H65&lt;MIN(Projektliste!$C$4:$C$19),"Projektnummer nicht in Projektliste",IF(H65&lt;&gt;R65,"Projektnummer nicht in Projektliste","")))</f>
        <v/>
      </c>
      <c r="T65" s="24"/>
      <c r="U65" s="24"/>
      <c r="V65" s="24"/>
      <c r="W65" s="24"/>
      <c r="X65" s="24"/>
      <c r="Z65" s="24"/>
      <c r="AA65" s="24"/>
    </row>
    <row r="66" spans="1:27" x14ac:dyDescent="0.25">
      <c r="A66">
        <f>IF(OR(F66=Kontoauszug!$H$2,G66=Kontoauszug!$H$2),ROUND(A65+1,0),A65+0.0001)</f>
        <v>1.0058999999999994</v>
      </c>
      <c r="B66">
        <f>IF(AND(E66&gt;=$B$2,E66&lt;=$B$3,OR(F66=Kontoauszug!$H$2,G66=Kontoauszug!$H$2)),ROUND(B65+1,0),B65+0.0001)</f>
        <v>1.0058999999999994</v>
      </c>
      <c r="C66">
        <f>IF(H66=Projektabrechnung!$F$2,ROUND(C65+1,0),C65+0.0001)</f>
        <v>6.0000000000000027E-3</v>
      </c>
      <c r="D66" s="18"/>
      <c r="E66" s="19"/>
      <c r="F66" s="20"/>
      <c r="G66" s="21"/>
      <c r="H66" s="154"/>
      <c r="I66" s="22"/>
      <c r="J66" s="155"/>
      <c r="K66" t="str">
        <f t="shared" si="2"/>
        <v/>
      </c>
      <c r="L66" s="83" t="str">
        <f>IF(F66="","",VLOOKUP(Journal!F66,Kontenplan!$E$9:$F$128,2))</f>
        <v/>
      </c>
      <c r="M66" s="82" t="str">
        <f>IF(G66="","",VLOOKUP(Journal!G66,Kontenplan!$E$9:$F$128,2))</f>
        <v/>
      </c>
      <c r="N66" s="24" t="str">
        <f>IF(AND(G66="",I66="",J66=""),"",IF(AND(I66&gt;0,F66=""),"Bitte Sollkontonummer eingeben",IF(AND(I66&gt;0,G66=""),"Bitte Habenkontonummer eingeben",IF(F66&lt;$N$2,"Sollkontonummer nicht im Kontenplan",IF(VLOOKUP(F66,Kontenplan!$E$9:$E$128,1)&lt;&gt;F66,"Sollkontonummer nicht im Kontenplan",IF(G66&lt;$N$2,"Habenkontonummer nicht im Kontenplan",IF(OR(G66&lt;1000,G66&gt;9999,VLOOKUP(G66,Kontenplan!$E$9:$F$128,1)&lt;&gt;G66),"Habenkontonummer nicht im Kontenplan","")))))))</f>
        <v/>
      </c>
      <c r="O66" s="24" t="str">
        <f t="shared" si="3"/>
        <v/>
      </c>
      <c r="P66">
        <v>63</v>
      </c>
      <c r="Q66" s="24"/>
      <c r="R66" s="24">
        <f>IF(H66&lt;&gt;"",VLOOKUP(H66,Projektliste!$C$4:$C$160,1,-102),-101)</f>
        <v>-101</v>
      </c>
      <c r="S66" s="24" t="str">
        <f>IF(H66="","",IF(H66&lt;MIN(Projektliste!$C$4:$C$19),"Projektnummer nicht in Projektliste",IF(H66&lt;&gt;R66,"Projektnummer nicht in Projektliste","")))</f>
        <v/>
      </c>
      <c r="T66" s="24"/>
      <c r="U66" s="24"/>
      <c r="V66" s="24"/>
      <c r="W66" s="24"/>
      <c r="X66" s="24"/>
      <c r="Z66" s="24"/>
      <c r="AA66" s="24"/>
    </row>
    <row r="67" spans="1:27" x14ac:dyDescent="0.25">
      <c r="A67">
        <f>IF(OR(F67=Kontoauszug!$H$2,G67=Kontoauszug!$H$2),ROUND(A66+1,0),A66+0.0001)</f>
        <v>1.0059999999999993</v>
      </c>
      <c r="B67">
        <f>IF(AND(E67&gt;=$B$2,E67&lt;=$B$3,OR(F67=Kontoauszug!$H$2,G67=Kontoauszug!$H$2)),ROUND(B66+1,0),B66+0.0001)</f>
        <v>1.0059999999999993</v>
      </c>
      <c r="C67">
        <f>IF(H67=Projektabrechnung!$F$2,ROUND(C66+1,0),C66+0.0001)</f>
        <v>6.100000000000003E-3</v>
      </c>
      <c r="D67" s="18"/>
      <c r="E67" s="19"/>
      <c r="F67" s="20"/>
      <c r="G67" s="21"/>
      <c r="H67" s="154"/>
      <c r="I67" s="22"/>
      <c r="J67" s="155"/>
      <c r="K67" t="str">
        <f t="shared" si="2"/>
        <v/>
      </c>
      <c r="L67" s="83" t="str">
        <f>IF(F67="","",VLOOKUP(Journal!F67,Kontenplan!$E$9:$F$128,2))</f>
        <v/>
      </c>
      <c r="M67" s="82" t="str">
        <f>IF(G67="","",VLOOKUP(Journal!G67,Kontenplan!$E$9:$F$128,2))</f>
        <v/>
      </c>
      <c r="N67" s="24" t="str">
        <f>IF(AND(G67="",I67="",J67=""),"",IF(AND(I67&gt;0,F67=""),"Bitte Sollkontonummer eingeben",IF(AND(I67&gt;0,G67=""),"Bitte Habenkontonummer eingeben",IF(F67&lt;$N$2,"Sollkontonummer nicht im Kontenplan",IF(VLOOKUP(F67,Kontenplan!$E$9:$E$128,1)&lt;&gt;F67,"Sollkontonummer nicht im Kontenplan",IF(G67&lt;$N$2,"Habenkontonummer nicht im Kontenplan",IF(OR(G67&lt;1000,G67&gt;9999,VLOOKUP(G67,Kontenplan!$E$9:$F$128,1)&lt;&gt;G67),"Habenkontonummer nicht im Kontenplan","")))))))</f>
        <v/>
      </c>
      <c r="O67" s="24" t="str">
        <f t="shared" si="3"/>
        <v/>
      </c>
      <c r="P67" s="13">
        <v>64</v>
      </c>
      <c r="Q67" s="24"/>
      <c r="R67" s="24">
        <f>IF(H67&lt;&gt;"",VLOOKUP(H67,Projektliste!$C$4:$C$160,1,-102),-101)</f>
        <v>-101</v>
      </c>
      <c r="S67" s="24" t="str">
        <f>IF(H67="","",IF(H67&lt;MIN(Projektliste!$C$4:$C$19),"Projektnummer nicht in Projektliste",IF(H67&lt;&gt;R67,"Projektnummer nicht in Projektliste","")))</f>
        <v/>
      </c>
      <c r="T67" s="24"/>
      <c r="U67" s="24"/>
      <c r="V67" s="24"/>
      <c r="W67" s="24"/>
      <c r="X67" s="24"/>
      <c r="Z67" s="24"/>
      <c r="AA67" s="24"/>
    </row>
    <row r="68" spans="1:27" x14ac:dyDescent="0.25">
      <c r="A68">
        <f>IF(OR(F68=Kontoauszug!$H$2,G68=Kontoauszug!$H$2),ROUND(A67+1,0),A67+0.0001)</f>
        <v>1.0060999999999993</v>
      </c>
      <c r="B68">
        <f>IF(AND(E68&gt;=$B$2,E68&lt;=$B$3,OR(F68=Kontoauszug!$H$2,G68=Kontoauszug!$H$2)),ROUND(B67+1,0),B67+0.0001)</f>
        <v>1.0060999999999993</v>
      </c>
      <c r="C68">
        <f>IF(H68=Projektabrechnung!$F$2,ROUND(C67+1,0),C67+0.0001)</f>
        <v>6.2000000000000033E-3</v>
      </c>
      <c r="D68" s="18"/>
      <c r="E68" s="19"/>
      <c r="F68" s="20"/>
      <c r="G68" s="21"/>
      <c r="H68" s="154"/>
      <c r="I68" s="22"/>
      <c r="J68" s="155"/>
      <c r="K68" t="str">
        <f t="shared" si="2"/>
        <v/>
      </c>
      <c r="L68" s="83" t="str">
        <f>IF(F68="","",VLOOKUP(Journal!F68,Kontenplan!$E$9:$F$128,2))</f>
        <v/>
      </c>
      <c r="M68" s="82" t="str">
        <f>IF(G68="","",VLOOKUP(Journal!G68,Kontenplan!$E$9:$F$128,2))</f>
        <v/>
      </c>
      <c r="N68" s="24" t="str">
        <f>IF(AND(G68="",I68="",J68=""),"",IF(AND(I68&gt;0,F68=""),"Bitte Sollkontonummer eingeben",IF(AND(I68&gt;0,G68=""),"Bitte Habenkontonummer eingeben",IF(F68&lt;$N$2,"Sollkontonummer nicht im Kontenplan",IF(VLOOKUP(F68,Kontenplan!$E$9:$E$128,1)&lt;&gt;F68,"Sollkontonummer nicht im Kontenplan",IF(G68&lt;$N$2,"Habenkontonummer nicht im Kontenplan",IF(OR(G68&lt;1000,G68&gt;9999,VLOOKUP(G68,Kontenplan!$E$9:$F$128,1)&lt;&gt;G68),"Habenkontonummer nicht im Kontenplan","")))))))</f>
        <v/>
      </c>
      <c r="O68" s="24" t="str">
        <f>IF(AND(D69&lt;&gt;"",G68&gt;0,F68&gt;0,OR(I68="",I68&lt;=0)),"Bitte Betrag prüfen",IF(AND(J68="",D69&gt;0),"Kein Text ist ok, aber nicht empfehlenswert",IF(AND(E68&lt;&gt;"",G68&lt;&gt;"",D68=0),"Bitte Beleg-Nr. prüfen",IF(AND(F68&lt;&gt;"",F68=G68),"Soll- und Habenkontonr. identisch",IF(OR(AND(E68="",G68&gt;0),AND(E68&lt;MAX(E67)-20,G68&gt;0)),"Datum möglicherweise falsch","")))))</f>
        <v/>
      </c>
      <c r="P68">
        <v>65</v>
      </c>
      <c r="Q68" s="24"/>
      <c r="R68" s="24">
        <f>IF(H68&lt;&gt;"",VLOOKUP(H68,Projektliste!$C$4:$C$160,1,-102),-101)</f>
        <v>-101</v>
      </c>
      <c r="S68" s="24" t="str">
        <f>IF(H68="","",IF(H68&lt;MIN(Projektliste!$C$4:$C$19),"Projektnummer nicht in Projektliste",IF(H68&lt;&gt;R68,"Projektnummer nicht in Projektliste","")))</f>
        <v/>
      </c>
      <c r="T68" s="24"/>
      <c r="U68" s="24"/>
      <c r="V68" s="24"/>
      <c r="W68" s="24"/>
      <c r="X68" s="24"/>
      <c r="Z68" s="24"/>
      <c r="AA68" s="24"/>
    </row>
    <row r="69" spans="1:27" x14ac:dyDescent="0.25">
      <c r="A69">
        <f>IF(OR(F69=Kontoauszug!$H$2,G69=Kontoauszug!$H$2),ROUND(A68+1,0),A68+0.0001)</f>
        <v>1.0061999999999993</v>
      </c>
      <c r="B69">
        <f>IF(AND(E69&gt;=$B$2,E69&lt;=$B$3,OR(F69=Kontoauszug!$H$2,G69=Kontoauszug!$H$2)),ROUND(B68+1,0),B68+0.0001)</f>
        <v>1.0061999999999993</v>
      </c>
      <c r="C69">
        <f>IF(H69=Projektabrechnung!$F$2,ROUND(C68+1,0),C68+0.0001)</f>
        <v>6.3000000000000035E-3</v>
      </c>
      <c r="D69" s="18"/>
      <c r="E69" s="19"/>
      <c r="F69" s="20"/>
      <c r="G69" s="21"/>
      <c r="H69" s="154"/>
      <c r="I69" s="22"/>
      <c r="J69" s="155"/>
      <c r="K69" t="str">
        <f t="shared" ref="K69:K75" si="4">IF(N69&lt;&gt;"",N69,IF(O69&lt;&gt;"",O69,IF(S69&lt;&gt;"",S69,"")))</f>
        <v/>
      </c>
      <c r="L69" s="83" t="str">
        <f>IF(F69="","",VLOOKUP(Journal!F69,Kontenplan!$E$9:$F$128,2))</f>
        <v/>
      </c>
      <c r="M69" s="82" t="str">
        <f>IF(G69="","",VLOOKUP(Journal!G69,Kontenplan!$E$9:$F$128,2))</f>
        <v/>
      </c>
      <c r="N69" s="24" t="str">
        <f>IF(AND(G69="",I69="",J69=""),"",IF(AND(I69&gt;0,F69=""),"Bitte Sollkontonummer eingeben",IF(AND(I69&gt;0,G69=""),"Bitte Habenkontonummer eingeben",IF(F69&lt;$N$2,"Sollkontonummer nicht im Kontenplan",IF(VLOOKUP(F69,Kontenplan!$E$9:$E$128,1)&lt;&gt;F69,"Sollkontonummer nicht im Kontenplan",IF(G69&lt;$N$2,"Habenkontonummer nicht im Kontenplan",IF(OR(G69&lt;1000,G69&gt;9999,VLOOKUP(G69,Kontenplan!$E$9:$F$128,1)&lt;&gt;G69),"Habenkontonummer nicht im Kontenplan","")))))))</f>
        <v/>
      </c>
      <c r="O69" s="24" t="str">
        <f t="shared" ref="O69:O73" si="5">IF(AND(D70&lt;&gt;"",G69&gt;0,F69&gt;0,OR(I69="",I69&lt;=0)),"Bitte Betrag prüfen",IF(AND(J69="",D70&gt;0),"Kein Text ist ok, aber nicht empfehlenswert",IF(AND(E69&lt;&gt;"",G69&lt;&gt;"",D69=0),"Bitte Beleg-Nr. prüfen",IF(AND(F69&lt;&gt;"",F69=G69),"Soll- und Habenkontonr. identisch",IF(OR(AND(E69="",G69&gt;0),AND(E69&lt;MAX(E68)-20,G69&gt;0)),"Datum möglicherweise falsch","")))))</f>
        <v/>
      </c>
      <c r="P69">
        <v>65</v>
      </c>
      <c r="Q69" s="24"/>
      <c r="R69" s="24">
        <f>IF(H69&lt;&gt;"",VLOOKUP(H69,Projektliste!$C$4:$C$160,1,-102),-101)</f>
        <v>-101</v>
      </c>
      <c r="S69" s="24" t="str">
        <f>IF(H69="","",IF(H69&lt;MIN(Projektliste!$C$4:$C$19),"Projektnummer nicht in Projektliste",IF(H69&lt;&gt;R69,"Projektnummer nicht in Projektliste","")))</f>
        <v/>
      </c>
      <c r="T69" s="24"/>
      <c r="U69" s="24"/>
      <c r="V69" s="24"/>
      <c r="W69" s="24"/>
      <c r="X69" s="24"/>
      <c r="Z69" s="24"/>
      <c r="AA69" s="24"/>
    </row>
    <row r="70" spans="1:27" x14ac:dyDescent="0.25">
      <c r="A70">
        <f>IF(OR(F70=Kontoauszug!$H$2,G70=Kontoauszug!$H$2),ROUND(A69+1,0),A69+0.0001)</f>
        <v>1.0062999999999993</v>
      </c>
      <c r="B70">
        <f>IF(AND(E70&gt;=$B$2,E70&lt;=$B$3,OR(F70=Kontoauszug!$H$2,G70=Kontoauszug!$H$2)),ROUND(B69+1,0),B69+0.0001)</f>
        <v>1.0062999999999993</v>
      </c>
      <c r="C70">
        <f>IF(H70=Projektabrechnung!$F$2,ROUND(C69+1,0),C69+0.0001)</f>
        <v>6.4000000000000038E-3</v>
      </c>
      <c r="D70" s="18"/>
      <c r="E70" s="19"/>
      <c r="F70" s="20"/>
      <c r="G70" s="21"/>
      <c r="H70" s="154"/>
      <c r="I70" s="22"/>
      <c r="J70" s="155"/>
      <c r="K70" t="str">
        <f t="shared" si="4"/>
        <v/>
      </c>
      <c r="L70" s="83" t="str">
        <f>IF(F70="","",VLOOKUP(Journal!F70,Kontenplan!$E$9:$F$128,2))</f>
        <v/>
      </c>
      <c r="M70" s="82" t="str">
        <f>IF(G70="","",VLOOKUP(Journal!G70,Kontenplan!$E$9:$F$128,2))</f>
        <v/>
      </c>
      <c r="N70" s="24" t="str">
        <f>IF(AND(G70="",I70="",J70=""),"",IF(AND(I70&gt;0,F70=""),"Bitte Sollkontonummer eingeben",IF(AND(I70&gt;0,G70=""),"Bitte Habenkontonummer eingeben",IF(F70&lt;$N$2,"Sollkontonummer nicht im Kontenplan",IF(VLOOKUP(F70,Kontenplan!$E$9:$E$128,1)&lt;&gt;F70,"Sollkontonummer nicht im Kontenplan",IF(G70&lt;$N$2,"Habenkontonummer nicht im Kontenplan",IF(OR(G70&lt;1000,G70&gt;9999,VLOOKUP(G70,Kontenplan!$E$9:$F$128,1)&lt;&gt;G70),"Habenkontonummer nicht im Kontenplan","")))))))</f>
        <v/>
      </c>
      <c r="O70" s="24" t="str">
        <f t="shared" si="5"/>
        <v/>
      </c>
      <c r="P70">
        <v>65</v>
      </c>
      <c r="Q70" s="24"/>
      <c r="R70" s="24">
        <f>IF(H70&lt;&gt;"",VLOOKUP(H70,Projektliste!$C$4:$C$160,1,-102),-101)</f>
        <v>-101</v>
      </c>
      <c r="S70" s="24" t="str">
        <f>IF(H70="","",IF(H70&lt;MIN(Projektliste!$C$4:$C$19),"Projektnummer nicht in Projektliste",IF(H70&lt;&gt;R70,"Projektnummer nicht in Projektliste","")))</f>
        <v/>
      </c>
      <c r="T70" s="24"/>
      <c r="U70" s="24"/>
      <c r="V70" s="24"/>
      <c r="W70" s="24"/>
      <c r="X70" s="24"/>
      <c r="Z70" s="24"/>
      <c r="AA70" s="24"/>
    </row>
    <row r="71" spans="1:27" x14ac:dyDescent="0.25">
      <c r="A71">
        <f>IF(OR(F71=Kontoauszug!$H$2,G71=Kontoauszug!$H$2),ROUND(A70+1,0),A70+0.0001)</f>
        <v>1.0063999999999993</v>
      </c>
      <c r="B71">
        <f>IF(AND(E71&gt;=$B$2,E71&lt;=$B$3,OR(F71=Kontoauszug!$H$2,G71=Kontoauszug!$H$2)),ROUND(B70+1,0),B70+0.0001)</f>
        <v>1.0063999999999993</v>
      </c>
      <c r="C71">
        <f>IF(H71=Projektabrechnung!$F$2,ROUND(C70+1,0),C70+0.0001)</f>
        <v>6.500000000000004E-3</v>
      </c>
      <c r="D71" s="18"/>
      <c r="E71" s="19"/>
      <c r="F71" s="20"/>
      <c r="G71" s="21"/>
      <c r="H71" s="154"/>
      <c r="I71" s="22"/>
      <c r="J71" s="155"/>
      <c r="K71" t="str">
        <f t="shared" si="4"/>
        <v/>
      </c>
      <c r="L71" s="83" t="str">
        <f>IF(F71="","",VLOOKUP(Journal!F71,Kontenplan!$E$9:$F$128,2))</f>
        <v/>
      </c>
      <c r="M71" s="82" t="str">
        <f>IF(G71="","",VLOOKUP(Journal!G71,Kontenplan!$E$9:$F$128,2))</f>
        <v/>
      </c>
      <c r="N71" s="24" t="str">
        <f>IF(AND(G71="",I71="",J71=""),"",IF(AND(I71&gt;0,F71=""),"Bitte Sollkontonummer eingeben",IF(AND(I71&gt;0,G71=""),"Bitte Habenkontonummer eingeben",IF(F71&lt;$N$2,"Sollkontonummer nicht im Kontenplan",IF(VLOOKUP(F71,Kontenplan!$E$9:$E$128,1)&lt;&gt;F71,"Sollkontonummer nicht im Kontenplan",IF(G71&lt;$N$2,"Habenkontonummer nicht im Kontenplan",IF(OR(G71&lt;1000,G71&gt;9999,VLOOKUP(G71,Kontenplan!$E$9:$F$128,1)&lt;&gt;G71),"Habenkontonummer nicht im Kontenplan","")))))))</f>
        <v/>
      </c>
      <c r="O71" s="24" t="str">
        <f t="shared" si="5"/>
        <v/>
      </c>
      <c r="P71">
        <v>65</v>
      </c>
      <c r="Q71" s="24"/>
      <c r="R71" s="24">
        <f>IF(H71&lt;&gt;"",VLOOKUP(H71,Projektliste!$C$4:$C$160,1,-102),-101)</f>
        <v>-101</v>
      </c>
      <c r="S71" s="24" t="str">
        <f>IF(H71="","",IF(H71&lt;MIN(Projektliste!$C$4:$C$19),"Projektnummer nicht in Projektliste",IF(H71&lt;&gt;R71,"Projektnummer nicht in Projektliste","")))</f>
        <v/>
      </c>
      <c r="T71" s="24"/>
      <c r="U71" s="24"/>
      <c r="V71" s="24"/>
      <c r="W71" s="24"/>
      <c r="X71" s="24"/>
      <c r="Z71" s="24"/>
      <c r="AA71" s="24"/>
    </row>
    <row r="72" spans="1:27" x14ac:dyDescent="0.25">
      <c r="A72">
        <f>IF(OR(F72=Kontoauszug!$H$2,G72=Kontoauszug!$H$2),ROUND(A71+1,0),A71+0.0001)</f>
        <v>1.0064999999999993</v>
      </c>
      <c r="B72">
        <f>IF(AND(E72&gt;=$B$2,E72&lt;=$B$3,OR(F72=Kontoauszug!$H$2,G72=Kontoauszug!$H$2)),ROUND(B71+1,0),B71+0.0001)</f>
        <v>1.0064999999999993</v>
      </c>
      <c r="C72">
        <f>IF(H72=Projektabrechnung!$F$2,ROUND(C71+1,0),C71+0.0001)</f>
        <v>6.6000000000000043E-3</v>
      </c>
      <c r="D72" s="18"/>
      <c r="E72" s="19"/>
      <c r="F72" s="20"/>
      <c r="G72" s="21"/>
      <c r="H72" s="154"/>
      <c r="I72" s="22"/>
      <c r="J72" s="155"/>
      <c r="K72" t="str">
        <f t="shared" si="4"/>
        <v/>
      </c>
      <c r="L72" s="83" t="str">
        <f>IF(F72="","",VLOOKUP(Journal!F72,Kontenplan!$E$9:$F$128,2))</f>
        <v/>
      </c>
      <c r="M72" s="82" t="str">
        <f>IF(G72="","",VLOOKUP(Journal!G72,Kontenplan!$E$9:$F$128,2))</f>
        <v/>
      </c>
      <c r="N72" s="24" t="str">
        <f>IF(AND(G72="",I72="",J72=""),"",IF(AND(I72&gt;0,F72=""),"Bitte Sollkontonummer eingeben",IF(AND(I72&gt;0,G72=""),"Bitte Habenkontonummer eingeben",IF(F72&lt;$N$2,"Sollkontonummer nicht im Kontenplan",IF(VLOOKUP(F72,Kontenplan!$E$9:$E$128,1)&lt;&gt;F72,"Sollkontonummer nicht im Kontenplan",IF(G72&lt;$N$2,"Habenkontonummer nicht im Kontenplan",IF(OR(G72&lt;1000,G72&gt;9999,VLOOKUP(G72,Kontenplan!$E$9:$F$128,1)&lt;&gt;G72),"Habenkontonummer nicht im Kontenplan","")))))))</f>
        <v/>
      </c>
      <c r="O72" s="24" t="str">
        <f t="shared" si="5"/>
        <v/>
      </c>
      <c r="P72">
        <v>65</v>
      </c>
      <c r="Q72" s="24"/>
      <c r="R72" s="24">
        <f>IF(H72&lt;&gt;"",VLOOKUP(H72,Projektliste!$C$4:$C$160,1,-102),-101)</f>
        <v>-101</v>
      </c>
      <c r="S72" s="24" t="str">
        <f>IF(H72="","",IF(H72&lt;MIN(Projektliste!$C$4:$C$19),"Projektnummer nicht in Projektliste",IF(H72&lt;&gt;R72,"Projektnummer nicht in Projektliste","")))</f>
        <v/>
      </c>
      <c r="T72" s="24"/>
      <c r="U72" s="24"/>
      <c r="V72" s="24"/>
      <c r="W72" s="24"/>
      <c r="X72" s="24"/>
      <c r="Z72" s="24"/>
      <c r="AA72" s="24"/>
    </row>
    <row r="73" spans="1:27" x14ac:dyDescent="0.25">
      <c r="A73">
        <f>IF(OR(F73=Kontoauszug!$H$2,G73=Kontoauszug!$H$2),ROUND(A72+1,0),A72+0.0001)</f>
        <v>1.0065999999999993</v>
      </c>
      <c r="B73">
        <f>IF(AND(E73&gt;=$B$2,E73&lt;=$B$3,OR(F73=Kontoauszug!$H$2,G73=Kontoauszug!$H$2)),ROUND(B72+1,0),B72+0.0001)</f>
        <v>1.0065999999999993</v>
      </c>
      <c r="C73">
        <f>IF(H73=Projektabrechnung!$F$2,ROUND(C72+1,0),C72+0.0001)</f>
        <v>6.7000000000000046E-3</v>
      </c>
      <c r="D73" s="18"/>
      <c r="E73" s="19"/>
      <c r="F73" s="20"/>
      <c r="G73" s="21"/>
      <c r="H73" s="154"/>
      <c r="I73" s="22"/>
      <c r="J73" s="155"/>
      <c r="K73" t="str">
        <f t="shared" si="4"/>
        <v/>
      </c>
      <c r="L73" s="83" t="str">
        <f>IF(F73="","",VLOOKUP(Journal!F73,Kontenplan!$E$9:$F$128,2))</f>
        <v/>
      </c>
      <c r="M73" s="82" t="str">
        <f>IF(G73="","",VLOOKUP(Journal!G73,Kontenplan!$E$9:$F$128,2))</f>
        <v/>
      </c>
      <c r="N73" s="24" t="str">
        <f>IF(AND(G73="",I73="",J73=""),"",IF(AND(I73&gt;0,F73=""),"Bitte Sollkontonummer eingeben",IF(AND(I73&gt;0,G73=""),"Bitte Habenkontonummer eingeben",IF(F73&lt;$N$2,"Sollkontonummer nicht im Kontenplan",IF(VLOOKUP(F73,Kontenplan!$E$9:$E$128,1)&lt;&gt;F73,"Sollkontonummer nicht im Kontenplan",IF(G73&lt;$N$2,"Habenkontonummer nicht im Kontenplan",IF(OR(G73&lt;1000,G73&gt;9999,VLOOKUP(G73,Kontenplan!$E$9:$F$128,1)&lt;&gt;G73),"Habenkontonummer nicht im Kontenplan","")))))))</f>
        <v/>
      </c>
      <c r="O73" s="24" t="str">
        <f t="shared" si="5"/>
        <v/>
      </c>
      <c r="P73">
        <v>65</v>
      </c>
      <c r="Q73" s="24"/>
      <c r="R73" s="24">
        <f>IF(H73&lt;&gt;"",VLOOKUP(H73,Projektliste!$C$4:$C$160,1,-102),-101)</f>
        <v>-101</v>
      </c>
      <c r="S73" s="24" t="str">
        <f>IF(H73="","",IF(H73&lt;MIN(Projektliste!$C$4:$C$19),"Projektnummer nicht in Projektliste",IF(H73&lt;&gt;R73,"Projektnummer nicht in Projektliste","")))</f>
        <v/>
      </c>
      <c r="T73" s="24"/>
      <c r="U73" s="24"/>
      <c r="V73" s="24"/>
      <c r="W73" s="24"/>
      <c r="X73" s="24"/>
      <c r="Z73" s="24"/>
      <c r="AA73" s="24"/>
    </row>
    <row r="74" spans="1:27" x14ac:dyDescent="0.25">
      <c r="A74">
        <f>IF(OR(F74=Kontoauszug!$H$2,G74=Kontoauszug!$H$2),ROUND(A73+1,0),A73+0.0001)</f>
        <v>1.0066999999999993</v>
      </c>
      <c r="B74">
        <f>IF(AND(E74&gt;=$B$2,E74&lt;=$B$3,OR(F74=Kontoauszug!$H$2,G74=Kontoauszug!$H$2)),ROUND(B73+1,0),B73+0.0001)</f>
        <v>1.0066999999999993</v>
      </c>
      <c r="C74">
        <f>IF(H74=Projektabrechnung!$F$2,ROUND(C73+1,0),C73+0.0001)</f>
        <v>6.8000000000000048E-3</v>
      </c>
      <c r="D74" s="18"/>
      <c r="E74" s="19"/>
      <c r="F74" s="20"/>
      <c r="G74" s="21"/>
      <c r="H74" s="154"/>
      <c r="I74" s="22"/>
      <c r="J74" s="155"/>
      <c r="K74" t="str">
        <f t="shared" si="4"/>
        <v/>
      </c>
      <c r="L74" s="83" t="str">
        <f>IF(F74="","",VLOOKUP(Journal!F74,Kontenplan!$E$9:$F$128,2))</f>
        <v/>
      </c>
      <c r="M74" s="82" t="str">
        <f>IF(G74="","",VLOOKUP(Journal!G74,Kontenplan!$E$9:$F$128,2))</f>
        <v/>
      </c>
      <c r="N74" s="24" t="str">
        <f>IF(AND(G74="",I74="",J74=""),"",IF(AND(I74&gt;0,F74=""),"Bitte Sollkontonummer eingeben",IF(AND(I74&gt;0,G74=""),"Bitte Habenkontonummer eingeben",IF(F74&lt;$N$2,"Sollkontonummer nicht im Kontenplan",IF(VLOOKUP(F74,Kontenplan!$E$9:$E$128,1)&lt;&gt;F74,"Sollkontonummer nicht im Kontenplan",IF(G74&lt;$N$2,"Habenkontonummer nicht im Kontenplan",IF(OR(G74&lt;1000,G74&gt;9999,VLOOKUP(G74,Kontenplan!$E$9:$F$128,1)&lt;&gt;G74),"Habenkontonummer nicht im Kontenplan","")))))))</f>
        <v/>
      </c>
      <c r="O74" s="24" t="str">
        <f>IF(AND(D75&lt;&gt;"",G74&gt;0,F74&gt;0,OR(I74="",I74&lt;=0)),"Bitte Betrag prüfen",IF(AND(J74="",D75&gt;0),"Kein Text ist ok, aber nicht empfehlenswert",IF(AND(E74&lt;&gt;"",G74&lt;&gt;"",D74=0),"Bitte Beleg-Nr. prüfen",IF(AND(F74&lt;&gt;"",F74=G74),"Soll- und Habenkontonr. identisch",IF(OR(AND(E74="",G74&gt;0),AND(E74&lt;MAX(E73)-20,G74&gt;0)),"Datum möglicherweise falsch","")))))</f>
        <v/>
      </c>
      <c r="P74">
        <v>65</v>
      </c>
      <c r="Q74" s="24"/>
      <c r="R74" s="24">
        <f>IF(H74&lt;&gt;"",VLOOKUP(H74,Projektliste!$C$4:$C$160,1,-102),-101)</f>
        <v>-101</v>
      </c>
      <c r="S74" s="24" t="str">
        <f>IF(H74="","",IF(H74&lt;MIN(Projektliste!$C$4:$C$19),"Projektnummer nicht in Projektliste",IF(H74&lt;&gt;R74,"Projektnummer nicht in Projektliste","")))</f>
        <v/>
      </c>
      <c r="T74" s="24"/>
      <c r="U74" s="24"/>
      <c r="V74" s="24"/>
      <c r="W74" s="24"/>
      <c r="X74" s="24"/>
      <c r="Z74" s="24"/>
      <c r="AA74" s="24"/>
    </row>
    <row r="75" spans="1:27" x14ac:dyDescent="0.25">
      <c r="A75">
        <f>IF(OR(F75=Kontoauszug!$H$2,G75=Kontoauszug!$H$2),ROUND(A74+1,0),A74+0.0001)</f>
        <v>1.0067999999999993</v>
      </c>
      <c r="B75">
        <f>IF(AND(E75&gt;=$B$2,E75&lt;=$B$3,OR(F75=Kontoauszug!$H$2,G75=Kontoauszug!$H$2)),ROUND(B74+1,0),B74+0.0001)</f>
        <v>1.0067999999999993</v>
      </c>
      <c r="C75">
        <f>IF(H75=Projektabrechnung!$F$2,ROUND(C74+1,0),C74+0.0001)</f>
        <v>6.9000000000000051E-3</v>
      </c>
      <c r="D75" s="18"/>
      <c r="E75" s="19"/>
      <c r="F75" s="20"/>
      <c r="G75" s="21"/>
      <c r="H75" s="154"/>
      <c r="I75" s="22"/>
      <c r="J75" s="155"/>
      <c r="K75" t="str">
        <f t="shared" si="4"/>
        <v/>
      </c>
      <c r="L75" s="83" t="str">
        <f>IF(F75="","",VLOOKUP(Journal!F75,Kontenplan!$E$9:$F$128,2))</f>
        <v/>
      </c>
      <c r="M75" s="82" t="str">
        <f>IF(G75="","",VLOOKUP(Journal!G75,Kontenplan!$E$9:$F$128,2))</f>
        <v/>
      </c>
      <c r="N75" s="24" t="str">
        <f>IF(AND(G75="",I75="",J75=""),"",IF(AND(I75&gt;0,F75=""),"Bitte Sollkontonummer eingeben",IF(AND(I75&gt;0,G75=""),"Bitte Habenkontonummer eingeben",IF(F75&lt;$N$2,"Sollkontonummer nicht im Kontenplan",IF(VLOOKUP(F75,Kontenplan!$E$9:$E$128,1)&lt;&gt;F75,"Sollkontonummer nicht im Kontenplan",IF(G75&lt;$N$2,"Habenkontonummer nicht im Kontenplan",IF(OR(G75&lt;1000,G75&gt;9999,VLOOKUP(G75,Kontenplan!$E$9:$F$128,1)&lt;&gt;G75),"Habenkontonummer nicht im Kontenplan","")))))))</f>
        <v/>
      </c>
      <c r="O75" s="24" t="str">
        <f>IF(AND(D76&lt;&gt;"",G75&gt;0,F75&gt;0,OR(I75="",I75&lt;=0)),"Bitte Betrag prüfen",IF(AND(J75="",D76&gt;0),"Kein Text ist ok, aber nicht empfehlenswert",IF(AND(E75&lt;&gt;"",G75&lt;&gt;"",D75=0),"Bitte Beleg-Nr. prüfen",IF(AND(F75&lt;&gt;"",F75=G75),"Soll- und Habenkontonr. identisch",IF(OR(AND(E75="",G75&gt;0),AND(E75&lt;MAX(E74)-20,G75&gt;0)),"Datum möglicherweise falsch","")))))</f>
        <v/>
      </c>
      <c r="P75">
        <v>65</v>
      </c>
      <c r="Q75" s="24"/>
      <c r="R75" s="24">
        <f>IF(H75&lt;&gt;"",VLOOKUP(H75,Projektliste!$C$4:$C$160,1,-102),-101)</f>
        <v>-101</v>
      </c>
      <c r="S75" s="24" t="str">
        <f>IF(H75="","",IF(H75&lt;MIN(Projektliste!$C$4:$C$19),"Projektnummer nicht in Projektliste",IF(H75&lt;&gt;R75,"Projektnummer nicht in Projektliste","")))</f>
        <v/>
      </c>
      <c r="T75" s="24"/>
      <c r="U75" s="24"/>
      <c r="V75" s="24"/>
      <c r="W75" s="24"/>
      <c r="X75" s="24"/>
      <c r="Z75" s="24"/>
      <c r="AA75" s="24"/>
    </row>
    <row r="76" spans="1:27" x14ac:dyDescent="0.25">
      <c r="A76">
        <f>IF(OR(F76=Kontoauszug!$H$2,G76=Kontoauszug!$H$2),ROUND(A75+1,0),A75+0.0001)</f>
        <v>1.0068999999999992</v>
      </c>
      <c r="B76">
        <f>IF(AND(E76&gt;=$B$2,E76&lt;=$B$3,OR(F76=Kontoauszug!$H$2,G76=Kontoauszug!$H$2)),ROUND(B75+1,0),B75+0.0001)</f>
        <v>1.0068999999999992</v>
      </c>
      <c r="C76">
        <f>IF(H76=Projektabrechnung!$F$2,ROUND(C75+1,0),C75+0.0001)</f>
        <v>7.0000000000000053E-3</v>
      </c>
      <c r="D76" s="18"/>
      <c r="E76" s="19"/>
      <c r="F76" s="20"/>
      <c r="G76" s="21"/>
      <c r="H76" s="154"/>
      <c r="I76" s="22"/>
      <c r="J76" s="155"/>
      <c r="K76" t="str">
        <f t="shared" ref="K76:K84" si="6">IF(N76&lt;&gt;"",N76,IF(O76&lt;&gt;"",O76,IF(S76&lt;&gt;"",S76,"")))</f>
        <v/>
      </c>
      <c r="L76" s="83" t="str">
        <f>IF(F76="","",VLOOKUP(Journal!F76,Kontenplan!$E$9:$F$128,2))</f>
        <v/>
      </c>
      <c r="M76" s="82" t="str">
        <f>IF(G76="","",VLOOKUP(Journal!G76,Kontenplan!$E$9:$F$128,2))</f>
        <v/>
      </c>
      <c r="N76" s="24" t="str">
        <f>IF(AND(G76="",I76="",J76=""),"",IF(AND(I76&gt;0,F76=""),"Bitte Sollkontonummer eingeben",IF(AND(I76&gt;0,G76=""),"Bitte Habenkontonummer eingeben",IF(F76&lt;$N$2,"Sollkontonummer nicht im Kontenplan",IF(VLOOKUP(F76,Kontenplan!$E$9:$E$128,1)&lt;&gt;F76,"Sollkontonummer nicht im Kontenplan",IF(G76&lt;$N$2,"Habenkontonummer nicht im Kontenplan",IF(OR(G76&lt;1000,G76&gt;9999,VLOOKUP(G76,Kontenplan!$E$9:$F$128,1)&lt;&gt;G76),"Habenkontonummer nicht im Kontenplan","")))))))</f>
        <v/>
      </c>
      <c r="O76" s="24" t="str">
        <f>IF(AND(D77&lt;&gt;"",G76&gt;0,F76&gt;0,OR(I76="",I76&lt;=0)),"Bitte Betrag prüfen",IF(AND(J76="",D77&gt;0),"Kein Text ist ok, aber nicht empfehlenswert",IF(AND(E76&lt;&gt;"",G76&lt;&gt;"",D76=0),"Bitte Beleg-Nr. prüfen",IF(AND(F76&lt;&gt;"",F76=G76),"Soll- und Habenkontonr. identisch",IF(OR(AND(E76="",G76&gt;0),AND(E76&lt;MAX(E75)-20,G76&gt;0)),"Datum möglicherweise falsch","")))))</f>
        <v/>
      </c>
      <c r="P76">
        <v>3003</v>
      </c>
      <c r="Q76" s="24"/>
      <c r="R76" s="24">
        <f>IF(H76&lt;&gt;"",VLOOKUP(H76,Projektliste!$C$4:$C$160,1,-102),-101)</f>
        <v>-101</v>
      </c>
      <c r="S76" s="24" t="str">
        <f>IF(H76="","",IF(H76&lt;MIN(Projektliste!$C$4:$C$19),"Projektnummer nicht in Projektliste",IF(H76&lt;&gt;R76,"Projektnummer nicht in Projektliste","")))</f>
        <v/>
      </c>
      <c r="T76" s="24"/>
      <c r="U76" s="24"/>
      <c r="V76" s="24"/>
      <c r="W76" s="24"/>
      <c r="X76" s="24"/>
      <c r="Z76" s="24"/>
      <c r="AA76" s="24"/>
    </row>
    <row r="77" spans="1:27" x14ac:dyDescent="0.25">
      <c r="A77">
        <f>IF(OR(F77=Kontoauszug!$H$2,G77=Kontoauszug!$H$2),ROUND(A76+1,0),A76+0.0001)</f>
        <v>1.0069999999999992</v>
      </c>
      <c r="B77">
        <f>IF(AND(E77&gt;=$B$2,E77&lt;=$B$3,OR(F77=Kontoauszug!$H$2,G77=Kontoauszug!$H$2)),ROUND(B76+1,0),B76+0.0001)</f>
        <v>1.0069999999999992</v>
      </c>
      <c r="C77">
        <f>IF(H77=Projektabrechnung!$F$2,ROUND(C76+1,0),C76+0.0001)</f>
        <v>7.1000000000000056E-3</v>
      </c>
      <c r="D77" s="18"/>
      <c r="E77" s="19"/>
      <c r="F77" s="20"/>
      <c r="G77" s="21"/>
      <c r="H77" s="154"/>
      <c r="I77" s="22"/>
      <c r="J77" s="155"/>
      <c r="K77" t="str">
        <f t="shared" si="6"/>
        <v/>
      </c>
      <c r="L77" s="83" t="str">
        <f>IF(F77="","",VLOOKUP(Journal!F77,Kontenplan!$E$9:$F$128,2))</f>
        <v/>
      </c>
      <c r="M77" s="82" t="str">
        <f>IF(G77="","",VLOOKUP(Journal!G77,Kontenplan!$E$9:$F$128,2))</f>
        <v/>
      </c>
      <c r="N77" s="24" t="str">
        <f>IF(AND(G77="",I77="",J77=""),"",IF(AND(I77&gt;0,F77=""),"Bitte Sollkontonummer eingeben",IF(AND(I77&gt;0,G77=""),"Bitte Habenkontonummer eingeben",IF(F77&lt;$N$2,"Sollkontonummer nicht im Kontenplan",IF(VLOOKUP(F77,Kontenplan!$E$9:$E$128,1)&lt;&gt;F77,"Sollkontonummer nicht im Kontenplan",IF(G77&lt;$N$2,"Habenkontonummer nicht im Kontenplan",IF(OR(G77&lt;1000,G77&gt;9999,VLOOKUP(G77,Kontenplan!$E$9:$F$128,1)&lt;&gt;G77),"Habenkontonummer nicht im Kontenplan","")))))))</f>
        <v/>
      </c>
      <c r="O77" s="24" t="str">
        <f t="shared" ref="O77" si="7">IF(AND(D78&lt;&gt;"",G77&gt;0,F77&gt;0,OR(I77="",I77&lt;=0)),"Bitte Betrag prüfen",IF(AND(J77="",D78&gt;0),"Kein Text ist ok, aber nicht empfehlenswert",IF(AND(E77&lt;&gt;"",G77&lt;&gt;"",D77=0),"Bitte Beleg-Nr. prüfen",IF(AND(F77&lt;&gt;"",F77=G77),"Soll- und Habenkontonr. identisch",IF(OR(AND(E77="",G77&gt;0),AND(E77&lt;MAX(E76)-20,G77&gt;0)),"Datum möglicherweise falsch","")))))</f>
        <v/>
      </c>
      <c r="P77" s="13">
        <v>3004</v>
      </c>
      <c r="Q77" s="24"/>
      <c r="R77" s="24">
        <f>IF(H77&lt;&gt;"",VLOOKUP(H77,Projektliste!$C$4:$C$160,1,-102),-101)</f>
        <v>-101</v>
      </c>
      <c r="S77" s="24" t="str">
        <f>IF(H77="","",IF(H77&lt;MIN(Projektliste!$C$4:$C$19),"Projektnummer nicht in Projektliste",IF(H77&lt;&gt;R77,"Projektnummer nicht in Projektliste","")))</f>
        <v/>
      </c>
      <c r="T77" s="24"/>
      <c r="U77" s="24"/>
      <c r="V77" s="24"/>
      <c r="W77" s="24"/>
      <c r="X77" s="24"/>
      <c r="Z77" s="24"/>
      <c r="AA77" s="24"/>
    </row>
    <row r="78" spans="1:27" x14ac:dyDescent="0.25">
      <c r="A78">
        <f>IF(OR(F78=Kontoauszug!$H$2,G78=Kontoauszug!$H$2),ROUND(A77+1,0),A77+0.0001)</f>
        <v>1.0070999999999992</v>
      </c>
      <c r="B78">
        <f>IF(AND(E78&gt;=$B$2,E78&lt;=$B$3,OR(F78=Kontoauszug!$H$2,G78=Kontoauszug!$H$2)),ROUND(B77+1,0),B77+0.0001)</f>
        <v>1.0070999999999992</v>
      </c>
      <c r="C78">
        <f>IF(H78=Projektabrechnung!$F$2,ROUND(C77+1,0),C77+0.0001)</f>
        <v>7.2000000000000059E-3</v>
      </c>
      <c r="D78" s="18"/>
      <c r="E78" s="19"/>
      <c r="F78" s="20"/>
      <c r="G78" s="21"/>
      <c r="H78" s="154"/>
      <c r="I78" s="22"/>
      <c r="J78" s="155"/>
      <c r="K78" t="str">
        <f t="shared" si="6"/>
        <v/>
      </c>
      <c r="L78" s="83" t="str">
        <f>IF(F78="","",VLOOKUP(Journal!F78,Kontenplan!$E$9:$F$128,2))</f>
        <v/>
      </c>
      <c r="M78" s="82" t="str">
        <f>IF(G78="","",VLOOKUP(Journal!G78,Kontenplan!$E$9:$F$128,2))</f>
        <v/>
      </c>
      <c r="N78" s="24" t="str">
        <f>IF(AND(G78="",I78="",J78=""),"",IF(AND(I78&gt;0,F78=""),"Bitte Sollkontonummer eingeben",IF(AND(I78&gt;0,G78=""),"Bitte Habenkontonummer eingeben",IF(F78&lt;$N$2,"Sollkontonummer nicht im Kontenplan",IF(VLOOKUP(F78,Kontenplan!$E$9:$E$128,1)&lt;&gt;F78,"Sollkontonummer nicht im Kontenplan",IF(G78&lt;$N$2,"Habenkontonummer nicht im Kontenplan",IF(OR(G78&lt;1000,G78&gt;9999,VLOOKUP(G78,Kontenplan!$E$9:$F$128,1)&lt;&gt;G78),"Habenkontonummer nicht im Kontenplan","")))))))</f>
        <v/>
      </c>
      <c r="O78" s="24" t="str">
        <f>IF(AND(D79&lt;&gt;"",G78&gt;0,F78&gt;0,OR(I78="",I78&lt;=0)),"Bitte Betrag prüfen",IF(AND(J78="",D79&gt;0),"Kein Text ist ok, aber nicht empfehlenswert",IF(AND(E78&lt;&gt;"",G78&lt;&gt;"",D78=0),"Bitte Beleg-Nr. prüfen",IF(AND(F78&lt;&gt;"",F78=G78),"Soll- und Habenkontonr. identisch",IF(OR(AND(E78="",G78&gt;0),AND(E78&lt;MAX(E77)-20,G78&gt;0)),"Datum möglicherweise falsch","")))))</f>
        <v/>
      </c>
      <c r="P78">
        <v>3005</v>
      </c>
      <c r="Q78" s="24"/>
      <c r="R78" s="24">
        <f>IF(H78&lt;&gt;"",VLOOKUP(H78,Projektliste!$C$4:$C$160,1,-102),-101)</f>
        <v>-101</v>
      </c>
      <c r="S78" s="24" t="str">
        <f>IF(H78="","",IF(H78&lt;MIN(Projektliste!$C$4:$C$19),"Projektnummer nicht in Projektliste",IF(H78&lt;&gt;R78,"Projektnummer nicht in Projektliste","")))</f>
        <v/>
      </c>
      <c r="T78" s="24"/>
      <c r="U78" s="24"/>
      <c r="V78" s="24"/>
      <c r="W78" s="24"/>
      <c r="X78" s="24"/>
      <c r="Z78" s="24"/>
      <c r="AA78" s="24"/>
    </row>
    <row r="79" spans="1:27" x14ac:dyDescent="0.25">
      <c r="A79">
        <f>IF(OR(F79=Kontoauszug!$H$2,G79=Kontoauszug!$H$2),ROUND(A78+1,0),A78+0.0001)</f>
        <v>1.0071999999999992</v>
      </c>
      <c r="B79">
        <f>IF(AND(E79&gt;=$B$2,E79&lt;=$B$3,OR(F79=Kontoauszug!$H$2,G79=Kontoauszug!$H$2)),ROUND(B78+1,0),B78+0.0001)</f>
        <v>1.0071999999999992</v>
      </c>
      <c r="C79">
        <f>IF(H79=Projektabrechnung!$F$2,ROUND(C78+1,0),C78+0.0001)</f>
        <v>7.3000000000000061E-3</v>
      </c>
      <c r="D79" s="18"/>
      <c r="E79" s="19"/>
      <c r="F79" s="20"/>
      <c r="G79" s="21"/>
      <c r="H79" s="154"/>
      <c r="I79" s="22"/>
      <c r="J79" s="25"/>
      <c r="K79" t="str">
        <f t="shared" si="6"/>
        <v/>
      </c>
      <c r="L79" s="83" t="str">
        <f>IF(F79="","",VLOOKUP(Journal!F79,Kontenplan!$E$9:$F$128,2))</f>
        <v/>
      </c>
      <c r="M79" s="82" t="str">
        <f>IF(G79="","",VLOOKUP(Journal!G79,Kontenplan!$E$9:$F$128,2))</f>
        <v/>
      </c>
      <c r="N79" s="24" t="str">
        <f>IF(AND(G79="",I79="",J79=""),"",IF(AND(I79&gt;0,F79=""),"Bitte Sollkontonummer eingeben",IF(AND(I79&gt;0,G79=""),"Bitte Habenkontonummer eingeben",IF(F79&lt;$N$2,"Sollkontonummer nicht im Kontenplan",IF(VLOOKUP(F79,Kontenplan!$E$9:$E$128,1)&lt;&gt;F79,"Sollkontonummer nicht im Kontenplan",IF(G79&lt;$N$2,"Habenkontonummer nicht im Kontenplan",IF(OR(G79&lt;1000,G79&gt;9999,VLOOKUP(G79,Kontenplan!$E$9:$F$128,1)&lt;&gt;G79),"Habenkontonummer nicht im Kontenplan","")))))))</f>
        <v/>
      </c>
      <c r="O79" s="24" t="str">
        <f t="shared" ref="O79:O84" si="8">IF(AND(D80&lt;&gt;"",G79&gt;0,F79&gt;0,OR(I79="",I79&lt;=0)),"Bitte Betrag prüfen",IF(AND(J79="",D80&gt;0),"Kein Text ist ok, aber nicht empfehlenswert",IF(AND(E79&lt;&gt;"",G79&lt;&gt;"",D79=0),"Bitte Beleg-Nr. prüfen",IF(AND(F79&lt;&gt;"",F79=G79),"Soll- und Habenkontonr. identisch",IF(OR(AND(E79="",G79&gt;0),AND(E79&lt;MAX(E78)-20,G79&gt;0)),"Datum möglicherweise falsch","")))))</f>
        <v/>
      </c>
      <c r="P79">
        <v>3006</v>
      </c>
      <c r="Q79" s="24"/>
      <c r="R79" s="24">
        <f>IF(H79&lt;&gt;"",VLOOKUP(H79,Projektliste!$C$4:$C$160,1,-102),-101)</f>
        <v>-101</v>
      </c>
      <c r="S79" s="24" t="str">
        <f>IF(H79="","",IF(H79&lt;MIN(Projektliste!$C$4:$C$19),"Projektnummer nicht in Projektliste",IF(H79&lt;&gt;R79,"Projektnummer nicht in Projektliste","")))</f>
        <v/>
      </c>
      <c r="T79" s="24"/>
      <c r="U79" s="24"/>
      <c r="V79" s="24"/>
      <c r="W79" s="24"/>
      <c r="X79" s="24"/>
      <c r="Z79" s="24"/>
      <c r="AA79" s="24"/>
    </row>
    <row r="80" spans="1:27" x14ac:dyDescent="0.25">
      <c r="A80">
        <f>IF(OR(F80=Kontoauszug!$H$2,G80=Kontoauszug!$H$2),ROUND(A79+1,0),A79+0.0001)</f>
        <v>1.0072999999999992</v>
      </c>
      <c r="B80">
        <f>IF(AND(E80&gt;=$B$2,E80&lt;=$B$3,OR(F80=Kontoauszug!$H$2,G80=Kontoauszug!$H$2)),ROUND(B79+1,0),B79+0.0001)</f>
        <v>1.0072999999999992</v>
      </c>
      <c r="C80">
        <f>IF(H80=Projektabrechnung!$F$2,ROUND(C79+1,0),C79+0.0001)</f>
        <v>7.4000000000000064E-3</v>
      </c>
      <c r="D80" s="18"/>
      <c r="E80" s="19"/>
      <c r="F80" s="20"/>
      <c r="G80" s="21"/>
      <c r="H80" s="154"/>
      <c r="I80" s="22"/>
      <c r="J80" s="155"/>
      <c r="K80" t="str">
        <f t="shared" si="6"/>
        <v/>
      </c>
      <c r="L80" s="83" t="str">
        <f>IF(F80="","",VLOOKUP(Journal!F80,Kontenplan!$E$9:$F$128,2))</f>
        <v/>
      </c>
      <c r="M80" s="82" t="str">
        <f>IF(G80="","",VLOOKUP(Journal!G80,Kontenplan!$E$9:$F$128,2))</f>
        <v/>
      </c>
      <c r="N80" s="24" t="str">
        <f>IF(AND(G80="",I80="",J80=""),"",IF(AND(I80&gt;0,F80=""),"Bitte Sollkontonummer eingeben",IF(AND(I80&gt;0,G80=""),"Bitte Habenkontonummer eingeben",IF(F80&lt;$N$2,"Sollkontonummer nicht im Kontenplan",IF(VLOOKUP(F80,Kontenplan!$E$9:$E$128,1)&lt;&gt;F80,"Sollkontonummer nicht im Kontenplan",IF(G80&lt;$N$2,"Habenkontonummer nicht im Kontenplan",IF(OR(G80&lt;1000,G80&gt;9999,VLOOKUP(G80,Kontenplan!$E$9:$F$128,1)&lt;&gt;G80),"Habenkontonummer nicht im Kontenplan","")))))))</f>
        <v/>
      </c>
      <c r="O80" s="24" t="str">
        <f t="shared" si="8"/>
        <v/>
      </c>
      <c r="P80">
        <v>3007</v>
      </c>
      <c r="Q80" s="24"/>
      <c r="R80" s="24">
        <f>IF(H80&lt;&gt;"",VLOOKUP(H80,Projektliste!$C$4:$C$160,1,-102),-101)</f>
        <v>-101</v>
      </c>
      <c r="S80" s="24" t="str">
        <f>IF(H80="","",IF(H80&lt;MIN(Projektliste!$C$4:$C$19),"Projektnummer nicht in Projektliste",IF(H80&lt;&gt;R80,"Projektnummer nicht in Projektliste","")))</f>
        <v/>
      </c>
      <c r="T80" s="24"/>
      <c r="U80" s="24"/>
      <c r="V80" s="24"/>
      <c r="W80" s="24"/>
      <c r="X80" s="24"/>
      <c r="Z80" s="24"/>
      <c r="AA80" s="24"/>
    </row>
    <row r="81" spans="1:27" x14ac:dyDescent="0.25">
      <c r="A81">
        <f>IF(OR(F81=Kontoauszug!$H$2,G81=Kontoauszug!$H$2),ROUND(A80+1,0),A80+0.0001)</f>
        <v>1.0073999999999992</v>
      </c>
      <c r="B81">
        <f>IF(AND(E81&gt;=$B$2,E81&lt;=$B$3,OR(F81=Kontoauszug!$H$2,G81=Kontoauszug!$H$2)),ROUND(B80+1,0),B80+0.0001)</f>
        <v>1.0073999999999992</v>
      </c>
      <c r="C81">
        <f>IF(H81=Projektabrechnung!$F$2,ROUND(C80+1,0),C80+0.0001)</f>
        <v>7.5000000000000067E-3</v>
      </c>
      <c r="D81" s="18"/>
      <c r="E81" s="19"/>
      <c r="F81" s="20"/>
      <c r="G81" s="21"/>
      <c r="H81" s="154"/>
      <c r="I81" s="22"/>
      <c r="J81" s="155"/>
      <c r="K81" t="str">
        <f t="shared" si="6"/>
        <v/>
      </c>
      <c r="L81" s="83" t="str">
        <f>IF(F81="","",VLOOKUP(Journal!F81,Kontenplan!$E$9:$F$128,2))</f>
        <v/>
      </c>
      <c r="M81" s="82" t="str">
        <f>IF(G81="","",VLOOKUP(Journal!G81,Kontenplan!$E$9:$F$128,2))</f>
        <v/>
      </c>
      <c r="N81" s="24" t="str">
        <f>IF(AND(G81="",I81="",J81=""),"",IF(AND(I81&gt;0,F81=""),"Bitte Sollkontonummer eingeben",IF(AND(I81&gt;0,G81=""),"Bitte Habenkontonummer eingeben",IF(F81&lt;$N$2,"Sollkontonummer nicht im Kontenplan",IF(VLOOKUP(F81,Kontenplan!$E$9:$E$128,1)&lt;&gt;F81,"Sollkontonummer nicht im Kontenplan",IF(G81&lt;$N$2,"Habenkontonummer nicht im Kontenplan",IF(OR(G81&lt;1000,G81&gt;9999,VLOOKUP(G81,Kontenplan!$E$9:$F$128,1)&lt;&gt;G81),"Habenkontonummer nicht im Kontenplan","")))))))</f>
        <v/>
      </c>
      <c r="O81" s="24" t="str">
        <f t="shared" si="8"/>
        <v/>
      </c>
      <c r="P81">
        <v>3008</v>
      </c>
      <c r="Q81" s="24"/>
      <c r="R81" s="24">
        <f>IF(H81&lt;&gt;"",VLOOKUP(H81,Projektliste!$C$4:$C$160,1,-102),-101)</f>
        <v>-101</v>
      </c>
      <c r="S81" s="24" t="str">
        <f>IF(H81="","",IF(H81&lt;MIN(Projektliste!$C$4:$C$19),"Projektnummer nicht in Projektliste",IF(H81&lt;&gt;R81,"Projektnummer nicht in Projektliste","")))</f>
        <v/>
      </c>
      <c r="T81" s="24"/>
      <c r="U81" s="24"/>
      <c r="V81" s="24"/>
      <c r="W81" s="24"/>
      <c r="X81" s="24"/>
      <c r="Z81" s="24"/>
      <c r="AA81" s="24"/>
    </row>
    <row r="82" spans="1:27" x14ac:dyDescent="0.25">
      <c r="A82">
        <f>IF(OR(F82=Kontoauszug!$H$2,G82=Kontoauszug!$H$2),ROUND(A81+1,0),A81+0.0001)</f>
        <v>1.0074999999999992</v>
      </c>
      <c r="B82">
        <f>IF(AND(E82&gt;=$B$2,E82&lt;=$B$3,OR(F82=Kontoauszug!$H$2,G82=Kontoauszug!$H$2)),ROUND(B81+1,0),B81+0.0001)</f>
        <v>1.0074999999999992</v>
      </c>
      <c r="C82">
        <f>IF(H82=Projektabrechnung!$F$2,ROUND(C81+1,0),C81+0.0001)</f>
        <v>7.6000000000000069E-3</v>
      </c>
      <c r="D82" s="18"/>
      <c r="E82" s="19"/>
      <c r="F82" s="20"/>
      <c r="G82" s="21"/>
      <c r="H82" s="154"/>
      <c r="I82" s="22"/>
      <c r="J82" s="155"/>
      <c r="K82" t="str">
        <f t="shared" si="6"/>
        <v/>
      </c>
      <c r="L82" s="83" t="str">
        <f>IF(F82="","",VLOOKUP(Journal!F82,Kontenplan!$E$9:$F$128,2))</f>
        <v/>
      </c>
      <c r="M82" s="82" t="str">
        <f>IF(G82="","",VLOOKUP(Journal!G82,Kontenplan!$E$9:$F$128,2))</f>
        <v/>
      </c>
      <c r="N82" s="24" t="str">
        <f>IF(AND(G82="",I82="",J82=""),"",IF(AND(I82&gt;0,F82=""),"Bitte Sollkontonummer eingeben",IF(AND(I82&gt;0,G82=""),"Bitte Habenkontonummer eingeben",IF(F82&lt;$N$2,"Sollkontonummer nicht im Kontenplan",IF(VLOOKUP(F82,Kontenplan!$E$9:$E$128,1)&lt;&gt;F82,"Sollkontonummer nicht im Kontenplan",IF(G82&lt;$N$2,"Habenkontonummer nicht im Kontenplan",IF(OR(G82&lt;1000,G82&gt;9999,VLOOKUP(G82,Kontenplan!$E$9:$F$128,1)&lt;&gt;G82),"Habenkontonummer nicht im Kontenplan","")))))))</f>
        <v/>
      </c>
      <c r="O82" s="24" t="str">
        <f t="shared" si="8"/>
        <v/>
      </c>
      <c r="P82">
        <v>3009</v>
      </c>
      <c r="Q82" s="24"/>
      <c r="R82" s="24">
        <f>IF(H82&lt;&gt;"",VLOOKUP(H82,Projektliste!$C$4:$C$160,1,-102),-101)</f>
        <v>-101</v>
      </c>
      <c r="S82" s="24" t="str">
        <f>IF(H82="","",IF(H82&lt;MIN(Projektliste!$C$4:$C$19),"Projektnummer nicht in Projektliste",IF(H82&lt;&gt;R82,"Projektnummer nicht in Projektliste","")))</f>
        <v/>
      </c>
      <c r="T82" s="24"/>
      <c r="U82" s="24"/>
      <c r="V82" s="24"/>
      <c r="W82" s="24"/>
      <c r="X82" s="24"/>
      <c r="Z82" s="24"/>
      <c r="AA82" s="24"/>
    </row>
    <row r="83" spans="1:27" x14ac:dyDescent="0.25">
      <c r="A83">
        <f>IF(OR(F83=Kontoauszug!$H$2,G83=Kontoauszug!$H$2),ROUND(A82+1,0),A82+0.0001)</f>
        <v>1.0075999999999992</v>
      </c>
      <c r="B83">
        <f>IF(AND(E83&gt;=$B$2,E83&lt;=$B$3,OR(F83=Kontoauszug!$H$2,G83=Kontoauszug!$H$2)),ROUND(B82+1,0),B82+0.0001)</f>
        <v>1.0075999999999992</v>
      </c>
      <c r="C83">
        <f>IF(H83=Projektabrechnung!$F$2,ROUND(C82+1,0),C82+0.0001)</f>
        <v>7.7000000000000072E-3</v>
      </c>
      <c r="D83" s="18"/>
      <c r="E83" s="19"/>
      <c r="F83" s="20"/>
      <c r="G83" s="21"/>
      <c r="H83" s="154"/>
      <c r="I83" s="22"/>
      <c r="J83" s="25"/>
      <c r="K83" t="str">
        <f t="shared" si="6"/>
        <v/>
      </c>
      <c r="L83" s="83" t="str">
        <f>IF(F83="","",VLOOKUP(Journal!F83,Kontenplan!$E$9:$F$128,2))</f>
        <v/>
      </c>
      <c r="M83" s="82" t="str">
        <f>IF(G83="","",VLOOKUP(Journal!G83,Kontenplan!$E$9:$F$128,2))</f>
        <v/>
      </c>
      <c r="N83" s="24" t="str">
        <f>IF(AND(G83="",I83="",J83=""),"",IF(AND(I83&gt;0,F83=""),"Bitte Sollkontonummer eingeben",IF(AND(I83&gt;0,G83=""),"Bitte Habenkontonummer eingeben",IF(F83&lt;$N$2,"Sollkontonummer nicht im Kontenplan",IF(VLOOKUP(F83,Kontenplan!$E$9:$E$128,1)&lt;&gt;F83,"Sollkontonummer nicht im Kontenplan",IF(G83&lt;$N$2,"Habenkontonummer nicht im Kontenplan",IF(OR(G83&lt;1000,G83&gt;9999,VLOOKUP(G83,Kontenplan!$E$9:$F$128,1)&lt;&gt;G83),"Habenkontonummer nicht im Kontenplan","")))))))</f>
        <v/>
      </c>
      <c r="O83" s="24" t="str">
        <f t="shared" si="8"/>
        <v/>
      </c>
      <c r="P83">
        <v>3010</v>
      </c>
      <c r="Q83" s="24"/>
      <c r="R83" s="24">
        <f>IF(H83&lt;&gt;"",VLOOKUP(H83,Projektliste!$C$4:$C$160,1,-102),-101)</f>
        <v>-101</v>
      </c>
      <c r="S83" s="24" t="str">
        <f>IF(H83="","",IF(H83&lt;MIN(Projektliste!$C$4:$C$19),"Projektnummer nicht in Projektliste",IF(H83&lt;&gt;R83,"Projektnummer nicht in Projektliste","")))</f>
        <v/>
      </c>
      <c r="T83" s="24"/>
      <c r="U83" s="24"/>
      <c r="V83" s="24"/>
      <c r="W83" s="24"/>
      <c r="X83" s="24"/>
      <c r="Z83" s="24"/>
      <c r="AA83" s="24"/>
    </row>
    <row r="84" spans="1:27" x14ac:dyDescent="0.25">
      <c r="A84">
        <f>IF(OR(F84=Kontoauszug!$H$2,G84=Kontoauszug!$H$2),ROUND(A83+1,0),A83+0.0001)</f>
        <v>1.0076999999999992</v>
      </c>
      <c r="B84">
        <f>IF(AND(E84&gt;=$B$2,E84&lt;=$B$3,OR(F84=Kontoauszug!$H$2,G84=Kontoauszug!$H$2)),ROUND(B83+1,0),B83+0.0001)</f>
        <v>1.0076999999999992</v>
      </c>
      <c r="C84">
        <f>IF(H84=Projektabrechnung!$F$2,ROUND(C83+1,0),C83+0.0001)</f>
        <v>7.8000000000000074E-3</v>
      </c>
      <c r="H84" s="133"/>
      <c r="I84" s="134"/>
      <c r="K84" t="str">
        <f t="shared" si="6"/>
        <v/>
      </c>
      <c r="L84" s="83" t="str">
        <f>IF(F84="","",VLOOKUP(Journal!F84,Kontenplan!$E$9:$F$128,2))</f>
        <v/>
      </c>
      <c r="M84" s="82" t="str">
        <f>IF(G84="","",VLOOKUP(Journal!G84,Kontenplan!$E$9:$F$128,2))</f>
        <v/>
      </c>
      <c r="N84" s="24" t="str">
        <f>IF(AND(G84="",I84="",J84=""),"",IF(AND(I84&gt;0,F84=""),"Bitte Sollkontonummer eingeben",IF(AND(I84&gt;0,G84=""),"Bitte Habenkontonummer eingeben",IF(F84&lt;$N$2,"Sollkontonummer nicht im Kontenplan",IF(VLOOKUP(F84,Kontenplan!$E$9:$E$128,1)&lt;&gt;F84,"Sollkontonummer nicht im Kontenplan",IF(G84&lt;$N$2,"Habenkontonummer nicht im Kontenplan",IF(OR(G84&lt;1000,G84&gt;9999,VLOOKUP(G84,Kontenplan!$E$9:$F$128,1)&lt;&gt;G84),"Habenkontonummer nicht im Kontenplan","")))))))</f>
        <v/>
      </c>
      <c r="O84" s="24" t="str">
        <f t="shared" si="8"/>
        <v/>
      </c>
      <c r="P84" s="13">
        <v>3011</v>
      </c>
      <c r="Q84" s="24"/>
      <c r="R84" s="24">
        <f>IF(H84&lt;&gt;"",VLOOKUP(H84,Projektliste!$C$4:$C$160,1,-102),-101)</f>
        <v>-101</v>
      </c>
      <c r="S84" s="24" t="str">
        <f>IF(H84="","",IF(H84&lt;MIN(Projektliste!$C$4:$C$19),"Projektnummer nicht in Projektliste",IF(H84&lt;&gt;R84,"Projektnummer nicht in Projektliste","")))</f>
        <v/>
      </c>
      <c r="T84" s="24"/>
      <c r="U84" s="24"/>
      <c r="V84" s="24"/>
      <c r="W84" s="24"/>
      <c r="X84" s="24"/>
      <c r="Z84" s="24"/>
      <c r="AA84" s="24"/>
    </row>
    <row r="85" spans="1:27" ht="13" thickBot="1" x14ac:dyDescent="0.3">
      <c r="D85" s="23"/>
      <c r="I85" s="26">
        <f>SUM(I6:I84)</f>
        <v>40</v>
      </c>
      <c r="N85" s="27"/>
      <c r="O85" s="27"/>
      <c r="P85">
        <v>3012</v>
      </c>
      <c r="Q85" s="27"/>
      <c r="R85" s="27"/>
      <c r="S85" s="27"/>
      <c r="T85" s="27"/>
      <c r="U85" s="27"/>
      <c r="V85" s="27"/>
      <c r="W85" s="27"/>
      <c r="X85" s="27"/>
      <c r="Y85" s="27"/>
      <c r="Z85" s="27"/>
      <c r="AA85" s="27"/>
    </row>
    <row r="86" spans="1:27" x14ac:dyDescent="0.25">
      <c r="D86" s="101"/>
      <c r="P86">
        <v>3013</v>
      </c>
    </row>
    <row r="87" spans="1:27" x14ac:dyDescent="0.25">
      <c r="D87" s="220" t="s">
        <v>287</v>
      </c>
      <c r="P87">
        <v>3014</v>
      </c>
    </row>
    <row r="88" spans="1:27" x14ac:dyDescent="0.25">
      <c r="D88" s="231" t="s">
        <v>288</v>
      </c>
      <c r="P88" s="13">
        <v>3015</v>
      </c>
    </row>
    <row r="89" spans="1:27" ht="13" x14ac:dyDescent="0.3">
      <c r="D89" s="231" t="s">
        <v>210</v>
      </c>
      <c r="P89">
        <v>3016</v>
      </c>
    </row>
    <row r="90" spans="1:27" x14ac:dyDescent="0.25">
      <c r="D90" s="231"/>
    </row>
    <row r="91" spans="1:27" x14ac:dyDescent="0.25">
      <c r="D91" s="23"/>
    </row>
  </sheetData>
  <sheetProtection sheet="1" formatCells="0" formatColumns="0" formatRows="0" insertHyperlinks="0" autoFilter="0"/>
  <autoFilter ref="D6:M86" xr:uid="{00000000-0001-0000-0300-000000000000}"/>
  <mergeCells count="12">
    <mergeCell ref="L1:M2"/>
    <mergeCell ref="D1:J1"/>
    <mergeCell ref="D2:J2"/>
    <mergeCell ref="K1:K2"/>
    <mergeCell ref="D5:K5"/>
    <mergeCell ref="D3:D4"/>
    <mergeCell ref="E3:E4"/>
    <mergeCell ref="I3:I4"/>
    <mergeCell ref="J3:J4"/>
    <mergeCell ref="K3:K4"/>
    <mergeCell ref="F3:G3"/>
    <mergeCell ref="L5:M5"/>
  </mergeCells>
  <phoneticPr fontId="6" type="noConversion"/>
  <conditionalFormatting sqref="D5:K5">
    <cfRule type="cellIs" dxfId="45" priority="1" stopIfTrue="1" operator="equal">
      <formula>$B$1</formula>
    </cfRule>
  </conditionalFormatting>
  <conditionalFormatting sqref="K7:K84">
    <cfRule type="expression" dxfId="44" priority="2">
      <formula>$N7&lt;&gt;""</formula>
    </cfRule>
    <cfRule type="cellIs" dxfId="43" priority="3" stopIfTrue="1" operator="notEqual">
      <formula>""</formula>
    </cfRule>
  </conditionalFormatting>
  <conditionalFormatting sqref="L1">
    <cfRule type="cellIs" dxfId="42" priority="9" stopIfTrue="1" operator="equal">
      <formula>"Status ok"</formula>
    </cfRule>
  </conditionalFormatting>
  <hyperlinks>
    <hyperlink ref="L5:M5" r:id="rId1" display="Referenzen betrachten" xr:uid="{BEBCD9A8-B43A-4804-9873-4332770F5F50}"/>
    <hyperlink ref="D5:K5" r:id="rId2" display="Die Testversion ist voll funktionsfähig und enthält Platz für 75 Buchungen in 260 Konten. Bestellungen für die grössere, lizenzierte Version (bis 3000 Buchungen in 350 Konten) kann mit diesem Link auf vereinsbuchhaltung.ch/bestellformular erworben werden." xr:uid="{B0B1DFCF-BEC1-41F5-9AE1-E395294DB4CE}"/>
  </hyperlinks>
  <pageMargins left="0.43307086614173229" right="0.43307086614173229" top="0.39370078740157483" bottom="0.59055118110236227" header="0.51181102362204722" footer="0.31496062992125984"/>
  <pageSetup paperSize="9" scale="95" orientation="portrait" r:id="rId3"/>
  <headerFooter alignWithMargins="0">
    <oddFooter>&amp;L&amp;8Ausdruck vom: &amp;D, &amp;T&amp;C&amp;8vereinsbuchhaltung.ch&amp;R&amp;8Seite &amp;P/&amp;N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D193"/>
  <sheetViews>
    <sheetView zoomScale="70" zoomScaleNormal="70" workbookViewId="0">
      <pane xSplit="3" ySplit="7" topLeftCell="D8" activePane="bottomRight" state="frozen"/>
      <selection pane="topRight" activeCell="D1" sqref="D1"/>
      <selection pane="bottomLeft" activeCell="A8" sqref="A8"/>
      <selection pane="bottomRight" activeCell="J2" sqref="J2"/>
    </sheetView>
  </sheetViews>
  <sheetFormatPr baseColWidth="10" defaultRowHeight="12.5" x14ac:dyDescent="0.25"/>
  <cols>
    <col min="2" max="2" width="10.08984375" customWidth="1"/>
    <col min="3" max="3" width="12.453125" customWidth="1"/>
    <col min="10" max="10" width="12.1796875" bestFit="1" customWidth="1"/>
    <col min="18" max="18" width="10.90625" customWidth="1"/>
    <col min="19" max="22" width="9.26953125" customWidth="1"/>
    <col min="23" max="24" width="10.90625" customWidth="1"/>
    <col min="25" max="25" width="3.26953125" style="176" customWidth="1"/>
    <col min="26" max="26" width="8.453125" customWidth="1"/>
    <col min="27" max="27" width="5.453125" customWidth="1"/>
    <col min="28" max="28" width="27.36328125" customWidth="1"/>
    <col min="30" max="30" width="9.08984375" customWidth="1"/>
    <col min="31" max="31" width="10.1796875" customWidth="1"/>
    <col min="32" max="32" width="2.81640625" customWidth="1"/>
    <col min="34" max="34" width="2.7265625" style="185" customWidth="1"/>
    <col min="35" max="35" width="4.26953125" customWidth="1"/>
    <col min="36" max="36" width="8.26953125" customWidth="1"/>
    <col min="37" max="37" width="4.7265625" customWidth="1"/>
    <col min="38" max="38" width="24.1796875" customWidth="1"/>
    <col min="41" max="41" width="2.7265625" style="195" customWidth="1"/>
    <col min="42" max="42" width="8.7265625" customWidth="1"/>
    <col min="43" max="43" width="6" customWidth="1"/>
    <col min="44" max="44" width="22.08984375" customWidth="1"/>
    <col min="48" max="48" width="3.54296875" customWidth="1"/>
    <col min="50" max="50" width="2.7265625" style="185" customWidth="1"/>
    <col min="51" max="51" width="5.453125" customWidth="1"/>
    <col min="52" max="52" width="6" customWidth="1"/>
    <col min="54" max="54" width="20.1796875" customWidth="1"/>
  </cols>
  <sheetData>
    <row r="1" spans="1:56" x14ac:dyDescent="0.25">
      <c r="D1" s="288" t="s">
        <v>87</v>
      </c>
      <c r="E1" s="288"/>
      <c r="F1" s="288"/>
      <c r="G1" s="288"/>
      <c r="H1" s="288"/>
      <c r="L1" t="s">
        <v>68</v>
      </c>
      <c r="M1" t="str">
        <f>IF(H137=0,"Bitte keine Zeilen einfügen in diesem Tabellenblatt. Alle Beträge in der Bilanz werden automatisch auf 0 gestellt. Buchungen können mittels Copy und Paste und löschen der Ursprungsbuchung verschoben werden. Cut and Paste führt zu Fehlern.",IF(AND(ROUND(J131,2)=ROUND(I131,2),ROUND(K131,2)=ROUND(H131,2)),"Status ok","mindestens eine eingegebene Kontonummer ist falsch. Bitte überprüfen Sie die Fehlermeldungen in der Warnungs-/Fehlerspalte"))</f>
        <v>Status ok</v>
      </c>
      <c r="Z1" s="183" t="s">
        <v>200</v>
      </c>
      <c r="AA1" s="183"/>
      <c r="AB1" s="183"/>
      <c r="AC1" s="183"/>
      <c r="AD1" s="183"/>
      <c r="AE1" s="183"/>
      <c r="AF1" s="183"/>
      <c r="AG1" s="183"/>
      <c r="AI1" s="183" t="s">
        <v>150</v>
      </c>
      <c r="AJ1" s="181"/>
      <c r="AK1" s="182"/>
      <c r="AL1" s="181"/>
      <c r="AM1" s="181"/>
      <c r="AN1" s="181"/>
      <c r="AP1" s="183" t="s">
        <v>199</v>
      </c>
      <c r="AQ1" s="183"/>
      <c r="AR1" s="193"/>
      <c r="AS1" s="193"/>
      <c r="AT1" s="183"/>
      <c r="AU1" s="183"/>
      <c r="AV1" s="193"/>
      <c r="AW1" s="183"/>
      <c r="AY1" s="183" t="s">
        <v>166</v>
      </c>
      <c r="AZ1" s="181"/>
      <c r="BA1" s="182"/>
      <c r="BB1" s="181"/>
      <c r="BC1" s="181"/>
      <c r="BD1" s="181"/>
    </row>
    <row r="2" spans="1:56" ht="17.5" x14ac:dyDescent="0.35">
      <c r="D2" s="288"/>
      <c r="E2" s="288"/>
      <c r="F2" s="288"/>
      <c r="G2" s="288"/>
      <c r="H2" s="288"/>
      <c r="J2" s="28" t="str">
        <f>IF(Journal!D1="Hier Vereins-/ oder Firmennamen eingeben","",Journal!D1)</f>
        <v/>
      </c>
      <c r="K2" s="29"/>
      <c r="L2" s="29"/>
      <c r="M2" s="29"/>
      <c r="O2" s="235" t="s">
        <v>216</v>
      </c>
      <c r="P2" s="236"/>
      <c r="S2" s="160"/>
      <c r="T2" s="160"/>
      <c r="U2" s="160"/>
      <c r="V2" s="160"/>
      <c r="AA2" t="s">
        <v>163</v>
      </c>
      <c r="AM2" s="166" t="s">
        <v>154</v>
      </c>
      <c r="AN2" s="166"/>
      <c r="AQ2" t="s">
        <v>163</v>
      </c>
      <c r="BC2" s="166"/>
      <c r="BD2" s="166"/>
    </row>
    <row r="3" spans="1:56" ht="13" thickBot="1" x14ac:dyDescent="0.3">
      <c r="B3" t="s">
        <v>69</v>
      </c>
      <c r="C3" s="31">
        <f ca="1">TODAY()</f>
        <v>46072</v>
      </c>
      <c r="M3" t="s">
        <v>70</v>
      </c>
      <c r="O3" s="76" t="s">
        <v>149</v>
      </c>
      <c r="P3" s="233" t="s">
        <v>217</v>
      </c>
      <c r="Y3" s="179"/>
      <c r="Z3" s="166"/>
      <c r="AA3" s="166"/>
      <c r="AB3" s="166"/>
      <c r="AM3" s="166" t="s">
        <v>155</v>
      </c>
      <c r="AN3" s="24">
        <f>$I$131-$H$131</f>
        <v>0</v>
      </c>
      <c r="AO3" s="196"/>
      <c r="AP3" s="166"/>
      <c r="AQ3" s="166"/>
      <c r="AR3" s="166"/>
      <c r="AZ3">
        <f>MAX(AZ7:AZ98)</f>
        <v>45.006100000000202</v>
      </c>
      <c r="BC3" s="166"/>
      <c r="BD3" s="24"/>
    </row>
    <row r="4" spans="1:56" ht="13" x14ac:dyDescent="0.3">
      <c r="C4" s="32" t="s">
        <v>71</v>
      </c>
      <c r="D4" s="33"/>
      <c r="E4" s="34"/>
      <c r="F4" s="33"/>
      <c r="G4" s="34"/>
      <c r="H4" s="35"/>
      <c r="I4" s="33"/>
      <c r="J4" s="35"/>
      <c r="K4" s="34"/>
      <c r="L4" s="35"/>
      <c r="M4" s="34"/>
      <c r="O4" s="234">
        <f>SUM(O6:O126)</f>
        <v>0</v>
      </c>
      <c r="P4" s="237">
        <f>SUM(P6:P126)</f>
        <v>0</v>
      </c>
      <c r="AJ4" s="185"/>
      <c r="AK4" s="227" t="s">
        <v>177</v>
      </c>
      <c r="AM4" s="166" t="s">
        <v>156</v>
      </c>
      <c r="AN4" s="24">
        <f>SUM(AN7:AN125)</f>
        <v>0</v>
      </c>
      <c r="AZ4" s="185"/>
      <c r="BA4" s="184" t="s">
        <v>177</v>
      </c>
      <c r="BC4" s="166"/>
      <c r="BD4" s="24"/>
    </row>
    <row r="5" spans="1:56" x14ac:dyDescent="0.25">
      <c r="C5" s="36" t="s">
        <v>72</v>
      </c>
      <c r="D5" s="289" t="s">
        <v>73</v>
      </c>
      <c r="E5" s="290"/>
      <c r="F5" s="289" t="s">
        <v>74</v>
      </c>
      <c r="G5" s="290"/>
      <c r="H5" s="289" t="s">
        <v>75</v>
      </c>
      <c r="I5" s="291"/>
      <c r="J5" s="289" t="s">
        <v>76</v>
      </c>
      <c r="K5" s="290"/>
      <c r="L5" s="289" t="s">
        <v>77</v>
      </c>
      <c r="M5" s="290"/>
      <c r="S5" t="str">
        <f>Kontenplan!R2</f>
        <v>Aktivtitel</v>
      </c>
      <c r="T5" t="str">
        <f>Kontenplan!S2</f>
        <v>Passivtitel</v>
      </c>
      <c r="U5" t="str">
        <f>Kontenplan!T2</f>
        <v>Aufwandstitel</v>
      </c>
      <c r="V5" t="str">
        <f>Kontenplan!U2</f>
        <v>Ertragstitel</v>
      </c>
      <c r="Z5" t="s">
        <v>165</v>
      </c>
      <c r="AA5" t="s">
        <v>161</v>
      </c>
      <c r="AB5" t="s">
        <v>162</v>
      </c>
      <c r="AD5" t="s">
        <v>76</v>
      </c>
      <c r="AG5" s="166" t="s">
        <v>152</v>
      </c>
      <c r="AI5" t="s">
        <v>167</v>
      </c>
      <c r="AJ5" s="185"/>
      <c r="AK5" s="226">
        <f>U126+V126</f>
        <v>5</v>
      </c>
      <c r="AM5" s="166"/>
      <c r="AN5" s="24" t="str">
        <f>IF(OR(AK5=0,ROUND(AN3,2)=ROUND(AN4,2)),"ok","Fehler")</f>
        <v>ok</v>
      </c>
      <c r="AP5" t="s">
        <v>165</v>
      </c>
      <c r="AQ5" t="s">
        <v>164</v>
      </c>
      <c r="AT5" t="s">
        <v>89</v>
      </c>
      <c r="AW5" s="166" t="s">
        <v>152</v>
      </c>
      <c r="AY5" t="s">
        <v>167</v>
      </c>
      <c r="AZ5" s="185"/>
      <c r="BA5" s="185">
        <f>S126+T126</f>
        <v>8</v>
      </c>
      <c r="BC5" s="166"/>
      <c r="BD5" s="24"/>
    </row>
    <row r="6" spans="1:56" s="37" customFormat="1" x14ac:dyDescent="0.25">
      <c r="C6" s="36"/>
      <c r="D6" s="38"/>
      <c r="E6" s="39"/>
      <c r="G6" s="39"/>
      <c r="H6" s="38"/>
      <c r="J6" s="72" t="s">
        <v>78</v>
      </c>
      <c r="K6" s="73" t="s">
        <v>79</v>
      </c>
      <c r="L6" s="72" t="s">
        <v>80</v>
      </c>
      <c r="M6" s="73" t="s">
        <v>61</v>
      </c>
      <c r="N6" s="181" t="s">
        <v>218</v>
      </c>
      <c r="O6" s="238">
        <f>H131</f>
        <v>0</v>
      </c>
      <c r="P6" s="238">
        <f>I131</f>
        <v>0</v>
      </c>
      <c r="Q6" s="178"/>
      <c r="S6" s="37">
        <f>Kontenplan!R8</f>
        <v>0</v>
      </c>
      <c r="T6" s="37">
        <f>Kontenplan!S8</f>
        <v>0</v>
      </c>
      <c r="U6" s="37">
        <f>Kontenplan!T8</f>
        <v>0</v>
      </c>
      <c r="V6" s="142">
        <f>Kontenplan!U8</f>
        <v>0</v>
      </c>
      <c r="Y6" s="177"/>
      <c r="Z6" s="178"/>
      <c r="AA6" s="178"/>
      <c r="AD6" s="37" t="s">
        <v>78</v>
      </c>
      <c r="AE6" s="37" t="s">
        <v>79</v>
      </c>
      <c r="AH6" s="194"/>
      <c r="AK6" s="178"/>
      <c r="AN6" s="186"/>
      <c r="AO6" s="197"/>
      <c r="AP6" s="178"/>
      <c r="AQ6" s="178"/>
      <c r="AR6" s="178"/>
      <c r="AS6" s="178"/>
      <c r="AT6" s="37" t="s">
        <v>80</v>
      </c>
      <c r="AU6" s="37" t="s">
        <v>61</v>
      </c>
      <c r="AV6" s="178"/>
      <c r="AX6" s="194"/>
      <c r="BA6" s="178"/>
      <c r="BD6" s="186"/>
    </row>
    <row r="7" spans="1:56" x14ac:dyDescent="0.25">
      <c r="A7" s="3">
        <f>Kontenplan!C9</f>
        <v>0</v>
      </c>
      <c r="B7" s="74">
        <f>Kontenplan!E9</f>
        <v>0</v>
      </c>
      <c r="C7" s="71">
        <f>Kontenplan!F9</f>
        <v>0</v>
      </c>
      <c r="D7" s="27">
        <f>IF(B7=0,0,SUMIF(Journal!$F$7:$F$84,Calc!B7,Journal!$I$7:$I$84))</f>
        <v>0</v>
      </c>
      <c r="E7" s="17">
        <f>IF(B7=0,0,SUMIF(Journal!$G$7:$G$84,Calc!B7,Journal!$I$7:$I$84))</f>
        <v>0</v>
      </c>
      <c r="F7" s="40">
        <f>IF(D7-E7&gt;0,D7-E7,0)</f>
        <v>0</v>
      </c>
      <c r="G7" s="17">
        <f>IF(E7&gt;D7,E7-D7,0)</f>
        <v>0</v>
      </c>
      <c r="H7" s="16" t="str">
        <f>IF(AND(OR(A7="Aktivkonto",A7="Passivkonto"),F7&gt;0),F7," ")</f>
        <v xml:space="preserve"> </v>
      </c>
      <c r="I7" s="27" t="str">
        <f>IF(AND(OR(A7="Aktivkonto",A7="Passivkonto"),G7&gt;0),G7," ")</f>
        <v xml:space="preserve"> </v>
      </c>
      <c r="J7" s="41" t="str">
        <f>IF(AND(OR(A7="Aufwandskonto",A7="Ertragskonto",A7="Ertragsminderung",A7="a.o.Erfolgskonto"),F7&gt;0),F7," ")</f>
        <v xml:space="preserve"> </v>
      </c>
      <c r="K7" s="42" t="str">
        <f>IF(AND(OR(A7="Aufwandskonto",A7="Ertragskonto",A7="Ertragsminderung",A7="a.o.Erfolgskonto"),G7&gt;0),G7," ")</f>
        <v xml:space="preserve"> </v>
      </c>
      <c r="L7" s="41" t="str">
        <f t="shared" ref="L7:M10" si="0">H7</f>
        <v xml:space="preserve"> </v>
      </c>
      <c r="M7" s="42" t="str">
        <f t="shared" si="0"/>
        <v xml:space="preserve"> </v>
      </c>
      <c r="N7" s="24"/>
      <c r="O7" s="24">
        <f>IF(A7="Aktivkonto",F7-G7,0)</f>
        <v>0</v>
      </c>
      <c r="P7" s="24">
        <f>IF(A7="Passivkonto",G7-F7,0)</f>
        <v>0</v>
      </c>
      <c r="Q7" s="24"/>
      <c r="S7">
        <f>Kontenplan!R9</f>
        <v>1</v>
      </c>
      <c r="T7">
        <f>Kontenplan!S9</f>
        <v>0</v>
      </c>
      <c r="U7">
        <f>Kontenplan!T9</f>
        <v>0</v>
      </c>
      <c r="V7" s="30">
        <f>Kontenplan!U9</f>
        <v>0</v>
      </c>
      <c r="Z7">
        <f t="shared" ref="Z7:Z70" si="1">IF(AND(OR(A6="Passivkonto",A6="Aktivkonto"),OR(A7="Ertragskonto",A7="Aufwandskonto")),1,IF(AND(A7=0,A8=0,A9=0,A10=0,A11=0,A12=0),Z6+0.0001,IF(AND(Z6&lt;1,AA7="T_ER"),1,IF(AND(AA7="T_ER",AA6&lt;&gt;"T_ER"),ROUND(Z6,0)+3,IF(AND(Z6&gt;=1,OR(AB7&lt;&gt;"",AB7&lt;&gt;0)),ROUND(Z6+1,0),Z6+0.0001)))))</f>
        <v>1E-4</v>
      </c>
      <c r="AA7" t="str">
        <f>IF(OR(Kontenplan!T9-1=Kontenplan!T8,Kontenplan!U9-1=Kontenplan!U8),"T_ER","")</f>
        <v/>
      </c>
      <c r="AB7" t="str">
        <f>CONCATENATE(Kontenplan!D9,Kontenplan!E9," ",Kontenplan!F9)</f>
        <v xml:space="preserve">Umlaufvermögen </v>
      </c>
      <c r="AC7" s="70" t="str">
        <f t="shared" ref="AC7:AC70" si="2">IF(A7=0,"",AE7-AD7)</f>
        <v/>
      </c>
      <c r="AD7" s="70">
        <f t="shared" ref="AD7:AD70" si="3">IF(J7=" ",0,J7)</f>
        <v>0</v>
      </c>
      <c r="AE7" s="70">
        <f t="shared" ref="AE7:AE70" si="4">IF(K7=" ",0,K7)</f>
        <v>0</v>
      </c>
      <c r="AG7" t="str">
        <f t="shared" ref="AG7:AG70" si="5">IF(AC7="","",IF(AC6="",AC7,AG6+AC7))</f>
        <v/>
      </c>
      <c r="AI7">
        <f t="shared" ref="AI7:AI64" si="6">AI6+1</f>
        <v>1</v>
      </c>
      <c r="AJ7" s="27">
        <f t="shared" ref="AJ7:AJ38" si="7">VLOOKUP(AI7,$Z$7:$AG$120,1)</f>
        <v>1</v>
      </c>
      <c r="AK7" t="str">
        <f t="shared" ref="AK7:AK38" si="8">IF(AJ7=AI7,VLOOKUP(AI7,$Z$7:$AG$120,2),IF(AND(ROUND(AJ7+1,0)=AI7,$AK$5&gt;=1),"Sub",""))</f>
        <v>T_ER</v>
      </c>
      <c r="AL7" t="str">
        <f t="shared" ref="AL7:AL38" si="9">IF(ROUND(AJ7+3,0)=AI7,$C$131,IF(AJ7=AI7,VLOOKUP(AI7,$Z$7:$AG$120,3),""))</f>
        <v xml:space="preserve">Aufwände für Auftritte </v>
      </c>
      <c r="AM7" s="70" t="str">
        <f t="shared" ref="AM7:AM38" si="10">IF($H$137=0,0,IF(ROUND(AJ7+3,0)=AI7,$I$131-$H$131,IF(AJ7=AI7,VLOOKUP(AI7,$Z$7:$AG$120,4),IF(AND($AK$5&gt;0,ROUND(AJ7+1,0)=AI7),VLOOKUP(ROUND(AJ7,0),$Z$7:$AG$120,8),""))))</f>
        <v/>
      </c>
      <c r="AN7">
        <f>IF(AK7="Sub",AM7,0)</f>
        <v>0</v>
      </c>
      <c r="AP7" s="224">
        <f>IF(A7="Aktivkonto",1,IF(AV7="",AP6+0.0001,IF(AND(AV6="a",AV7="p"),AP6+7,IF(AND(AP6&lt;1,AQ7="T_B"),1,IF(AND(AQ6&lt;&gt;"T_B",AQ7="T_B"),ROUND(AP6,0)+3,IF(AND(AP6&gt;=1,OR(AR7&lt;&gt;"",AR7&lt;&gt;0)),ROUND(AP6+1,0),AP6+0.0001))))))</f>
        <v>1</v>
      </c>
      <c r="AQ7" t="str">
        <f>IF(OR(Kontenplan!R9-1=Kontenplan!R8,Kontenplan!S9-1=Kontenplan!S8),"T_B","")</f>
        <v>T_B</v>
      </c>
      <c r="AR7" t="str">
        <f>CONCATENATE(Kontenplan!D9,Kontenplan!E9," ",Kontenplan!F9)</f>
        <v xml:space="preserve">Umlaufvermögen </v>
      </c>
      <c r="AS7" s="70" t="str">
        <f t="shared" ref="AS7:AS38" si="11">IF(A7=0,"",IF(A7="Passivkonto",AU7-AT7,AT7-AU7))</f>
        <v/>
      </c>
      <c r="AT7" s="70">
        <f t="shared" ref="AT7:AT38" si="12">IF(H7=" ",0,H7)</f>
        <v>0</v>
      </c>
      <c r="AU7" s="70">
        <f t="shared" ref="AU7:AU38" si="13">IF(I7=" ",0,I7)</f>
        <v>0</v>
      </c>
      <c r="AV7" s="70" t="str">
        <f>IF(OR(A7="Aktivkonto",Kontenplan!R9-1=Kontenplan!R8),"a",IF(OR(A7="Passivkonto",Kontenplan!S9-1=Kontenplan!S8),"p",""))</f>
        <v>a</v>
      </c>
      <c r="AW7" s="70" t="str">
        <f t="shared" ref="AW7:AW11" si="14">IF(AS7="","",IF(AND(AV6="a",AV7="p"),AS7,IF(AS6="",AS7,AW6+AS7)))</f>
        <v/>
      </c>
      <c r="AY7">
        <f t="shared" ref="AY7:AY70" si="15">AY6+1</f>
        <v>1</v>
      </c>
      <c r="AZ7">
        <f t="shared" ref="AZ7:AZ38" si="16">VLOOKUP(AY7,$AP$7:$AW$98,1)</f>
        <v>1</v>
      </c>
      <c r="BA7" t="str">
        <f t="shared" ref="BA7:BA38" si="17">IF(AZ7=AY7,VLOOKUP(AY7,$AP$7:$AW$98,2),IF(AND($BA$5&gt;=1,ROUND(AZ7+1,0)=AY7),"Sub",""))</f>
        <v>T_B</v>
      </c>
      <c r="BB7" t="str">
        <f t="shared" ref="BB7:BB37" si="18">IF(AY7-AZ7=5,"PASSIVEN",IF(OR(AY7-AZ7=3,AND(AZ7=$AZ$3,ROUND(AZ7,0)+5=AY7)),"Bilanzsumme",IF(AND($AZ$3-1&lt;AZ7,ROUND(AZ7+3,0)=AY7),$C$131,IF(AZ7=AY7,VLOOKUP(AY7,$AP$7:$AW$98,3),""))))</f>
        <v xml:space="preserve">Umlaufvermögen </v>
      </c>
      <c r="BC7" s="70" t="str">
        <f t="shared" ref="BC7:BC38" si="19">IF($H$137=0,0,IF(OR(AY7-AZ7=3,AND(AZ7=$AZ$3,ROUND(AZ7,0)+5=AY7)),$O$4,IF(AND($AZ$3-1&lt;AZ7,ROUND(AZ7+3,0)=AY7),$I$131-$H$131,IF(AZ7=AY7,VLOOKUP(AY7,$AP$7:$AW$98,4),IF(AND($BA$5&gt;0,ROUND(AZ7+1,0)=AY7),VLOOKUP(ROUND(AZ7,0),$AP$7:$AW$98,8),"")))))</f>
        <v/>
      </c>
      <c r="BD7" s="70">
        <f>IF(BA7="Sub",BC7,0)</f>
        <v>0</v>
      </c>
    </row>
    <row r="8" spans="1:56" x14ac:dyDescent="0.25">
      <c r="A8" s="3">
        <f>Kontenplan!C10</f>
        <v>0</v>
      </c>
      <c r="B8" s="74">
        <f>Kontenplan!E10</f>
        <v>0</v>
      </c>
      <c r="C8" s="71">
        <f>Kontenplan!F10</f>
        <v>0</v>
      </c>
      <c r="D8" s="27">
        <f>IF(B8=0,0,SUMIF(Journal!$F$7:$F$84,Calc!B8,Journal!$I$7:$I$84))</f>
        <v>0</v>
      </c>
      <c r="E8" s="17">
        <f>IF(B8=0,0,SUMIF(Journal!$G$7:$G$84,Calc!B8,Journal!$I$7:$I$84))</f>
        <v>0</v>
      </c>
      <c r="F8" s="40">
        <f>IF(D8-E8&gt;0,D8-E8,0)</f>
        <v>0</v>
      </c>
      <c r="G8" s="17">
        <f>IF(E8&gt;D8,E8-D8,0)</f>
        <v>0</v>
      </c>
      <c r="H8" s="16" t="str">
        <f>IF(AND(OR(A8="Aktivkonto",A8="Passivkonto"),F8&gt;0),F8," ")</f>
        <v xml:space="preserve"> </v>
      </c>
      <c r="I8" s="27" t="str">
        <f>IF(AND(OR(A8="Aktivkonto",A8="Passivkonto"),G8&gt;0),G8," ")</f>
        <v xml:space="preserve"> </v>
      </c>
      <c r="J8" s="41" t="str">
        <f>IF(AND(OR(A8="Aufwandskonto",A8="Ertragskonto",A8="Ertragsminderung",A8="a.o.Erfolgskonto"),F8&gt;0),F8," ")</f>
        <v xml:space="preserve"> </v>
      </c>
      <c r="K8" s="42" t="str">
        <f>IF(AND(OR(A8="Aufwandskonto",A8="Ertragskonto",A8="Ertragsminderung",A8="a.o.Erfolgskonto"),G8&gt;0),G8," ")</f>
        <v xml:space="preserve"> </v>
      </c>
      <c r="L8" s="41" t="str">
        <f t="shared" si="0"/>
        <v xml:space="preserve"> </v>
      </c>
      <c r="M8" s="42" t="str">
        <f t="shared" si="0"/>
        <v xml:space="preserve"> </v>
      </c>
      <c r="N8" s="24"/>
      <c r="O8" s="24">
        <f t="shared" ref="O8:O71" si="20">IF(A8="Aktivkonto",F8-G8,0)</f>
        <v>0</v>
      </c>
      <c r="P8" s="24">
        <f t="shared" ref="P8:P71" si="21">IF(A8="Passivkonto",G8-F8,0)</f>
        <v>0</v>
      </c>
      <c r="Q8" s="24"/>
      <c r="S8">
        <f>Kontenplan!R10</f>
        <v>2</v>
      </c>
      <c r="T8">
        <f>Kontenplan!S10</f>
        <v>0</v>
      </c>
      <c r="U8">
        <f>Kontenplan!T10</f>
        <v>0</v>
      </c>
      <c r="V8" s="30">
        <f>Kontenplan!U10</f>
        <v>0</v>
      </c>
      <c r="Z8">
        <f t="shared" si="1"/>
        <v>2.0000000000000001E-4</v>
      </c>
      <c r="AA8" t="str">
        <f>IF(OR(Kontenplan!T10-1=Kontenplan!T9,Kontenplan!U10-1=Kontenplan!U9),"T_ER","")</f>
        <v/>
      </c>
      <c r="AB8" t="str">
        <f>CONCATENATE(Kontenplan!D10,Kontenplan!E10," ",Kontenplan!F10)</f>
        <v xml:space="preserve">liquide Mittel </v>
      </c>
      <c r="AC8" s="70" t="str">
        <f t="shared" si="2"/>
        <v/>
      </c>
      <c r="AD8" s="70">
        <f t="shared" si="3"/>
        <v>0</v>
      </c>
      <c r="AE8" s="70">
        <f t="shared" si="4"/>
        <v>0</v>
      </c>
      <c r="AG8" t="str">
        <f t="shared" si="5"/>
        <v/>
      </c>
      <c r="AI8">
        <f>AI7+1</f>
        <v>2</v>
      </c>
      <c r="AJ8" s="27">
        <f t="shared" si="7"/>
        <v>2</v>
      </c>
      <c r="AK8" t="str">
        <f t="shared" si="8"/>
        <v/>
      </c>
      <c r="AL8" t="str">
        <f t="shared" si="9"/>
        <v>3000 Aufwände für Zuzüger</v>
      </c>
      <c r="AM8" s="70">
        <f t="shared" si="10"/>
        <v>0</v>
      </c>
      <c r="AN8">
        <f t="shared" ref="AN8:AN71" si="22">IF(AK8="Sub",AM8,0)</f>
        <v>0</v>
      </c>
      <c r="AP8">
        <f t="shared" ref="AP8:AP34" si="23">IF(AV8="",AP7+0.0001,IF(AND(AV7="a",AV8="p"),AP7+7,IF(AND(AP7&lt;1,AQ8="T_B"),1,IF(AND(AQ7&lt;&gt;"T_B",AQ8="T_B"),ROUND(AP7,0)+3,IF(AND(AP7&gt;=1,OR(AR8&lt;&gt;"",AR8&lt;&gt;0)),ROUND(AP7+1,0),AP7+0.0001)))))</f>
        <v>2</v>
      </c>
      <c r="AQ8" t="str">
        <f>IF(OR(Kontenplan!R10-1=Kontenplan!R9,Kontenplan!S10-1=Kontenplan!S9),"T_B","")</f>
        <v>T_B</v>
      </c>
      <c r="AR8" t="str">
        <f>CONCATENATE(Kontenplan!D10,Kontenplan!E10," ",Kontenplan!F10)</f>
        <v xml:space="preserve">liquide Mittel </v>
      </c>
      <c r="AS8" s="70" t="str">
        <f t="shared" si="11"/>
        <v/>
      </c>
      <c r="AT8" s="70">
        <f t="shared" si="12"/>
        <v>0</v>
      </c>
      <c r="AU8" s="70">
        <f t="shared" si="13"/>
        <v>0</v>
      </c>
      <c r="AV8" s="70" t="str">
        <f>IF(OR(A8="Aktivkonto",Kontenplan!R10-1=Kontenplan!R9),"a",IF(OR(A8="Passivkonto",Kontenplan!S10-1=Kontenplan!S9),"p",""))</f>
        <v>a</v>
      </c>
      <c r="AW8" s="70" t="str">
        <f t="shared" si="14"/>
        <v/>
      </c>
      <c r="AY8">
        <f t="shared" si="15"/>
        <v>2</v>
      </c>
      <c r="AZ8">
        <f t="shared" si="16"/>
        <v>2</v>
      </c>
      <c r="BA8" t="str">
        <f t="shared" si="17"/>
        <v>T_B</v>
      </c>
      <c r="BB8" t="str">
        <f t="shared" si="18"/>
        <v xml:space="preserve">liquide Mittel </v>
      </c>
      <c r="BC8" s="70" t="str">
        <f t="shared" si="19"/>
        <v/>
      </c>
      <c r="BD8" s="70">
        <f t="shared" ref="BD8:BD71" si="24">IF(BA8="Sub",BC8,0)</f>
        <v>0</v>
      </c>
    </row>
    <row r="9" spans="1:56" x14ac:dyDescent="0.25">
      <c r="A9" s="3" t="str">
        <f>Kontenplan!C11</f>
        <v>Aktivkonto</v>
      </c>
      <c r="B9" s="74">
        <f>Kontenplan!E11</f>
        <v>1000</v>
      </c>
      <c r="C9" s="71" t="str">
        <f>Kontenplan!F11</f>
        <v>Kasse</v>
      </c>
      <c r="D9" s="27">
        <f>IF(B9=0,0,SUMIF(Journal!$F$7:$F$84,Calc!B9,Journal!$I$7:$I$84))</f>
        <v>40</v>
      </c>
      <c r="E9" s="17">
        <f>IF(B9=0,0,SUMIF(Journal!$G$7:$G$84,Calc!B9,Journal!$I$7:$I$84))</f>
        <v>0</v>
      </c>
      <c r="F9" s="40">
        <f>IF(D9-E9&gt;0,D9-E9,0)</f>
        <v>40</v>
      </c>
      <c r="G9" s="17">
        <f>IF(E9&gt;D9,E9-D9,0)</f>
        <v>0</v>
      </c>
      <c r="H9" s="16">
        <f>IF(AND(OR(A9="Aktivkonto",A9="Passivkonto"),F9&gt;0),F9," ")</f>
        <v>40</v>
      </c>
      <c r="I9" s="27" t="str">
        <f>IF(AND(OR(A9="Aktivkonto",A9="Passivkonto"),G9&gt;0),G9," ")</f>
        <v xml:space="preserve"> </v>
      </c>
      <c r="J9" s="41" t="str">
        <f>IF(AND(OR(A9="Aufwandskonto",A9="Ertragskonto",A9="Ertragsminderung",A9="a.o.Erfolgskonto"),F9&gt;0),F9," ")</f>
        <v xml:space="preserve"> </v>
      </c>
      <c r="K9" s="42" t="str">
        <f>IF(AND(OR(A9="Aufwandskonto",A9="Ertragskonto",A9="Ertragsminderung",A9="a.o.Erfolgskonto"),G9&gt;0),G9," ")</f>
        <v xml:space="preserve"> </v>
      </c>
      <c r="L9" s="41">
        <f t="shared" si="0"/>
        <v>40</v>
      </c>
      <c r="M9" s="42" t="str">
        <f t="shared" si="0"/>
        <v xml:space="preserve"> </v>
      </c>
      <c r="N9" s="24"/>
      <c r="O9" s="24">
        <f t="shared" si="20"/>
        <v>40</v>
      </c>
      <c r="P9" s="24">
        <f t="shared" si="21"/>
        <v>0</v>
      </c>
      <c r="Q9" s="24"/>
      <c r="S9">
        <f>Kontenplan!R11</f>
        <v>2</v>
      </c>
      <c r="T9">
        <f>Kontenplan!S11</f>
        <v>0</v>
      </c>
      <c r="U9">
        <f>Kontenplan!T11</f>
        <v>0</v>
      </c>
      <c r="V9" s="30">
        <f>Kontenplan!U11</f>
        <v>0</v>
      </c>
      <c r="Z9">
        <f t="shared" si="1"/>
        <v>3.0000000000000003E-4</v>
      </c>
      <c r="AA9" t="str">
        <f>IF(OR(Kontenplan!T11-1=Kontenplan!T10,Kontenplan!U11-1=Kontenplan!U10),"T_ER","")</f>
        <v/>
      </c>
      <c r="AB9" t="str">
        <f>CONCATENATE(Kontenplan!D11,Kontenplan!E11," ",Kontenplan!F11)</f>
        <v>1000 Kasse</v>
      </c>
      <c r="AC9" s="70">
        <f t="shared" si="2"/>
        <v>0</v>
      </c>
      <c r="AD9" s="70">
        <f t="shared" si="3"/>
        <v>0</v>
      </c>
      <c r="AE9" s="70">
        <f t="shared" si="4"/>
        <v>0</v>
      </c>
      <c r="AG9">
        <f t="shared" si="5"/>
        <v>0</v>
      </c>
      <c r="AI9">
        <f t="shared" si="6"/>
        <v>3</v>
      </c>
      <c r="AJ9" s="27">
        <f t="shared" si="7"/>
        <v>3</v>
      </c>
      <c r="AK9" t="str">
        <f t="shared" si="8"/>
        <v/>
      </c>
      <c r="AL9" t="str">
        <f t="shared" si="9"/>
        <v>3100 Werbeaufwand Auftritte</v>
      </c>
      <c r="AM9" s="70">
        <f t="shared" si="10"/>
        <v>0</v>
      </c>
      <c r="AN9">
        <f t="shared" si="22"/>
        <v>0</v>
      </c>
      <c r="AP9">
        <f t="shared" si="23"/>
        <v>3</v>
      </c>
      <c r="AQ9" t="str">
        <f>IF(OR(Kontenplan!R11-1=Kontenplan!R10,Kontenplan!S11-1=Kontenplan!S10),"T_B","")</f>
        <v/>
      </c>
      <c r="AR9" t="str">
        <f>CONCATENATE(Kontenplan!D11,Kontenplan!E11," ",Kontenplan!F11)</f>
        <v>1000 Kasse</v>
      </c>
      <c r="AS9" s="70">
        <f t="shared" si="11"/>
        <v>40</v>
      </c>
      <c r="AT9" s="70">
        <f t="shared" si="12"/>
        <v>40</v>
      </c>
      <c r="AU9" s="70">
        <f t="shared" si="13"/>
        <v>0</v>
      </c>
      <c r="AV9" s="70" t="str">
        <f>IF(OR(A9="Aktivkonto",Kontenplan!R11-1=Kontenplan!R10),"a",IF(OR(A9="Passivkonto",Kontenplan!S11-1=Kontenplan!S10),"p",""))</f>
        <v>a</v>
      </c>
      <c r="AW9" s="70">
        <f t="shared" si="14"/>
        <v>40</v>
      </c>
      <c r="AY9">
        <f t="shared" si="15"/>
        <v>3</v>
      </c>
      <c r="AZ9">
        <f t="shared" si="16"/>
        <v>3</v>
      </c>
      <c r="BA9" t="str">
        <f t="shared" si="17"/>
        <v/>
      </c>
      <c r="BB9" t="str">
        <f t="shared" si="18"/>
        <v>1000 Kasse</v>
      </c>
      <c r="BC9" s="70">
        <f t="shared" si="19"/>
        <v>40</v>
      </c>
      <c r="BD9" s="70">
        <f t="shared" si="24"/>
        <v>0</v>
      </c>
    </row>
    <row r="10" spans="1:56" x14ac:dyDescent="0.25">
      <c r="A10" s="3" t="str">
        <f>Kontenplan!C12</f>
        <v>Aktivkonto</v>
      </c>
      <c r="B10" s="74">
        <f>Kontenplan!E12</f>
        <v>1010</v>
      </c>
      <c r="C10" s="71" t="str">
        <f>Kontenplan!F12</f>
        <v>Postkonto</v>
      </c>
      <c r="D10" s="27">
        <f>IF(B10=0,0,SUMIF(Journal!$F$7:$F$84,Calc!B10,Journal!$I$7:$I$84))</f>
        <v>0</v>
      </c>
      <c r="E10" s="17">
        <f>IF(B10=0,0,SUMIF(Journal!$G$7:$G$84,Calc!B10,Journal!$I$7:$I$84))</f>
        <v>40</v>
      </c>
      <c r="F10" s="40">
        <f>IF(D10-E10&gt;0,D10-E10,0)</f>
        <v>0</v>
      </c>
      <c r="G10" s="17">
        <f>IF(E10&gt;D10,E10-D10,0)</f>
        <v>40</v>
      </c>
      <c r="H10" s="16" t="str">
        <f>IF(AND(OR(A10="Aktivkonto",A10="Passivkonto"),F10&gt;0),F10," ")</f>
        <v xml:space="preserve"> </v>
      </c>
      <c r="I10" s="27">
        <f>IF(AND(OR(A10="Aktivkonto",A10="Passivkonto"),G10&gt;0),G10," ")</f>
        <v>40</v>
      </c>
      <c r="J10" s="41" t="str">
        <f>IF(AND(OR(A10="Aufwandskonto",A10="Ertragskonto",A10="Ertragsminderung",A10="a.o.Erfolgskonto"),F10&gt;0),F10," ")</f>
        <v xml:space="preserve"> </v>
      </c>
      <c r="K10" s="42" t="str">
        <f>IF(AND(OR(A10="Aufwandskonto",A10="Ertragskonto",A10="Ertragsminderung",A10="a.o.Erfolgskonto"),G10&gt;0),G10," ")</f>
        <v xml:space="preserve"> </v>
      </c>
      <c r="L10" s="41" t="str">
        <f t="shared" si="0"/>
        <v xml:space="preserve"> </v>
      </c>
      <c r="M10" s="42">
        <f t="shared" si="0"/>
        <v>40</v>
      </c>
      <c r="N10" s="24"/>
      <c r="O10" s="24">
        <f t="shared" si="20"/>
        <v>-40</v>
      </c>
      <c r="P10" s="24">
        <f t="shared" si="21"/>
        <v>0</v>
      </c>
      <c r="Q10" s="24"/>
      <c r="S10">
        <f>Kontenplan!R12</f>
        <v>2</v>
      </c>
      <c r="T10">
        <f>Kontenplan!S12</f>
        <v>0</v>
      </c>
      <c r="U10">
        <f>Kontenplan!T12</f>
        <v>0</v>
      </c>
      <c r="V10" s="30">
        <f>Kontenplan!U12</f>
        <v>0</v>
      </c>
      <c r="Z10">
        <f t="shared" si="1"/>
        <v>4.0000000000000002E-4</v>
      </c>
      <c r="AA10" t="str">
        <f>IF(OR(Kontenplan!T12-1=Kontenplan!T11,Kontenplan!U12-1=Kontenplan!U11),"T_ER","")</f>
        <v/>
      </c>
      <c r="AB10" t="str">
        <f>CONCATENATE(Kontenplan!D12,Kontenplan!E12," ",Kontenplan!F12)</f>
        <v>1010 Postkonto</v>
      </c>
      <c r="AC10" s="70">
        <f t="shared" si="2"/>
        <v>0</v>
      </c>
      <c r="AD10" s="70">
        <f t="shared" si="3"/>
        <v>0</v>
      </c>
      <c r="AE10" s="70">
        <f t="shared" si="4"/>
        <v>0</v>
      </c>
      <c r="AG10">
        <f t="shared" si="5"/>
        <v>0</v>
      </c>
      <c r="AI10">
        <f t="shared" si="6"/>
        <v>4</v>
      </c>
      <c r="AJ10" s="27">
        <f t="shared" si="7"/>
        <v>4</v>
      </c>
      <c r="AK10" t="str">
        <f t="shared" si="8"/>
        <v/>
      </c>
      <c r="AL10" t="str">
        <f t="shared" si="9"/>
        <v>3200 Einkauf für Auftritt</v>
      </c>
      <c r="AM10" s="70">
        <f t="shared" si="10"/>
        <v>0</v>
      </c>
      <c r="AN10">
        <f t="shared" si="22"/>
        <v>0</v>
      </c>
      <c r="AP10">
        <f t="shared" si="23"/>
        <v>4</v>
      </c>
      <c r="AQ10" t="str">
        <f>IF(OR(Kontenplan!R12-1=Kontenplan!R11,Kontenplan!S12-1=Kontenplan!S11),"T_B","")</f>
        <v/>
      </c>
      <c r="AR10" t="str">
        <f>CONCATENATE(Kontenplan!D12,Kontenplan!E12," ",Kontenplan!F12)</f>
        <v>1010 Postkonto</v>
      </c>
      <c r="AS10" s="70">
        <f t="shared" si="11"/>
        <v>-40</v>
      </c>
      <c r="AT10" s="70">
        <f t="shared" si="12"/>
        <v>0</v>
      </c>
      <c r="AU10" s="70">
        <f t="shared" si="13"/>
        <v>40</v>
      </c>
      <c r="AV10" s="70" t="str">
        <f>IF(OR(A10="Aktivkonto",Kontenplan!R12-1=Kontenplan!R11),"a",IF(OR(A10="Passivkonto",Kontenplan!S12-1=Kontenplan!S11),"p",""))</f>
        <v>a</v>
      </c>
      <c r="AW10" s="70">
        <f t="shared" si="14"/>
        <v>0</v>
      </c>
      <c r="AY10">
        <f t="shared" si="15"/>
        <v>4</v>
      </c>
      <c r="AZ10">
        <f t="shared" si="16"/>
        <v>4</v>
      </c>
      <c r="BA10" t="str">
        <f t="shared" si="17"/>
        <v/>
      </c>
      <c r="BB10" t="str">
        <f t="shared" si="18"/>
        <v>1010 Postkonto</v>
      </c>
      <c r="BC10" s="70">
        <f t="shared" si="19"/>
        <v>-40</v>
      </c>
      <c r="BD10" s="70">
        <f t="shared" si="24"/>
        <v>0</v>
      </c>
    </row>
    <row r="11" spans="1:56" x14ac:dyDescent="0.25">
      <c r="A11" s="3" t="str">
        <f>Kontenplan!C13</f>
        <v>Aktivkonto</v>
      </c>
      <c r="B11" s="74">
        <f>Kontenplan!E13</f>
        <v>1020</v>
      </c>
      <c r="C11" s="71" t="str">
        <f>Kontenplan!F13</f>
        <v>Bankkonto</v>
      </c>
      <c r="D11" s="27">
        <f>IF(B11=0,0,SUMIF(Journal!$F$7:$F$84,Calc!B11,Journal!$I$7:$I$84))</f>
        <v>0</v>
      </c>
      <c r="E11" s="17">
        <f>IF(B11=0,0,SUMIF(Journal!$G$7:$G$84,Calc!B11,Journal!$I$7:$I$84))</f>
        <v>0</v>
      </c>
      <c r="F11" s="40">
        <f t="shared" ref="F11:F74" si="25">IF(D11-E11&gt;0,D11-E11,0)</f>
        <v>0</v>
      </c>
      <c r="G11" s="17">
        <f t="shared" ref="G11:G74" si="26">IF(E11&gt;D11,E11-D11,0)</f>
        <v>0</v>
      </c>
      <c r="H11" s="16" t="str">
        <f t="shared" ref="H11:H74" si="27">IF(AND(OR(A11="Aktivkonto",A11="Passivkonto"),F11&gt;0),F11," ")</f>
        <v xml:space="preserve"> </v>
      </c>
      <c r="I11" s="27" t="str">
        <f t="shared" ref="I11:I74" si="28">IF(AND(OR(A11="Aktivkonto",A11="Passivkonto"),G11&gt;0),G11," ")</f>
        <v xml:space="preserve"> </v>
      </c>
      <c r="J11" s="41" t="str">
        <f t="shared" ref="J11:J74" si="29">IF(AND(OR(A11="Aufwandskonto",A11="Ertragskonto",A11="Ertragsminderung",A11="a.o.Erfolgskonto"),F11&gt;0),F11," ")</f>
        <v xml:space="preserve"> </v>
      </c>
      <c r="K11" s="42" t="str">
        <f t="shared" ref="K11:K74" si="30">IF(AND(OR(A11="Aufwandskonto",A11="Ertragskonto",A11="Ertragsminderung",A11="a.o.Erfolgskonto"),G11&gt;0),G11," ")</f>
        <v xml:space="preserve"> </v>
      </c>
      <c r="L11" s="41" t="str">
        <f t="shared" ref="L11:L74" si="31">H11</f>
        <v xml:space="preserve"> </v>
      </c>
      <c r="M11" s="42" t="str">
        <f t="shared" ref="M11:M74" si="32">I11</f>
        <v xml:space="preserve"> </v>
      </c>
      <c r="N11" s="24"/>
      <c r="O11" s="24">
        <f t="shared" si="20"/>
        <v>0</v>
      </c>
      <c r="P11" s="24">
        <f t="shared" si="21"/>
        <v>0</v>
      </c>
      <c r="Q11" s="24"/>
      <c r="S11">
        <f>Kontenplan!R13</f>
        <v>2</v>
      </c>
      <c r="T11">
        <f>Kontenplan!S13</f>
        <v>0</v>
      </c>
      <c r="U11">
        <f>Kontenplan!T13</f>
        <v>0</v>
      </c>
      <c r="V11" s="30">
        <f>Kontenplan!U13</f>
        <v>0</v>
      </c>
      <c r="Z11">
        <f t="shared" si="1"/>
        <v>5.0000000000000001E-4</v>
      </c>
      <c r="AA11" t="str">
        <f>IF(OR(Kontenplan!T13-1=Kontenplan!T12,Kontenplan!U13-1=Kontenplan!U12),"T_ER","")</f>
        <v/>
      </c>
      <c r="AB11" t="str">
        <f>CONCATENATE(Kontenplan!D13,Kontenplan!E13," ",Kontenplan!F13)</f>
        <v>1020 Bankkonto</v>
      </c>
      <c r="AC11" s="70">
        <f t="shared" si="2"/>
        <v>0</v>
      </c>
      <c r="AD11" s="70">
        <f t="shared" si="3"/>
        <v>0</v>
      </c>
      <c r="AE11" s="70">
        <f t="shared" si="4"/>
        <v>0</v>
      </c>
      <c r="AG11">
        <f t="shared" si="5"/>
        <v>0</v>
      </c>
      <c r="AI11">
        <f t="shared" si="6"/>
        <v>5</v>
      </c>
      <c r="AJ11" s="27">
        <f t="shared" si="7"/>
        <v>5</v>
      </c>
      <c r="AK11" t="str">
        <f t="shared" si="8"/>
        <v/>
      </c>
      <c r="AL11" t="str">
        <f t="shared" si="9"/>
        <v>3300 Spesen für Auftritt</v>
      </c>
      <c r="AM11" s="70">
        <f t="shared" si="10"/>
        <v>0</v>
      </c>
      <c r="AN11">
        <f t="shared" si="22"/>
        <v>0</v>
      </c>
      <c r="AP11">
        <f t="shared" si="23"/>
        <v>5</v>
      </c>
      <c r="AQ11" t="str">
        <f>IF(OR(Kontenplan!R13-1=Kontenplan!R12,Kontenplan!S13-1=Kontenplan!S12),"T_B","")</f>
        <v/>
      </c>
      <c r="AR11" t="str">
        <f>CONCATENATE(Kontenplan!D13,Kontenplan!E13," ",Kontenplan!F13)</f>
        <v>1020 Bankkonto</v>
      </c>
      <c r="AS11" s="70">
        <f t="shared" si="11"/>
        <v>0</v>
      </c>
      <c r="AT11" s="70">
        <f t="shared" si="12"/>
        <v>0</v>
      </c>
      <c r="AU11" s="70">
        <f t="shared" si="13"/>
        <v>0</v>
      </c>
      <c r="AV11" s="70" t="str">
        <f>IF(OR(A11="Aktivkonto",Kontenplan!R13-1=Kontenplan!R12),"a",IF(OR(A11="Passivkonto",Kontenplan!S13-1=Kontenplan!S12),"p",""))</f>
        <v>a</v>
      </c>
      <c r="AW11" s="70">
        <f t="shared" si="14"/>
        <v>0</v>
      </c>
      <c r="AY11">
        <f t="shared" si="15"/>
        <v>5</v>
      </c>
      <c r="AZ11">
        <f t="shared" si="16"/>
        <v>5</v>
      </c>
      <c r="BA11" t="str">
        <f t="shared" si="17"/>
        <v/>
      </c>
      <c r="BB11" t="str">
        <f t="shared" si="18"/>
        <v>1020 Bankkonto</v>
      </c>
      <c r="BC11" s="70">
        <f t="shared" si="19"/>
        <v>0</v>
      </c>
      <c r="BD11" s="70">
        <f t="shared" si="24"/>
        <v>0</v>
      </c>
    </row>
    <row r="12" spans="1:56" x14ac:dyDescent="0.25">
      <c r="A12" s="3" t="str">
        <f>Kontenplan!C14</f>
        <v>Aktivkonto</v>
      </c>
      <c r="B12" s="74">
        <f>Kontenplan!E14</f>
        <v>1021</v>
      </c>
      <c r="C12" s="71" t="str">
        <f>Kontenplan!F14</f>
        <v>Bankkonto 2</v>
      </c>
      <c r="D12" s="27">
        <f>IF(B12=0,0,SUMIF(Journal!$F$7:$F$84,Calc!B12,Journal!$I$7:$I$84))</f>
        <v>0</v>
      </c>
      <c r="E12" s="17">
        <f>IF(B12=0,0,SUMIF(Journal!$G$7:$G$84,Calc!B12,Journal!$I$7:$I$84))</f>
        <v>0</v>
      </c>
      <c r="F12" s="40">
        <f t="shared" si="25"/>
        <v>0</v>
      </c>
      <c r="G12" s="17">
        <f t="shared" si="26"/>
        <v>0</v>
      </c>
      <c r="H12" s="16" t="str">
        <f t="shared" si="27"/>
        <v xml:space="preserve"> </v>
      </c>
      <c r="I12" s="27" t="str">
        <f t="shared" si="28"/>
        <v xml:space="preserve"> </v>
      </c>
      <c r="J12" s="41" t="str">
        <f t="shared" si="29"/>
        <v xml:space="preserve"> </v>
      </c>
      <c r="K12" s="42" t="str">
        <f t="shared" si="30"/>
        <v xml:space="preserve"> </v>
      </c>
      <c r="L12" s="41" t="str">
        <f t="shared" si="31"/>
        <v xml:space="preserve"> </v>
      </c>
      <c r="M12" s="42" t="str">
        <f t="shared" si="32"/>
        <v xml:space="preserve"> </v>
      </c>
      <c r="N12" s="24"/>
      <c r="O12" s="24">
        <f t="shared" si="20"/>
        <v>0</v>
      </c>
      <c r="P12" s="24">
        <f t="shared" si="21"/>
        <v>0</v>
      </c>
      <c r="Q12" s="24"/>
      <c r="S12">
        <f>Kontenplan!R14</f>
        <v>2</v>
      </c>
      <c r="T12">
        <f>Kontenplan!S14</f>
        <v>0</v>
      </c>
      <c r="U12">
        <f>Kontenplan!T14</f>
        <v>0</v>
      </c>
      <c r="V12" s="30">
        <f>Kontenplan!U14</f>
        <v>0</v>
      </c>
      <c r="Z12">
        <f t="shared" si="1"/>
        <v>6.0000000000000006E-4</v>
      </c>
      <c r="AA12" t="str">
        <f>IF(OR(Kontenplan!T14-1=Kontenplan!T13,Kontenplan!U14-1=Kontenplan!U13),"T_ER","")</f>
        <v/>
      </c>
      <c r="AB12" t="str">
        <f>CONCATENATE(Kontenplan!D14,Kontenplan!E14," ",Kontenplan!F14)</f>
        <v>1021 Bankkonto 2</v>
      </c>
      <c r="AC12" s="70">
        <f t="shared" si="2"/>
        <v>0</v>
      </c>
      <c r="AD12" s="70">
        <f t="shared" si="3"/>
        <v>0</v>
      </c>
      <c r="AE12" s="70">
        <f t="shared" si="4"/>
        <v>0</v>
      </c>
      <c r="AG12">
        <f t="shared" si="5"/>
        <v>0</v>
      </c>
      <c r="AI12">
        <f t="shared" si="6"/>
        <v>6</v>
      </c>
      <c r="AJ12" s="27">
        <f t="shared" si="7"/>
        <v>6</v>
      </c>
      <c r="AK12" t="str">
        <f t="shared" si="8"/>
        <v/>
      </c>
      <c r="AL12" t="str">
        <f t="shared" si="9"/>
        <v>3400 div. Aufwände Konzerte</v>
      </c>
      <c r="AM12" s="70">
        <f t="shared" si="10"/>
        <v>0</v>
      </c>
      <c r="AN12">
        <f t="shared" si="22"/>
        <v>0</v>
      </c>
      <c r="AP12">
        <f t="shared" si="23"/>
        <v>6</v>
      </c>
      <c r="AQ12" t="str">
        <f>IF(OR(Kontenplan!R14-1=Kontenplan!R13,Kontenplan!S14-1=Kontenplan!S13),"T_B","")</f>
        <v/>
      </c>
      <c r="AR12" t="str">
        <f>CONCATENATE(Kontenplan!D14,Kontenplan!E14," ",Kontenplan!F14)</f>
        <v>1021 Bankkonto 2</v>
      </c>
      <c r="AS12" s="70">
        <f t="shared" si="11"/>
        <v>0</v>
      </c>
      <c r="AT12" s="70">
        <f t="shared" si="12"/>
        <v>0</v>
      </c>
      <c r="AU12" s="70">
        <f t="shared" si="13"/>
        <v>0</v>
      </c>
      <c r="AV12" s="70" t="str">
        <f>IF(OR(A12="Aktivkonto",Kontenplan!R14-1=Kontenplan!R13),"a",IF(OR(A12="Passivkonto",Kontenplan!S14-1=Kontenplan!S13),"p",""))</f>
        <v>a</v>
      </c>
      <c r="AW12" s="70">
        <f>IF(AS12="","",IF(AND(AV11="a",AV12="p"),AS12,IF(AS11="",AS12,AW11+AS12)))</f>
        <v>0</v>
      </c>
      <c r="AY12">
        <f t="shared" si="15"/>
        <v>6</v>
      </c>
      <c r="AZ12">
        <f t="shared" si="16"/>
        <v>6</v>
      </c>
      <c r="BA12" t="str">
        <f t="shared" si="17"/>
        <v/>
      </c>
      <c r="BB12" t="str">
        <f t="shared" si="18"/>
        <v>1021 Bankkonto 2</v>
      </c>
      <c r="BC12" s="70">
        <f t="shared" si="19"/>
        <v>0</v>
      </c>
      <c r="BD12" s="70">
        <f t="shared" si="24"/>
        <v>0</v>
      </c>
    </row>
    <row r="13" spans="1:56" x14ac:dyDescent="0.25">
      <c r="A13" s="3" t="str">
        <f>Kontenplan!C15</f>
        <v>Aktivkonto</v>
      </c>
      <c r="B13" s="74">
        <f>Kontenplan!E15</f>
        <v>1040</v>
      </c>
      <c r="C13" s="71" t="str">
        <f>Kontenplan!F15</f>
        <v>Kontokorrent mit Verband</v>
      </c>
      <c r="D13" s="27">
        <f>IF(B13=0,0,SUMIF(Journal!$F$7:$F$84,Calc!B13,Journal!$I$7:$I$84))</f>
        <v>0</v>
      </c>
      <c r="E13" s="17">
        <f>IF(B13=0,0,SUMIF(Journal!$G$7:$G$84,Calc!B13,Journal!$I$7:$I$84))</f>
        <v>0</v>
      </c>
      <c r="F13" s="40">
        <f t="shared" si="25"/>
        <v>0</v>
      </c>
      <c r="G13" s="17">
        <f t="shared" si="26"/>
        <v>0</v>
      </c>
      <c r="H13" s="16" t="str">
        <f t="shared" si="27"/>
        <v xml:space="preserve"> </v>
      </c>
      <c r="I13" s="27" t="str">
        <f t="shared" si="28"/>
        <v xml:space="preserve"> </v>
      </c>
      <c r="J13" s="41" t="str">
        <f t="shared" si="29"/>
        <v xml:space="preserve"> </v>
      </c>
      <c r="K13" s="42" t="str">
        <f t="shared" si="30"/>
        <v xml:space="preserve"> </v>
      </c>
      <c r="L13" s="41" t="str">
        <f t="shared" si="31"/>
        <v xml:space="preserve"> </v>
      </c>
      <c r="M13" s="42" t="str">
        <f t="shared" si="32"/>
        <v xml:space="preserve"> </v>
      </c>
      <c r="N13" s="24"/>
      <c r="O13" s="24">
        <f t="shared" si="20"/>
        <v>0</v>
      </c>
      <c r="P13" s="24">
        <f t="shared" si="21"/>
        <v>0</v>
      </c>
      <c r="Q13" s="24"/>
      <c r="S13">
        <f>Kontenplan!R15</f>
        <v>2</v>
      </c>
      <c r="T13">
        <f>Kontenplan!S15</f>
        <v>0</v>
      </c>
      <c r="U13">
        <f>Kontenplan!T15</f>
        <v>0</v>
      </c>
      <c r="V13" s="30">
        <f>Kontenplan!U15</f>
        <v>0</v>
      </c>
      <c r="Z13">
        <f t="shared" si="1"/>
        <v>7.000000000000001E-4</v>
      </c>
      <c r="AA13" t="str">
        <f>IF(OR(Kontenplan!T15-1=Kontenplan!T14,Kontenplan!U15-1=Kontenplan!U14),"T_ER","")</f>
        <v/>
      </c>
      <c r="AB13" t="str">
        <f>CONCATENATE(Kontenplan!D15,Kontenplan!E15," ",Kontenplan!F15)</f>
        <v>1040 Kontokorrent mit Verband</v>
      </c>
      <c r="AC13" s="70">
        <f t="shared" si="2"/>
        <v>0</v>
      </c>
      <c r="AD13" s="70">
        <f t="shared" si="3"/>
        <v>0</v>
      </c>
      <c r="AE13" s="70">
        <f t="shared" si="4"/>
        <v>0</v>
      </c>
      <c r="AG13">
        <f t="shared" si="5"/>
        <v>0</v>
      </c>
      <c r="AI13">
        <f t="shared" si="6"/>
        <v>7</v>
      </c>
      <c r="AJ13" s="27">
        <f t="shared" si="7"/>
        <v>6</v>
      </c>
      <c r="AK13" t="str">
        <f t="shared" si="8"/>
        <v>Sub</v>
      </c>
      <c r="AL13" t="str">
        <f t="shared" si="9"/>
        <v/>
      </c>
      <c r="AM13" s="70">
        <f t="shared" si="10"/>
        <v>0</v>
      </c>
      <c r="AN13">
        <f>IF(AK13="Sub",AM13,0)</f>
        <v>0</v>
      </c>
      <c r="AP13">
        <f t="shared" si="23"/>
        <v>7</v>
      </c>
      <c r="AQ13" t="str">
        <f>IF(OR(Kontenplan!R15-1=Kontenplan!R14,Kontenplan!S15-1=Kontenplan!S14),"T_B","")</f>
        <v/>
      </c>
      <c r="AR13" t="str">
        <f>CONCATENATE(Kontenplan!D15,Kontenplan!E15," ",Kontenplan!F15)</f>
        <v>1040 Kontokorrent mit Verband</v>
      </c>
      <c r="AS13" s="70">
        <f t="shared" si="11"/>
        <v>0</v>
      </c>
      <c r="AT13" s="70">
        <f t="shared" si="12"/>
        <v>0</v>
      </c>
      <c r="AU13" s="70">
        <f t="shared" si="13"/>
        <v>0</v>
      </c>
      <c r="AV13" s="70" t="str">
        <f>IF(OR(A13="Aktivkonto",Kontenplan!R15-1=Kontenplan!R14),"a",IF(OR(A13="Passivkonto",Kontenplan!S15-1=Kontenplan!S14),"p",""))</f>
        <v>a</v>
      </c>
      <c r="AW13" s="70">
        <f t="shared" ref="AW13:AW76" si="33">IF(AS13="","",IF(AND(AV12="a",AV13="p"),AS13,IF(AS12="",AS13,AW12+AS13)))</f>
        <v>0</v>
      </c>
      <c r="AY13">
        <f t="shared" si="15"/>
        <v>7</v>
      </c>
      <c r="AZ13">
        <f t="shared" si="16"/>
        <v>7</v>
      </c>
      <c r="BA13" t="str">
        <f t="shared" si="17"/>
        <v/>
      </c>
      <c r="BB13" t="str">
        <f t="shared" si="18"/>
        <v>1040 Kontokorrent mit Verband</v>
      </c>
      <c r="BC13" s="70">
        <f t="shared" si="19"/>
        <v>0</v>
      </c>
      <c r="BD13" s="70">
        <f>IF(BA13="Sub",BC13,0)</f>
        <v>0</v>
      </c>
    </row>
    <row r="14" spans="1:56" x14ac:dyDescent="0.25">
      <c r="A14" s="3">
        <f>Kontenplan!C16</f>
        <v>0</v>
      </c>
      <c r="B14" s="74">
        <f>Kontenplan!E16</f>
        <v>0</v>
      </c>
      <c r="C14" s="71">
        <f>Kontenplan!F16</f>
        <v>0</v>
      </c>
      <c r="D14" s="27">
        <f>IF(B14=0,0,SUMIF(Journal!$F$7:$F$84,Calc!B14,Journal!$I$7:$I$84))</f>
        <v>0</v>
      </c>
      <c r="E14" s="17">
        <f>IF(B14=0,0,SUMIF(Journal!$G$7:$G$84,Calc!B14,Journal!$I$7:$I$84))</f>
        <v>0</v>
      </c>
      <c r="F14" s="40">
        <f t="shared" si="25"/>
        <v>0</v>
      </c>
      <c r="G14" s="17">
        <f t="shared" si="26"/>
        <v>0</v>
      </c>
      <c r="H14" s="16" t="str">
        <f t="shared" si="27"/>
        <v xml:space="preserve"> </v>
      </c>
      <c r="I14" s="27" t="str">
        <f t="shared" si="28"/>
        <v xml:space="preserve"> </v>
      </c>
      <c r="J14" s="41" t="str">
        <f t="shared" si="29"/>
        <v xml:space="preserve"> </v>
      </c>
      <c r="K14" s="42" t="str">
        <f t="shared" si="30"/>
        <v xml:space="preserve"> </v>
      </c>
      <c r="L14" s="41" t="str">
        <f t="shared" si="31"/>
        <v xml:space="preserve"> </v>
      </c>
      <c r="M14" s="42" t="str">
        <f t="shared" si="32"/>
        <v xml:space="preserve"> </v>
      </c>
      <c r="N14" s="24"/>
      <c r="O14" s="24">
        <f t="shared" si="20"/>
        <v>0</v>
      </c>
      <c r="P14" s="24">
        <f t="shared" si="21"/>
        <v>0</v>
      </c>
      <c r="Q14" s="24"/>
      <c r="S14">
        <f>Kontenplan!R16</f>
        <v>3</v>
      </c>
      <c r="T14">
        <f>Kontenplan!S16</f>
        <v>0</v>
      </c>
      <c r="U14">
        <f>Kontenplan!T16</f>
        <v>0</v>
      </c>
      <c r="V14" s="30">
        <f>Kontenplan!U16</f>
        <v>0</v>
      </c>
      <c r="Z14">
        <f t="shared" si="1"/>
        <v>8.0000000000000015E-4</v>
      </c>
      <c r="AA14" t="str">
        <f>IF(OR(Kontenplan!T16-1=Kontenplan!T15,Kontenplan!U16-1=Kontenplan!U15),"T_ER","")</f>
        <v/>
      </c>
      <c r="AB14" t="str">
        <f>CONCATENATE(Kontenplan!D16,Kontenplan!E16," ",Kontenplan!F16)</f>
        <v xml:space="preserve">Forderungen </v>
      </c>
      <c r="AC14" s="70" t="str">
        <f t="shared" si="2"/>
        <v/>
      </c>
      <c r="AD14" s="70">
        <f t="shared" si="3"/>
        <v>0</v>
      </c>
      <c r="AE14" s="70">
        <f t="shared" si="4"/>
        <v>0</v>
      </c>
      <c r="AG14" t="str">
        <f t="shared" si="5"/>
        <v/>
      </c>
      <c r="AI14">
        <f t="shared" si="6"/>
        <v>8</v>
      </c>
      <c r="AJ14" s="27">
        <f t="shared" si="7"/>
        <v>6</v>
      </c>
      <c r="AK14" t="str">
        <f t="shared" si="8"/>
        <v/>
      </c>
      <c r="AL14" t="str">
        <f t="shared" si="9"/>
        <v/>
      </c>
      <c r="AM14" s="70" t="str">
        <f t="shared" si="10"/>
        <v/>
      </c>
      <c r="AN14">
        <f t="shared" si="22"/>
        <v>0</v>
      </c>
      <c r="AP14">
        <f t="shared" si="23"/>
        <v>10</v>
      </c>
      <c r="AQ14" t="str">
        <f>IF(OR(Kontenplan!R16-1=Kontenplan!R15,Kontenplan!S16-1=Kontenplan!S15),"T_B","")</f>
        <v>T_B</v>
      </c>
      <c r="AR14" t="str">
        <f>CONCATENATE(Kontenplan!D16,Kontenplan!E16," ",Kontenplan!F16)</f>
        <v xml:space="preserve">Forderungen </v>
      </c>
      <c r="AS14" s="70" t="str">
        <f t="shared" si="11"/>
        <v/>
      </c>
      <c r="AT14" s="70">
        <f t="shared" si="12"/>
        <v>0</v>
      </c>
      <c r="AU14" s="70">
        <f t="shared" si="13"/>
        <v>0</v>
      </c>
      <c r="AV14" s="70" t="str">
        <f>IF(OR(A14="Aktivkonto",Kontenplan!R16-1=Kontenplan!R15),"a",IF(OR(A14="Passivkonto",Kontenplan!S16-1=Kontenplan!S15),"p",""))</f>
        <v>a</v>
      </c>
      <c r="AW14" s="70" t="str">
        <f t="shared" si="33"/>
        <v/>
      </c>
      <c r="AY14">
        <f t="shared" si="15"/>
        <v>8</v>
      </c>
      <c r="AZ14">
        <f t="shared" si="16"/>
        <v>7</v>
      </c>
      <c r="BA14" t="str">
        <f t="shared" si="17"/>
        <v>Sub</v>
      </c>
      <c r="BB14" t="str">
        <f t="shared" si="18"/>
        <v/>
      </c>
      <c r="BC14" s="70">
        <f t="shared" si="19"/>
        <v>0</v>
      </c>
      <c r="BD14" s="70">
        <f t="shared" si="24"/>
        <v>0</v>
      </c>
    </row>
    <row r="15" spans="1:56" x14ac:dyDescent="0.25">
      <c r="A15" s="3" t="str">
        <f>Kontenplan!C17</f>
        <v>Aktivkonto</v>
      </c>
      <c r="B15" s="74">
        <f>Kontenplan!E17</f>
        <v>1100</v>
      </c>
      <c r="C15" s="71" t="str">
        <f>Kontenplan!F17</f>
        <v>Debitoren allgemein</v>
      </c>
      <c r="D15" s="27">
        <f>IF(B15=0,0,SUMIF(Journal!$F$7:$F$84,Calc!B15,Journal!$I$7:$I$84))</f>
        <v>0</v>
      </c>
      <c r="E15" s="17">
        <f>IF(B15=0,0,SUMIF(Journal!$G$7:$G$84,Calc!B15,Journal!$I$7:$I$84))</f>
        <v>0</v>
      </c>
      <c r="F15" s="40">
        <f t="shared" si="25"/>
        <v>0</v>
      </c>
      <c r="G15" s="17">
        <f t="shared" si="26"/>
        <v>0</v>
      </c>
      <c r="H15" s="16" t="str">
        <f t="shared" si="27"/>
        <v xml:space="preserve"> </v>
      </c>
      <c r="I15" s="27" t="str">
        <f t="shared" si="28"/>
        <v xml:space="preserve"> </v>
      </c>
      <c r="J15" s="41" t="str">
        <f t="shared" si="29"/>
        <v xml:space="preserve"> </v>
      </c>
      <c r="K15" s="42" t="str">
        <f t="shared" si="30"/>
        <v xml:space="preserve"> </v>
      </c>
      <c r="L15" s="41" t="str">
        <f t="shared" si="31"/>
        <v xml:space="preserve"> </v>
      </c>
      <c r="M15" s="42" t="str">
        <f t="shared" si="32"/>
        <v xml:space="preserve"> </v>
      </c>
      <c r="N15" s="24"/>
      <c r="O15" s="24">
        <f t="shared" si="20"/>
        <v>0</v>
      </c>
      <c r="P15" s="24">
        <f t="shared" si="21"/>
        <v>0</v>
      </c>
      <c r="Q15" s="24"/>
      <c r="S15">
        <f>Kontenplan!R17</f>
        <v>3</v>
      </c>
      <c r="T15">
        <f>Kontenplan!S17</f>
        <v>0</v>
      </c>
      <c r="U15">
        <f>Kontenplan!T17</f>
        <v>0</v>
      </c>
      <c r="V15" s="30">
        <f>Kontenplan!U17</f>
        <v>0</v>
      </c>
      <c r="Z15">
        <f t="shared" si="1"/>
        <v>9.0000000000000019E-4</v>
      </c>
      <c r="AA15" t="str">
        <f>IF(OR(Kontenplan!T17-1=Kontenplan!T16,Kontenplan!U17-1=Kontenplan!U16),"T_ER","")</f>
        <v/>
      </c>
      <c r="AB15" t="str">
        <f>CONCATENATE(Kontenplan!D17,Kontenplan!E17," ",Kontenplan!F17)</f>
        <v>1100 Debitoren allgemein</v>
      </c>
      <c r="AC15" s="70">
        <f t="shared" si="2"/>
        <v>0</v>
      </c>
      <c r="AD15" s="70">
        <f t="shared" si="3"/>
        <v>0</v>
      </c>
      <c r="AE15" s="70">
        <f t="shared" si="4"/>
        <v>0</v>
      </c>
      <c r="AG15">
        <f t="shared" si="5"/>
        <v>0</v>
      </c>
      <c r="AI15">
        <f t="shared" si="6"/>
        <v>9</v>
      </c>
      <c r="AJ15" s="27">
        <f t="shared" si="7"/>
        <v>9</v>
      </c>
      <c r="AK15" t="str">
        <f t="shared" si="8"/>
        <v>T_ER</v>
      </c>
      <c r="AL15" t="str">
        <f t="shared" si="9"/>
        <v xml:space="preserve">Ertrag aus Auftritten </v>
      </c>
      <c r="AM15" s="70" t="str">
        <f t="shared" si="10"/>
        <v/>
      </c>
      <c r="AN15">
        <f t="shared" si="22"/>
        <v>0</v>
      </c>
      <c r="AP15">
        <f t="shared" si="23"/>
        <v>11</v>
      </c>
      <c r="AQ15" t="str">
        <f>IF(OR(Kontenplan!R17-1=Kontenplan!R16,Kontenplan!S17-1=Kontenplan!S16),"T_B","")</f>
        <v/>
      </c>
      <c r="AR15" t="str">
        <f>CONCATENATE(Kontenplan!D17,Kontenplan!E17," ",Kontenplan!F17)</f>
        <v>1100 Debitoren allgemein</v>
      </c>
      <c r="AS15" s="70">
        <f t="shared" si="11"/>
        <v>0</v>
      </c>
      <c r="AT15" s="70">
        <f t="shared" si="12"/>
        <v>0</v>
      </c>
      <c r="AU15" s="70">
        <f t="shared" si="13"/>
        <v>0</v>
      </c>
      <c r="AV15" s="70" t="str">
        <f>IF(OR(A15="Aktivkonto",Kontenplan!R17-1=Kontenplan!R16),"a",IF(OR(A15="Passivkonto",Kontenplan!S17-1=Kontenplan!S16),"p",""))</f>
        <v>a</v>
      </c>
      <c r="AW15" s="70">
        <f t="shared" si="33"/>
        <v>0</v>
      </c>
      <c r="AY15">
        <f t="shared" si="15"/>
        <v>9</v>
      </c>
      <c r="AZ15">
        <f t="shared" si="16"/>
        <v>7</v>
      </c>
      <c r="BA15" t="str">
        <f t="shared" si="17"/>
        <v/>
      </c>
      <c r="BB15" t="str">
        <f t="shared" si="18"/>
        <v/>
      </c>
      <c r="BC15" s="70" t="str">
        <f t="shared" si="19"/>
        <v/>
      </c>
      <c r="BD15" s="70">
        <f t="shared" si="24"/>
        <v>0</v>
      </c>
    </row>
    <row r="16" spans="1:56" x14ac:dyDescent="0.25">
      <c r="A16" s="3" t="str">
        <f>Kontenplan!C18</f>
        <v>Aktivkonto</v>
      </c>
      <c r="B16" s="74">
        <f>Kontenplan!E18</f>
        <v>1101</v>
      </c>
      <c r="C16" s="71" t="str">
        <f>Kontenplan!F18</f>
        <v>Debitoren Mitglieder</v>
      </c>
      <c r="D16" s="27">
        <f>IF(B16=0,0,SUMIF(Journal!$F$7:$F$84,Calc!B16,Journal!$I$7:$I$84))</f>
        <v>0</v>
      </c>
      <c r="E16" s="17">
        <f>IF(B16=0,0,SUMIF(Journal!$G$7:$G$84,Calc!B16,Journal!$I$7:$I$84))</f>
        <v>0</v>
      </c>
      <c r="F16" s="40">
        <f t="shared" si="25"/>
        <v>0</v>
      </c>
      <c r="G16" s="17">
        <f t="shared" si="26"/>
        <v>0</v>
      </c>
      <c r="H16" s="16" t="str">
        <f t="shared" si="27"/>
        <v xml:space="preserve"> </v>
      </c>
      <c r="I16" s="27" t="str">
        <f t="shared" si="28"/>
        <v xml:space="preserve"> </v>
      </c>
      <c r="J16" s="41" t="str">
        <f t="shared" si="29"/>
        <v xml:space="preserve"> </v>
      </c>
      <c r="K16" s="42" t="str">
        <f t="shared" si="30"/>
        <v xml:space="preserve"> </v>
      </c>
      <c r="L16" s="41" t="str">
        <f t="shared" si="31"/>
        <v xml:space="preserve"> </v>
      </c>
      <c r="M16" s="42" t="str">
        <f t="shared" si="32"/>
        <v xml:space="preserve"> </v>
      </c>
      <c r="N16" s="24"/>
      <c r="O16" s="24">
        <f t="shared" si="20"/>
        <v>0</v>
      </c>
      <c r="P16" s="24">
        <f t="shared" si="21"/>
        <v>0</v>
      </c>
      <c r="Q16" s="24"/>
      <c r="S16">
        <f>Kontenplan!R18</f>
        <v>3</v>
      </c>
      <c r="T16">
        <f>Kontenplan!S18</f>
        <v>0</v>
      </c>
      <c r="U16">
        <f>Kontenplan!T18</f>
        <v>0</v>
      </c>
      <c r="V16" s="30">
        <f>Kontenplan!U18</f>
        <v>0</v>
      </c>
      <c r="Z16">
        <f t="shared" si="1"/>
        <v>1.0000000000000002E-3</v>
      </c>
      <c r="AA16" t="str">
        <f>IF(OR(Kontenplan!T18-1=Kontenplan!T17,Kontenplan!U18-1=Kontenplan!U17),"T_ER","")</f>
        <v/>
      </c>
      <c r="AB16" t="str">
        <f>CONCATENATE(Kontenplan!D18,Kontenplan!E18," ",Kontenplan!F18)</f>
        <v>1101 Debitoren Mitglieder</v>
      </c>
      <c r="AC16" s="70">
        <f t="shared" si="2"/>
        <v>0</v>
      </c>
      <c r="AD16" s="70">
        <f t="shared" si="3"/>
        <v>0</v>
      </c>
      <c r="AE16" s="70">
        <f t="shared" si="4"/>
        <v>0</v>
      </c>
      <c r="AG16">
        <f t="shared" si="5"/>
        <v>0</v>
      </c>
      <c r="AI16">
        <f t="shared" si="6"/>
        <v>10</v>
      </c>
      <c r="AJ16" s="27">
        <f t="shared" si="7"/>
        <v>10</v>
      </c>
      <c r="AK16" t="str">
        <f t="shared" si="8"/>
        <v/>
      </c>
      <c r="AL16" t="str">
        <f t="shared" si="9"/>
        <v>4000 Ertrag aus Ticketverkauf/ Kollekte</v>
      </c>
      <c r="AM16" s="70">
        <f t="shared" si="10"/>
        <v>0</v>
      </c>
      <c r="AN16">
        <f t="shared" si="22"/>
        <v>0</v>
      </c>
      <c r="AP16">
        <f t="shared" si="23"/>
        <v>12</v>
      </c>
      <c r="AQ16" t="str">
        <f>IF(OR(Kontenplan!R18-1=Kontenplan!R17,Kontenplan!S18-1=Kontenplan!S17),"T_B","")</f>
        <v/>
      </c>
      <c r="AR16" t="str">
        <f>CONCATENATE(Kontenplan!D18,Kontenplan!E18," ",Kontenplan!F18)</f>
        <v>1101 Debitoren Mitglieder</v>
      </c>
      <c r="AS16" s="70">
        <f t="shared" si="11"/>
        <v>0</v>
      </c>
      <c r="AT16" s="70">
        <f t="shared" si="12"/>
        <v>0</v>
      </c>
      <c r="AU16" s="70">
        <f t="shared" si="13"/>
        <v>0</v>
      </c>
      <c r="AV16" s="70" t="str">
        <f>IF(OR(A16="Aktivkonto",Kontenplan!R18-1=Kontenplan!R17),"a",IF(OR(A16="Passivkonto",Kontenplan!S18-1=Kontenplan!S17),"p",""))</f>
        <v>a</v>
      </c>
      <c r="AW16" s="70">
        <f t="shared" si="33"/>
        <v>0</v>
      </c>
      <c r="AY16">
        <f t="shared" si="15"/>
        <v>10</v>
      </c>
      <c r="AZ16">
        <f t="shared" si="16"/>
        <v>10</v>
      </c>
      <c r="BA16" t="str">
        <f t="shared" si="17"/>
        <v>T_B</v>
      </c>
      <c r="BB16" t="str">
        <f t="shared" si="18"/>
        <v xml:space="preserve">Forderungen </v>
      </c>
      <c r="BC16" s="70" t="str">
        <f t="shared" si="19"/>
        <v/>
      </c>
      <c r="BD16" s="70">
        <f t="shared" si="24"/>
        <v>0</v>
      </c>
    </row>
    <row r="17" spans="1:56" x14ac:dyDescent="0.25">
      <c r="A17" s="3" t="str">
        <f>Kontenplan!C19</f>
        <v>Aktivkonto</v>
      </c>
      <c r="B17" s="74">
        <f>Kontenplan!E19</f>
        <v>1300</v>
      </c>
      <c r="C17" s="71" t="str">
        <f>Kontenplan!F19</f>
        <v>Transitorische Aktiven</v>
      </c>
      <c r="D17" s="27">
        <f>IF(B17=0,0,SUMIF(Journal!$F$7:$F$84,Calc!B17,Journal!$I$7:$I$84))</f>
        <v>0</v>
      </c>
      <c r="E17" s="17">
        <f>IF(B17=0,0,SUMIF(Journal!$G$7:$G$84,Calc!B17,Journal!$I$7:$I$84))</f>
        <v>0</v>
      </c>
      <c r="F17" s="40">
        <f t="shared" si="25"/>
        <v>0</v>
      </c>
      <c r="G17" s="17">
        <f t="shared" si="26"/>
        <v>0</v>
      </c>
      <c r="H17" s="16" t="str">
        <f t="shared" si="27"/>
        <v xml:space="preserve"> </v>
      </c>
      <c r="I17" s="27" t="str">
        <f t="shared" si="28"/>
        <v xml:space="preserve"> </v>
      </c>
      <c r="J17" s="41" t="str">
        <f t="shared" si="29"/>
        <v xml:space="preserve"> </v>
      </c>
      <c r="K17" s="42" t="str">
        <f t="shared" si="30"/>
        <v xml:space="preserve"> </v>
      </c>
      <c r="L17" s="41" t="str">
        <f t="shared" si="31"/>
        <v xml:space="preserve"> </v>
      </c>
      <c r="M17" s="42" t="str">
        <f t="shared" si="32"/>
        <v xml:space="preserve"> </v>
      </c>
      <c r="N17" s="24"/>
      <c r="O17" s="24">
        <f t="shared" si="20"/>
        <v>0</v>
      </c>
      <c r="P17" s="24">
        <f t="shared" si="21"/>
        <v>0</v>
      </c>
      <c r="Q17" s="24"/>
      <c r="S17">
        <f>Kontenplan!R19</f>
        <v>3</v>
      </c>
      <c r="T17">
        <f>Kontenplan!S19</f>
        <v>0</v>
      </c>
      <c r="U17">
        <f>Kontenplan!T19</f>
        <v>0</v>
      </c>
      <c r="V17" s="30">
        <f>Kontenplan!U19</f>
        <v>0</v>
      </c>
      <c r="Z17">
        <f t="shared" si="1"/>
        <v>1.1000000000000003E-3</v>
      </c>
      <c r="AA17" t="str">
        <f>IF(OR(Kontenplan!T19-1=Kontenplan!T18,Kontenplan!U19-1=Kontenplan!U18),"T_ER","")</f>
        <v/>
      </c>
      <c r="AB17" t="str">
        <f>CONCATENATE(Kontenplan!D19,Kontenplan!E19," ",Kontenplan!F19)</f>
        <v>1300 Transitorische Aktiven</v>
      </c>
      <c r="AC17" s="70">
        <f t="shared" si="2"/>
        <v>0</v>
      </c>
      <c r="AD17" s="70">
        <f t="shared" si="3"/>
        <v>0</v>
      </c>
      <c r="AE17" s="70">
        <f t="shared" si="4"/>
        <v>0</v>
      </c>
      <c r="AG17">
        <f t="shared" si="5"/>
        <v>0</v>
      </c>
      <c r="AI17">
        <f t="shared" si="6"/>
        <v>11</v>
      </c>
      <c r="AJ17" s="27">
        <f t="shared" si="7"/>
        <v>11</v>
      </c>
      <c r="AK17" t="str">
        <f t="shared" si="8"/>
        <v/>
      </c>
      <c r="AL17" t="str">
        <f t="shared" si="9"/>
        <v>4100 Vergütung Auftritt</v>
      </c>
      <c r="AM17" s="70">
        <f t="shared" si="10"/>
        <v>0</v>
      </c>
      <c r="AN17">
        <f t="shared" si="22"/>
        <v>0</v>
      </c>
      <c r="AP17">
        <f t="shared" si="23"/>
        <v>13</v>
      </c>
      <c r="AQ17" t="str">
        <f>IF(OR(Kontenplan!R19-1=Kontenplan!R18,Kontenplan!S19-1=Kontenplan!S18),"T_B","")</f>
        <v/>
      </c>
      <c r="AR17" t="str">
        <f>CONCATENATE(Kontenplan!D19,Kontenplan!E19," ",Kontenplan!F19)</f>
        <v>1300 Transitorische Aktiven</v>
      </c>
      <c r="AS17" s="70">
        <f t="shared" si="11"/>
        <v>0</v>
      </c>
      <c r="AT17" s="70">
        <f t="shared" si="12"/>
        <v>0</v>
      </c>
      <c r="AU17" s="70">
        <f t="shared" si="13"/>
        <v>0</v>
      </c>
      <c r="AV17" s="70" t="str">
        <f>IF(OR(A17="Aktivkonto",Kontenplan!R19-1=Kontenplan!R18),"a",IF(OR(A17="Passivkonto",Kontenplan!S19-1=Kontenplan!S18),"p",""))</f>
        <v>a</v>
      </c>
      <c r="AW17" s="70">
        <f t="shared" si="33"/>
        <v>0</v>
      </c>
      <c r="AY17">
        <f t="shared" si="15"/>
        <v>11</v>
      </c>
      <c r="AZ17">
        <f t="shared" si="16"/>
        <v>11</v>
      </c>
      <c r="BA17" t="str">
        <f t="shared" si="17"/>
        <v/>
      </c>
      <c r="BB17" t="str">
        <f t="shared" si="18"/>
        <v>1100 Debitoren allgemein</v>
      </c>
      <c r="BC17" s="70">
        <f t="shared" si="19"/>
        <v>0</v>
      </c>
      <c r="BD17" s="70">
        <f t="shared" si="24"/>
        <v>0</v>
      </c>
    </row>
    <row r="18" spans="1:56" x14ac:dyDescent="0.25">
      <c r="A18" s="3">
        <f>Kontenplan!C20</f>
        <v>0</v>
      </c>
      <c r="B18" s="74">
        <f>Kontenplan!E20</f>
        <v>0</v>
      </c>
      <c r="C18" s="71">
        <f>Kontenplan!F20</f>
        <v>0</v>
      </c>
      <c r="D18" s="27">
        <f>IF(B18=0,0,SUMIF(Journal!$F$7:$F$84,Calc!B18,Journal!$I$7:$I$84))</f>
        <v>0</v>
      </c>
      <c r="E18" s="17">
        <f>IF(B18=0,0,SUMIF(Journal!$G$7:$G$84,Calc!B18,Journal!$I$7:$I$84))</f>
        <v>0</v>
      </c>
      <c r="F18" s="40">
        <f t="shared" si="25"/>
        <v>0</v>
      </c>
      <c r="G18" s="17">
        <f t="shared" si="26"/>
        <v>0</v>
      </c>
      <c r="H18" s="16" t="str">
        <f t="shared" si="27"/>
        <v xml:space="preserve"> </v>
      </c>
      <c r="I18" s="27" t="str">
        <f t="shared" si="28"/>
        <v xml:space="preserve"> </v>
      </c>
      <c r="J18" s="41" t="str">
        <f t="shared" si="29"/>
        <v xml:space="preserve"> </v>
      </c>
      <c r="K18" s="42" t="str">
        <f t="shared" si="30"/>
        <v xml:space="preserve"> </v>
      </c>
      <c r="L18" s="41" t="str">
        <f t="shared" si="31"/>
        <v xml:space="preserve"> </v>
      </c>
      <c r="M18" s="42" t="str">
        <f t="shared" si="32"/>
        <v xml:space="preserve"> </v>
      </c>
      <c r="N18" s="24"/>
      <c r="O18" s="24">
        <f t="shared" si="20"/>
        <v>0</v>
      </c>
      <c r="P18" s="24">
        <f t="shared" si="21"/>
        <v>0</v>
      </c>
      <c r="Q18" s="24"/>
      <c r="S18">
        <f>Kontenplan!R20</f>
        <v>4</v>
      </c>
      <c r="T18">
        <f>Kontenplan!S20</f>
        <v>0</v>
      </c>
      <c r="U18">
        <f>Kontenplan!T20</f>
        <v>0</v>
      </c>
      <c r="V18" s="30">
        <f>Kontenplan!U20</f>
        <v>0</v>
      </c>
      <c r="Z18">
        <f t="shared" si="1"/>
        <v>1.2000000000000003E-3</v>
      </c>
      <c r="AA18" t="str">
        <f>IF(OR(Kontenplan!T20-1=Kontenplan!T19,Kontenplan!U20-1=Kontenplan!U19),"T_ER","")</f>
        <v/>
      </c>
      <c r="AB18" t="str">
        <f>CONCATENATE(Kontenplan!D20,Kontenplan!E20," ",Kontenplan!F20)</f>
        <v xml:space="preserve">Lager </v>
      </c>
      <c r="AC18" s="70" t="str">
        <f t="shared" si="2"/>
        <v/>
      </c>
      <c r="AD18" s="70">
        <f t="shared" si="3"/>
        <v>0</v>
      </c>
      <c r="AE18" s="70">
        <f t="shared" si="4"/>
        <v>0</v>
      </c>
      <c r="AG18" t="str">
        <f t="shared" si="5"/>
        <v/>
      </c>
      <c r="AI18">
        <f t="shared" si="6"/>
        <v>12</v>
      </c>
      <c r="AJ18" s="27">
        <f t="shared" si="7"/>
        <v>12</v>
      </c>
      <c r="AK18" t="str">
        <f t="shared" si="8"/>
        <v/>
      </c>
      <c r="AL18" t="str">
        <f t="shared" si="9"/>
        <v>4200 Nettoertrag Cafeteria/Bar etc.</v>
      </c>
      <c r="AM18" s="70">
        <f t="shared" si="10"/>
        <v>0</v>
      </c>
      <c r="AN18">
        <f t="shared" si="22"/>
        <v>0</v>
      </c>
      <c r="AP18">
        <f t="shared" si="23"/>
        <v>16</v>
      </c>
      <c r="AQ18" t="str">
        <f>IF(OR(Kontenplan!R20-1=Kontenplan!R19,Kontenplan!S20-1=Kontenplan!S19),"T_B","")</f>
        <v>T_B</v>
      </c>
      <c r="AR18" t="str">
        <f>CONCATENATE(Kontenplan!D20,Kontenplan!E20," ",Kontenplan!F20)</f>
        <v xml:space="preserve">Lager </v>
      </c>
      <c r="AS18" s="70" t="str">
        <f t="shared" si="11"/>
        <v/>
      </c>
      <c r="AT18" s="70">
        <f t="shared" si="12"/>
        <v>0</v>
      </c>
      <c r="AU18" s="70">
        <f t="shared" si="13"/>
        <v>0</v>
      </c>
      <c r="AV18" s="70" t="str">
        <f>IF(OR(A18="Aktivkonto",Kontenplan!R20-1=Kontenplan!R19),"a",IF(OR(A18="Passivkonto",Kontenplan!S20-1=Kontenplan!S19),"p",""))</f>
        <v>a</v>
      </c>
      <c r="AW18" s="70" t="str">
        <f t="shared" si="33"/>
        <v/>
      </c>
      <c r="AY18">
        <f t="shared" si="15"/>
        <v>12</v>
      </c>
      <c r="AZ18">
        <f t="shared" si="16"/>
        <v>12</v>
      </c>
      <c r="BA18" t="str">
        <f t="shared" si="17"/>
        <v/>
      </c>
      <c r="BB18" t="str">
        <f t="shared" si="18"/>
        <v>1101 Debitoren Mitglieder</v>
      </c>
      <c r="BC18" s="70">
        <f t="shared" si="19"/>
        <v>0</v>
      </c>
      <c r="BD18" s="70">
        <f t="shared" si="24"/>
        <v>0</v>
      </c>
    </row>
    <row r="19" spans="1:56" x14ac:dyDescent="0.25">
      <c r="A19" s="3" t="str">
        <f>Kontenplan!C21</f>
        <v>Aktivkonto</v>
      </c>
      <c r="B19" s="74">
        <f>Kontenplan!E21</f>
        <v>1400</v>
      </c>
      <c r="C19" s="71" t="str">
        <f>Kontenplan!F21</f>
        <v>Material (Noten, Uniformen etc.)</v>
      </c>
      <c r="D19" s="27">
        <f>IF(B19=0,0,SUMIF(Journal!$F$7:$F$84,Calc!B19,Journal!$I$7:$I$84))</f>
        <v>0</v>
      </c>
      <c r="E19" s="17">
        <f>IF(B19=0,0,SUMIF(Journal!$G$7:$G$84,Calc!B19,Journal!$I$7:$I$84))</f>
        <v>0</v>
      </c>
      <c r="F19" s="40">
        <f t="shared" si="25"/>
        <v>0</v>
      </c>
      <c r="G19" s="17">
        <f t="shared" si="26"/>
        <v>0</v>
      </c>
      <c r="H19" s="16" t="str">
        <f t="shared" si="27"/>
        <v xml:space="preserve"> </v>
      </c>
      <c r="I19" s="27" t="str">
        <f t="shared" si="28"/>
        <v xml:space="preserve"> </v>
      </c>
      <c r="J19" s="41" t="str">
        <f t="shared" si="29"/>
        <v xml:space="preserve"> </v>
      </c>
      <c r="K19" s="42" t="str">
        <f t="shared" si="30"/>
        <v xml:space="preserve"> </v>
      </c>
      <c r="L19" s="41" t="str">
        <f t="shared" si="31"/>
        <v xml:space="preserve"> </v>
      </c>
      <c r="M19" s="42" t="str">
        <f t="shared" si="32"/>
        <v xml:space="preserve"> </v>
      </c>
      <c r="N19" s="24"/>
      <c r="O19" s="24">
        <f t="shared" si="20"/>
        <v>0</v>
      </c>
      <c r="P19" s="24">
        <f t="shared" si="21"/>
        <v>0</v>
      </c>
      <c r="Q19" s="24"/>
      <c r="S19">
        <f>Kontenplan!R21</f>
        <v>4</v>
      </c>
      <c r="T19">
        <f>Kontenplan!S21</f>
        <v>0</v>
      </c>
      <c r="U19">
        <f>Kontenplan!T21</f>
        <v>0</v>
      </c>
      <c r="V19" s="30">
        <f>Kontenplan!U21</f>
        <v>0</v>
      </c>
      <c r="Z19">
        <f t="shared" si="1"/>
        <v>1.3000000000000004E-3</v>
      </c>
      <c r="AA19" t="str">
        <f>IF(OR(Kontenplan!T21-1=Kontenplan!T20,Kontenplan!U21-1=Kontenplan!U20),"T_ER","")</f>
        <v/>
      </c>
      <c r="AB19" t="str">
        <f>CONCATENATE(Kontenplan!D21,Kontenplan!E21," ",Kontenplan!F21)</f>
        <v>1400 Material (Noten, Uniformen etc.)</v>
      </c>
      <c r="AC19" s="70">
        <f t="shared" si="2"/>
        <v>0</v>
      </c>
      <c r="AD19" s="70">
        <f t="shared" si="3"/>
        <v>0</v>
      </c>
      <c r="AE19" s="70">
        <f t="shared" si="4"/>
        <v>0</v>
      </c>
      <c r="AG19">
        <f t="shared" si="5"/>
        <v>0</v>
      </c>
      <c r="AI19">
        <f t="shared" si="6"/>
        <v>13</v>
      </c>
      <c r="AJ19" s="27">
        <f t="shared" si="7"/>
        <v>13</v>
      </c>
      <c r="AK19" t="str">
        <f t="shared" si="8"/>
        <v/>
      </c>
      <c r="AL19" t="str">
        <f t="shared" si="9"/>
        <v>4300 diverse Erträge Auftritt</v>
      </c>
      <c r="AM19" s="70">
        <f t="shared" si="10"/>
        <v>0</v>
      </c>
      <c r="AN19">
        <f t="shared" si="22"/>
        <v>0</v>
      </c>
      <c r="AP19">
        <f t="shared" si="23"/>
        <v>17</v>
      </c>
      <c r="AQ19" t="str">
        <f>IF(OR(Kontenplan!R21-1=Kontenplan!R20,Kontenplan!S21-1=Kontenplan!S20),"T_B","")</f>
        <v/>
      </c>
      <c r="AR19" t="str">
        <f>CONCATENATE(Kontenplan!D21,Kontenplan!E21," ",Kontenplan!F21)</f>
        <v>1400 Material (Noten, Uniformen etc.)</v>
      </c>
      <c r="AS19" s="70">
        <f t="shared" si="11"/>
        <v>0</v>
      </c>
      <c r="AT19" s="70">
        <f t="shared" si="12"/>
        <v>0</v>
      </c>
      <c r="AU19" s="70">
        <f t="shared" si="13"/>
        <v>0</v>
      </c>
      <c r="AV19" s="70" t="str">
        <f>IF(OR(A19="Aktivkonto",Kontenplan!R21-1=Kontenplan!R20),"a",IF(OR(A19="Passivkonto",Kontenplan!S21-1=Kontenplan!S20),"p",""))</f>
        <v>a</v>
      </c>
      <c r="AW19" s="70">
        <f t="shared" si="33"/>
        <v>0</v>
      </c>
      <c r="AY19">
        <f t="shared" si="15"/>
        <v>13</v>
      </c>
      <c r="AZ19">
        <f t="shared" si="16"/>
        <v>13</v>
      </c>
      <c r="BA19" t="str">
        <f t="shared" si="17"/>
        <v/>
      </c>
      <c r="BB19" t="str">
        <f t="shared" si="18"/>
        <v>1300 Transitorische Aktiven</v>
      </c>
      <c r="BC19" s="70">
        <f t="shared" si="19"/>
        <v>0</v>
      </c>
      <c r="BD19" s="70">
        <f t="shared" si="24"/>
        <v>0</v>
      </c>
    </row>
    <row r="20" spans="1:56" x14ac:dyDescent="0.25">
      <c r="A20" s="3" t="str">
        <f>Kontenplan!C22</f>
        <v>Aktivkonto</v>
      </c>
      <c r="B20" s="74">
        <f>Kontenplan!E22</f>
        <v>1410</v>
      </c>
      <c r="C20" s="71" t="str">
        <f>Kontenplan!F22</f>
        <v>Instrumente</v>
      </c>
      <c r="D20" s="27">
        <f>IF(B20=0,0,SUMIF(Journal!$F$7:$F$84,Calc!B20,Journal!$I$7:$I$84))</f>
        <v>0</v>
      </c>
      <c r="E20" s="17">
        <f>IF(B20=0,0,SUMIF(Journal!$G$7:$G$84,Calc!B20,Journal!$I$7:$I$84))</f>
        <v>0</v>
      </c>
      <c r="F20" s="40">
        <f t="shared" si="25"/>
        <v>0</v>
      </c>
      <c r="G20" s="17">
        <f t="shared" si="26"/>
        <v>0</v>
      </c>
      <c r="H20" s="16" t="str">
        <f t="shared" si="27"/>
        <v xml:space="preserve"> </v>
      </c>
      <c r="I20" s="27" t="str">
        <f t="shared" si="28"/>
        <v xml:space="preserve"> </v>
      </c>
      <c r="J20" s="41" t="str">
        <f t="shared" si="29"/>
        <v xml:space="preserve"> </v>
      </c>
      <c r="K20" s="42" t="str">
        <f t="shared" si="30"/>
        <v xml:space="preserve"> </v>
      </c>
      <c r="L20" s="41" t="str">
        <f t="shared" si="31"/>
        <v xml:space="preserve"> </v>
      </c>
      <c r="M20" s="42" t="str">
        <f t="shared" si="32"/>
        <v xml:space="preserve"> </v>
      </c>
      <c r="N20" s="24"/>
      <c r="O20" s="24">
        <f t="shared" si="20"/>
        <v>0</v>
      </c>
      <c r="P20" s="24">
        <f t="shared" si="21"/>
        <v>0</v>
      </c>
      <c r="Q20" s="24"/>
      <c r="S20">
        <f>Kontenplan!R22</f>
        <v>4</v>
      </c>
      <c r="T20">
        <f>Kontenplan!S22</f>
        <v>0</v>
      </c>
      <c r="U20">
        <f>Kontenplan!T22</f>
        <v>0</v>
      </c>
      <c r="V20" s="30">
        <f>Kontenplan!U22</f>
        <v>0</v>
      </c>
      <c r="Z20">
        <f t="shared" si="1"/>
        <v>1.4000000000000004E-3</v>
      </c>
      <c r="AA20" t="str">
        <f>IF(OR(Kontenplan!T22-1=Kontenplan!T21,Kontenplan!U22-1=Kontenplan!U21),"T_ER","")</f>
        <v/>
      </c>
      <c r="AB20" t="str">
        <f>CONCATENATE(Kontenplan!D22,Kontenplan!E22," ",Kontenplan!F22)</f>
        <v>1410 Instrumente</v>
      </c>
      <c r="AC20" s="70">
        <f t="shared" si="2"/>
        <v>0</v>
      </c>
      <c r="AD20" s="70">
        <f t="shared" si="3"/>
        <v>0</v>
      </c>
      <c r="AE20" s="70">
        <f t="shared" si="4"/>
        <v>0</v>
      </c>
      <c r="AG20">
        <f t="shared" si="5"/>
        <v>0</v>
      </c>
      <c r="AI20">
        <f t="shared" si="6"/>
        <v>14</v>
      </c>
      <c r="AJ20" s="27">
        <f t="shared" si="7"/>
        <v>13</v>
      </c>
      <c r="AK20" t="str">
        <f t="shared" si="8"/>
        <v>Sub</v>
      </c>
      <c r="AL20" t="str">
        <f t="shared" si="9"/>
        <v/>
      </c>
      <c r="AM20" s="70">
        <f t="shared" si="10"/>
        <v>0</v>
      </c>
      <c r="AN20">
        <f t="shared" si="22"/>
        <v>0</v>
      </c>
      <c r="AP20">
        <f t="shared" si="23"/>
        <v>18</v>
      </c>
      <c r="AQ20" t="str">
        <f>IF(OR(Kontenplan!R22-1=Kontenplan!R21,Kontenplan!S22-1=Kontenplan!S21),"T_B","")</f>
        <v/>
      </c>
      <c r="AR20" t="str">
        <f>CONCATENATE(Kontenplan!D22,Kontenplan!E22," ",Kontenplan!F22)</f>
        <v>1410 Instrumente</v>
      </c>
      <c r="AS20" s="70">
        <f t="shared" si="11"/>
        <v>0</v>
      </c>
      <c r="AT20" s="70">
        <f t="shared" si="12"/>
        <v>0</v>
      </c>
      <c r="AU20" s="70">
        <f t="shared" si="13"/>
        <v>0</v>
      </c>
      <c r="AV20" s="70" t="str">
        <f>IF(OR(A20="Aktivkonto",Kontenplan!R22-1=Kontenplan!R21),"a",IF(OR(A20="Passivkonto",Kontenplan!S22-1=Kontenplan!S21),"p",""))</f>
        <v>a</v>
      </c>
      <c r="AW20" s="70">
        <f t="shared" si="33"/>
        <v>0</v>
      </c>
      <c r="AY20">
        <f t="shared" si="15"/>
        <v>14</v>
      </c>
      <c r="AZ20">
        <f t="shared" si="16"/>
        <v>13</v>
      </c>
      <c r="BA20" t="str">
        <f t="shared" si="17"/>
        <v>Sub</v>
      </c>
      <c r="BB20" t="str">
        <f t="shared" si="18"/>
        <v/>
      </c>
      <c r="BC20" s="70">
        <f t="shared" si="19"/>
        <v>0</v>
      </c>
      <c r="BD20" s="70">
        <f t="shared" si="24"/>
        <v>0</v>
      </c>
    </row>
    <row r="21" spans="1:56" x14ac:dyDescent="0.25">
      <c r="A21" s="3" t="str">
        <f>Kontenplan!C23</f>
        <v>Aktivkonto</v>
      </c>
      <c r="B21" s="74">
        <f>Kontenplan!E23</f>
        <v>1420</v>
      </c>
      <c r="C21" s="71" t="str">
        <f>Kontenplan!F23</f>
        <v>Diverses Material</v>
      </c>
      <c r="D21" s="27">
        <f>IF(B21=0,0,SUMIF(Journal!$F$7:$F$84,Calc!B21,Journal!$I$7:$I$84))</f>
        <v>0</v>
      </c>
      <c r="E21" s="17">
        <f>IF(B21=0,0,SUMIF(Journal!$G$7:$G$84,Calc!B21,Journal!$I$7:$I$84))</f>
        <v>0</v>
      </c>
      <c r="F21" s="40">
        <f t="shared" si="25"/>
        <v>0</v>
      </c>
      <c r="G21" s="17">
        <f t="shared" si="26"/>
        <v>0</v>
      </c>
      <c r="H21" s="16" t="str">
        <f t="shared" si="27"/>
        <v xml:space="preserve"> </v>
      </c>
      <c r="I21" s="27" t="str">
        <f t="shared" si="28"/>
        <v xml:space="preserve"> </v>
      </c>
      <c r="J21" s="41" t="str">
        <f t="shared" si="29"/>
        <v xml:space="preserve"> </v>
      </c>
      <c r="K21" s="42" t="str">
        <f t="shared" si="30"/>
        <v xml:space="preserve"> </v>
      </c>
      <c r="L21" s="41" t="str">
        <f t="shared" si="31"/>
        <v xml:space="preserve"> </v>
      </c>
      <c r="M21" s="42" t="str">
        <f t="shared" si="32"/>
        <v xml:space="preserve"> </v>
      </c>
      <c r="N21" s="24"/>
      <c r="O21" s="24">
        <f t="shared" si="20"/>
        <v>0</v>
      </c>
      <c r="P21" s="24">
        <f t="shared" si="21"/>
        <v>0</v>
      </c>
      <c r="Q21" s="24"/>
      <c r="S21">
        <f>Kontenplan!R23</f>
        <v>4</v>
      </c>
      <c r="T21">
        <f>Kontenplan!S23</f>
        <v>0</v>
      </c>
      <c r="U21">
        <f>Kontenplan!T23</f>
        <v>0</v>
      </c>
      <c r="V21" s="30">
        <f>Kontenplan!U23</f>
        <v>0</v>
      </c>
      <c r="Z21">
        <f t="shared" si="1"/>
        <v>1.5000000000000005E-3</v>
      </c>
      <c r="AA21" t="str">
        <f>IF(OR(Kontenplan!T23-1=Kontenplan!T22,Kontenplan!U23-1=Kontenplan!U22),"T_ER","")</f>
        <v/>
      </c>
      <c r="AB21" t="str">
        <f>CONCATENATE(Kontenplan!D23,Kontenplan!E23," ",Kontenplan!F23)</f>
        <v>1420 Diverses Material</v>
      </c>
      <c r="AC21" s="70">
        <f t="shared" si="2"/>
        <v>0</v>
      </c>
      <c r="AD21" s="70">
        <f t="shared" si="3"/>
        <v>0</v>
      </c>
      <c r="AE21" s="70">
        <f t="shared" si="4"/>
        <v>0</v>
      </c>
      <c r="AG21">
        <f t="shared" si="5"/>
        <v>0</v>
      </c>
      <c r="AI21">
        <f t="shared" si="6"/>
        <v>15</v>
      </c>
      <c r="AJ21" s="27">
        <f t="shared" si="7"/>
        <v>13</v>
      </c>
      <c r="AK21" t="str">
        <f t="shared" si="8"/>
        <v/>
      </c>
      <c r="AL21" t="str">
        <f t="shared" si="9"/>
        <v/>
      </c>
      <c r="AM21" s="70" t="str">
        <f t="shared" si="10"/>
        <v/>
      </c>
      <c r="AN21">
        <f t="shared" si="22"/>
        <v>0</v>
      </c>
      <c r="AP21">
        <f t="shared" si="23"/>
        <v>19</v>
      </c>
      <c r="AQ21" t="str">
        <f>IF(OR(Kontenplan!R23-1=Kontenplan!R22,Kontenplan!S23-1=Kontenplan!S22),"T_B","")</f>
        <v/>
      </c>
      <c r="AR21" t="str">
        <f>CONCATENATE(Kontenplan!D23,Kontenplan!E23," ",Kontenplan!F23)</f>
        <v>1420 Diverses Material</v>
      </c>
      <c r="AS21" s="70">
        <f t="shared" si="11"/>
        <v>0</v>
      </c>
      <c r="AT21" s="70">
        <f t="shared" si="12"/>
        <v>0</v>
      </c>
      <c r="AU21" s="70">
        <f t="shared" si="13"/>
        <v>0</v>
      </c>
      <c r="AV21" s="70" t="str">
        <f>IF(OR(A21="Aktivkonto",Kontenplan!R23-1=Kontenplan!R22),"a",IF(OR(A21="Passivkonto",Kontenplan!S23-1=Kontenplan!S22),"p",""))</f>
        <v>a</v>
      </c>
      <c r="AW21" s="70">
        <f t="shared" si="33"/>
        <v>0</v>
      </c>
      <c r="AY21">
        <f t="shared" si="15"/>
        <v>15</v>
      </c>
      <c r="AZ21">
        <f t="shared" si="16"/>
        <v>13</v>
      </c>
      <c r="BA21" t="str">
        <f t="shared" si="17"/>
        <v/>
      </c>
      <c r="BB21" t="str">
        <f t="shared" si="18"/>
        <v/>
      </c>
      <c r="BC21" s="70" t="str">
        <f t="shared" si="19"/>
        <v/>
      </c>
      <c r="BD21" s="70">
        <f t="shared" si="24"/>
        <v>0</v>
      </c>
    </row>
    <row r="22" spans="1:56" x14ac:dyDescent="0.25">
      <c r="A22" s="3">
        <f>Kontenplan!C24</f>
        <v>0</v>
      </c>
      <c r="B22" s="74">
        <f>Kontenplan!E24</f>
        <v>0</v>
      </c>
      <c r="C22" s="71">
        <f>Kontenplan!F24</f>
        <v>0</v>
      </c>
      <c r="D22" s="27">
        <f>IF(B22=0,0,SUMIF(Journal!$F$7:$F$84,Calc!B22,Journal!$I$7:$I$84))</f>
        <v>0</v>
      </c>
      <c r="E22" s="17">
        <f>IF(B22=0,0,SUMIF(Journal!$G$7:$G$84,Calc!B22,Journal!$I$7:$I$84))</f>
        <v>0</v>
      </c>
      <c r="F22" s="40">
        <f t="shared" si="25"/>
        <v>0</v>
      </c>
      <c r="G22" s="17">
        <f t="shared" si="26"/>
        <v>0</v>
      </c>
      <c r="H22" s="16" t="str">
        <f t="shared" si="27"/>
        <v xml:space="preserve"> </v>
      </c>
      <c r="I22" s="27" t="str">
        <f t="shared" si="28"/>
        <v xml:space="preserve"> </v>
      </c>
      <c r="J22" s="41" t="str">
        <f t="shared" si="29"/>
        <v xml:space="preserve"> </v>
      </c>
      <c r="K22" s="42" t="str">
        <f t="shared" si="30"/>
        <v xml:space="preserve"> </v>
      </c>
      <c r="L22" s="41" t="str">
        <f t="shared" si="31"/>
        <v xml:space="preserve"> </v>
      </c>
      <c r="M22" s="42" t="str">
        <f t="shared" si="32"/>
        <v xml:space="preserve"> </v>
      </c>
      <c r="N22" s="24"/>
      <c r="O22" s="24">
        <f t="shared" si="20"/>
        <v>0</v>
      </c>
      <c r="P22" s="24">
        <f t="shared" si="21"/>
        <v>0</v>
      </c>
      <c r="Q22" s="24"/>
      <c r="S22">
        <f>Kontenplan!R24</f>
        <v>5</v>
      </c>
      <c r="T22">
        <f>Kontenplan!S24</f>
        <v>0</v>
      </c>
      <c r="U22">
        <f>Kontenplan!T24</f>
        <v>0</v>
      </c>
      <c r="V22" s="30">
        <f>Kontenplan!U24</f>
        <v>0</v>
      </c>
      <c r="Z22">
        <f t="shared" si="1"/>
        <v>1.6000000000000005E-3</v>
      </c>
      <c r="AA22" t="str">
        <f>IF(OR(Kontenplan!T24-1=Kontenplan!T23,Kontenplan!U24-1=Kontenplan!U23),"T_ER","")</f>
        <v/>
      </c>
      <c r="AB22" t="str">
        <f>CONCATENATE(Kontenplan!D24,Kontenplan!E24," ",Kontenplan!F24)</f>
        <v xml:space="preserve">Anlagevermögen </v>
      </c>
      <c r="AC22" s="70" t="str">
        <f t="shared" si="2"/>
        <v/>
      </c>
      <c r="AD22" s="70">
        <f t="shared" si="3"/>
        <v>0</v>
      </c>
      <c r="AE22" s="70">
        <f t="shared" si="4"/>
        <v>0</v>
      </c>
      <c r="AG22" t="str">
        <f t="shared" si="5"/>
        <v/>
      </c>
      <c r="AI22">
        <f t="shared" si="6"/>
        <v>16</v>
      </c>
      <c r="AJ22" s="27">
        <f t="shared" si="7"/>
        <v>16</v>
      </c>
      <c r="AK22" t="str">
        <f t="shared" si="8"/>
        <v>T_ER</v>
      </c>
      <c r="AL22" t="str">
        <f t="shared" si="9"/>
        <v xml:space="preserve">Aufwände allgemein </v>
      </c>
      <c r="AM22" s="70" t="str">
        <f t="shared" si="10"/>
        <v/>
      </c>
      <c r="AN22">
        <f t="shared" si="22"/>
        <v>0</v>
      </c>
      <c r="AP22">
        <f t="shared" si="23"/>
        <v>22</v>
      </c>
      <c r="AQ22" t="str">
        <f>IF(OR(Kontenplan!R24-1=Kontenplan!R23,Kontenplan!S24-1=Kontenplan!S23),"T_B","")</f>
        <v>T_B</v>
      </c>
      <c r="AR22" t="str">
        <f>CONCATENATE(Kontenplan!D24,Kontenplan!E24," ",Kontenplan!F24)</f>
        <v xml:space="preserve">Anlagevermögen </v>
      </c>
      <c r="AS22" s="70" t="str">
        <f t="shared" si="11"/>
        <v/>
      </c>
      <c r="AT22" s="70">
        <f t="shared" si="12"/>
        <v>0</v>
      </c>
      <c r="AU22" s="70">
        <f t="shared" si="13"/>
        <v>0</v>
      </c>
      <c r="AV22" s="70" t="str">
        <f>IF(OR(A22="Aktivkonto",Kontenplan!R24-1=Kontenplan!R23),"a",IF(OR(A22="Passivkonto",Kontenplan!S24-1=Kontenplan!S23),"p",""))</f>
        <v>a</v>
      </c>
      <c r="AW22" s="70" t="str">
        <f t="shared" si="33"/>
        <v/>
      </c>
      <c r="AY22">
        <f t="shared" si="15"/>
        <v>16</v>
      </c>
      <c r="AZ22">
        <f t="shared" si="16"/>
        <v>16</v>
      </c>
      <c r="BA22" t="str">
        <f t="shared" si="17"/>
        <v>T_B</v>
      </c>
      <c r="BB22" t="str">
        <f t="shared" si="18"/>
        <v xml:space="preserve">Lager </v>
      </c>
      <c r="BC22" s="70" t="str">
        <f t="shared" si="19"/>
        <v/>
      </c>
      <c r="BD22" s="70">
        <f t="shared" si="24"/>
        <v>0</v>
      </c>
    </row>
    <row r="23" spans="1:56" x14ac:dyDescent="0.25">
      <c r="A23" s="3">
        <f>Kontenplan!C25</f>
        <v>0</v>
      </c>
      <c r="B23" s="74">
        <f>Kontenplan!E25</f>
        <v>0</v>
      </c>
      <c r="C23" s="71">
        <f>Kontenplan!F25</f>
        <v>0</v>
      </c>
      <c r="D23" s="27">
        <f>IF(B23=0,0,SUMIF(Journal!$F$7:$F$84,Calc!B23,Journal!$I$7:$I$84))</f>
        <v>0</v>
      </c>
      <c r="E23" s="17">
        <f>IF(B23=0,0,SUMIF(Journal!$G$7:$G$84,Calc!B23,Journal!$I$7:$I$84))</f>
        <v>0</v>
      </c>
      <c r="F23" s="40">
        <f t="shared" si="25"/>
        <v>0</v>
      </c>
      <c r="G23" s="17">
        <f t="shared" si="26"/>
        <v>0</v>
      </c>
      <c r="H23" s="16" t="str">
        <f t="shared" si="27"/>
        <v xml:space="preserve"> </v>
      </c>
      <c r="I23" s="27" t="str">
        <f t="shared" si="28"/>
        <v xml:space="preserve"> </v>
      </c>
      <c r="J23" s="41" t="str">
        <f t="shared" si="29"/>
        <v xml:space="preserve"> </v>
      </c>
      <c r="K23" s="42" t="str">
        <f t="shared" si="30"/>
        <v xml:space="preserve"> </v>
      </c>
      <c r="L23" s="41" t="str">
        <f t="shared" si="31"/>
        <v xml:space="preserve"> </v>
      </c>
      <c r="M23" s="42" t="str">
        <f t="shared" si="32"/>
        <v xml:space="preserve"> </v>
      </c>
      <c r="N23" s="24"/>
      <c r="O23" s="24">
        <f t="shared" si="20"/>
        <v>0</v>
      </c>
      <c r="P23" s="24">
        <f t="shared" si="21"/>
        <v>0</v>
      </c>
      <c r="Q23" s="24"/>
      <c r="S23">
        <f>Kontenplan!R25</f>
        <v>6</v>
      </c>
      <c r="T23">
        <f>Kontenplan!S25</f>
        <v>0</v>
      </c>
      <c r="U23">
        <f>Kontenplan!T25</f>
        <v>0</v>
      </c>
      <c r="V23" s="30">
        <f>Kontenplan!U25</f>
        <v>0</v>
      </c>
      <c r="Z23">
        <f t="shared" si="1"/>
        <v>1.7000000000000006E-3</v>
      </c>
      <c r="AA23" t="str">
        <f>IF(OR(Kontenplan!T25-1=Kontenplan!T24,Kontenplan!U25-1=Kontenplan!U24),"T_ER","")</f>
        <v/>
      </c>
      <c r="AB23" t="str">
        <f>CONCATENATE(Kontenplan!D25,Kontenplan!E25," ",Kontenplan!F25)</f>
        <v xml:space="preserve">Mobiliar </v>
      </c>
      <c r="AC23" s="70" t="str">
        <f t="shared" si="2"/>
        <v/>
      </c>
      <c r="AD23" s="70">
        <f t="shared" si="3"/>
        <v>0</v>
      </c>
      <c r="AE23" s="70">
        <f t="shared" si="4"/>
        <v>0</v>
      </c>
      <c r="AG23" t="str">
        <f t="shared" si="5"/>
        <v/>
      </c>
      <c r="AI23">
        <f t="shared" si="6"/>
        <v>17</v>
      </c>
      <c r="AJ23" s="27">
        <f t="shared" si="7"/>
        <v>17</v>
      </c>
      <c r="AK23" t="str">
        <f t="shared" si="8"/>
        <v/>
      </c>
      <c r="AL23" t="str">
        <f t="shared" si="9"/>
        <v>5000 Verbandsbeiträge</v>
      </c>
      <c r="AM23" s="70">
        <f t="shared" si="10"/>
        <v>0</v>
      </c>
      <c r="AN23">
        <f t="shared" si="22"/>
        <v>0</v>
      </c>
      <c r="AP23">
        <f t="shared" si="23"/>
        <v>23</v>
      </c>
      <c r="AQ23" t="str">
        <f>IF(OR(Kontenplan!R25-1=Kontenplan!R24,Kontenplan!S25-1=Kontenplan!S24),"T_B","")</f>
        <v>T_B</v>
      </c>
      <c r="AR23" t="str">
        <f>CONCATENATE(Kontenplan!D25,Kontenplan!E25," ",Kontenplan!F25)</f>
        <v xml:space="preserve">Mobiliar </v>
      </c>
      <c r="AS23" s="70" t="str">
        <f t="shared" si="11"/>
        <v/>
      </c>
      <c r="AT23" s="70">
        <f t="shared" si="12"/>
        <v>0</v>
      </c>
      <c r="AU23" s="70">
        <f t="shared" si="13"/>
        <v>0</v>
      </c>
      <c r="AV23" s="70" t="str">
        <f>IF(OR(A23="Aktivkonto",Kontenplan!R25-1=Kontenplan!R24),"a",IF(OR(A23="Passivkonto",Kontenplan!S25-1=Kontenplan!S24),"p",""))</f>
        <v>a</v>
      </c>
      <c r="AW23" s="70" t="str">
        <f t="shared" si="33"/>
        <v/>
      </c>
      <c r="AY23">
        <f t="shared" si="15"/>
        <v>17</v>
      </c>
      <c r="AZ23">
        <f t="shared" si="16"/>
        <v>17</v>
      </c>
      <c r="BA23" t="str">
        <f t="shared" si="17"/>
        <v/>
      </c>
      <c r="BB23" t="str">
        <f t="shared" si="18"/>
        <v>1400 Material (Noten, Uniformen etc.)</v>
      </c>
      <c r="BC23" s="70">
        <f t="shared" si="19"/>
        <v>0</v>
      </c>
      <c r="BD23" s="70">
        <f t="shared" si="24"/>
        <v>0</v>
      </c>
    </row>
    <row r="24" spans="1:56" x14ac:dyDescent="0.25">
      <c r="A24" s="3" t="str">
        <f>Kontenplan!C26</f>
        <v>Aktivkonto</v>
      </c>
      <c r="B24" s="74">
        <f>Kontenplan!E26</f>
        <v>1500</v>
      </c>
      <c r="C24" s="71" t="str">
        <f>Kontenplan!F26</f>
        <v>Mobiliar Auftritte (Fahne etc.)</v>
      </c>
      <c r="D24" s="27">
        <f>IF(B24=0,0,SUMIF(Journal!$F$7:$F$84,Calc!B24,Journal!$I$7:$I$84))</f>
        <v>0</v>
      </c>
      <c r="E24" s="17">
        <f>IF(B24=0,0,SUMIF(Journal!$G$7:$G$84,Calc!B24,Journal!$I$7:$I$84))</f>
        <v>0</v>
      </c>
      <c r="F24" s="40">
        <f t="shared" si="25"/>
        <v>0</v>
      </c>
      <c r="G24" s="17">
        <f t="shared" si="26"/>
        <v>0</v>
      </c>
      <c r="H24" s="16" t="str">
        <f t="shared" si="27"/>
        <v xml:space="preserve"> </v>
      </c>
      <c r="I24" s="27" t="str">
        <f t="shared" si="28"/>
        <v xml:space="preserve"> </v>
      </c>
      <c r="J24" s="41" t="str">
        <f t="shared" si="29"/>
        <v xml:space="preserve"> </v>
      </c>
      <c r="K24" s="42" t="str">
        <f t="shared" si="30"/>
        <v xml:space="preserve"> </v>
      </c>
      <c r="L24" s="41" t="str">
        <f t="shared" si="31"/>
        <v xml:space="preserve"> </v>
      </c>
      <c r="M24" s="42" t="str">
        <f t="shared" si="32"/>
        <v xml:space="preserve"> </v>
      </c>
      <c r="N24" s="24"/>
      <c r="O24" s="24">
        <f t="shared" si="20"/>
        <v>0</v>
      </c>
      <c r="P24" s="24">
        <f t="shared" si="21"/>
        <v>0</v>
      </c>
      <c r="Q24" s="24"/>
      <c r="S24">
        <f>Kontenplan!R26</f>
        <v>6</v>
      </c>
      <c r="T24">
        <f>Kontenplan!S26</f>
        <v>0</v>
      </c>
      <c r="U24">
        <f>Kontenplan!T26</f>
        <v>0</v>
      </c>
      <c r="V24" s="30">
        <f>Kontenplan!U26</f>
        <v>0</v>
      </c>
      <c r="Z24">
        <f t="shared" si="1"/>
        <v>1.8000000000000006E-3</v>
      </c>
      <c r="AA24" t="str">
        <f>IF(OR(Kontenplan!T26-1=Kontenplan!T25,Kontenplan!U26-1=Kontenplan!U25),"T_ER","")</f>
        <v/>
      </c>
      <c r="AB24" t="str">
        <f>CONCATENATE(Kontenplan!D26,Kontenplan!E26," ",Kontenplan!F26)</f>
        <v>1500 Mobiliar Auftritte (Fahne etc.)</v>
      </c>
      <c r="AC24" s="70">
        <f t="shared" si="2"/>
        <v>0</v>
      </c>
      <c r="AD24" s="70">
        <f t="shared" si="3"/>
        <v>0</v>
      </c>
      <c r="AE24" s="70">
        <f t="shared" si="4"/>
        <v>0</v>
      </c>
      <c r="AG24">
        <f t="shared" si="5"/>
        <v>0</v>
      </c>
      <c r="AI24">
        <f t="shared" si="6"/>
        <v>18</v>
      </c>
      <c r="AJ24" s="27">
        <f t="shared" si="7"/>
        <v>18</v>
      </c>
      <c r="AK24" t="str">
        <f t="shared" si="8"/>
        <v/>
      </c>
      <c r="AL24" t="str">
        <f t="shared" si="9"/>
        <v>5100 Mietzinsaufwand (Probelokal etc.)</v>
      </c>
      <c r="AM24" s="70">
        <f t="shared" si="10"/>
        <v>0</v>
      </c>
      <c r="AN24">
        <f t="shared" si="22"/>
        <v>0</v>
      </c>
      <c r="AP24">
        <f t="shared" si="23"/>
        <v>24</v>
      </c>
      <c r="AQ24" t="str">
        <f>IF(OR(Kontenplan!R26-1=Kontenplan!R25,Kontenplan!S26-1=Kontenplan!S25),"T_B","")</f>
        <v/>
      </c>
      <c r="AR24" t="str">
        <f>CONCATENATE(Kontenplan!D26,Kontenplan!E26," ",Kontenplan!F26)</f>
        <v>1500 Mobiliar Auftritte (Fahne etc.)</v>
      </c>
      <c r="AS24" s="70">
        <f t="shared" si="11"/>
        <v>0</v>
      </c>
      <c r="AT24" s="70">
        <f t="shared" si="12"/>
        <v>0</v>
      </c>
      <c r="AU24" s="70">
        <f t="shared" si="13"/>
        <v>0</v>
      </c>
      <c r="AV24" s="70" t="str">
        <f>IF(OR(A24="Aktivkonto",Kontenplan!R26-1=Kontenplan!R25),"a",IF(OR(A24="Passivkonto",Kontenplan!S26-1=Kontenplan!S25),"p",""))</f>
        <v>a</v>
      </c>
      <c r="AW24" s="70">
        <f t="shared" si="33"/>
        <v>0</v>
      </c>
      <c r="AY24">
        <f t="shared" si="15"/>
        <v>18</v>
      </c>
      <c r="AZ24">
        <f t="shared" si="16"/>
        <v>18</v>
      </c>
      <c r="BA24" t="str">
        <f t="shared" si="17"/>
        <v/>
      </c>
      <c r="BB24" t="str">
        <f t="shared" si="18"/>
        <v>1410 Instrumente</v>
      </c>
      <c r="BC24" s="70">
        <f t="shared" si="19"/>
        <v>0</v>
      </c>
      <c r="BD24" s="70">
        <f t="shared" si="24"/>
        <v>0</v>
      </c>
    </row>
    <row r="25" spans="1:56" x14ac:dyDescent="0.25">
      <c r="A25" s="3" t="str">
        <f>Kontenplan!C27</f>
        <v>Aktivkonto</v>
      </c>
      <c r="B25" s="74">
        <f>Kontenplan!E27</f>
        <v>1530</v>
      </c>
      <c r="C25" s="71" t="str">
        <f>Kontenplan!F27</f>
        <v>Fahrzeuge</v>
      </c>
      <c r="D25" s="27">
        <f>IF(B25=0,0,SUMIF(Journal!$F$7:$F$84,Calc!B25,Journal!$I$7:$I$84))</f>
        <v>0</v>
      </c>
      <c r="E25" s="17">
        <f>IF(B25=0,0,SUMIF(Journal!$G$7:$G$84,Calc!B25,Journal!$I$7:$I$84))</f>
        <v>0</v>
      </c>
      <c r="F25" s="40">
        <f t="shared" si="25"/>
        <v>0</v>
      </c>
      <c r="G25" s="17">
        <f t="shared" si="26"/>
        <v>0</v>
      </c>
      <c r="H25" s="16" t="str">
        <f t="shared" si="27"/>
        <v xml:space="preserve"> </v>
      </c>
      <c r="I25" s="27" t="str">
        <f t="shared" si="28"/>
        <v xml:space="preserve"> </v>
      </c>
      <c r="J25" s="41" t="str">
        <f t="shared" si="29"/>
        <v xml:space="preserve"> </v>
      </c>
      <c r="K25" s="42" t="str">
        <f t="shared" si="30"/>
        <v xml:space="preserve"> </v>
      </c>
      <c r="L25" s="41" t="str">
        <f t="shared" si="31"/>
        <v xml:space="preserve"> </v>
      </c>
      <c r="M25" s="42" t="str">
        <f t="shared" si="32"/>
        <v xml:space="preserve"> </v>
      </c>
      <c r="N25" s="24"/>
      <c r="O25" s="24">
        <f t="shared" si="20"/>
        <v>0</v>
      </c>
      <c r="P25" s="24">
        <f t="shared" si="21"/>
        <v>0</v>
      </c>
      <c r="Q25" s="24"/>
      <c r="S25">
        <f>Kontenplan!R27</f>
        <v>6</v>
      </c>
      <c r="T25">
        <f>Kontenplan!S27</f>
        <v>0</v>
      </c>
      <c r="U25">
        <f>Kontenplan!T27</f>
        <v>0</v>
      </c>
      <c r="V25" s="30">
        <f>Kontenplan!U27</f>
        <v>0</v>
      </c>
      <c r="Z25">
        <f t="shared" si="1"/>
        <v>1.9000000000000006E-3</v>
      </c>
      <c r="AA25" t="str">
        <f>IF(OR(Kontenplan!T27-1=Kontenplan!T26,Kontenplan!U27-1=Kontenplan!U26),"T_ER","")</f>
        <v/>
      </c>
      <c r="AB25" t="str">
        <f>CONCATENATE(Kontenplan!D27,Kontenplan!E27," ",Kontenplan!F27)</f>
        <v>1530 Fahrzeuge</v>
      </c>
      <c r="AC25" s="70">
        <f t="shared" si="2"/>
        <v>0</v>
      </c>
      <c r="AD25" s="70">
        <f t="shared" si="3"/>
        <v>0</v>
      </c>
      <c r="AE25" s="70">
        <f t="shared" si="4"/>
        <v>0</v>
      </c>
      <c r="AG25">
        <f t="shared" si="5"/>
        <v>0</v>
      </c>
      <c r="AI25">
        <f t="shared" si="6"/>
        <v>19</v>
      </c>
      <c r="AJ25" s="27">
        <f t="shared" si="7"/>
        <v>19</v>
      </c>
      <c r="AK25" t="str">
        <f t="shared" si="8"/>
        <v/>
      </c>
      <c r="AL25" t="str">
        <f t="shared" si="9"/>
        <v>5200 Versicherungen</v>
      </c>
      <c r="AM25" s="70">
        <f t="shared" si="10"/>
        <v>0</v>
      </c>
      <c r="AN25">
        <f t="shared" si="22"/>
        <v>0</v>
      </c>
      <c r="AP25">
        <f t="shared" si="23"/>
        <v>25</v>
      </c>
      <c r="AQ25" t="str">
        <f>IF(OR(Kontenplan!R27-1=Kontenplan!R26,Kontenplan!S27-1=Kontenplan!S26),"T_B","")</f>
        <v/>
      </c>
      <c r="AR25" t="str">
        <f>CONCATENATE(Kontenplan!D27,Kontenplan!E27," ",Kontenplan!F27)</f>
        <v>1530 Fahrzeuge</v>
      </c>
      <c r="AS25" s="70">
        <f t="shared" si="11"/>
        <v>0</v>
      </c>
      <c r="AT25" s="70">
        <f t="shared" si="12"/>
        <v>0</v>
      </c>
      <c r="AU25" s="70">
        <f t="shared" si="13"/>
        <v>0</v>
      </c>
      <c r="AV25" s="70" t="str">
        <f>IF(OR(A25="Aktivkonto",Kontenplan!R27-1=Kontenplan!R26),"a",IF(OR(A25="Passivkonto",Kontenplan!S27-1=Kontenplan!S26),"p",""))</f>
        <v>a</v>
      </c>
      <c r="AW25" s="70">
        <f t="shared" si="33"/>
        <v>0</v>
      </c>
      <c r="AY25">
        <f t="shared" si="15"/>
        <v>19</v>
      </c>
      <c r="AZ25">
        <f t="shared" si="16"/>
        <v>19</v>
      </c>
      <c r="BA25" t="str">
        <f t="shared" si="17"/>
        <v/>
      </c>
      <c r="BB25" t="str">
        <f t="shared" si="18"/>
        <v>1420 Diverses Material</v>
      </c>
      <c r="BC25" s="70">
        <f t="shared" si="19"/>
        <v>0</v>
      </c>
      <c r="BD25" s="70">
        <f t="shared" si="24"/>
        <v>0</v>
      </c>
    </row>
    <row r="26" spans="1:56" x14ac:dyDescent="0.25">
      <c r="A26" s="3">
        <f>Kontenplan!C28</f>
        <v>0</v>
      </c>
      <c r="B26" s="74">
        <f>Kontenplan!E28</f>
        <v>0</v>
      </c>
      <c r="C26" s="71">
        <f>Kontenplan!F28</f>
        <v>0</v>
      </c>
      <c r="D26" s="27">
        <f>IF(B26=0,0,SUMIF(Journal!$F$7:$F$84,Calc!B26,Journal!$I$7:$I$84))</f>
        <v>0</v>
      </c>
      <c r="E26" s="17">
        <f>IF(B26=0,0,SUMIF(Journal!$G$7:$G$84,Calc!B26,Journal!$I$7:$I$84))</f>
        <v>0</v>
      </c>
      <c r="F26" s="40">
        <f t="shared" si="25"/>
        <v>0</v>
      </c>
      <c r="G26" s="17">
        <f t="shared" si="26"/>
        <v>0</v>
      </c>
      <c r="H26" s="16" t="str">
        <f t="shared" si="27"/>
        <v xml:space="preserve"> </v>
      </c>
      <c r="I26" s="27" t="str">
        <f t="shared" si="28"/>
        <v xml:space="preserve"> </v>
      </c>
      <c r="J26" s="41" t="str">
        <f t="shared" si="29"/>
        <v xml:space="preserve"> </v>
      </c>
      <c r="K26" s="42" t="str">
        <f t="shared" si="30"/>
        <v xml:space="preserve"> </v>
      </c>
      <c r="L26" s="41" t="str">
        <f t="shared" si="31"/>
        <v xml:space="preserve"> </v>
      </c>
      <c r="M26" s="42" t="str">
        <f t="shared" si="32"/>
        <v xml:space="preserve"> </v>
      </c>
      <c r="N26" s="24"/>
      <c r="O26" s="24">
        <f t="shared" si="20"/>
        <v>0</v>
      </c>
      <c r="P26" s="24">
        <f t="shared" si="21"/>
        <v>0</v>
      </c>
      <c r="Q26" s="24"/>
      <c r="S26">
        <f>Kontenplan!R28</f>
        <v>6</v>
      </c>
      <c r="T26">
        <f>Kontenplan!S28</f>
        <v>1</v>
      </c>
      <c r="U26">
        <f>Kontenplan!T28</f>
        <v>0</v>
      </c>
      <c r="V26" s="30">
        <f>Kontenplan!U28</f>
        <v>0</v>
      </c>
      <c r="Z26">
        <f t="shared" si="1"/>
        <v>2.0000000000000005E-3</v>
      </c>
      <c r="AA26" t="str">
        <f>IF(OR(Kontenplan!T28-1=Kontenplan!T27,Kontenplan!U28-1=Kontenplan!U27),"T_ER","")</f>
        <v/>
      </c>
      <c r="AB26" t="str">
        <f>CONCATENATE(Kontenplan!D28,Kontenplan!E28," ",Kontenplan!F28)</f>
        <v xml:space="preserve">Fremdkapital </v>
      </c>
      <c r="AC26" s="70" t="str">
        <f t="shared" si="2"/>
        <v/>
      </c>
      <c r="AD26" s="70">
        <f t="shared" si="3"/>
        <v>0</v>
      </c>
      <c r="AE26" s="70">
        <f t="shared" si="4"/>
        <v>0</v>
      </c>
      <c r="AG26" t="str">
        <f t="shared" si="5"/>
        <v/>
      </c>
      <c r="AI26">
        <f t="shared" si="6"/>
        <v>20</v>
      </c>
      <c r="AJ26" s="27">
        <f t="shared" si="7"/>
        <v>20</v>
      </c>
      <c r="AK26" t="str">
        <f t="shared" si="8"/>
        <v/>
      </c>
      <c r="AL26" t="str">
        <f t="shared" si="9"/>
        <v>5300 Aufwand für Dirigent</v>
      </c>
      <c r="AM26" s="70">
        <f t="shared" si="10"/>
        <v>0</v>
      </c>
      <c r="AN26">
        <f t="shared" si="22"/>
        <v>0</v>
      </c>
      <c r="AP26">
        <f t="shared" si="23"/>
        <v>32</v>
      </c>
      <c r="AQ26" t="str">
        <f>IF(OR(Kontenplan!R28-1=Kontenplan!R27,Kontenplan!S28-1=Kontenplan!S27),"T_B","")</f>
        <v>T_B</v>
      </c>
      <c r="AR26" t="str">
        <f>CONCATENATE(Kontenplan!D28,Kontenplan!E28," ",Kontenplan!F28)</f>
        <v xml:space="preserve">Fremdkapital </v>
      </c>
      <c r="AS26" s="70" t="str">
        <f t="shared" si="11"/>
        <v/>
      </c>
      <c r="AT26" s="70">
        <f t="shared" si="12"/>
        <v>0</v>
      </c>
      <c r="AU26" s="70">
        <f t="shared" si="13"/>
        <v>0</v>
      </c>
      <c r="AV26" s="70" t="str">
        <f>IF(OR(A26="Aktivkonto",Kontenplan!R28-1=Kontenplan!R27),"a",IF(OR(A26="Passivkonto",Kontenplan!S28-1=Kontenplan!S27),"p",""))</f>
        <v>p</v>
      </c>
      <c r="AW26" s="70" t="str">
        <f t="shared" si="33"/>
        <v/>
      </c>
      <c r="AY26">
        <f t="shared" si="15"/>
        <v>20</v>
      </c>
      <c r="AZ26">
        <f t="shared" si="16"/>
        <v>19</v>
      </c>
      <c r="BA26" t="str">
        <f t="shared" si="17"/>
        <v>Sub</v>
      </c>
      <c r="BB26" t="str">
        <f t="shared" si="18"/>
        <v/>
      </c>
      <c r="BC26" s="70">
        <f t="shared" si="19"/>
        <v>0</v>
      </c>
      <c r="BD26" s="70">
        <f t="shared" si="24"/>
        <v>0</v>
      </c>
    </row>
    <row r="27" spans="1:56" x14ac:dyDescent="0.25">
      <c r="A27" s="3" t="str">
        <f>Kontenplan!C29</f>
        <v>Passivkonto</v>
      </c>
      <c r="B27" s="74">
        <f>Kontenplan!E29</f>
        <v>2000</v>
      </c>
      <c r="C27" s="71" t="str">
        <f>Kontenplan!F29</f>
        <v>Kreditoren CHF</v>
      </c>
      <c r="D27" s="27">
        <f>IF(B27=0,0,SUMIF(Journal!$F$7:$F$84,Calc!B27,Journal!$I$7:$I$84))</f>
        <v>0</v>
      </c>
      <c r="E27" s="17">
        <f>IF(B27=0,0,SUMIF(Journal!$G$7:$G$84,Calc!B27,Journal!$I$7:$I$84))</f>
        <v>0</v>
      </c>
      <c r="F27" s="40">
        <f t="shared" si="25"/>
        <v>0</v>
      </c>
      <c r="G27" s="17">
        <f t="shared" si="26"/>
        <v>0</v>
      </c>
      <c r="H27" s="16" t="str">
        <f t="shared" si="27"/>
        <v xml:space="preserve"> </v>
      </c>
      <c r="I27" s="27" t="str">
        <f t="shared" si="28"/>
        <v xml:space="preserve"> </v>
      </c>
      <c r="J27" s="41" t="str">
        <f t="shared" si="29"/>
        <v xml:space="preserve"> </v>
      </c>
      <c r="K27" s="42" t="str">
        <f t="shared" si="30"/>
        <v xml:space="preserve"> </v>
      </c>
      <c r="L27" s="41" t="str">
        <f t="shared" si="31"/>
        <v xml:space="preserve"> </v>
      </c>
      <c r="M27" s="42" t="str">
        <f t="shared" si="32"/>
        <v xml:space="preserve"> </v>
      </c>
      <c r="N27" s="24"/>
      <c r="O27" s="24">
        <f t="shared" si="20"/>
        <v>0</v>
      </c>
      <c r="P27" s="24">
        <f t="shared" si="21"/>
        <v>0</v>
      </c>
      <c r="Q27" s="24"/>
      <c r="S27">
        <f>Kontenplan!R29</f>
        <v>6</v>
      </c>
      <c r="T27">
        <f>Kontenplan!S29</f>
        <v>1</v>
      </c>
      <c r="U27">
        <f>Kontenplan!T29</f>
        <v>0</v>
      </c>
      <c r="V27" s="30">
        <f>Kontenplan!U29</f>
        <v>0</v>
      </c>
      <c r="Z27">
        <f t="shared" si="1"/>
        <v>2.1000000000000003E-3</v>
      </c>
      <c r="AA27" t="str">
        <f>IF(OR(Kontenplan!T29-1=Kontenplan!T28,Kontenplan!U29-1=Kontenplan!U28),"T_ER","")</f>
        <v/>
      </c>
      <c r="AB27" t="str">
        <f>CONCATENATE(Kontenplan!D29,Kontenplan!E29," ",Kontenplan!F29)</f>
        <v>2000 Kreditoren CHF</v>
      </c>
      <c r="AC27" s="70">
        <f t="shared" si="2"/>
        <v>0</v>
      </c>
      <c r="AD27" s="70">
        <f t="shared" si="3"/>
        <v>0</v>
      </c>
      <c r="AE27" s="70">
        <f t="shared" si="4"/>
        <v>0</v>
      </c>
      <c r="AG27">
        <f t="shared" si="5"/>
        <v>0</v>
      </c>
      <c r="AI27">
        <f t="shared" si="6"/>
        <v>21</v>
      </c>
      <c r="AJ27" s="27">
        <f t="shared" si="7"/>
        <v>21</v>
      </c>
      <c r="AK27" t="str">
        <f t="shared" si="8"/>
        <v/>
      </c>
      <c r="AL27" t="str">
        <f t="shared" si="9"/>
        <v>5350 Aufwand für Noten</v>
      </c>
      <c r="AM27" s="70">
        <f t="shared" si="10"/>
        <v>0</v>
      </c>
      <c r="AN27">
        <f t="shared" si="22"/>
        <v>0</v>
      </c>
      <c r="AP27">
        <f t="shared" si="23"/>
        <v>33</v>
      </c>
      <c r="AQ27" t="str">
        <f>IF(OR(Kontenplan!R29-1=Kontenplan!R28,Kontenplan!S29-1=Kontenplan!S28),"T_B","")</f>
        <v/>
      </c>
      <c r="AR27" t="str">
        <f>CONCATENATE(Kontenplan!D29,Kontenplan!E29," ",Kontenplan!F29)</f>
        <v>2000 Kreditoren CHF</v>
      </c>
      <c r="AS27" s="70">
        <f t="shared" si="11"/>
        <v>0</v>
      </c>
      <c r="AT27" s="70">
        <f t="shared" si="12"/>
        <v>0</v>
      </c>
      <c r="AU27" s="70">
        <f t="shared" si="13"/>
        <v>0</v>
      </c>
      <c r="AV27" s="70" t="str">
        <f>IF(OR(A27="Aktivkonto",Kontenplan!R29-1=Kontenplan!R28),"a",IF(OR(A27="Passivkonto",Kontenplan!S29-1=Kontenplan!S28),"p",""))</f>
        <v>p</v>
      </c>
      <c r="AW27" s="70">
        <f t="shared" si="33"/>
        <v>0</v>
      </c>
      <c r="AY27">
        <f t="shared" si="15"/>
        <v>21</v>
      </c>
      <c r="AZ27">
        <f t="shared" si="16"/>
        <v>19</v>
      </c>
      <c r="BA27" t="str">
        <f t="shared" si="17"/>
        <v/>
      </c>
      <c r="BB27" t="str">
        <f t="shared" si="18"/>
        <v/>
      </c>
      <c r="BC27" s="70" t="str">
        <f t="shared" si="19"/>
        <v/>
      </c>
      <c r="BD27" s="70">
        <f t="shared" si="24"/>
        <v>0</v>
      </c>
    </row>
    <row r="28" spans="1:56" x14ac:dyDescent="0.25">
      <c r="A28" s="3" t="str">
        <f>Kontenplan!C30</f>
        <v>Passivkonto</v>
      </c>
      <c r="B28" s="74">
        <f>Kontenplan!E30</f>
        <v>2010</v>
      </c>
      <c r="C28" s="71" t="str">
        <f>Kontenplan!F30</f>
        <v>weitere Kreditoren</v>
      </c>
      <c r="D28" s="27">
        <f>IF(B28=0,0,SUMIF(Journal!$F$7:$F$84,Calc!B28,Journal!$I$7:$I$84))</f>
        <v>0</v>
      </c>
      <c r="E28" s="17">
        <f>IF(B28=0,0,SUMIF(Journal!$G$7:$G$84,Calc!B28,Journal!$I$7:$I$84))</f>
        <v>0</v>
      </c>
      <c r="F28" s="40">
        <f t="shared" si="25"/>
        <v>0</v>
      </c>
      <c r="G28" s="17">
        <f t="shared" si="26"/>
        <v>0</v>
      </c>
      <c r="H28" s="16" t="str">
        <f t="shared" si="27"/>
        <v xml:space="preserve"> </v>
      </c>
      <c r="I28" s="27" t="str">
        <f t="shared" si="28"/>
        <v xml:space="preserve"> </v>
      </c>
      <c r="J28" s="41" t="str">
        <f t="shared" si="29"/>
        <v xml:space="preserve"> </v>
      </c>
      <c r="K28" s="42" t="str">
        <f t="shared" si="30"/>
        <v xml:space="preserve"> </v>
      </c>
      <c r="L28" s="41" t="str">
        <f t="shared" si="31"/>
        <v xml:space="preserve"> </v>
      </c>
      <c r="M28" s="42" t="str">
        <f t="shared" si="32"/>
        <v xml:space="preserve"> </v>
      </c>
      <c r="N28" s="24"/>
      <c r="O28" s="24">
        <f t="shared" si="20"/>
        <v>0</v>
      </c>
      <c r="P28" s="24">
        <f t="shared" si="21"/>
        <v>0</v>
      </c>
      <c r="Q28" s="24"/>
      <c r="S28">
        <f>Kontenplan!R30</f>
        <v>6</v>
      </c>
      <c r="T28">
        <f>Kontenplan!S30</f>
        <v>1</v>
      </c>
      <c r="U28">
        <f>Kontenplan!T30</f>
        <v>0</v>
      </c>
      <c r="V28" s="30">
        <f>Kontenplan!U30</f>
        <v>0</v>
      </c>
      <c r="Z28">
        <f t="shared" si="1"/>
        <v>2.2000000000000001E-3</v>
      </c>
      <c r="AA28" t="str">
        <f>IF(OR(Kontenplan!T30-1=Kontenplan!T29,Kontenplan!U30-1=Kontenplan!U29),"T_ER","")</f>
        <v/>
      </c>
      <c r="AB28" t="str">
        <f>CONCATENATE(Kontenplan!D30,Kontenplan!E30," ",Kontenplan!F30)</f>
        <v>2010 weitere Kreditoren</v>
      </c>
      <c r="AC28" s="70">
        <f t="shared" si="2"/>
        <v>0</v>
      </c>
      <c r="AD28" s="70">
        <f t="shared" si="3"/>
        <v>0</v>
      </c>
      <c r="AE28" s="70">
        <f t="shared" si="4"/>
        <v>0</v>
      </c>
      <c r="AG28">
        <f t="shared" si="5"/>
        <v>0</v>
      </c>
      <c r="AI28">
        <f t="shared" si="6"/>
        <v>22</v>
      </c>
      <c r="AJ28" s="27">
        <f t="shared" si="7"/>
        <v>22</v>
      </c>
      <c r="AK28" t="str">
        <f t="shared" si="8"/>
        <v/>
      </c>
      <c r="AL28" t="str">
        <f t="shared" si="9"/>
        <v>5400 Aufwand für Vereinsinstrumente</v>
      </c>
      <c r="AM28" s="70">
        <f t="shared" si="10"/>
        <v>0</v>
      </c>
      <c r="AN28">
        <f t="shared" si="22"/>
        <v>0</v>
      </c>
      <c r="AP28">
        <f t="shared" si="23"/>
        <v>34</v>
      </c>
      <c r="AQ28" t="str">
        <f>IF(OR(Kontenplan!R30-1=Kontenplan!R29,Kontenplan!S30-1=Kontenplan!S29),"T_B","")</f>
        <v/>
      </c>
      <c r="AR28" t="str">
        <f>CONCATENATE(Kontenplan!D30,Kontenplan!E30," ",Kontenplan!F30)</f>
        <v>2010 weitere Kreditoren</v>
      </c>
      <c r="AS28" s="70">
        <f t="shared" si="11"/>
        <v>0</v>
      </c>
      <c r="AT28" s="70">
        <f t="shared" si="12"/>
        <v>0</v>
      </c>
      <c r="AU28" s="70">
        <f t="shared" si="13"/>
        <v>0</v>
      </c>
      <c r="AV28" s="70" t="str">
        <f>IF(OR(A28="Aktivkonto",Kontenplan!R30-1=Kontenplan!R29),"a",IF(OR(A28="Passivkonto",Kontenplan!S30-1=Kontenplan!S29),"p",""))</f>
        <v>p</v>
      </c>
      <c r="AW28" s="70">
        <f t="shared" si="33"/>
        <v>0</v>
      </c>
      <c r="AY28">
        <f t="shared" si="15"/>
        <v>22</v>
      </c>
      <c r="AZ28">
        <f t="shared" si="16"/>
        <v>22</v>
      </c>
      <c r="BA28" t="str">
        <f t="shared" si="17"/>
        <v>T_B</v>
      </c>
      <c r="BB28" t="str">
        <f t="shared" si="18"/>
        <v xml:space="preserve">Anlagevermögen </v>
      </c>
      <c r="BC28" s="70" t="str">
        <f t="shared" si="19"/>
        <v/>
      </c>
      <c r="BD28" s="70">
        <f t="shared" si="24"/>
        <v>0</v>
      </c>
    </row>
    <row r="29" spans="1:56" x14ac:dyDescent="0.25">
      <c r="A29" s="3" t="str">
        <f>Kontenplan!C31</f>
        <v>Passivkonto</v>
      </c>
      <c r="B29" s="74">
        <f>Kontenplan!E31</f>
        <v>2100</v>
      </c>
      <c r="C29" s="71" t="str">
        <f>Kontenplan!F31</f>
        <v>Depot Uniformen</v>
      </c>
      <c r="D29" s="27">
        <f>IF(B29=0,0,SUMIF(Journal!$F$7:$F$84,Calc!B29,Journal!$I$7:$I$84))</f>
        <v>0</v>
      </c>
      <c r="E29" s="17">
        <f>IF(B29=0,0,SUMIF(Journal!$G$7:$G$84,Calc!B29,Journal!$I$7:$I$84))</f>
        <v>0</v>
      </c>
      <c r="F29" s="40">
        <f t="shared" si="25"/>
        <v>0</v>
      </c>
      <c r="G29" s="17">
        <f t="shared" si="26"/>
        <v>0</v>
      </c>
      <c r="H29" s="16" t="str">
        <f t="shared" si="27"/>
        <v xml:space="preserve"> </v>
      </c>
      <c r="I29" s="27" t="str">
        <f t="shared" si="28"/>
        <v xml:space="preserve"> </v>
      </c>
      <c r="J29" s="41" t="str">
        <f t="shared" si="29"/>
        <v xml:space="preserve"> </v>
      </c>
      <c r="K29" s="42" t="str">
        <f t="shared" si="30"/>
        <v xml:space="preserve"> </v>
      </c>
      <c r="L29" s="41" t="str">
        <f t="shared" si="31"/>
        <v xml:space="preserve"> </v>
      </c>
      <c r="M29" s="42" t="str">
        <f t="shared" si="32"/>
        <v xml:space="preserve"> </v>
      </c>
      <c r="N29" s="24"/>
      <c r="O29" s="24">
        <f t="shared" si="20"/>
        <v>0</v>
      </c>
      <c r="P29" s="24">
        <f t="shared" si="21"/>
        <v>0</v>
      </c>
      <c r="Q29" s="24"/>
      <c r="S29">
        <f>Kontenplan!R31</f>
        <v>6</v>
      </c>
      <c r="T29">
        <f>Kontenplan!S31</f>
        <v>1</v>
      </c>
      <c r="U29">
        <f>Kontenplan!T31</f>
        <v>0</v>
      </c>
      <c r="V29" s="30">
        <f>Kontenplan!U31</f>
        <v>0</v>
      </c>
      <c r="Z29">
        <f t="shared" si="1"/>
        <v>2.3E-3</v>
      </c>
      <c r="AA29" t="str">
        <f>IF(OR(Kontenplan!T31-1=Kontenplan!T30,Kontenplan!U31-1=Kontenplan!U30),"T_ER","")</f>
        <v/>
      </c>
      <c r="AB29" t="str">
        <f>CONCATENATE(Kontenplan!D31,Kontenplan!E31," ",Kontenplan!F31)</f>
        <v>2100 Depot Uniformen</v>
      </c>
      <c r="AC29" s="70">
        <f t="shared" si="2"/>
        <v>0</v>
      </c>
      <c r="AD29" s="70">
        <f t="shared" si="3"/>
        <v>0</v>
      </c>
      <c r="AE29" s="70">
        <f t="shared" si="4"/>
        <v>0</v>
      </c>
      <c r="AG29">
        <f t="shared" si="5"/>
        <v>0</v>
      </c>
      <c r="AI29">
        <f t="shared" si="6"/>
        <v>23</v>
      </c>
      <c r="AJ29" s="27">
        <f t="shared" si="7"/>
        <v>23</v>
      </c>
      <c r="AK29" t="str">
        <f t="shared" si="8"/>
        <v/>
      </c>
      <c r="AL29" t="str">
        <f t="shared" si="9"/>
        <v>5500 Probewochenende</v>
      </c>
      <c r="AM29" s="70">
        <f t="shared" si="10"/>
        <v>0</v>
      </c>
      <c r="AN29">
        <f t="shared" si="22"/>
        <v>0</v>
      </c>
      <c r="AP29">
        <f t="shared" si="23"/>
        <v>35</v>
      </c>
      <c r="AQ29" t="str">
        <f>IF(OR(Kontenplan!R31-1=Kontenplan!R30,Kontenplan!S31-1=Kontenplan!S30),"T_B","")</f>
        <v/>
      </c>
      <c r="AR29" t="str">
        <f>CONCATENATE(Kontenplan!D31,Kontenplan!E31," ",Kontenplan!F31)</f>
        <v>2100 Depot Uniformen</v>
      </c>
      <c r="AS29" s="70">
        <f t="shared" si="11"/>
        <v>0</v>
      </c>
      <c r="AT29" s="70">
        <f t="shared" si="12"/>
        <v>0</v>
      </c>
      <c r="AU29" s="70">
        <f t="shared" si="13"/>
        <v>0</v>
      </c>
      <c r="AV29" s="70" t="str">
        <f>IF(OR(A29="Aktivkonto",Kontenplan!R31-1=Kontenplan!R30),"a",IF(OR(A29="Passivkonto",Kontenplan!S31-1=Kontenplan!S30),"p",""))</f>
        <v>p</v>
      </c>
      <c r="AW29" s="70">
        <f t="shared" si="33"/>
        <v>0</v>
      </c>
      <c r="AY29">
        <f t="shared" si="15"/>
        <v>23</v>
      </c>
      <c r="AZ29">
        <f t="shared" si="16"/>
        <v>23</v>
      </c>
      <c r="BA29" t="str">
        <f t="shared" si="17"/>
        <v>T_B</v>
      </c>
      <c r="BB29" t="str">
        <f t="shared" si="18"/>
        <v xml:space="preserve">Mobiliar </v>
      </c>
      <c r="BC29" s="70" t="str">
        <f t="shared" si="19"/>
        <v/>
      </c>
      <c r="BD29" s="70">
        <f t="shared" si="24"/>
        <v>0</v>
      </c>
    </row>
    <row r="30" spans="1:56" x14ac:dyDescent="0.25">
      <c r="A30" s="3" t="str">
        <f>Kontenplan!C32</f>
        <v>Passivkonto</v>
      </c>
      <c r="B30" s="74">
        <f>Kontenplan!E32</f>
        <v>2200</v>
      </c>
      <c r="C30" s="71" t="str">
        <f>Kontenplan!F32</f>
        <v>Depot Instrumente</v>
      </c>
      <c r="D30" s="27">
        <f>IF(B30=0,0,SUMIF(Journal!$F$7:$F$84,Calc!B30,Journal!$I$7:$I$84))</f>
        <v>0</v>
      </c>
      <c r="E30" s="17">
        <f>IF(B30=0,0,SUMIF(Journal!$G$7:$G$84,Calc!B30,Journal!$I$7:$I$84))</f>
        <v>0</v>
      </c>
      <c r="F30" s="40">
        <f t="shared" si="25"/>
        <v>0</v>
      </c>
      <c r="G30" s="17">
        <f t="shared" si="26"/>
        <v>0</v>
      </c>
      <c r="H30" s="16" t="str">
        <f t="shared" si="27"/>
        <v xml:space="preserve"> </v>
      </c>
      <c r="I30" s="27" t="str">
        <f t="shared" si="28"/>
        <v xml:space="preserve"> </v>
      </c>
      <c r="J30" s="41" t="str">
        <f t="shared" si="29"/>
        <v xml:space="preserve"> </v>
      </c>
      <c r="K30" s="42" t="str">
        <f t="shared" si="30"/>
        <v xml:space="preserve"> </v>
      </c>
      <c r="L30" s="41" t="str">
        <f t="shared" si="31"/>
        <v xml:space="preserve"> </v>
      </c>
      <c r="M30" s="42" t="str">
        <f t="shared" si="32"/>
        <v xml:space="preserve"> </v>
      </c>
      <c r="N30" s="24"/>
      <c r="O30" s="24">
        <f t="shared" si="20"/>
        <v>0</v>
      </c>
      <c r="P30" s="24">
        <f t="shared" si="21"/>
        <v>0</v>
      </c>
      <c r="Q30" s="24"/>
      <c r="S30">
        <f>Kontenplan!R32</f>
        <v>6</v>
      </c>
      <c r="T30">
        <f>Kontenplan!S32</f>
        <v>1</v>
      </c>
      <c r="U30">
        <f>Kontenplan!T32</f>
        <v>0</v>
      </c>
      <c r="V30" s="30">
        <f>Kontenplan!U32</f>
        <v>0</v>
      </c>
      <c r="Z30">
        <f t="shared" si="1"/>
        <v>2.3999999999999998E-3</v>
      </c>
      <c r="AA30" t="str">
        <f>IF(OR(Kontenplan!T32-1=Kontenplan!T31,Kontenplan!U32-1=Kontenplan!U31),"T_ER","")</f>
        <v/>
      </c>
      <c r="AB30" t="str">
        <f>CONCATENATE(Kontenplan!D32,Kontenplan!E32," ",Kontenplan!F32)</f>
        <v>2200 Depot Instrumente</v>
      </c>
      <c r="AC30" s="70">
        <f t="shared" si="2"/>
        <v>0</v>
      </c>
      <c r="AD30" s="70">
        <f t="shared" si="3"/>
        <v>0</v>
      </c>
      <c r="AE30" s="70">
        <f t="shared" si="4"/>
        <v>0</v>
      </c>
      <c r="AG30">
        <f t="shared" si="5"/>
        <v>0</v>
      </c>
      <c r="AI30">
        <f t="shared" si="6"/>
        <v>24</v>
      </c>
      <c r="AJ30" s="27">
        <f t="shared" si="7"/>
        <v>24</v>
      </c>
      <c r="AK30" t="str">
        <f t="shared" si="8"/>
        <v/>
      </c>
      <c r="AL30" t="str">
        <f t="shared" si="9"/>
        <v>5520 Vereinsreise</v>
      </c>
      <c r="AM30" s="70">
        <f t="shared" si="10"/>
        <v>0</v>
      </c>
      <c r="AN30">
        <f t="shared" si="22"/>
        <v>0</v>
      </c>
      <c r="AP30">
        <f t="shared" si="23"/>
        <v>36</v>
      </c>
      <c r="AQ30" t="str">
        <f>IF(OR(Kontenplan!R32-1=Kontenplan!R31,Kontenplan!S32-1=Kontenplan!S31),"T_B","")</f>
        <v/>
      </c>
      <c r="AR30" t="str">
        <f>CONCATENATE(Kontenplan!D32,Kontenplan!E32," ",Kontenplan!F32)</f>
        <v>2200 Depot Instrumente</v>
      </c>
      <c r="AS30" s="70">
        <f t="shared" si="11"/>
        <v>0</v>
      </c>
      <c r="AT30" s="70">
        <f t="shared" si="12"/>
        <v>0</v>
      </c>
      <c r="AU30" s="70">
        <f t="shared" si="13"/>
        <v>0</v>
      </c>
      <c r="AV30" s="70" t="str">
        <f>IF(OR(A30="Aktivkonto",Kontenplan!R32-1=Kontenplan!R31),"a",IF(OR(A30="Passivkonto",Kontenplan!S32-1=Kontenplan!S31),"p",""))</f>
        <v>p</v>
      </c>
      <c r="AW30" s="70">
        <f t="shared" si="33"/>
        <v>0</v>
      </c>
      <c r="AY30">
        <f t="shared" si="15"/>
        <v>24</v>
      </c>
      <c r="AZ30">
        <f t="shared" si="16"/>
        <v>24</v>
      </c>
      <c r="BA30" t="str">
        <f t="shared" si="17"/>
        <v/>
      </c>
      <c r="BB30" t="str">
        <f t="shared" si="18"/>
        <v>1500 Mobiliar Auftritte (Fahne etc.)</v>
      </c>
      <c r="BC30" s="70">
        <f t="shared" si="19"/>
        <v>0</v>
      </c>
      <c r="BD30" s="70">
        <f t="shared" si="24"/>
        <v>0</v>
      </c>
    </row>
    <row r="31" spans="1:56" x14ac:dyDescent="0.25">
      <c r="A31" s="3" t="str">
        <f>Kontenplan!C33</f>
        <v>Passivkonto</v>
      </c>
      <c r="B31" s="74">
        <f>Kontenplan!E33</f>
        <v>2300</v>
      </c>
      <c r="C31" s="71" t="str">
        <f>Kontenplan!F33</f>
        <v>Transitorische Passiven</v>
      </c>
      <c r="D31" s="27">
        <f>IF(B31=0,0,SUMIF(Journal!$F$7:$F$84,Calc!B31,Journal!$I$7:$I$84))</f>
        <v>0</v>
      </c>
      <c r="E31" s="17">
        <f>IF(B31=0,0,SUMIF(Journal!$G$7:$G$84,Calc!B31,Journal!$I$7:$I$84))</f>
        <v>0</v>
      </c>
      <c r="F31" s="40">
        <f t="shared" si="25"/>
        <v>0</v>
      </c>
      <c r="G31" s="17">
        <f t="shared" si="26"/>
        <v>0</v>
      </c>
      <c r="H31" s="16" t="str">
        <f t="shared" si="27"/>
        <v xml:space="preserve"> </v>
      </c>
      <c r="I31" s="27" t="str">
        <f t="shared" si="28"/>
        <v xml:space="preserve"> </v>
      </c>
      <c r="J31" s="41" t="str">
        <f t="shared" si="29"/>
        <v xml:space="preserve"> </v>
      </c>
      <c r="K31" s="42" t="str">
        <f t="shared" si="30"/>
        <v xml:space="preserve"> </v>
      </c>
      <c r="L31" s="41" t="str">
        <f t="shared" si="31"/>
        <v xml:space="preserve"> </v>
      </c>
      <c r="M31" s="42" t="str">
        <f t="shared" si="32"/>
        <v xml:space="preserve"> </v>
      </c>
      <c r="N31" s="24"/>
      <c r="O31" s="24">
        <f t="shared" si="20"/>
        <v>0</v>
      </c>
      <c r="P31" s="24">
        <f t="shared" si="21"/>
        <v>0</v>
      </c>
      <c r="Q31" s="24"/>
      <c r="S31">
        <f>Kontenplan!R33</f>
        <v>6</v>
      </c>
      <c r="T31">
        <f>Kontenplan!S33</f>
        <v>1</v>
      </c>
      <c r="U31">
        <f>Kontenplan!T33</f>
        <v>0</v>
      </c>
      <c r="V31" s="30">
        <f>Kontenplan!U33</f>
        <v>0</v>
      </c>
      <c r="Z31">
        <f t="shared" si="1"/>
        <v>2.4999999999999996E-3</v>
      </c>
      <c r="AA31" t="str">
        <f>IF(OR(Kontenplan!T33-1=Kontenplan!T32,Kontenplan!U33-1=Kontenplan!U32),"T_ER","")</f>
        <v/>
      </c>
      <c r="AB31" t="str">
        <f>CONCATENATE(Kontenplan!D33,Kontenplan!E33," ",Kontenplan!F33)</f>
        <v>2300 Transitorische Passiven</v>
      </c>
      <c r="AC31" s="70">
        <f t="shared" si="2"/>
        <v>0</v>
      </c>
      <c r="AD31" s="70">
        <f t="shared" si="3"/>
        <v>0</v>
      </c>
      <c r="AE31" s="70">
        <f t="shared" si="4"/>
        <v>0</v>
      </c>
      <c r="AG31">
        <f t="shared" si="5"/>
        <v>0</v>
      </c>
      <c r="AI31">
        <f t="shared" si="6"/>
        <v>25</v>
      </c>
      <c r="AJ31" s="27">
        <f t="shared" si="7"/>
        <v>25</v>
      </c>
      <c r="AK31" t="str">
        <f t="shared" si="8"/>
        <v/>
      </c>
      <c r="AL31" t="str">
        <f t="shared" si="9"/>
        <v>5600 Heft des Vereins</v>
      </c>
      <c r="AM31" s="70">
        <f t="shared" si="10"/>
        <v>0</v>
      </c>
      <c r="AN31">
        <f t="shared" si="22"/>
        <v>0</v>
      </c>
      <c r="AP31">
        <f t="shared" si="23"/>
        <v>37</v>
      </c>
      <c r="AQ31" t="str">
        <f>IF(OR(Kontenplan!R33-1=Kontenplan!R32,Kontenplan!S33-1=Kontenplan!S32),"T_B","")</f>
        <v/>
      </c>
      <c r="AR31" t="str">
        <f>CONCATENATE(Kontenplan!D33,Kontenplan!E33," ",Kontenplan!F33)</f>
        <v>2300 Transitorische Passiven</v>
      </c>
      <c r="AS31" s="70">
        <f t="shared" si="11"/>
        <v>0</v>
      </c>
      <c r="AT31" s="70">
        <f t="shared" si="12"/>
        <v>0</v>
      </c>
      <c r="AU31" s="70">
        <f t="shared" si="13"/>
        <v>0</v>
      </c>
      <c r="AV31" s="70" t="str">
        <f>IF(OR(A31="Aktivkonto",Kontenplan!R33-1=Kontenplan!R32),"a",IF(OR(A31="Passivkonto",Kontenplan!S33-1=Kontenplan!S32),"p",""))</f>
        <v>p</v>
      </c>
      <c r="AW31" s="70">
        <f t="shared" si="33"/>
        <v>0</v>
      </c>
      <c r="AY31">
        <f t="shared" si="15"/>
        <v>25</v>
      </c>
      <c r="AZ31">
        <f t="shared" si="16"/>
        <v>25</v>
      </c>
      <c r="BA31" t="str">
        <f t="shared" si="17"/>
        <v/>
      </c>
      <c r="BB31" t="str">
        <f t="shared" si="18"/>
        <v>1530 Fahrzeuge</v>
      </c>
      <c r="BC31" s="70">
        <f t="shared" si="19"/>
        <v>0</v>
      </c>
      <c r="BD31" s="70">
        <f t="shared" si="24"/>
        <v>0</v>
      </c>
    </row>
    <row r="32" spans="1:56" x14ac:dyDescent="0.25">
      <c r="A32" s="3" t="str">
        <f>Kontenplan!C34</f>
        <v>Passivkonto</v>
      </c>
      <c r="B32" s="74">
        <f>Kontenplan!E34</f>
        <v>2520</v>
      </c>
      <c r="C32" s="71" t="str">
        <f>Kontenplan!F34</f>
        <v>Darlehen</v>
      </c>
      <c r="D32" s="27">
        <f>IF(B32=0,0,SUMIF(Journal!$F$7:$F$84,Calc!B32,Journal!$I$7:$I$84))</f>
        <v>0</v>
      </c>
      <c r="E32" s="17">
        <f>IF(B32=0,0,SUMIF(Journal!$G$7:$G$84,Calc!B32,Journal!$I$7:$I$84))</f>
        <v>0</v>
      </c>
      <c r="F32" s="40">
        <f t="shared" si="25"/>
        <v>0</v>
      </c>
      <c r="G32" s="17">
        <f t="shared" si="26"/>
        <v>0</v>
      </c>
      <c r="H32" s="16" t="str">
        <f t="shared" si="27"/>
        <v xml:space="preserve"> </v>
      </c>
      <c r="I32" s="27" t="str">
        <f t="shared" si="28"/>
        <v xml:space="preserve"> </v>
      </c>
      <c r="J32" s="41" t="str">
        <f t="shared" si="29"/>
        <v xml:space="preserve"> </v>
      </c>
      <c r="K32" s="42" t="str">
        <f t="shared" si="30"/>
        <v xml:space="preserve"> </v>
      </c>
      <c r="L32" s="41" t="str">
        <f t="shared" si="31"/>
        <v xml:space="preserve"> </v>
      </c>
      <c r="M32" s="42" t="str">
        <f t="shared" si="32"/>
        <v xml:space="preserve"> </v>
      </c>
      <c r="N32" s="24"/>
      <c r="O32" s="24">
        <f t="shared" si="20"/>
        <v>0</v>
      </c>
      <c r="P32" s="24">
        <f t="shared" si="21"/>
        <v>0</v>
      </c>
      <c r="Q32" s="24"/>
      <c r="S32">
        <f>Kontenplan!R34</f>
        <v>6</v>
      </c>
      <c r="T32">
        <f>Kontenplan!S34</f>
        <v>1</v>
      </c>
      <c r="U32">
        <f>Kontenplan!T34</f>
        <v>0</v>
      </c>
      <c r="V32" s="30">
        <f>Kontenplan!U34</f>
        <v>0</v>
      </c>
      <c r="Z32">
        <f t="shared" si="1"/>
        <v>2.5999999999999994E-3</v>
      </c>
      <c r="AA32" t="str">
        <f>IF(OR(Kontenplan!T34-1=Kontenplan!T33,Kontenplan!U34-1=Kontenplan!U33),"T_ER","")</f>
        <v/>
      </c>
      <c r="AB32" t="str">
        <f>CONCATENATE(Kontenplan!D34,Kontenplan!E34," ",Kontenplan!F34)</f>
        <v>2520 Darlehen</v>
      </c>
      <c r="AC32" s="70">
        <f t="shared" si="2"/>
        <v>0</v>
      </c>
      <c r="AD32" s="70">
        <f t="shared" si="3"/>
        <v>0</v>
      </c>
      <c r="AE32" s="70">
        <f t="shared" si="4"/>
        <v>0</v>
      </c>
      <c r="AG32">
        <f t="shared" si="5"/>
        <v>0</v>
      </c>
      <c r="AI32">
        <f t="shared" si="6"/>
        <v>26</v>
      </c>
      <c r="AJ32" s="27">
        <f t="shared" si="7"/>
        <v>26</v>
      </c>
      <c r="AK32" t="str">
        <f t="shared" si="8"/>
        <v/>
      </c>
      <c r="AL32" t="str">
        <f t="shared" si="9"/>
        <v>5700 Spesen Dirigent</v>
      </c>
      <c r="AM32" s="70">
        <f t="shared" si="10"/>
        <v>0</v>
      </c>
      <c r="AN32">
        <f t="shared" si="22"/>
        <v>0</v>
      </c>
      <c r="AP32">
        <f t="shared" si="23"/>
        <v>38</v>
      </c>
      <c r="AQ32" t="str">
        <f>IF(OR(Kontenplan!R34-1=Kontenplan!R33,Kontenplan!S34-1=Kontenplan!S33),"T_B","")</f>
        <v/>
      </c>
      <c r="AR32" t="str">
        <f>CONCATENATE(Kontenplan!D34,Kontenplan!E34," ",Kontenplan!F34)</f>
        <v>2520 Darlehen</v>
      </c>
      <c r="AS32" s="70">
        <f t="shared" si="11"/>
        <v>0</v>
      </c>
      <c r="AT32" s="70">
        <f t="shared" si="12"/>
        <v>0</v>
      </c>
      <c r="AU32" s="70">
        <f t="shared" si="13"/>
        <v>0</v>
      </c>
      <c r="AV32" s="70" t="str">
        <f>IF(OR(A32="Aktivkonto",Kontenplan!R34-1=Kontenplan!R33),"a",IF(OR(A32="Passivkonto",Kontenplan!S34-1=Kontenplan!S33),"p",""))</f>
        <v>p</v>
      </c>
      <c r="AW32" s="70">
        <f t="shared" si="33"/>
        <v>0</v>
      </c>
      <c r="AY32">
        <f t="shared" si="15"/>
        <v>26</v>
      </c>
      <c r="AZ32">
        <f t="shared" si="16"/>
        <v>25</v>
      </c>
      <c r="BA32" t="str">
        <f t="shared" si="17"/>
        <v>Sub</v>
      </c>
      <c r="BB32" t="str">
        <f t="shared" si="18"/>
        <v/>
      </c>
      <c r="BC32" s="70">
        <f t="shared" si="19"/>
        <v>0</v>
      </c>
      <c r="BD32" s="70">
        <f t="shared" si="24"/>
        <v>0</v>
      </c>
    </row>
    <row r="33" spans="1:56" x14ac:dyDescent="0.25">
      <c r="A33" s="3" t="str">
        <f>Kontenplan!C35</f>
        <v>Passivkonto</v>
      </c>
      <c r="B33" s="74">
        <f>Kontenplan!E35</f>
        <v>2600</v>
      </c>
      <c r="C33" s="71" t="str">
        <f>Kontenplan!F35</f>
        <v>Rückstellungen</v>
      </c>
      <c r="D33" s="27">
        <f>IF(B33=0,0,SUMIF(Journal!$F$7:$F$84,Calc!B33,Journal!$I$7:$I$84))</f>
        <v>0</v>
      </c>
      <c r="E33" s="17">
        <f>IF(B33=0,0,SUMIF(Journal!$G$7:$G$84,Calc!B33,Journal!$I$7:$I$84))</f>
        <v>0</v>
      </c>
      <c r="F33" s="40">
        <f t="shared" si="25"/>
        <v>0</v>
      </c>
      <c r="G33" s="17">
        <f t="shared" si="26"/>
        <v>0</v>
      </c>
      <c r="H33" s="16" t="str">
        <f t="shared" si="27"/>
        <v xml:space="preserve"> </v>
      </c>
      <c r="I33" s="27" t="str">
        <f t="shared" si="28"/>
        <v xml:space="preserve"> </v>
      </c>
      <c r="J33" s="41" t="str">
        <f t="shared" si="29"/>
        <v xml:space="preserve"> </v>
      </c>
      <c r="K33" s="42" t="str">
        <f t="shared" si="30"/>
        <v xml:space="preserve"> </v>
      </c>
      <c r="L33" s="41" t="str">
        <f t="shared" si="31"/>
        <v xml:space="preserve"> </v>
      </c>
      <c r="M33" s="42" t="str">
        <f t="shared" si="32"/>
        <v xml:space="preserve"> </v>
      </c>
      <c r="N33" s="24"/>
      <c r="O33" s="24">
        <f t="shared" si="20"/>
        <v>0</v>
      </c>
      <c r="P33" s="24">
        <f t="shared" si="21"/>
        <v>0</v>
      </c>
      <c r="Q33" s="24"/>
      <c r="S33">
        <f>Kontenplan!R35</f>
        <v>6</v>
      </c>
      <c r="T33">
        <f>Kontenplan!S35</f>
        <v>1</v>
      </c>
      <c r="U33">
        <f>Kontenplan!T35</f>
        <v>0</v>
      </c>
      <c r="V33" s="30">
        <f>Kontenplan!U35</f>
        <v>0</v>
      </c>
      <c r="Z33">
        <f t="shared" si="1"/>
        <v>2.6999999999999993E-3</v>
      </c>
      <c r="AA33" t="str">
        <f>IF(OR(Kontenplan!T35-1=Kontenplan!T34,Kontenplan!U35-1=Kontenplan!U34),"T_ER","")</f>
        <v/>
      </c>
      <c r="AB33" t="str">
        <f>CONCATENATE(Kontenplan!D35,Kontenplan!E35," ",Kontenplan!F35)</f>
        <v>2600 Rückstellungen</v>
      </c>
      <c r="AC33" s="70">
        <f t="shared" si="2"/>
        <v>0</v>
      </c>
      <c r="AD33" s="70">
        <f t="shared" si="3"/>
        <v>0</v>
      </c>
      <c r="AE33" s="70">
        <f t="shared" si="4"/>
        <v>0</v>
      </c>
      <c r="AG33">
        <f t="shared" si="5"/>
        <v>0</v>
      </c>
      <c r="AI33">
        <f t="shared" si="6"/>
        <v>27</v>
      </c>
      <c r="AJ33" s="27">
        <f t="shared" si="7"/>
        <v>27</v>
      </c>
      <c r="AK33" t="str">
        <f t="shared" si="8"/>
        <v/>
      </c>
      <c r="AL33" t="str">
        <f t="shared" si="9"/>
        <v>5720 Spesen Vorstand</v>
      </c>
      <c r="AM33" s="70">
        <f t="shared" si="10"/>
        <v>0</v>
      </c>
      <c r="AN33">
        <f t="shared" si="22"/>
        <v>0</v>
      </c>
      <c r="AP33">
        <f>IF(AV33="",AP32+0.0001,IF(AND(AV32="a",AV33="p"),AP32+7,IF(AND(AP32&lt;1,AQ33="T_B"),1,IF(AND(AQ32&lt;&gt;"T_B",AQ33="T_B"),ROUND(AP32,0)+3,IF(AND(AP32&gt;=1,OR(AR33&lt;&gt;"",AR33&lt;&gt;0)),ROUND(AP32+1,0),AP32+0.0001)))))</f>
        <v>39</v>
      </c>
      <c r="AQ33" t="str">
        <f>IF(OR(Kontenplan!R35-1=Kontenplan!R34,Kontenplan!S35-1=Kontenplan!S34),"T_B","")</f>
        <v/>
      </c>
      <c r="AR33" t="str">
        <f>CONCATENATE(Kontenplan!D35,Kontenplan!E35," ",Kontenplan!F35)</f>
        <v>2600 Rückstellungen</v>
      </c>
      <c r="AS33" s="70">
        <f t="shared" si="11"/>
        <v>0</v>
      </c>
      <c r="AT33" s="70">
        <f t="shared" si="12"/>
        <v>0</v>
      </c>
      <c r="AU33" s="70">
        <f t="shared" si="13"/>
        <v>0</v>
      </c>
      <c r="AV33" s="70" t="str">
        <f>IF(OR(A33="Aktivkonto",Kontenplan!R35-1=Kontenplan!R34),"a",IF(OR(A33="Passivkonto",Kontenplan!S35-1=Kontenplan!S34),"p",""))</f>
        <v>p</v>
      </c>
      <c r="AW33" s="70">
        <f>IF(AS33="","",IF(AND(AV32="a",AV33="p"),AS33,IF(AS32="",AS33,AW32+AS33)))</f>
        <v>0</v>
      </c>
      <c r="AY33">
        <f t="shared" si="15"/>
        <v>27</v>
      </c>
      <c r="AZ33">
        <f t="shared" si="16"/>
        <v>25</v>
      </c>
      <c r="BA33" t="str">
        <f t="shared" si="17"/>
        <v/>
      </c>
      <c r="BB33" t="str">
        <f t="shared" si="18"/>
        <v/>
      </c>
      <c r="BC33" s="70" t="str">
        <f t="shared" si="19"/>
        <v/>
      </c>
      <c r="BD33" s="70">
        <f t="shared" si="24"/>
        <v>0</v>
      </c>
    </row>
    <row r="34" spans="1:56" x14ac:dyDescent="0.25">
      <c r="A34" s="3">
        <f>Kontenplan!C36</f>
        <v>0</v>
      </c>
      <c r="B34" s="74">
        <f>Kontenplan!E36</f>
        <v>0</v>
      </c>
      <c r="C34" s="71">
        <f>Kontenplan!F36</f>
        <v>0</v>
      </c>
      <c r="D34" s="27">
        <f>IF(B34=0,0,SUMIF(Journal!$F$7:$F$84,Calc!B34,Journal!$I$7:$I$84))</f>
        <v>0</v>
      </c>
      <c r="E34" s="17">
        <f>IF(B34=0,0,SUMIF(Journal!$G$7:$G$84,Calc!B34,Journal!$I$7:$I$84))</f>
        <v>0</v>
      </c>
      <c r="F34" s="40">
        <f t="shared" si="25"/>
        <v>0</v>
      </c>
      <c r="G34" s="17">
        <f t="shared" si="26"/>
        <v>0</v>
      </c>
      <c r="H34" s="16" t="str">
        <f t="shared" si="27"/>
        <v xml:space="preserve"> </v>
      </c>
      <c r="I34" s="27" t="str">
        <f t="shared" si="28"/>
        <v xml:space="preserve"> </v>
      </c>
      <c r="J34" s="41" t="str">
        <f t="shared" si="29"/>
        <v xml:space="preserve"> </v>
      </c>
      <c r="K34" s="42" t="str">
        <f t="shared" si="30"/>
        <v xml:space="preserve"> </v>
      </c>
      <c r="L34" s="41" t="str">
        <f t="shared" si="31"/>
        <v xml:space="preserve"> </v>
      </c>
      <c r="M34" s="42" t="str">
        <f t="shared" si="32"/>
        <v xml:space="preserve"> </v>
      </c>
      <c r="N34" s="24"/>
      <c r="O34" s="24">
        <f t="shared" si="20"/>
        <v>0</v>
      </c>
      <c r="P34" s="24">
        <f t="shared" si="21"/>
        <v>0</v>
      </c>
      <c r="Q34" s="24"/>
      <c r="S34">
        <f>Kontenplan!R36</f>
        <v>6</v>
      </c>
      <c r="T34">
        <f>Kontenplan!S36</f>
        <v>2</v>
      </c>
      <c r="U34">
        <f>Kontenplan!T36</f>
        <v>0</v>
      </c>
      <c r="V34" s="30">
        <f>Kontenplan!U36</f>
        <v>0</v>
      </c>
      <c r="Z34">
        <f t="shared" si="1"/>
        <v>2.7999999999999991E-3</v>
      </c>
      <c r="AA34" t="str">
        <f>IF(OR(Kontenplan!T36-1=Kontenplan!T35,Kontenplan!U36-1=Kontenplan!U35),"T_ER","")</f>
        <v/>
      </c>
      <c r="AB34" t="str">
        <f>CONCATENATE(Kontenplan!D36,Kontenplan!E36," ",Kontenplan!F36)</f>
        <v xml:space="preserve">Eigenkapital </v>
      </c>
      <c r="AC34" s="70" t="str">
        <f t="shared" si="2"/>
        <v/>
      </c>
      <c r="AD34" s="70">
        <f t="shared" si="3"/>
        <v>0</v>
      </c>
      <c r="AE34" s="70">
        <f t="shared" si="4"/>
        <v>0</v>
      </c>
      <c r="AG34" t="str">
        <f t="shared" si="5"/>
        <v/>
      </c>
      <c r="AI34">
        <f t="shared" si="6"/>
        <v>28</v>
      </c>
      <c r="AJ34" s="27">
        <f t="shared" si="7"/>
        <v>28</v>
      </c>
      <c r="AK34" t="str">
        <f t="shared" si="8"/>
        <v/>
      </c>
      <c r="AL34" t="str">
        <f t="shared" si="9"/>
        <v>5740 Spesen Mitglieder</v>
      </c>
      <c r="AM34" s="70">
        <f t="shared" si="10"/>
        <v>0</v>
      </c>
      <c r="AN34">
        <f t="shared" si="22"/>
        <v>0</v>
      </c>
      <c r="AP34">
        <f t="shared" si="23"/>
        <v>42</v>
      </c>
      <c r="AQ34" t="str">
        <f>IF(OR(Kontenplan!R36-1=Kontenplan!R35,Kontenplan!S36-1=Kontenplan!S35),"T_B","")</f>
        <v>T_B</v>
      </c>
      <c r="AR34" t="str">
        <f>CONCATENATE(Kontenplan!D36,Kontenplan!E36," ",Kontenplan!F36)</f>
        <v xml:space="preserve">Eigenkapital </v>
      </c>
      <c r="AS34" s="70" t="str">
        <f t="shared" si="11"/>
        <v/>
      </c>
      <c r="AT34" s="70">
        <f t="shared" si="12"/>
        <v>0</v>
      </c>
      <c r="AU34" s="70">
        <f t="shared" si="13"/>
        <v>0</v>
      </c>
      <c r="AV34" s="70" t="str">
        <f>IF(OR(A34="Aktivkonto",Kontenplan!R36-1=Kontenplan!R35),"a",IF(OR(A34="Passivkonto",Kontenplan!S36-1=Kontenplan!S35),"p",""))</f>
        <v>p</v>
      </c>
      <c r="AW34" s="70" t="str">
        <f t="shared" si="33"/>
        <v/>
      </c>
      <c r="AY34">
        <f t="shared" si="15"/>
        <v>28</v>
      </c>
      <c r="AZ34">
        <f t="shared" si="16"/>
        <v>25</v>
      </c>
      <c r="BA34" t="str">
        <f t="shared" si="17"/>
        <v/>
      </c>
      <c r="BB34" t="str">
        <f t="shared" si="18"/>
        <v>Bilanzsumme</v>
      </c>
      <c r="BC34" s="70">
        <f t="shared" si="19"/>
        <v>0</v>
      </c>
      <c r="BD34" s="70">
        <f t="shared" si="24"/>
        <v>0</v>
      </c>
    </row>
    <row r="35" spans="1:56" x14ac:dyDescent="0.25">
      <c r="A35" s="3" t="str">
        <f>Kontenplan!C37</f>
        <v>Passivkonto</v>
      </c>
      <c r="B35" s="74">
        <f>Kontenplan!E37</f>
        <v>2800</v>
      </c>
      <c r="C35" s="71" t="str">
        <f>Kontenplan!F37</f>
        <v>Vereinskapital</v>
      </c>
      <c r="D35" s="27">
        <f>IF(B35=0,0,SUMIF(Journal!$F$7:$F$84,Calc!B35,Journal!$I$7:$I$84))</f>
        <v>0</v>
      </c>
      <c r="E35" s="17">
        <f>IF(B35=0,0,SUMIF(Journal!$G$7:$G$84,Calc!B35,Journal!$I$7:$I$84))</f>
        <v>0</v>
      </c>
      <c r="F35" s="40">
        <f t="shared" si="25"/>
        <v>0</v>
      </c>
      <c r="G35" s="17">
        <f t="shared" si="26"/>
        <v>0</v>
      </c>
      <c r="H35" s="16" t="str">
        <f t="shared" si="27"/>
        <v xml:space="preserve"> </v>
      </c>
      <c r="I35" s="27" t="str">
        <f t="shared" si="28"/>
        <v xml:space="preserve"> </v>
      </c>
      <c r="J35" s="41" t="str">
        <f t="shared" si="29"/>
        <v xml:space="preserve"> </v>
      </c>
      <c r="K35" s="42" t="str">
        <f t="shared" si="30"/>
        <v xml:space="preserve"> </v>
      </c>
      <c r="L35" s="41" t="str">
        <f t="shared" si="31"/>
        <v xml:space="preserve"> </v>
      </c>
      <c r="M35" s="42" t="str">
        <f t="shared" si="32"/>
        <v xml:space="preserve"> </v>
      </c>
      <c r="N35" s="24"/>
      <c r="O35" s="24">
        <f t="shared" si="20"/>
        <v>0</v>
      </c>
      <c r="P35" s="24">
        <f t="shared" si="21"/>
        <v>0</v>
      </c>
      <c r="Q35" s="24"/>
      <c r="S35">
        <f>Kontenplan!R37</f>
        <v>6</v>
      </c>
      <c r="T35">
        <f>Kontenplan!S37</f>
        <v>2</v>
      </c>
      <c r="U35">
        <f>Kontenplan!T37</f>
        <v>0</v>
      </c>
      <c r="V35" s="30">
        <f>Kontenplan!U37</f>
        <v>0</v>
      </c>
      <c r="Z35">
        <f t="shared" si="1"/>
        <v>2.8999999999999989E-3</v>
      </c>
      <c r="AA35" t="str">
        <f>IF(OR(Kontenplan!T37-1=Kontenplan!T36,Kontenplan!U37-1=Kontenplan!U36),"T_ER","")</f>
        <v/>
      </c>
      <c r="AB35" t="str">
        <f>CONCATENATE(Kontenplan!D37,Kontenplan!E37," ",Kontenplan!F37)</f>
        <v>2800 Vereinskapital</v>
      </c>
      <c r="AC35" s="70">
        <f t="shared" si="2"/>
        <v>0</v>
      </c>
      <c r="AD35" s="70">
        <f t="shared" si="3"/>
        <v>0</v>
      </c>
      <c r="AE35" s="70">
        <f t="shared" si="4"/>
        <v>0</v>
      </c>
      <c r="AG35">
        <f t="shared" si="5"/>
        <v>0</v>
      </c>
      <c r="AI35">
        <f t="shared" si="6"/>
        <v>29</v>
      </c>
      <c r="AJ35" s="27">
        <f t="shared" si="7"/>
        <v>29</v>
      </c>
      <c r="AK35" t="str">
        <f t="shared" si="8"/>
        <v/>
      </c>
      <c r="AL35" t="str">
        <f t="shared" si="9"/>
        <v>5760 sonstige Spesen</v>
      </c>
      <c r="AM35" s="70">
        <f t="shared" si="10"/>
        <v>0</v>
      </c>
      <c r="AN35">
        <f t="shared" si="22"/>
        <v>0</v>
      </c>
      <c r="AP35">
        <f>IF(AV35="",AP34+0.0001,IF(AND(AV34="a",AV35="p"),AP34+7,IF(AND(AP34&lt;1,AQ35="T_B"),1,IF(AND(AQ34&lt;&gt;"T_B",AQ35="T_B"),ROUND(AP34,0)+3,IF(AND(AP34&gt;=1,OR(AR35&lt;&gt;"",AR35&lt;&gt;0)),ROUND(AP34+1,0),AP34+0.0001)))))</f>
        <v>43</v>
      </c>
      <c r="AQ35" t="str">
        <f>IF(OR(Kontenplan!R37-1=Kontenplan!R36,Kontenplan!S37-1=Kontenplan!S36),"T_B","")</f>
        <v/>
      </c>
      <c r="AR35" t="str">
        <f>CONCATENATE(Kontenplan!D37,Kontenplan!E37," ",Kontenplan!F37)</f>
        <v>2800 Vereinskapital</v>
      </c>
      <c r="AS35" s="70">
        <f t="shared" si="11"/>
        <v>0</v>
      </c>
      <c r="AT35" s="70">
        <f t="shared" si="12"/>
        <v>0</v>
      </c>
      <c r="AU35" s="70">
        <f t="shared" si="13"/>
        <v>0</v>
      </c>
      <c r="AV35" s="70" t="str">
        <f>IF(OR(A35="Aktivkonto",Kontenplan!R37-1=Kontenplan!R36),"a",IF(OR(A35="Passivkonto",Kontenplan!S37-1=Kontenplan!S36),"p",""))</f>
        <v>p</v>
      </c>
      <c r="AW35" s="70">
        <f t="shared" si="33"/>
        <v>0</v>
      </c>
      <c r="AY35">
        <f t="shared" si="15"/>
        <v>29</v>
      </c>
      <c r="AZ35">
        <f t="shared" si="16"/>
        <v>25</v>
      </c>
      <c r="BA35" t="str">
        <f t="shared" si="17"/>
        <v/>
      </c>
      <c r="BB35" t="str">
        <f t="shared" si="18"/>
        <v/>
      </c>
      <c r="BC35" s="70" t="str">
        <f t="shared" si="19"/>
        <v/>
      </c>
      <c r="BD35" s="70">
        <f t="shared" si="24"/>
        <v>0</v>
      </c>
    </row>
    <row r="36" spans="1:56" x14ac:dyDescent="0.25">
      <c r="A36" s="3" t="str">
        <f>Kontenplan!C38</f>
        <v>Passivkonto</v>
      </c>
      <c r="B36" s="74">
        <f>Kontenplan!E38</f>
        <v>2900</v>
      </c>
      <c r="C36" s="71" t="str">
        <f>Kontenplan!F38</f>
        <v>Reserven</v>
      </c>
      <c r="D36" s="27">
        <f>IF(B36=0,0,SUMIF(Journal!$F$7:$F$84,Calc!B36,Journal!$I$7:$I$84))</f>
        <v>0</v>
      </c>
      <c r="E36" s="17">
        <f>IF(B36=0,0,SUMIF(Journal!$G$7:$G$84,Calc!B36,Journal!$I$7:$I$84))</f>
        <v>0</v>
      </c>
      <c r="F36" s="40">
        <f t="shared" si="25"/>
        <v>0</v>
      </c>
      <c r="G36" s="17">
        <f t="shared" si="26"/>
        <v>0</v>
      </c>
      <c r="H36" s="16" t="str">
        <f t="shared" si="27"/>
        <v xml:space="preserve"> </v>
      </c>
      <c r="I36" s="27" t="str">
        <f t="shared" si="28"/>
        <v xml:space="preserve"> </v>
      </c>
      <c r="J36" s="41" t="str">
        <f t="shared" si="29"/>
        <v xml:space="preserve"> </v>
      </c>
      <c r="K36" s="42" t="str">
        <f t="shared" si="30"/>
        <v xml:space="preserve"> </v>
      </c>
      <c r="L36" s="41" t="str">
        <f t="shared" si="31"/>
        <v xml:space="preserve"> </v>
      </c>
      <c r="M36" s="42" t="str">
        <f t="shared" si="32"/>
        <v xml:space="preserve"> </v>
      </c>
      <c r="N36" s="24"/>
      <c r="O36" s="24">
        <f t="shared" si="20"/>
        <v>0</v>
      </c>
      <c r="P36" s="24">
        <f t="shared" si="21"/>
        <v>0</v>
      </c>
      <c r="Q36" s="24"/>
      <c r="S36">
        <f>Kontenplan!R38</f>
        <v>6</v>
      </c>
      <c r="T36">
        <f>Kontenplan!S38</f>
        <v>2</v>
      </c>
      <c r="U36">
        <f>Kontenplan!T38</f>
        <v>0</v>
      </c>
      <c r="V36" s="30">
        <f>Kontenplan!U38</f>
        <v>0</v>
      </c>
      <c r="Z36">
        <f t="shared" si="1"/>
        <v>2.9999999999999988E-3</v>
      </c>
      <c r="AA36" t="str">
        <f>IF(OR(Kontenplan!T38-1=Kontenplan!T37,Kontenplan!U38-1=Kontenplan!U37),"T_ER","")</f>
        <v/>
      </c>
      <c r="AB36" t="str">
        <f>CONCATENATE(Kontenplan!D38,Kontenplan!E38," ",Kontenplan!F38)</f>
        <v>2900 Reserven</v>
      </c>
      <c r="AC36" s="70">
        <f t="shared" si="2"/>
        <v>0</v>
      </c>
      <c r="AD36" s="70">
        <f t="shared" si="3"/>
        <v>0</v>
      </c>
      <c r="AE36" s="70">
        <f t="shared" si="4"/>
        <v>0</v>
      </c>
      <c r="AG36">
        <f t="shared" si="5"/>
        <v>0</v>
      </c>
      <c r="AI36">
        <f t="shared" si="6"/>
        <v>30</v>
      </c>
      <c r="AJ36" s="27">
        <f t="shared" si="7"/>
        <v>30</v>
      </c>
      <c r="AK36" t="str">
        <f t="shared" si="8"/>
        <v/>
      </c>
      <c r="AL36" t="str">
        <f t="shared" si="9"/>
        <v>5780 Bank-, Post-Spesen</v>
      </c>
      <c r="AM36" s="70">
        <f t="shared" si="10"/>
        <v>0</v>
      </c>
      <c r="AN36">
        <f t="shared" si="22"/>
        <v>0</v>
      </c>
      <c r="AP36">
        <f t="shared" ref="AP36:AP91" si="34">IF(AV36="",AP35+0.0001,IF(AND(AV35="a",AV36="p"),AP35+7,IF(AND(AP35&lt;1,AQ36="T_B"),1,IF(AND(AQ35&lt;&gt;"T_B",AQ36="T_B"),ROUND(AP35,0)+3,IF(AND(AP35&gt;=1,OR(AR36&lt;&gt;"",AR36&lt;&gt;0)),ROUND(AP35+1,0),AP35+0.0001)))))</f>
        <v>44</v>
      </c>
      <c r="AQ36" t="str">
        <f>IF(OR(Kontenplan!R38-1=Kontenplan!R37,Kontenplan!S38-1=Kontenplan!S37),"T_B","")</f>
        <v/>
      </c>
      <c r="AR36" t="str">
        <f>CONCATENATE(Kontenplan!D38,Kontenplan!E38," ",Kontenplan!F38)</f>
        <v>2900 Reserven</v>
      </c>
      <c r="AS36" s="70">
        <f t="shared" si="11"/>
        <v>0</v>
      </c>
      <c r="AT36" s="70">
        <f t="shared" si="12"/>
        <v>0</v>
      </c>
      <c r="AU36" s="70">
        <f t="shared" si="13"/>
        <v>0</v>
      </c>
      <c r="AV36" s="70" t="str">
        <f>IF(OR(A36="Aktivkonto",Kontenplan!R38-1=Kontenplan!R37),"a",IF(OR(A36="Passivkonto",Kontenplan!S38-1=Kontenplan!S37),"p",""))</f>
        <v>p</v>
      </c>
      <c r="AW36" s="70">
        <f t="shared" si="33"/>
        <v>0</v>
      </c>
      <c r="AY36">
        <f t="shared" si="15"/>
        <v>30</v>
      </c>
      <c r="AZ36">
        <f t="shared" si="16"/>
        <v>25</v>
      </c>
      <c r="BA36" t="str">
        <f t="shared" si="17"/>
        <v/>
      </c>
      <c r="BB36" t="str">
        <f t="shared" si="18"/>
        <v>PASSIVEN</v>
      </c>
      <c r="BC36" s="70" t="str">
        <f t="shared" si="19"/>
        <v/>
      </c>
      <c r="BD36" s="70">
        <f t="shared" si="24"/>
        <v>0</v>
      </c>
    </row>
    <row r="37" spans="1:56" x14ac:dyDescent="0.25">
      <c r="A37" s="3" t="str">
        <f>Kontenplan!C39</f>
        <v>Passivkonto</v>
      </c>
      <c r="B37" s="74">
        <f>Kontenplan!E39</f>
        <v>2990</v>
      </c>
      <c r="C37" s="71" t="str">
        <f>Kontenplan!F39</f>
        <v>Gewinnvortrag / Verlustvortrag</v>
      </c>
      <c r="D37" s="27">
        <f>IF(B37=0,0,SUMIF(Journal!$F$7:$F$84,Calc!B37,Journal!$I$7:$I$84))</f>
        <v>0</v>
      </c>
      <c r="E37" s="17">
        <f>IF(B37=0,0,SUMIF(Journal!$G$7:$G$84,Calc!B37,Journal!$I$7:$I$84))</f>
        <v>0</v>
      </c>
      <c r="F37" s="40">
        <f t="shared" si="25"/>
        <v>0</v>
      </c>
      <c r="G37" s="17">
        <f t="shared" si="26"/>
        <v>0</v>
      </c>
      <c r="H37" s="16" t="str">
        <f t="shared" si="27"/>
        <v xml:space="preserve"> </v>
      </c>
      <c r="I37" s="27" t="str">
        <f t="shared" si="28"/>
        <v xml:space="preserve"> </v>
      </c>
      <c r="J37" s="41" t="str">
        <f t="shared" si="29"/>
        <v xml:space="preserve"> </v>
      </c>
      <c r="K37" s="42" t="str">
        <f t="shared" si="30"/>
        <v xml:space="preserve"> </v>
      </c>
      <c r="L37" s="41" t="str">
        <f t="shared" si="31"/>
        <v xml:space="preserve"> </v>
      </c>
      <c r="M37" s="42" t="str">
        <f t="shared" si="32"/>
        <v xml:space="preserve"> </v>
      </c>
      <c r="N37" s="24"/>
      <c r="O37" s="24">
        <f t="shared" si="20"/>
        <v>0</v>
      </c>
      <c r="P37" s="24">
        <f t="shared" si="21"/>
        <v>0</v>
      </c>
      <c r="Q37" s="24"/>
      <c r="S37">
        <f>Kontenplan!R39</f>
        <v>6</v>
      </c>
      <c r="T37">
        <f>Kontenplan!S39</f>
        <v>2</v>
      </c>
      <c r="U37">
        <f>Kontenplan!T39</f>
        <v>0</v>
      </c>
      <c r="V37" s="30">
        <f>Kontenplan!U39</f>
        <v>0</v>
      </c>
      <c r="Z37">
        <f t="shared" si="1"/>
        <v>3.0999999999999986E-3</v>
      </c>
      <c r="AA37" t="str">
        <f>IF(OR(Kontenplan!T39-1=Kontenplan!T38,Kontenplan!U39-1=Kontenplan!U38),"T_ER","")</f>
        <v/>
      </c>
      <c r="AB37" t="str">
        <f>CONCATENATE(Kontenplan!D39,Kontenplan!E39," ",Kontenplan!F39)</f>
        <v>2990 Gewinnvortrag / Verlustvortrag</v>
      </c>
      <c r="AC37" s="70">
        <f t="shared" si="2"/>
        <v>0</v>
      </c>
      <c r="AD37" s="70">
        <f t="shared" si="3"/>
        <v>0</v>
      </c>
      <c r="AE37" s="70">
        <f t="shared" si="4"/>
        <v>0</v>
      </c>
      <c r="AG37">
        <f t="shared" si="5"/>
        <v>0</v>
      </c>
      <c r="AI37">
        <f t="shared" si="6"/>
        <v>31</v>
      </c>
      <c r="AJ37" s="27">
        <f t="shared" si="7"/>
        <v>31</v>
      </c>
      <c r="AK37" t="str">
        <f t="shared" si="8"/>
        <v/>
      </c>
      <c r="AL37" t="str">
        <f t="shared" si="9"/>
        <v>5800 Aufwand GV und Dankeschön</v>
      </c>
      <c r="AM37" s="70">
        <f t="shared" si="10"/>
        <v>0</v>
      </c>
      <c r="AN37">
        <f t="shared" si="22"/>
        <v>0</v>
      </c>
      <c r="AP37">
        <f t="shared" si="34"/>
        <v>45</v>
      </c>
      <c r="AQ37" t="str">
        <f>IF(OR(Kontenplan!R39-1=Kontenplan!R38,Kontenplan!S39-1=Kontenplan!S38),"T_B","")</f>
        <v/>
      </c>
      <c r="AR37" t="str">
        <f>CONCATENATE(Kontenplan!D39,Kontenplan!E39," ",Kontenplan!F39)</f>
        <v>2990 Gewinnvortrag / Verlustvortrag</v>
      </c>
      <c r="AS37" s="70">
        <f t="shared" si="11"/>
        <v>0</v>
      </c>
      <c r="AT37" s="70">
        <f t="shared" si="12"/>
        <v>0</v>
      </c>
      <c r="AU37" s="70">
        <f t="shared" si="13"/>
        <v>0</v>
      </c>
      <c r="AV37" s="70" t="str">
        <f>IF(OR(A37="Aktivkonto",Kontenplan!R39-1=Kontenplan!R38),"a",IF(OR(A37="Passivkonto",Kontenplan!S39-1=Kontenplan!S38),"p",""))</f>
        <v>p</v>
      </c>
      <c r="AW37" s="70">
        <f t="shared" si="33"/>
        <v>0</v>
      </c>
      <c r="AY37">
        <f t="shared" si="15"/>
        <v>31</v>
      </c>
      <c r="AZ37">
        <f t="shared" si="16"/>
        <v>25</v>
      </c>
      <c r="BA37" t="str">
        <f t="shared" si="17"/>
        <v/>
      </c>
      <c r="BB37" t="str">
        <f t="shared" si="18"/>
        <v/>
      </c>
      <c r="BC37" s="70" t="str">
        <f t="shared" si="19"/>
        <v/>
      </c>
      <c r="BD37" s="70">
        <f t="shared" si="24"/>
        <v>0</v>
      </c>
    </row>
    <row r="38" spans="1:56" x14ac:dyDescent="0.25">
      <c r="A38" s="3">
        <f>Kontenplan!C40</f>
        <v>0</v>
      </c>
      <c r="B38" s="74">
        <f>Kontenplan!E40</f>
        <v>0</v>
      </c>
      <c r="C38" s="71">
        <f>Kontenplan!F40</f>
        <v>0</v>
      </c>
      <c r="D38" s="27">
        <f>IF(B38=0,0,SUMIF(Journal!$F$7:$F$84,Calc!B38,Journal!$I$7:$I$84))</f>
        <v>0</v>
      </c>
      <c r="E38" s="17">
        <f>IF(B38=0,0,SUMIF(Journal!$G$7:$G$84,Calc!B38,Journal!$I$7:$I$84))</f>
        <v>0</v>
      </c>
      <c r="F38" s="40">
        <f t="shared" si="25"/>
        <v>0</v>
      </c>
      <c r="G38" s="17">
        <f t="shared" si="26"/>
        <v>0</v>
      </c>
      <c r="H38" s="16" t="str">
        <f t="shared" si="27"/>
        <v xml:space="preserve"> </v>
      </c>
      <c r="I38" s="27" t="str">
        <f t="shared" si="28"/>
        <v xml:space="preserve"> </v>
      </c>
      <c r="J38" s="41" t="str">
        <f t="shared" si="29"/>
        <v xml:space="preserve"> </v>
      </c>
      <c r="K38" s="42" t="str">
        <f t="shared" si="30"/>
        <v xml:space="preserve"> </v>
      </c>
      <c r="L38" s="41" t="str">
        <f t="shared" si="31"/>
        <v xml:space="preserve"> </v>
      </c>
      <c r="M38" s="42" t="str">
        <f t="shared" si="32"/>
        <v xml:space="preserve"> </v>
      </c>
      <c r="N38" s="24"/>
      <c r="O38" s="24">
        <f t="shared" si="20"/>
        <v>0</v>
      </c>
      <c r="P38" s="24">
        <f t="shared" si="21"/>
        <v>0</v>
      </c>
      <c r="Q38" s="24"/>
      <c r="S38">
        <f>Kontenplan!R40</f>
        <v>6</v>
      </c>
      <c r="T38">
        <f>Kontenplan!S40</f>
        <v>2</v>
      </c>
      <c r="U38">
        <f>Kontenplan!T40</f>
        <v>1</v>
      </c>
      <c r="V38" s="30">
        <f>Kontenplan!U40</f>
        <v>0</v>
      </c>
      <c r="Z38">
        <f t="shared" si="1"/>
        <v>1</v>
      </c>
      <c r="AA38" t="str">
        <f>IF(OR(Kontenplan!T40-1=Kontenplan!T39,Kontenplan!U40-1=Kontenplan!U39),"T_ER","")</f>
        <v>T_ER</v>
      </c>
      <c r="AB38" t="str">
        <f>CONCATENATE(Kontenplan!D40,Kontenplan!E40," ",Kontenplan!F40)</f>
        <v xml:space="preserve">Aufwände für Auftritte </v>
      </c>
      <c r="AC38" s="70" t="str">
        <f t="shared" si="2"/>
        <v/>
      </c>
      <c r="AD38" s="70">
        <f t="shared" si="3"/>
        <v>0</v>
      </c>
      <c r="AE38" s="70">
        <f t="shared" si="4"/>
        <v>0</v>
      </c>
      <c r="AG38" t="str">
        <f t="shared" si="5"/>
        <v/>
      </c>
      <c r="AI38">
        <f t="shared" si="6"/>
        <v>32</v>
      </c>
      <c r="AJ38" s="27">
        <f t="shared" si="7"/>
        <v>32</v>
      </c>
      <c r="AK38" t="str">
        <f t="shared" si="8"/>
        <v/>
      </c>
      <c r="AL38" t="str">
        <f t="shared" si="9"/>
        <v>5820 diverse wiederkehrende Aufwände</v>
      </c>
      <c r="AM38" s="70">
        <f t="shared" si="10"/>
        <v>0</v>
      </c>
      <c r="AN38">
        <f t="shared" si="22"/>
        <v>0</v>
      </c>
      <c r="AP38">
        <f t="shared" si="34"/>
        <v>45.000100000000003</v>
      </c>
      <c r="AQ38" t="str">
        <f>IF(OR(Kontenplan!R40-1=Kontenplan!R39,Kontenplan!S40-1=Kontenplan!S39),"T_B","")</f>
        <v/>
      </c>
      <c r="AR38" t="str">
        <f>CONCATENATE(Kontenplan!D40,Kontenplan!E40," ",Kontenplan!F40)</f>
        <v xml:space="preserve">Aufwände für Auftritte </v>
      </c>
      <c r="AS38" s="70" t="str">
        <f t="shared" si="11"/>
        <v/>
      </c>
      <c r="AT38" s="70">
        <f t="shared" si="12"/>
        <v>0</v>
      </c>
      <c r="AU38" s="70">
        <f t="shared" si="13"/>
        <v>0</v>
      </c>
      <c r="AV38" s="70" t="str">
        <f>IF(OR(A38="Aktivkonto",Kontenplan!R40-1=Kontenplan!R39),"a",IF(OR(A38="Passivkonto",Kontenplan!S40-1=Kontenplan!S39),"p",""))</f>
        <v/>
      </c>
      <c r="AW38" s="70" t="str">
        <f t="shared" si="33"/>
        <v/>
      </c>
      <c r="AY38">
        <f t="shared" si="15"/>
        <v>32</v>
      </c>
      <c r="AZ38">
        <f t="shared" si="16"/>
        <v>32</v>
      </c>
      <c r="BA38" t="str">
        <f t="shared" si="17"/>
        <v>T_B</v>
      </c>
      <c r="BB38" t="str">
        <f>IF(AY38-AZ38=5,"PASSIVEN",IF(OR(AY38-AZ38=3,AND(AZ38=$AZ$3,ROUND(AZ38,0)+5=AY38)),"Bilanzsumme",IF(AND($AZ$3-1&lt;AZ38,ROUND(AZ38+3,0)=AY38),$C$131,IF(AZ38=AY38,VLOOKUP(AY38,$AP$7:$AW$98,3),""))))</f>
        <v xml:space="preserve">Fremdkapital </v>
      </c>
      <c r="BC38" s="70" t="str">
        <f t="shared" si="19"/>
        <v/>
      </c>
      <c r="BD38" s="70">
        <f t="shared" si="24"/>
        <v>0</v>
      </c>
    </row>
    <row r="39" spans="1:56" x14ac:dyDescent="0.25">
      <c r="A39" s="3" t="str">
        <f>Kontenplan!C41</f>
        <v>Aufwandskonto</v>
      </c>
      <c r="B39" s="74">
        <f>Kontenplan!E41</f>
        <v>3000</v>
      </c>
      <c r="C39" s="71" t="str">
        <f>Kontenplan!F41</f>
        <v>Aufwände für Zuzüger</v>
      </c>
      <c r="D39" s="27">
        <f>IF(B39=0,0,SUMIF(Journal!$F$7:$F$84,Calc!B39,Journal!$I$7:$I$84))</f>
        <v>0</v>
      </c>
      <c r="E39" s="17">
        <f>IF(B39=0,0,SUMIF(Journal!$G$7:$G$84,Calc!B39,Journal!$I$7:$I$84))</f>
        <v>0</v>
      </c>
      <c r="F39" s="40">
        <f t="shared" si="25"/>
        <v>0</v>
      </c>
      <c r="G39" s="17">
        <f t="shared" si="26"/>
        <v>0</v>
      </c>
      <c r="H39" s="16" t="str">
        <f t="shared" si="27"/>
        <v xml:space="preserve"> </v>
      </c>
      <c r="I39" s="27" t="str">
        <f t="shared" si="28"/>
        <v xml:space="preserve"> </v>
      </c>
      <c r="J39" s="41" t="str">
        <f t="shared" si="29"/>
        <v xml:space="preserve"> </v>
      </c>
      <c r="K39" s="42" t="str">
        <f t="shared" si="30"/>
        <v xml:space="preserve"> </v>
      </c>
      <c r="L39" s="41" t="str">
        <f t="shared" si="31"/>
        <v xml:space="preserve"> </v>
      </c>
      <c r="M39" s="42" t="str">
        <f t="shared" si="32"/>
        <v xml:space="preserve"> </v>
      </c>
      <c r="N39" s="24"/>
      <c r="O39" s="24">
        <f t="shared" si="20"/>
        <v>0</v>
      </c>
      <c r="P39" s="24">
        <f t="shared" si="21"/>
        <v>0</v>
      </c>
      <c r="Q39" s="24"/>
      <c r="S39">
        <f>Kontenplan!R41</f>
        <v>6</v>
      </c>
      <c r="T39">
        <f>Kontenplan!S41</f>
        <v>2</v>
      </c>
      <c r="U39">
        <f>Kontenplan!T41</f>
        <v>1</v>
      </c>
      <c r="V39" s="30">
        <f>Kontenplan!U41</f>
        <v>0</v>
      </c>
      <c r="Z39">
        <f t="shared" si="1"/>
        <v>2</v>
      </c>
      <c r="AA39" t="str">
        <f>IF(OR(Kontenplan!T41-1=Kontenplan!T40,Kontenplan!U41-1=Kontenplan!U40),"T_ER","")</f>
        <v/>
      </c>
      <c r="AB39" t="str">
        <f>CONCATENATE(Kontenplan!D41,Kontenplan!E41," ",Kontenplan!F41)</f>
        <v>3000 Aufwände für Zuzüger</v>
      </c>
      <c r="AC39" s="70">
        <f t="shared" si="2"/>
        <v>0</v>
      </c>
      <c r="AD39" s="70">
        <f t="shared" si="3"/>
        <v>0</v>
      </c>
      <c r="AE39" s="70">
        <f t="shared" si="4"/>
        <v>0</v>
      </c>
      <c r="AG39">
        <f t="shared" si="5"/>
        <v>0</v>
      </c>
      <c r="AI39">
        <f t="shared" si="6"/>
        <v>33</v>
      </c>
      <c r="AJ39" s="27">
        <f t="shared" ref="AJ39:AJ70" si="35">VLOOKUP(AI39,$Z$7:$AG$120,1)</f>
        <v>33</v>
      </c>
      <c r="AK39" t="str">
        <f t="shared" ref="AK39:AK70" si="36">IF(AJ39=AI39,VLOOKUP(AI39,$Z$7:$AG$120,2),IF(AND(ROUND(AJ39+1,0)=AI39,$AK$5&gt;=1),"Sub",""))</f>
        <v/>
      </c>
      <c r="AL39" t="str">
        <f t="shared" ref="AL39:AL70" si="37">IF(ROUND(AJ39+3,0)=AI39,$C$131,IF(AJ39=AI39,VLOOKUP(AI39,$Z$7:$AG$120,3),""))</f>
        <v>5840 Zinsaufwand</v>
      </c>
      <c r="AM39" s="70">
        <f t="shared" ref="AM39:AM70" si="38">IF($H$137=0,0,IF(ROUND(AJ39+3,0)=AI39,$I$131-$H$131,IF(AJ39=AI39,VLOOKUP(AI39,$Z$7:$AG$120,4),IF(AND($AK$5&gt;0,ROUND(AJ39+1,0)=AI39),VLOOKUP(ROUND(AJ39,0),$Z$7:$AG$120,8),""))))</f>
        <v>0</v>
      </c>
      <c r="AN39">
        <f t="shared" si="22"/>
        <v>0</v>
      </c>
      <c r="AP39">
        <f>IF(AV39="",AP38+0.0001,IF(AND(AV38="a",AV39="p"),AP38+7,IF(AND(AP38&lt;1,AQ39="T_B"),1,IF(AND(AQ38&lt;&gt;"T_B",AQ39="T_B"),ROUND(AP38,0)+3,IF(AND(AP38&gt;=1,OR(AR39&lt;&gt;"",AR39&lt;&gt;0)),ROUND(AP38+1,0),AP38+0.0001)))))</f>
        <v>45.000200000000007</v>
      </c>
      <c r="AQ39" t="str">
        <f>IF(OR(Kontenplan!R41-1=Kontenplan!R40,Kontenplan!S41-1=Kontenplan!S40),"T_B","")</f>
        <v/>
      </c>
      <c r="AR39" t="str">
        <f>CONCATENATE(Kontenplan!D41,Kontenplan!E41," ",Kontenplan!F41)</f>
        <v>3000 Aufwände für Zuzüger</v>
      </c>
      <c r="AS39" s="70">
        <f t="shared" ref="AS39:AS70" si="39">IF(A39=0,"",IF(A39="Passivkonto",AU39-AT39,AT39-AU39))</f>
        <v>0</v>
      </c>
      <c r="AT39" s="70">
        <f t="shared" ref="AT39:AT70" si="40">IF(H39=" ",0,H39)</f>
        <v>0</v>
      </c>
      <c r="AU39" s="70">
        <f t="shared" ref="AU39:AU70" si="41">IF(I39=" ",0,I39)</f>
        <v>0</v>
      </c>
      <c r="AV39" s="70" t="str">
        <f>IF(OR(A39="Aktivkonto",Kontenplan!R41-1=Kontenplan!R40),"a",IF(OR(A39="Passivkonto",Kontenplan!S41-1=Kontenplan!S40),"p",""))</f>
        <v/>
      </c>
      <c r="AW39" s="70">
        <f t="shared" si="33"/>
        <v>0</v>
      </c>
      <c r="AY39">
        <f t="shared" si="15"/>
        <v>33</v>
      </c>
      <c r="AZ39">
        <f t="shared" ref="AZ39:AZ70" si="42">VLOOKUP(AY39,$AP$7:$AW$98,1)</f>
        <v>33</v>
      </c>
      <c r="BA39" t="str">
        <f t="shared" ref="BA39:BA70" si="43">IF(AZ39=AY39,VLOOKUP(AY39,$AP$7:$AW$98,2),IF(AND($BA$5&gt;=1,ROUND(AZ39+1,0)=AY39),"Sub",""))</f>
        <v/>
      </c>
      <c r="BB39" t="str">
        <f>IF(AY39-AZ39=5,"PASSIVEN",IF(OR(AY39-AZ39=3,AND(AZ39=$AZ$3,ROUND(AZ39,0)+5=AY39)),"Bilanzsumme",IF(AND($AZ$3-1&lt;AZ39,ROUND(AZ39+3,0)=AY39),$C$131,IF(AZ39=AY39,VLOOKUP(AY39,$AP$7:$AW$98,3),""))))</f>
        <v>2000 Kreditoren CHF</v>
      </c>
      <c r="BC39" s="70">
        <f t="shared" ref="BC39:BC70" si="44">IF($H$137=0,0,IF(OR(AY39-AZ39=3,AND(AZ39=$AZ$3,ROUND(AZ39,0)+5=AY39)),$O$4,IF(AND($AZ$3-1&lt;AZ39,ROUND(AZ39+3,0)=AY39),$I$131-$H$131,IF(AZ39=AY39,VLOOKUP(AY39,$AP$7:$AW$98,4),IF(AND($BA$5&gt;0,ROUND(AZ39+1,0)=AY39),VLOOKUP(ROUND(AZ39,0),$AP$7:$AW$98,8),"")))))</f>
        <v>0</v>
      </c>
      <c r="BD39" s="70">
        <f t="shared" si="24"/>
        <v>0</v>
      </c>
    </row>
    <row r="40" spans="1:56" x14ac:dyDescent="0.25">
      <c r="A40" s="3" t="str">
        <f>Kontenplan!C42</f>
        <v>Aufwandskonto</v>
      </c>
      <c r="B40" s="74">
        <f>Kontenplan!E42</f>
        <v>3100</v>
      </c>
      <c r="C40" s="71" t="str">
        <f>Kontenplan!F42</f>
        <v>Werbeaufwand Auftritte</v>
      </c>
      <c r="D40" s="27">
        <f>IF(B40=0,0,SUMIF(Journal!$F$7:$F$84,Calc!B40,Journal!$I$7:$I$84))</f>
        <v>0</v>
      </c>
      <c r="E40" s="17">
        <f>IF(B40=0,0,SUMIF(Journal!$G$7:$G$84,Calc!B40,Journal!$I$7:$I$84))</f>
        <v>0</v>
      </c>
      <c r="F40" s="40">
        <f t="shared" si="25"/>
        <v>0</v>
      </c>
      <c r="G40" s="17">
        <f t="shared" si="26"/>
        <v>0</v>
      </c>
      <c r="H40" s="16" t="str">
        <f t="shared" si="27"/>
        <v xml:space="preserve"> </v>
      </c>
      <c r="I40" s="27" t="str">
        <f t="shared" si="28"/>
        <v xml:space="preserve"> </v>
      </c>
      <c r="J40" s="41" t="str">
        <f t="shared" si="29"/>
        <v xml:space="preserve"> </v>
      </c>
      <c r="K40" s="42" t="str">
        <f t="shared" si="30"/>
        <v xml:space="preserve"> </v>
      </c>
      <c r="L40" s="41" t="str">
        <f t="shared" si="31"/>
        <v xml:space="preserve"> </v>
      </c>
      <c r="M40" s="42" t="str">
        <f t="shared" si="32"/>
        <v xml:space="preserve"> </v>
      </c>
      <c r="N40" s="24"/>
      <c r="O40" s="24">
        <f t="shared" si="20"/>
        <v>0</v>
      </c>
      <c r="P40" s="24">
        <f t="shared" si="21"/>
        <v>0</v>
      </c>
      <c r="Q40" s="24"/>
      <c r="S40">
        <f>Kontenplan!R42</f>
        <v>6</v>
      </c>
      <c r="T40">
        <f>Kontenplan!S42</f>
        <v>2</v>
      </c>
      <c r="U40">
        <f>Kontenplan!T42</f>
        <v>1</v>
      </c>
      <c r="V40" s="30">
        <f>Kontenplan!U42</f>
        <v>0</v>
      </c>
      <c r="Z40">
        <f t="shared" si="1"/>
        <v>3</v>
      </c>
      <c r="AA40" t="str">
        <f>IF(OR(Kontenplan!T42-1=Kontenplan!T41,Kontenplan!U42-1=Kontenplan!U41),"T_ER","")</f>
        <v/>
      </c>
      <c r="AB40" t="str">
        <f>CONCATENATE(Kontenplan!D42,Kontenplan!E42," ",Kontenplan!F42)</f>
        <v>3100 Werbeaufwand Auftritte</v>
      </c>
      <c r="AC40" s="70">
        <f t="shared" si="2"/>
        <v>0</v>
      </c>
      <c r="AD40" s="70">
        <f t="shared" si="3"/>
        <v>0</v>
      </c>
      <c r="AE40" s="70">
        <f t="shared" si="4"/>
        <v>0</v>
      </c>
      <c r="AG40">
        <f t="shared" si="5"/>
        <v>0</v>
      </c>
      <c r="AI40">
        <f t="shared" si="6"/>
        <v>34</v>
      </c>
      <c r="AJ40" s="27">
        <f t="shared" si="35"/>
        <v>34</v>
      </c>
      <c r="AK40" t="str">
        <f t="shared" si="36"/>
        <v/>
      </c>
      <c r="AL40" t="str">
        <f t="shared" si="37"/>
        <v>5900 Abschreibungen</v>
      </c>
      <c r="AM40" s="70">
        <f t="shared" si="38"/>
        <v>0</v>
      </c>
      <c r="AN40">
        <f t="shared" si="22"/>
        <v>0</v>
      </c>
      <c r="AP40">
        <f t="shared" si="34"/>
        <v>45.00030000000001</v>
      </c>
      <c r="AQ40" t="str">
        <f>IF(OR(Kontenplan!R42-1=Kontenplan!R41,Kontenplan!S42-1=Kontenplan!S41),"T_B","")</f>
        <v/>
      </c>
      <c r="AR40" t="str">
        <f>CONCATENATE(Kontenplan!D42,Kontenplan!E42," ",Kontenplan!F42)</f>
        <v>3100 Werbeaufwand Auftritte</v>
      </c>
      <c r="AS40" s="70">
        <f t="shared" si="39"/>
        <v>0</v>
      </c>
      <c r="AT40" s="70">
        <f t="shared" si="40"/>
        <v>0</v>
      </c>
      <c r="AU40" s="70">
        <f t="shared" si="41"/>
        <v>0</v>
      </c>
      <c r="AV40" s="70" t="str">
        <f>IF(OR(A40="Aktivkonto",Kontenplan!R42-1=Kontenplan!R41),"a",IF(OR(A40="Passivkonto",Kontenplan!S42-1=Kontenplan!S41),"p",""))</f>
        <v/>
      </c>
      <c r="AW40" s="70">
        <f t="shared" si="33"/>
        <v>0</v>
      </c>
      <c r="AY40">
        <f t="shared" si="15"/>
        <v>34</v>
      </c>
      <c r="AZ40">
        <f t="shared" si="42"/>
        <v>34</v>
      </c>
      <c r="BA40" t="str">
        <f t="shared" si="43"/>
        <v/>
      </c>
      <c r="BB40" t="str">
        <f t="shared" ref="BB40:BB70" si="45">IF(AY40-AZ40=5,"PASSIVEN",IF(OR(AY40-AZ40=3,AND(AZ40=$AZ$3,ROUND(AZ40,0)+5=AY40)),"Bilanzsumme",IF(AND($AZ$3-1&lt;AZ40,ROUND(AZ40+3,0)=AY40),$C$131,IF(AZ40=AY40,VLOOKUP(AY40,$AP$7:$AW$98,3),""))))</f>
        <v>2010 weitere Kreditoren</v>
      </c>
      <c r="BC40" s="70">
        <f t="shared" si="44"/>
        <v>0</v>
      </c>
      <c r="BD40" s="70">
        <f>IF(BA40="Sub",BC40,0)</f>
        <v>0</v>
      </c>
    </row>
    <row r="41" spans="1:56" x14ac:dyDescent="0.25">
      <c r="A41" s="3" t="str">
        <f>Kontenplan!C43</f>
        <v>Aufwandskonto</v>
      </c>
      <c r="B41" s="74">
        <f>Kontenplan!E43</f>
        <v>3200</v>
      </c>
      <c r="C41" s="71" t="str">
        <f>Kontenplan!F43</f>
        <v>Einkauf für Auftritt</v>
      </c>
      <c r="D41" s="27">
        <f>IF(B41=0,0,SUMIF(Journal!$F$7:$F$84,Calc!B41,Journal!$I$7:$I$84))</f>
        <v>0</v>
      </c>
      <c r="E41" s="17">
        <f>IF(B41=0,0,SUMIF(Journal!$G$7:$G$84,Calc!B41,Journal!$I$7:$I$84))</f>
        <v>0</v>
      </c>
      <c r="F41" s="40">
        <f t="shared" si="25"/>
        <v>0</v>
      </c>
      <c r="G41" s="17">
        <f t="shared" si="26"/>
        <v>0</v>
      </c>
      <c r="H41" s="16" t="str">
        <f t="shared" si="27"/>
        <v xml:space="preserve"> </v>
      </c>
      <c r="I41" s="27" t="str">
        <f t="shared" si="28"/>
        <v xml:space="preserve"> </v>
      </c>
      <c r="J41" s="41" t="str">
        <f t="shared" si="29"/>
        <v xml:space="preserve"> </v>
      </c>
      <c r="K41" s="42" t="str">
        <f t="shared" si="30"/>
        <v xml:space="preserve"> </v>
      </c>
      <c r="L41" s="41" t="str">
        <f t="shared" si="31"/>
        <v xml:space="preserve"> </v>
      </c>
      <c r="M41" s="42" t="str">
        <f t="shared" si="32"/>
        <v xml:space="preserve"> </v>
      </c>
      <c r="N41" s="24"/>
      <c r="O41" s="24">
        <f t="shared" si="20"/>
        <v>0</v>
      </c>
      <c r="P41" s="24">
        <f t="shared" si="21"/>
        <v>0</v>
      </c>
      <c r="Q41" s="24"/>
      <c r="S41">
        <f>Kontenplan!R43</f>
        <v>6</v>
      </c>
      <c r="T41">
        <f>Kontenplan!S43</f>
        <v>2</v>
      </c>
      <c r="U41">
        <f>Kontenplan!T43</f>
        <v>1</v>
      </c>
      <c r="V41" s="30">
        <f>Kontenplan!U43</f>
        <v>0</v>
      </c>
      <c r="Z41">
        <f t="shared" si="1"/>
        <v>4</v>
      </c>
      <c r="AA41" t="str">
        <f>IF(OR(Kontenplan!T43-1=Kontenplan!T42,Kontenplan!U43-1=Kontenplan!U42),"T_ER","")</f>
        <v/>
      </c>
      <c r="AB41" t="str">
        <f>CONCATENATE(Kontenplan!D43,Kontenplan!E43," ",Kontenplan!F43)</f>
        <v>3200 Einkauf für Auftritt</v>
      </c>
      <c r="AC41" s="70">
        <f t="shared" si="2"/>
        <v>0</v>
      </c>
      <c r="AD41" s="70">
        <f t="shared" si="3"/>
        <v>0</v>
      </c>
      <c r="AE41" s="70">
        <f t="shared" si="4"/>
        <v>0</v>
      </c>
      <c r="AG41">
        <f t="shared" si="5"/>
        <v>0</v>
      </c>
      <c r="AI41">
        <f>AI40+1</f>
        <v>35</v>
      </c>
      <c r="AJ41" s="27">
        <f t="shared" si="35"/>
        <v>34</v>
      </c>
      <c r="AK41" t="str">
        <f t="shared" si="36"/>
        <v>Sub</v>
      </c>
      <c r="AL41" t="str">
        <f t="shared" si="37"/>
        <v/>
      </c>
      <c r="AM41" s="70">
        <f t="shared" si="38"/>
        <v>0</v>
      </c>
      <c r="AN41">
        <f t="shared" si="22"/>
        <v>0</v>
      </c>
      <c r="AP41">
        <f t="shared" si="34"/>
        <v>45.000400000000013</v>
      </c>
      <c r="AQ41" t="str">
        <f>IF(OR(Kontenplan!R43-1=Kontenplan!R42,Kontenplan!S43-1=Kontenplan!S42),"T_B","")</f>
        <v/>
      </c>
      <c r="AR41" t="str">
        <f>CONCATENATE(Kontenplan!D43,Kontenplan!E43," ",Kontenplan!F43)</f>
        <v>3200 Einkauf für Auftritt</v>
      </c>
      <c r="AS41" s="70">
        <f t="shared" si="39"/>
        <v>0</v>
      </c>
      <c r="AT41" s="70">
        <f t="shared" si="40"/>
        <v>0</v>
      </c>
      <c r="AU41" s="70">
        <f t="shared" si="41"/>
        <v>0</v>
      </c>
      <c r="AV41" s="70" t="str">
        <f>IF(OR(A41="Aktivkonto",Kontenplan!R43-1=Kontenplan!R42),"a",IF(OR(A41="Passivkonto",Kontenplan!S43-1=Kontenplan!S42),"p",""))</f>
        <v/>
      </c>
      <c r="AW41" s="70">
        <f t="shared" si="33"/>
        <v>0</v>
      </c>
      <c r="AY41">
        <f t="shared" si="15"/>
        <v>35</v>
      </c>
      <c r="AZ41">
        <f t="shared" si="42"/>
        <v>35</v>
      </c>
      <c r="BA41" t="str">
        <f t="shared" si="43"/>
        <v/>
      </c>
      <c r="BB41" t="str">
        <f t="shared" si="45"/>
        <v>2100 Depot Uniformen</v>
      </c>
      <c r="BC41" s="70">
        <f t="shared" si="44"/>
        <v>0</v>
      </c>
      <c r="BD41" s="70">
        <f t="shared" si="24"/>
        <v>0</v>
      </c>
    </row>
    <row r="42" spans="1:56" x14ac:dyDescent="0.25">
      <c r="A42" s="3" t="str">
        <f>Kontenplan!C44</f>
        <v>Aufwandskonto</v>
      </c>
      <c r="B42" s="74">
        <f>Kontenplan!E44</f>
        <v>3300</v>
      </c>
      <c r="C42" s="71" t="str">
        <f>Kontenplan!F44</f>
        <v>Spesen für Auftritt</v>
      </c>
      <c r="D42" s="27">
        <f>IF(B42=0,0,SUMIF(Journal!$F$7:$F$84,Calc!B42,Journal!$I$7:$I$84))</f>
        <v>0</v>
      </c>
      <c r="E42" s="17">
        <f>IF(B42=0,0,SUMIF(Journal!$G$7:$G$84,Calc!B42,Journal!$I$7:$I$84))</f>
        <v>0</v>
      </c>
      <c r="F42" s="40">
        <f t="shared" si="25"/>
        <v>0</v>
      </c>
      <c r="G42" s="17">
        <f t="shared" si="26"/>
        <v>0</v>
      </c>
      <c r="H42" s="16" t="str">
        <f t="shared" si="27"/>
        <v xml:space="preserve"> </v>
      </c>
      <c r="I42" s="27" t="str">
        <f t="shared" si="28"/>
        <v xml:space="preserve"> </v>
      </c>
      <c r="J42" s="41" t="str">
        <f t="shared" si="29"/>
        <v xml:space="preserve"> </v>
      </c>
      <c r="K42" s="42" t="str">
        <f t="shared" si="30"/>
        <v xml:space="preserve"> </v>
      </c>
      <c r="L42" s="41" t="str">
        <f t="shared" si="31"/>
        <v xml:space="preserve"> </v>
      </c>
      <c r="M42" s="42" t="str">
        <f t="shared" si="32"/>
        <v xml:space="preserve"> </v>
      </c>
      <c r="N42" s="24"/>
      <c r="O42" s="24">
        <f t="shared" si="20"/>
        <v>0</v>
      </c>
      <c r="P42" s="24">
        <f t="shared" si="21"/>
        <v>0</v>
      </c>
      <c r="Q42" s="24"/>
      <c r="S42">
        <f>Kontenplan!R44</f>
        <v>6</v>
      </c>
      <c r="T42">
        <f>Kontenplan!S44</f>
        <v>2</v>
      </c>
      <c r="U42">
        <f>Kontenplan!T44</f>
        <v>1</v>
      </c>
      <c r="V42" s="30">
        <f>Kontenplan!U44</f>
        <v>0</v>
      </c>
      <c r="Z42">
        <f t="shared" si="1"/>
        <v>5</v>
      </c>
      <c r="AA42" t="str">
        <f>IF(OR(Kontenplan!T44-1=Kontenplan!T43,Kontenplan!U44-1=Kontenplan!U43),"T_ER","")</f>
        <v/>
      </c>
      <c r="AB42" t="str">
        <f>CONCATENATE(Kontenplan!D44,Kontenplan!E44," ",Kontenplan!F44)</f>
        <v>3300 Spesen für Auftritt</v>
      </c>
      <c r="AC42" s="70">
        <f t="shared" si="2"/>
        <v>0</v>
      </c>
      <c r="AD42" s="70">
        <f t="shared" si="3"/>
        <v>0</v>
      </c>
      <c r="AE42" s="70">
        <f t="shared" si="4"/>
        <v>0</v>
      </c>
      <c r="AG42">
        <f t="shared" si="5"/>
        <v>0</v>
      </c>
      <c r="AI42">
        <f t="shared" si="6"/>
        <v>36</v>
      </c>
      <c r="AJ42" s="27">
        <f t="shared" si="35"/>
        <v>34</v>
      </c>
      <c r="AK42" t="str">
        <f t="shared" si="36"/>
        <v/>
      </c>
      <c r="AL42" t="str">
        <f t="shared" si="37"/>
        <v/>
      </c>
      <c r="AM42" s="70" t="str">
        <f t="shared" si="38"/>
        <v/>
      </c>
      <c r="AN42">
        <f t="shared" si="22"/>
        <v>0</v>
      </c>
      <c r="AP42">
        <f t="shared" si="34"/>
        <v>45.000500000000017</v>
      </c>
      <c r="AQ42" t="str">
        <f>IF(OR(Kontenplan!R44-1=Kontenplan!R43,Kontenplan!S44-1=Kontenplan!S43),"T_B","")</f>
        <v/>
      </c>
      <c r="AR42" t="str">
        <f>CONCATENATE(Kontenplan!D44,Kontenplan!E44," ",Kontenplan!F44)</f>
        <v>3300 Spesen für Auftritt</v>
      </c>
      <c r="AS42" s="70">
        <f t="shared" si="39"/>
        <v>0</v>
      </c>
      <c r="AT42" s="70">
        <f t="shared" si="40"/>
        <v>0</v>
      </c>
      <c r="AU42" s="70">
        <f t="shared" si="41"/>
        <v>0</v>
      </c>
      <c r="AV42" s="70" t="str">
        <f>IF(OR(A42="Aktivkonto",Kontenplan!R44-1=Kontenplan!R43),"a",IF(OR(A42="Passivkonto",Kontenplan!S44-1=Kontenplan!S43),"p",""))</f>
        <v/>
      </c>
      <c r="AW42" s="70">
        <f t="shared" si="33"/>
        <v>0</v>
      </c>
      <c r="AY42">
        <f t="shared" si="15"/>
        <v>36</v>
      </c>
      <c r="AZ42">
        <f t="shared" si="42"/>
        <v>36</v>
      </c>
      <c r="BA42" t="str">
        <f t="shared" si="43"/>
        <v/>
      </c>
      <c r="BB42" t="str">
        <f>IF(AY42-AZ42=5,"PASSIVEN",IF(OR(AY42-AZ42=3,AND(AZ42=$AZ$3,ROUND(AZ42,0)+5=AY42)),"Bilanzsumme",IF(AND($AZ$3-1&lt;AZ42,ROUND(AZ42+3,0)=AY42),$C$131,IF(AZ42=AY42,VLOOKUP(AY42,$AP$7:$AW$98,3),""))))</f>
        <v>2200 Depot Instrumente</v>
      </c>
      <c r="BC42" s="70">
        <f t="shared" si="44"/>
        <v>0</v>
      </c>
      <c r="BD42" s="70">
        <f t="shared" si="24"/>
        <v>0</v>
      </c>
    </row>
    <row r="43" spans="1:56" x14ac:dyDescent="0.25">
      <c r="A43" s="3" t="str">
        <f>Kontenplan!C45</f>
        <v>Aufwandskonto</v>
      </c>
      <c r="B43" s="74">
        <f>Kontenplan!E45</f>
        <v>3400</v>
      </c>
      <c r="C43" s="71" t="str">
        <f>Kontenplan!F45</f>
        <v>div. Aufwände Konzerte</v>
      </c>
      <c r="D43" s="27">
        <f>IF(B43=0,0,SUMIF(Journal!$F$7:$F$84,Calc!B43,Journal!$I$7:$I$84))</f>
        <v>0</v>
      </c>
      <c r="E43" s="17">
        <f>IF(B43=0,0,SUMIF(Journal!$G$7:$G$84,Calc!B43,Journal!$I$7:$I$84))</f>
        <v>0</v>
      </c>
      <c r="F43" s="40">
        <f t="shared" si="25"/>
        <v>0</v>
      </c>
      <c r="G43" s="17">
        <f t="shared" si="26"/>
        <v>0</v>
      </c>
      <c r="H43" s="16" t="str">
        <f t="shared" si="27"/>
        <v xml:space="preserve"> </v>
      </c>
      <c r="I43" s="27" t="str">
        <f t="shared" si="28"/>
        <v xml:space="preserve"> </v>
      </c>
      <c r="J43" s="41" t="str">
        <f t="shared" si="29"/>
        <v xml:space="preserve"> </v>
      </c>
      <c r="K43" s="42" t="str">
        <f t="shared" si="30"/>
        <v xml:space="preserve"> </v>
      </c>
      <c r="L43" s="41" t="str">
        <f t="shared" si="31"/>
        <v xml:space="preserve"> </v>
      </c>
      <c r="M43" s="42" t="str">
        <f t="shared" si="32"/>
        <v xml:space="preserve"> </v>
      </c>
      <c r="N43" s="24"/>
      <c r="O43" s="24">
        <f t="shared" si="20"/>
        <v>0</v>
      </c>
      <c r="P43" s="24">
        <f t="shared" si="21"/>
        <v>0</v>
      </c>
      <c r="Q43" s="24"/>
      <c r="S43">
        <f>Kontenplan!R45</f>
        <v>6</v>
      </c>
      <c r="T43">
        <f>Kontenplan!S45</f>
        <v>2</v>
      </c>
      <c r="U43">
        <f>Kontenplan!T45</f>
        <v>1</v>
      </c>
      <c r="V43" s="30">
        <f>Kontenplan!U45</f>
        <v>0</v>
      </c>
      <c r="Z43">
        <f t="shared" si="1"/>
        <v>6</v>
      </c>
      <c r="AA43" t="str">
        <f>IF(OR(Kontenplan!T45-1=Kontenplan!T44,Kontenplan!U45-1=Kontenplan!U44),"T_ER","")</f>
        <v/>
      </c>
      <c r="AB43" t="str">
        <f>CONCATENATE(Kontenplan!D45,Kontenplan!E45," ",Kontenplan!F45)</f>
        <v>3400 div. Aufwände Konzerte</v>
      </c>
      <c r="AC43" s="70">
        <f t="shared" si="2"/>
        <v>0</v>
      </c>
      <c r="AD43" s="70">
        <f t="shared" si="3"/>
        <v>0</v>
      </c>
      <c r="AE43" s="70">
        <f t="shared" si="4"/>
        <v>0</v>
      </c>
      <c r="AG43">
        <f t="shared" si="5"/>
        <v>0</v>
      </c>
      <c r="AI43">
        <f t="shared" si="6"/>
        <v>37</v>
      </c>
      <c r="AJ43" s="27">
        <f t="shared" si="35"/>
        <v>37</v>
      </c>
      <c r="AK43" t="str">
        <f t="shared" si="36"/>
        <v>T_ER</v>
      </c>
      <c r="AL43" t="str">
        <f t="shared" si="37"/>
        <v xml:space="preserve">Ertrag aus Beiträgen Dritter </v>
      </c>
      <c r="AM43" s="70" t="str">
        <f t="shared" si="38"/>
        <v/>
      </c>
      <c r="AN43">
        <f t="shared" si="22"/>
        <v>0</v>
      </c>
      <c r="AP43">
        <f t="shared" si="34"/>
        <v>45.00060000000002</v>
      </c>
      <c r="AQ43" t="str">
        <f>IF(OR(Kontenplan!R45-1=Kontenplan!R44,Kontenplan!S45-1=Kontenplan!S44),"T_B","")</f>
        <v/>
      </c>
      <c r="AR43" t="str">
        <f>CONCATENATE(Kontenplan!D45,Kontenplan!E45," ",Kontenplan!F45)</f>
        <v>3400 div. Aufwände Konzerte</v>
      </c>
      <c r="AS43" s="70">
        <f t="shared" si="39"/>
        <v>0</v>
      </c>
      <c r="AT43" s="70">
        <f t="shared" si="40"/>
        <v>0</v>
      </c>
      <c r="AU43" s="70">
        <f t="shared" si="41"/>
        <v>0</v>
      </c>
      <c r="AV43" s="70" t="str">
        <f>IF(OR(A43="Aktivkonto",Kontenplan!R45-1=Kontenplan!R44),"a",IF(OR(A43="Passivkonto",Kontenplan!S45-1=Kontenplan!S44),"p",""))</f>
        <v/>
      </c>
      <c r="AW43" s="70">
        <f t="shared" si="33"/>
        <v>0</v>
      </c>
      <c r="AY43">
        <f t="shared" si="15"/>
        <v>37</v>
      </c>
      <c r="AZ43">
        <f t="shared" si="42"/>
        <v>37</v>
      </c>
      <c r="BA43" t="str">
        <f>IF(AZ43=AY43,VLOOKUP(AY43,$AP$7:$AW$98,2),IF(AND($BA$5&gt;=1,ROUND(AZ43+1,0)=AY43),"Sub",""))</f>
        <v/>
      </c>
      <c r="BB43" t="str">
        <f t="shared" si="45"/>
        <v>2300 Transitorische Passiven</v>
      </c>
      <c r="BC43" s="70">
        <f t="shared" si="44"/>
        <v>0</v>
      </c>
      <c r="BD43" s="70">
        <f t="shared" si="24"/>
        <v>0</v>
      </c>
    </row>
    <row r="44" spans="1:56" x14ac:dyDescent="0.25">
      <c r="A44" s="3">
        <f>Kontenplan!C46</f>
        <v>0</v>
      </c>
      <c r="B44" s="74">
        <f>Kontenplan!E46</f>
        <v>0</v>
      </c>
      <c r="C44" s="71">
        <f>Kontenplan!F46</f>
        <v>0</v>
      </c>
      <c r="D44" s="27">
        <f>IF(B44=0,0,SUMIF(Journal!$F$7:$F$84,Calc!B44,Journal!$I$7:$I$84))</f>
        <v>0</v>
      </c>
      <c r="E44" s="17">
        <f>IF(B44=0,0,SUMIF(Journal!$G$7:$G$84,Calc!B44,Journal!$I$7:$I$84))</f>
        <v>0</v>
      </c>
      <c r="F44" s="40">
        <f t="shared" si="25"/>
        <v>0</v>
      </c>
      <c r="G44" s="17">
        <f t="shared" si="26"/>
        <v>0</v>
      </c>
      <c r="H44" s="16" t="str">
        <f t="shared" si="27"/>
        <v xml:space="preserve"> </v>
      </c>
      <c r="I44" s="27" t="str">
        <f t="shared" si="28"/>
        <v xml:space="preserve"> </v>
      </c>
      <c r="J44" s="41" t="str">
        <f t="shared" si="29"/>
        <v xml:space="preserve"> </v>
      </c>
      <c r="K44" s="42" t="str">
        <f t="shared" si="30"/>
        <v xml:space="preserve"> </v>
      </c>
      <c r="L44" s="41" t="str">
        <f t="shared" si="31"/>
        <v xml:space="preserve"> </v>
      </c>
      <c r="M44" s="42" t="str">
        <f t="shared" si="32"/>
        <v xml:space="preserve"> </v>
      </c>
      <c r="N44" s="24"/>
      <c r="O44" s="24">
        <f t="shared" si="20"/>
        <v>0</v>
      </c>
      <c r="P44" s="24">
        <f t="shared" si="21"/>
        <v>0</v>
      </c>
      <c r="Q44" s="24"/>
      <c r="S44">
        <f>Kontenplan!R46</f>
        <v>6</v>
      </c>
      <c r="T44">
        <f>Kontenplan!S46</f>
        <v>2</v>
      </c>
      <c r="U44">
        <f>Kontenplan!T46</f>
        <v>1</v>
      </c>
      <c r="V44" s="30">
        <f>Kontenplan!U46</f>
        <v>1</v>
      </c>
      <c r="Z44">
        <f t="shared" si="1"/>
        <v>9</v>
      </c>
      <c r="AA44" t="str">
        <f>IF(OR(Kontenplan!T46-1=Kontenplan!T45,Kontenplan!U46-1=Kontenplan!U45),"T_ER","")</f>
        <v>T_ER</v>
      </c>
      <c r="AB44" t="str">
        <f>CONCATENATE(Kontenplan!D46,Kontenplan!E46," ",Kontenplan!F46)</f>
        <v xml:space="preserve">Ertrag aus Auftritten </v>
      </c>
      <c r="AC44" s="70" t="str">
        <f t="shared" si="2"/>
        <v/>
      </c>
      <c r="AD44" s="70">
        <f t="shared" si="3"/>
        <v>0</v>
      </c>
      <c r="AE44" s="70">
        <f t="shared" si="4"/>
        <v>0</v>
      </c>
      <c r="AG44" t="str">
        <f t="shared" si="5"/>
        <v/>
      </c>
      <c r="AI44">
        <f t="shared" si="6"/>
        <v>38</v>
      </c>
      <c r="AJ44" s="27">
        <f t="shared" si="35"/>
        <v>38</v>
      </c>
      <c r="AK44" t="str">
        <f t="shared" si="36"/>
        <v/>
      </c>
      <c r="AL44" t="str">
        <f t="shared" si="37"/>
        <v>7000 Beiträge Aktivmitglieder</v>
      </c>
      <c r="AM44" s="70">
        <f t="shared" si="38"/>
        <v>0</v>
      </c>
      <c r="AN44">
        <f t="shared" si="22"/>
        <v>0</v>
      </c>
      <c r="AP44">
        <f t="shared" si="34"/>
        <v>45.000700000000023</v>
      </c>
      <c r="AQ44" t="str">
        <f>IF(OR(Kontenplan!R46-1=Kontenplan!R45,Kontenplan!S46-1=Kontenplan!S45),"T_B","")</f>
        <v/>
      </c>
      <c r="AR44" t="str">
        <f>CONCATENATE(Kontenplan!D46,Kontenplan!E46," ",Kontenplan!F46)</f>
        <v xml:space="preserve">Ertrag aus Auftritten </v>
      </c>
      <c r="AS44" s="70" t="str">
        <f t="shared" si="39"/>
        <v/>
      </c>
      <c r="AT44" s="70">
        <f t="shared" si="40"/>
        <v>0</v>
      </c>
      <c r="AU44" s="70">
        <f t="shared" si="41"/>
        <v>0</v>
      </c>
      <c r="AV44" s="70" t="str">
        <f>IF(OR(A44="Aktivkonto",Kontenplan!R46-1=Kontenplan!R45),"a",IF(OR(A44="Passivkonto",Kontenplan!S46-1=Kontenplan!S45),"p",""))</f>
        <v/>
      </c>
      <c r="AW44" s="70" t="str">
        <f t="shared" si="33"/>
        <v/>
      </c>
      <c r="AY44">
        <f t="shared" si="15"/>
        <v>38</v>
      </c>
      <c r="AZ44">
        <f t="shared" si="42"/>
        <v>38</v>
      </c>
      <c r="BA44" t="str">
        <f t="shared" si="43"/>
        <v/>
      </c>
      <c r="BB44" t="str">
        <f t="shared" si="45"/>
        <v>2520 Darlehen</v>
      </c>
      <c r="BC44" s="70">
        <f t="shared" si="44"/>
        <v>0</v>
      </c>
      <c r="BD44" s="70">
        <f t="shared" si="24"/>
        <v>0</v>
      </c>
    </row>
    <row r="45" spans="1:56" x14ac:dyDescent="0.25">
      <c r="A45" s="3" t="str">
        <f>Kontenplan!C47</f>
        <v>Ertragskonto</v>
      </c>
      <c r="B45" s="74">
        <f>Kontenplan!E47</f>
        <v>4000</v>
      </c>
      <c r="C45" s="71" t="str">
        <f>Kontenplan!F47</f>
        <v>Ertrag aus Ticketverkauf/ Kollekte</v>
      </c>
      <c r="D45" s="27">
        <f>IF(B45=0,0,SUMIF(Journal!$F$7:$F$84,Calc!B45,Journal!$I$7:$I$84))</f>
        <v>0</v>
      </c>
      <c r="E45" s="17">
        <f>IF(B45=0,0,SUMIF(Journal!$G$7:$G$84,Calc!B45,Journal!$I$7:$I$84))</f>
        <v>0</v>
      </c>
      <c r="F45" s="40">
        <f t="shared" si="25"/>
        <v>0</v>
      </c>
      <c r="G45" s="17">
        <f t="shared" si="26"/>
        <v>0</v>
      </c>
      <c r="H45" s="16" t="str">
        <f t="shared" si="27"/>
        <v xml:space="preserve"> </v>
      </c>
      <c r="I45" s="27" t="str">
        <f t="shared" si="28"/>
        <v xml:space="preserve"> </v>
      </c>
      <c r="J45" s="41" t="str">
        <f t="shared" si="29"/>
        <v xml:space="preserve"> </v>
      </c>
      <c r="K45" s="42" t="str">
        <f t="shared" si="30"/>
        <v xml:space="preserve"> </v>
      </c>
      <c r="L45" s="41" t="str">
        <f t="shared" si="31"/>
        <v xml:space="preserve"> </v>
      </c>
      <c r="M45" s="42" t="str">
        <f t="shared" si="32"/>
        <v xml:space="preserve"> </v>
      </c>
      <c r="N45" s="24"/>
      <c r="O45" s="24">
        <f t="shared" si="20"/>
        <v>0</v>
      </c>
      <c r="P45" s="24">
        <f t="shared" si="21"/>
        <v>0</v>
      </c>
      <c r="Q45" s="24"/>
      <c r="S45">
        <f>Kontenplan!R47</f>
        <v>6</v>
      </c>
      <c r="T45">
        <f>Kontenplan!S47</f>
        <v>2</v>
      </c>
      <c r="U45">
        <f>Kontenplan!T47</f>
        <v>1</v>
      </c>
      <c r="V45" s="30">
        <f>Kontenplan!U47</f>
        <v>1</v>
      </c>
      <c r="Z45">
        <f t="shared" si="1"/>
        <v>10</v>
      </c>
      <c r="AA45" t="str">
        <f>IF(OR(Kontenplan!T47-1=Kontenplan!T46,Kontenplan!U47-1=Kontenplan!U46),"T_ER","")</f>
        <v/>
      </c>
      <c r="AB45" t="str">
        <f>CONCATENATE(Kontenplan!D47,Kontenplan!E47," ",Kontenplan!F47)</f>
        <v>4000 Ertrag aus Ticketverkauf/ Kollekte</v>
      </c>
      <c r="AC45" s="70">
        <f t="shared" si="2"/>
        <v>0</v>
      </c>
      <c r="AD45" s="70">
        <f t="shared" si="3"/>
        <v>0</v>
      </c>
      <c r="AE45" s="70">
        <f t="shared" si="4"/>
        <v>0</v>
      </c>
      <c r="AG45">
        <f t="shared" si="5"/>
        <v>0</v>
      </c>
      <c r="AI45">
        <f t="shared" si="6"/>
        <v>39</v>
      </c>
      <c r="AJ45" s="27">
        <f t="shared" si="35"/>
        <v>39</v>
      </c>
      <c r="AK45" t="str">
        <f t="shared" si="36"/>
        <v/>
      </c>
      <c r="AL45" t="str">
        <f t="shared" si="37"/>
        <v>7100 Beiträge Nachwuchs</v>
      </c>
      <c r="AM45" s="70">
        <f t="shared" si="38"/>
        <v>0</v>
      </c>
      <c r="AN45">
        <f t="shared" si="22"/>
        <v>0</v>
      </c>
      <c r="AP45">
        <f t="shared" si="34"/>
        <v>45.000800000000027</v>
      </c>
      <c r="AQ45" t="str">
        <f>IF(OR(Kontenplan!R47-1=Kontenplan!R46,Kontenplan!S47-1=Kontenplan!S46),"T_B","")</f>
        <v/>
      </c>
      <c r="AR45" t="str">
        <f>CONCATENATE(Kontenplan!D47,Kontenplan!E47," ",Kontenplan!F47)</f>
        <v>4000 Ertrag aus Ticketverkauf/ Kollekte</v>
      </c>
      <c r="AS45" s="70">
        <f t="shared" si="39"/>
        <v>0</v>
      </c>
      <c r="AT45" s="70">
        <f t="shared" si="40"/>
        <v>0</v>
      </c>
      <c r="AU45" s="70">
        <f t="shared" si="41"/>
        <v>0</v>
      </c>
      <c r="AV45" s="70" t="str">
        <f>IF(OR(A45="Aktivkonto",Kontenplan!R47-1=Kontenplan!R46),"a",IF(OR(A45="Passivkonto",Kontenplan!S47-1=Kontenplan!S46),"p",""))</f>
        <v/>
      </c>
      <c r="AW45" s="70">
        <f t="shared" si="33"/>
        <v>0</v>
      </c>
      <c r="AY45">
        <f t="shared" si="15"/>
        <v>39</v>
      </c>
      <c r="AZ45">
        <f t="shared" si="42"/>
        <v>39</v>
      </c>
      <c r="BA45" t="str">
        <f t="shared" si="43"/>
        <v/>
      </c>
      <c r="BB45" t="str">
        <f t="shared" si="45"/>
        <v>2600 Rückstellungen</v>
      </c>
      <c r="BC45" s="70">
        <f t="shared" si="44"/>
        <v>0</v>
      </c>
      <c r="BD45" s="70">
        <f t="shared" si="24"/>
        <v>0</v>
      </c>
    </row>
    <row r="46" spans="1:56" x14ac:dyDescent="0.25">
      <c r="A46" s="3" t="str">
        <f>Kontenplan!C48</f>
        <v>Ertragskonto</v>
      </c>
      <c r="B46" s="74">
        <f>Kontenplan!E48</f>
        <v>4100</v>
      </c>
      <c r="C46" s="71" t="str">
        <f>Kontenplan!F48</f>
        <v>Vergütung Auftritt</v>
      </c>
      <c r="D46" s="27">
        <f>IF(B46=0,0,SUMIF(Journal!$F$7:$F$84,Calc!B46,Journal!$I$7:$I$84))</f>
        <v>0</v>
      </c>
      <c r="E46" s="17">
        <f>IF(B46=0,0,SUMIF(Journal!$G$7:$G$84,Calc!B46,Journal!$I$7:$I$84))</f>
        <v>0</v>
      </c>
      <c r="F46" s="40">
        <f t="shared" si="25"/>
        <v>0</v>
      </c>
      <c r="G46" s="17">
        <f t="shared" si="26"/>
        <v>0</v>
      </c>
      <c r="H46" s="16" t="str">
        <f t="shared" si="27"/>
        <v xml:space="preserve"> </v>
      </c>
      <c r="I46" s="27" t="str">
        <f t="shared" si="28"/>
        <v xml:space="preserve"> </v>
      </c>
      <c r="J46" s="41" t="str">
        <f t="shared" si="29"/>
        <v xml:space="preserve"> </v>
      </c>
      <c r="K46" s="42" t="str">
        <f t="shared" si="30"/>
        <v xml:space="preserve"> </v>
      </c>
      <c r="L46" s="41" t="str">
        <f t="shared" si="31"/>
        <v xml:space="preserve"> </v>
      </c>
      <c r="M46" s="42" t="str">
        <f t="shared" si="32"/>
        <v xml:space="preserve"> </v>
      </c>
      <c r="N46" s="24"/>
      <c r="O46" s="24">
        <f t="shared" si="20"/>
        <v>0</v>
      </c>
      <c r="P46" s="24">
        <f t="shared" si="21"/>
        <v>0</v>
      </c>
      <c r="Q46" s="24"/>
      <c r="S46">
        <f>Kontenplan!R48</f>
        <v>6</v>
      </c>
      <c r="T46">
        <f>Kontenplan!S48</f>
        <v>2</v>
      </c>
      <c r="U46">
        <f>Kontenplan!T48</f>
        <v>1</v>
      </c>
      <c r="V46" s="30">
        <f>Kontenplan!U48</f>
        <v>1</v>
      </c>
      <c r="Z46">
        <f t="shared" si="1"/>
        <v>11</v>
      </c>
      <c r="AA46" t="str">
        <f>IF(OR(Kontenplan!T48-1=Kontenplan!T47,Kontenplan!U48-1=Kontenplan!U47),"T_ER","")</f>
        <v/>
      </c>
      <c r="AB46" t="str">
        <f>CONCATENATE(Kontenplan!D48,Kontenplan!E48," ",Kontenplan!F48)</f>
        <v>4100 Vergütung Auftritt</v>
      </c>
      <c r="AC46" s="70">
        <f t="shared" si="2"/>
        <v>0</v>
      </c>
      <c r="AD46" s="70">
        <f t="shared" si="3"/>
        <v>0</v>
      </c>
      <c r="AE46" s="70">
        <f t="shared" si="4"/>
        <v>0</v>
      </c>
      <c r="AG46">
        <f t="shared" si="5"/>
        <v>0</v>
      </c>
      <c r="AI46">
        <f t="shared" si="6"/>
        <v>40</v>
      </c>
      <c r="AJ46" s="27">
        <f t="shared" si="35"/>
        <v>40</v>
      </c>
      <c r="AK46" t="str">
        <f t="shared" si="36"/>
        <v/>
      </c>
      <c r="AL46" t="str">
        <f t="shared" si="37"/>
        <v>7200 Beiräge Passivmitglieder</v>
      </c>
      <c r="AM46" s="70">
        <f t="shared" si="38"/>
        <v>0</v>
      </c>
      <c r="AN46">
        <f t="shared" si="22"/>
        <v>0</v>
      </c>
      <c r="AP46">
        <f t="shared" si="34"/>
        <v>45.00090000000003</v>
      </c>
      <c r="AQ46" t="str">
        <f>IF(OR(Kontenplan!R48-1=Kontenplan!R47,Kontenplan!S48-1=Kontenplan!S47),"T_B","")</f>
        <v/>
      </c>
      <c r="AR46" t="str">
        <f>CONCATENATE(Kontenplan!D48,Kontenplan!E48," ",Kontenplan!F48)</f>
        <v>4100 Vergütung Auftritt</v>
      </c>
      <c r="AS46" s="70">
        <f t="shared" si="39"/>
        <v>0</v>
      </c>
      <c r="AT46" s="70">
        <f t="shared" si="40"/>
        <v>0</v>
      </c>
      <c r="AU46" s="70">
        <f t="shared" si="41"/>
        <v>0</v>
      </c>
      <c r="AV46" s="70" t="str">
        <f>IF(OR(A46="Aktivkonto",Kontenplan!R48-1=Kontenplan!R47),"a",IF(OR(A46="Passivkonto",Kontenplan!S48-1=Kontenplan!S47),"p",""))</f>
        <v/>
      </c>
      <c r="AW46" s="70">
        <f t="shared" si="33"/>
        <v>0</v>
      </c>
      <c r="AY46">
        <f t="shared" si="15"/>
        <v>40</v>
      </c>
      <c r="AZ46">
        <f t="shared" si="42"/>
        <v>39</v>
      </c>
      <c r="BA46" t="str">
        <f t="shared" si="43"/>
        <v>Sub</v>
      </c>
      <c r="BB46" t="str">
        <f t="shared" si="45"/>
        <v/>
      </c>
      <c r="BC46" s="70">
        <f t="shared" si="44"/>
        <v>0</v>
      </c>
      <c r="BD46" s="70">
        <f t="shared" si="24"/>
        <v>0</v>
      </c>
    </row>
    <row r="47" spans="1:56" x14ac:dyDescent="0.25">
      <c r="A47" s="3" t="str">
        <f>Kontenplan!C49</f>
        <v>Ertragskonto</v>
      </c>
      <c r="B47" s="74">
        <f>Kontenplan!E49</f>
        <v>4200</v>
      </c>
      <c r="C47" s="71" t="str">
        <f>Kontenplan!F49</f>
        <v>Nettoertrag Cafeteria/Bar etc.</v>
      </c>
      <c r="D47" s="27">
        <f>IF(B47=0,0,SUMIF(Journal!$F$7:$F$84,Calc!B47,Journal!$I$7:$I$84))</f>
        <v>0</v>
      </c>
      <c r="E47" s="17">
        <f>IF(B47=0,0,SUMIF(Journal!$G$7:$G$84,Calc!B47,Journal!$I$7:$I$84))</f>
        <v>0</v>
      </c>
      <c r="F47" s="40">
        <f t="shared" si="25"/>
        <v>0</v>
      </c>
      <c r="G47" s="17">
        <f t="shared" si="26"/>
        <v>0</v>
      </c>
      <c r="H47" s="16" t="str">
        <f t="shared" si="27"/>
        <v xml:space="preserve"> </v>
      </c>
      <c r="I47" s="27" t="str">
        <f t="shared" si="28"/>
        <v xml:space="preserve"> </v>
      </c>
      <c r="J47" s="41" t="str">
        <f t="shared" si="29"/>
        <v xml:space="preserve"> </v>
      </c>
      <c r="K47" s="42" t="str">
        <f t="shared" si="30"/>
        <v xml:space="preserve"> </v>
      </c>
      <c r="L47" s="41" t="str">
        <f t="shared" si="31"/>
        <v xml:space="preserve"> </v>
      </c>
      <c r="M47" s="42" t="str">
        <f t="shared" si="32"/>
        <v xml:space="preserve"> </v>
      </c>
      <c r="N47" s="24"/>
      <c r="O47" s="24">
        <f t="shared" si="20"/>
        <v>0</v>
      </c>
      <c r="P47" s="24">
        <f t="shared" si="21"/>
        <v>0</v>
      </c>
      <c r="Q47" s="24"/>
      <c r="S47">
        <f>Kontenplan!R49</f>
        <v>6</v>
      </c>
      <c r="T47">
        <f>Kontenplan!S49</f>
        <v>2</v>
      </c>
      <c r="U47">
        <f>Kontenplan!T49</f>
        <v>1</v>
      </c>
      <c r="V47" s="30">
        <f>Kontenplan!U49</f>
        <v>1</v>
      </c>
      <c r="Z47">
        <f t="shared" si="1"/>
        <v>12</v>
      </c>
      <c r="AA47" t="str">
        <f>IF(OR(Kontenplan!T49-1=Kontenplan!T48,Kontenplan!U49-1=Kontenplan!U48),"T_ER","")</f>
        <v/>
      </c>
      <c r="AB47" t="str">
        <f>CONCATENATE(Kontenplan!D49,Kontenplan!E49," ",Kontenplan!F49)</f>
        <v>4200 Nettoertrag Cafeteria/Bar etc.</v>
      </c>
      <c r="AC47" s="70">
        <f t="shared" si="2"/>
        <v>0</v>
      </c>
      <c r="AD47" s="70">
        <f t="shared" si="3"/>
        <v>0</v>
      </c>
      <c r="AE47" s="70">
        <f t="shared" si="4"/>
        <v>0</v>
      </c>
      <c r="AG47">
        <f t="shared" si="5"/>
        <v>0</v>
      </c>
      <c r="AI47">
        <f t="shared" si="6"/>
        <v>41</v>
      </c>
      <c r="AJ47" s="27">
        <f t="shared" si="35"/>
        <v>41</v>
      </c>
      <c r="AK47" t="str">
        <f t="shared" si="36"/>
        <v/>
      </c>
      <c r="AL47" t="str">
        <f t="shared" si="37"/>
        <v>7500 Gönnerbeiträge</v>
      </c>
      <c r="AM47" s="70">
        <f t="shared" si="38"/>
        <v>0</v>
      </c>
      <c r="AN47">
        <f t="shared" si="22"/>
        <v>0</v>
      </c>
      <c r="AP47">
        <f t="shared" si="34"/>
        <v>45.001000000000033</v>
      </c>
      <c r="AQ47" t="str">
        <f>IF(OR(Kontenplan!R49-1=Kontenplan!R48,Kontenplan!S49-1=Kontenplan!S48),"T_B","")</f>
        <v/>
      </c>
      <c r="AR47" t="str">
        <f>CONCATENATE(Kontenplan!D49,Kontenplan!E49," ",Kontenplan!F49)</f>
        <v>4200 Nettoertrag Cafeteria/Bar etc.</v>
      </c>
      <c r="AS47" s="70">
        <f t="shared" si="39"/>
        <v>0</v>
      </c>
      <c r="AT47" s="70">
        <f t="shared" si="40"/>
        <v>0</v>
      </c>
      <c r="AU47" s="70">
        <f t="shared" si="41"/>
        <v>0</v>
      </c>
      <c r="AV47" s="70" t="str">
        <f>IF(OR(A47="Aktivkonto",Kontenplan!R49-1=Kontenplan!R48),"a",IF(OR(A47="Passivkonto",Kontenplan!S49-1=Kontenplan!S48),"p",""))</f>
        <v/>
      </c>
      <c r="AW47" s="70">
        <f t="shared" si="33"/>
        <v>0</v>
      </c>
      <c r="AY47">
        <f t="shared" si="15"/>
        <v>41</v>
      </c>
      <c r="AZ47">
        <f t="shared" si="42"/>
        <v>39</v>
      </c>
      <c r="BA47" t="str">
        <f t="shared" si="43"/>
        <v/>
      </c>
      <c r="BB47" t="str">
        <f t="shared" si="45"/>
        <v/>
      </c>
      <c r="BC47" s="70" t="str">
        <f t="shared" si="44"/>
        <v/>
      </c>
      <c r="BD47" s="70">
        <f t="shared" si="24"/>
        <v>0</v>
      </c>
    </row>
    <row r="48" spans="1:56" x14ac:dyDescent="0.25">
      <c r="A48" s="3" t="str">
        <f>Kontenplan!C50</f>
        <v>Ertragskonto</v>
      </c>
      <c r="B48" s="74">
        <f>Kontenplan!E50</f>
        <v>4300</v>
      </c>
      <c r="C48" s="71" t="str">
        <f>Kontenplan!F50</f>
        <v>diverse Erträge Auftritt</v>
      </c>
      <c r="D48" s="27">
        <f>IF(B48=0,0,SUMIF(Journal!$F$7:$F$84,Calc!B48,Journal!$I$7:$I$84))</f>
        <v>0</v>
      </c>
      <c r="E48" s="17">
        <f>IF(B48=0,0,SUMIF(Journal!$G$7:$G$84,Calc!B48,Journal!$I$7:$I$84))</f>
        <v>0</v>
      </c>
      <c r="F48" s="40">
        <f t="shared" si="25"/>
        <v>0</v>
      </c>
      <c r="G48" s="17">
        <f t="shared" si="26"/>
        <v>0</v>
      </c>
      <c r="H48" s="16" t="str">
        <f t="shared" si="27"/>
        <v xml:space="preserve"> </v>
      </c>
      <c r="I48" s="27" t="str">
        <f t="shared" si="28"/>
        <v xml:space="preserve"> </v>
      </c>
      <c r="J48" s="41" t="str">
        <f t="shared" si="29"/>
        <v xml:space="preserve"> </v>
      </c>
      <c r="K48" s="42" t="str">
        <f t="shared" si="30"/>
        <v xml:space="preserve"> </v>
      </c>
      <c r="L48" s="41" t="str">
        <f t="shared" si="31"/>
        <v xml:space="preserve"> </v>
      </c>
      <c r="M48" s="42" t="str">
        <f t="shared" si="32"/>
        <v xml:space="preserve"> </v>
      </c>
      <c r="N48" s="24"/>
      <c r="O48" s="24">
        <f t="shared" si="20"/>
        <v>0</v>
      </c>
      <c r="P48" s="24">
        <f t="shared" si="21"/>
        <v>0</v>
      </c>
      <c r="Q48" s="24"/>
      <c r="S48">
        <f>Kontenplan!R50</f>
        <v>6</v>
      </c>
      <c r="T48">
        <f>Kontenplan!S50</f>
        <v>2</v>
      </c>
      <c r="U48">
        <f>Kontenplan!T50</f>
        <v>1</v>
      </c>
      <c r="V48" s="30">
        <f>Kontenplan!U50</f>
        <v>1</v>
      </c>
      <c r="Z48">
        <f t="shared" si="1"/>
        <v>13</v>
      </c>
      <c r="AA48" t="str">
        <f>IF(OR(Kontenplan!T50-1=Kontenplan!T49,Kontenplan!U50-1=Kontenplan!U49),"T_ER","")</f>
        <v/>
      </c>
      <c r="AB48" t="str">
        <f>CONCATENATE(Kontenplan!D50,Kontenplan!E50," ",Kontenplan!F50)</f>
        <v>4300 diverse Erträge Auftritt</v>
      </c>
      <c r="AC48" s="70">
        <f t="shared" si="2"/>
        <v>0</v>
      </c>
      <c r="AD48" s="70">
        <f t="shared" si="3"/>
        <v>0</v>
      </c>
      <c r="AE48" s="70">
        <f t="shared" si="4"/>
        <v>0</v>
      </c>
      <c r="AG48">
        <f t="shared" si="5"/>
        <v>0</v>
      </c>
      <c r="AI48">
        <f t="shared" si="6"/>
        <v>42</v>
      </c>
      <c r="AJ48" s="27">
        <f t="shared" si="35"/>
        <v>42</v>
      </c>
      <c r="AK48" t="str">
        <f t="shared" si="36"/>
        <v/>
      </c>
      <c r="AL48" t="str">
        <f t="shared" si="37"/>
        <v>7600 Beiträge Hauptsponsoren</v>
      </c>
      <c r="AM48" s="70">
        <f t="shared" si="38"/>
        <v>0</v>
      </c>
      <c r="AN48">
        <f t="shared" si="22"/>
        <v>0</v>
      </c>
      <c r="AP48">
        <f t="shared" si="34"/>
        <v>45.001100000000037</v>
      </c>
      <c r="AQ48" t="str">
        <f>IF(OR(Kontenplan!R50-1=Kontenplan!R49,Kontenplan!S50-1=Kontenplan!S49),"T_B","")</f>
        <v/>
      </c>
      <c r="AR48" t="str">
        <f>CONCATENATE(Kontenplan!D50,Kontenplan!E50," ",Kontenplan!F50)</f>
        <v>4300 diverse Erträge Auftritt</v>
      </c>
      <c r="AS48" s="70">
        <f t="shared" si="39"/>
        <v>0</v>
      </c>
      <c r="AT48" s="70">
        <f t="shared" si="40"/>
        <v>0</v>
      </c>
      <c r="AU48" s="70">
        <f t="shared" si="41"/>
        <v>0</v>
      </c>
      <c r="AV48" s="70" t="str">
        <f>IF(OR(A48="Aktivkonto",Kontenplan!R50-1=Kontenplan!R49),"a",IF(OR(A48="Passivkonto",Kontenplan!S50-1=Kontenplan!S49),"p",""))</f>
        <v/>
      </c>
      <c r="AW48" s="70">
        <f t="shared" si="33"/>
        <v>0</v>
      </c>
      <c r="AY48">
        <f t="shared" si="15"/>
        <v>42</v>
      </c>
      <c r="AZ48">
        <f t="shared" si="42"/>
        <v>42</v>
      </c>
      <c r="BA48" t="str">
        <f t="shared" si="43"/>
        <v>T_B</v>
      </c>
      <c r="BB48" t="str">
        <f t="shared" si="45"/>
        <v xml:space="preserve">Eigenkapital </v>
      </c>
      <c r="BC48" s="70" t="str">
        <f t="shared" si="44"/>
        <v/>
      </c>
      <c r="BD48" s="70">
        <f t="shared" si="24"/>
        <v>0</v>
      </c>
    </row>
    <row r="49" spans="1:56" x14ac:dyDescent="0.25">
      <c r="A49" s="3">
        <f>Kontenplan!C51</f>
        <v>0</v>
      </c>
      <c r="B49" s="74">
        <f>Kontenplan!E51</f>
        <v>0</v>
      </c>
      <c r="C49" s="71">
        <f>Kontenplan!F51</f>
        <v>0</v>
      </c>
      <c r="D49" s="27">
        <f>IF(B49=0,0,SUMIF(Journal!$F$7:$F$84,Calc!B49,Journal!$I$7:$I$84))</f>
        <v>0</v>
      </c>
      <c r="E49" s="17">
        <f>IF(B49=0,0,SUMIF(Journal!$G$7:$G$84,Calc!B49,Journal!$I$7:$I$84))</f>
        <v>0</v>
      </c>
      <c r="F49" s="40">
        <f t="shared" si="25"/>
        <v>0</v>
      </c>
      <c r="G49" s="17">
        <f t="shared" si="26"/>
        <v>0</v>
      </c>
      <c r="H49" s="16" t="str">
        <f t="shared" si="27"/>
        <v xml:space="preserve"> </v>
      </c>
      <c r="I49" s="27" t="str">
        <f t="shared" si="28"/>
        <v xml:space="preserve"> </v>
      </c>
      <c r="J49" s="41" t="str">
        <f t="shared" si="29"/>
        <v xml:space="preserve"> </v>
      </c>
      <c r="K49" s="42" t="str">
        <f t="shared" si="30"/>
        <v xml:space="preserve"> </v>
      </c>
      <c r="L49" s="41" t="str">
        <f t="shared" si="31"/>
        <v xml:space="preserve"> </v>
      </c>
      <c r="M49" s="42" t="str">
        <f t="shared" si="32"/>
        <v xml:space="preserve"> </v>
      </c>
      <c r="N49" s="24"/>
      <c r="O49" s="24">
        <f t="shared" si="20"/>
        <v>0</v>
      </c>
      <c r="P49" s="24">
        <f t="shared" si="21"/>
        <v>0</v>
      </c>
      <c r="Q49" s="24"/>
      <c r="S49">
        <f>Kontenplan!R51</f>
        <v>6</v>
      </c>
      <c r="T49">
        <f>Kontenplan!S51</f>
        <v>2</v>
      </c>
      <c r="U49">
        <f>Kontenplan!T51</f>
        <v>2</v>
      </c>
      <c r="V49" s="30">
        <f>Kontenplan!U51</f>
        <v>1</v>
      </c>
      <c r="Z49">
        <f t="shared" si="1"/>
        <v>16</v>
      </c>
      <c r="AA49" t="str">
        <f>IF(OR(Kontenplan!T51-1=Kontenplan!T50,Kontenplan!U51-1=Kontenplan!U50),"T_ER","")</f>
        <v>T_ER</v>
      </c>
      <c r="AB49" t="str">
        <f>CONCATENATE(Kontenplan!D51,Kontenplan!E51," ",Kontenplan!F51)</f>
        <v xml:space="preserve">Aufwände allgemein </v>
      </c>
      <c r="AC49" s="70" t="str">
        <f t="shared" si="2"/>
        <v/>
      </c>
      <c r="AD49" s="70">
        <f t="shared" si="3"/>
        <v>0</v>
      </c>
      <c r="AE49" s="70">
        <f t="shared" si="4"/>
        <v>0</v>
      </c>
      <c r="AG49" t="str">
        <f t="shared" si="5"/>
        <v/>
      </c>
      <c r="AI49">
        <f t="shared" si="6"/>
        <v>43</v>
      </c>
      <c r="AJ49" s="27">
        <f t="shared" si="35"/>
        <v>43</v>
      </c>
      <c r="AK49" t="str">
        <f t="shared" si="36"/>
        <v/>
      </c>
      <c r="AL49" t="str">
        <f t="shared" si="37"/>
        <v>7610 Beiträge weitere Sponsoren</v>
      </c>
      <c r="AM49" s="70">
        <f t="shared" si="38"/>
        <v>0</v>
      </c>
      <c r="AN49">
        <f t="shared" si="22"/>
        <v>0</v>
      </c>
      <c r="AP49">
        <f t="shared" si="34"/>
        <v>45.00120000000004</v>
      </c>
      <c r="AQ49" t="str">
        <f>IF(OR(Kontenplan!R51-1=Kontenplan!R50,Kontenplan!S51-1=Kontenplan!S50),"T_B","")</f>
        <v/>
      </c>
      <c r="AR49" t="str">
        <f>CONCATENATE(Kontenplan!D51,Kontenplan!E51," ",Kontenplan!F51)</f>
        <v xml:space="preserve">Aufwände allgemein </v>
      </c>
      <c r="AS49" s="70" t="str">
        <f t="shared" si="39"/>
        <v/>
      </c>
      <c r="AT49" s="70">
        <f t="shared" si="40"/>
        <v>0</v>
      </c>
      <c r="AU49" s="70">
        <f t="shared" si="41"/>
        <v>0</v>
      </c>
      <c r="AV49" s="70" t="str">
        <f>IF(OR(A49="Aktivkonto",Kontenplan!R51-1=Kontenplan!R50),"a",IF(OR(A49="Passivkonto",Kontenplan!S51-1=Kontenplan!S50),"p",""))</f>
        <v/>
      </c>
      <c r="AW49" s="70" t="str">
        <f t="shared" si="33"/>
        <v/>
      </c>
      <c r="AY49">
        <f t="shared" si="15"/>
        <v>43</v>
      </c>
      <c r="AZ49">
        <f t="shared" si="42"/>
        <v>43</v>
      </c>
      <c r="BA49" t="str">
        <f t="shared" si="43"/>
        <v/>
      </c>
      <c r="BB49" t="str">
        <f t="shared" si="45"/>
        <v>2800 Vereinskapital</v>
      </c>
      <c r="BC49" s="70">
        <f t="shared" si="44"/>
        <v>0</v>
      </c>
      <c r="BD49" s="70">
        <f t="shared" si="24"/>
        <v>0</v>
      </c>
    </row>
    <row r="50" spans="1:56" x14ac:dyDescent="0.25">
      <c r="A50" s="3" t="str">
        <f>Kontenplan!C52</f>
        <v>Aufwandskonto</v>
      </c>
      <c r="B50" s="74">
        <f>Kontenplan!E52</f>
        <v>5000</v>
      </c>
      <c r="C50" s="71" t="str">
        <f>Kontenplan!F52</f>
        <v>Verbandsbeiträge</v>
      </c>
      <c r="D50" s="27">
        <f>IF(B50=0,0,SUMIF(Journal!$F$7:$F$84,Calc!B50,Journal!$I$7:$I$84))</f>
        <v>0</v>
      </c>
      <c r="E50" s="17">
        <f>IF(B50=0,0,SUMIF(Journal!$G$7:$G$84,Calc!B50,Journal!$I$7:$I$84))</f>
        <v>0</v>
      </c>
      <c r="F50" s="40">
        <f t="shared" si="25"/>
        <v>0</v>
      </c>
      <c r="G50" s="17">
        <f t="shared" si="26"/>
        <v>0</v>
      </c>
      <c r="H50" s="16" t="str">
        <f t="shared" si="27"/>
        <v xml:space="preserve"> </v>
      </c>
      <c r="I50" s="27" t="str">
        <f t="shared" si="28"/>
        <v xml:space="preserve"> </v>
      </c>
      <c r="J50" s="41" t="str">
        <f t="shared" si="29"/>
        <v xml:space="preserve"> </v>
      </c>
      <c r="K50" s="42" t="str">
        <f t="shared" si="30"/>
        <v xml:space="preserve"> </v>
      </c>
      <c r="L50" s="41" t="str">
        <f t="shared" si="31"/>
        <v xml:space="preserve"> </v>
      </c>
      <c r="M50" s="42" t="str">
        <f t="shared" si="32"/>
        <v xml:space="preserve"> </v>
      </c>
      <c r="N50" s="24"/>
      <c r="O50" s="24">
        <f t="shared" si="20"/>
        <v>0</v>
      </c>
      <c r="P50" s="24">
        <f t="shared" si="21"/>
        <v>0</v>
      </c>
      <c r="Q50" s="24"/>
      <c r="S50">
        <f>Kontenplan!R52</f>
        <v>6</v>
      </c>
      <c r="T50">
        <f>Kontenplan!S52</f>
        <v>2</v>
      </c>
      <c r="U50">
        <f>Kontenplan!T52</f>
        <v>2</v>
      </c>
      <c r="V50" s="30">
        <f>Kontenplan!U52</f>
        <v>1</v>
      </c>
      <c r="Z50">
        <f t="shared" si="1"/>
        <v>17</v>
      </c>
      <c r="AA50" t="str">
        <f>IF(OR(Kontenplan!T52-1=Kontenplan!T51,Kontenplan!U52-1=Kontenplan!U51),"T_ER","")</f>
        <v/>
      </c>
      <c r="AB50" t="str">
        <f>CONCATENATE(Kontenplan!D52,Kontenplan!E52," ",Kontenplan!F52)</f>
        <v>5000 Verbandsbeiträge</v>
      </c>
      <c r="AC50" s="70">
        <f t="shared" si="2"/>
        <v>0</v>
      </c>
      <c r="AD50" s="70">
        <f t="shared" si="3"/>
        <v>0</v>
      </c>
      <c r="AE50" s="70">
        <f t="shared" si="4"/>
        <v>0</v>
      </c>
      <c r="AG50">
        <f t="shared" si="5"/>
        <v>0</v>
      </c>
      <c r="AI50">
        <f t="shared" si="6"/>
        <v>44</v>
      </c>
      <c r="AJ50" s="27">
        <f t="shared" si="35"/>
        <v>44</v>
      </c>
      <c r="AK50" t="str">
        <f t="shared" si="36"/>
        <v/>
      </c>
      <c r="AL50" t="str">
        <f t="shared" si="37"/>
        <v>7700 Inserate Vereinszeitschrift</v>
      </c>
      <c r="AM50" s="70">
        <f t="shared" si="38"/>
        <v>0</v>
      </c>
      <c r="AN50">
        <f t="shared" si="22"/>
        <v>0</v>
      </c>
      <c r="AP50">
        <f t="shared" si="34"/>
        <v>45.001300000000043</v>
      </c>
      <c r="AQ50" t="str">
        <f>IF(OR(Kontenplan!R52-1=Kontenplan!R51,Kontenplan!S52-1=Kontenplan!S51),"T_B","")</f>
        <v/>
      </c>
      <c r="AR50" t="str">
        <f>CONCATENATE(Kontenplan!D52,Kontenplan!E52," ",Kontenplan!F52)</f>
        <v>5000 Verbandsbeiträge</v>
      </c>
      <c r="AS50" s="70">
        <f t="shared" si="39"/>
        <v>0</v>
      </c>
      <c r="AT50" s="70">
        <f t="shared" si="40"/>
        <v>0</v>
      </c>
      <c r="AU50" s="70">
        <f t="shared" si="41"/>
        <v>0</v>
      </c>
      <c r="AV50" s="70" t="str">
        <f>IF(OR(A50="Aktivkonto",Kontenplan!R52-1=Kontenplan!R51),"a",IF(OR(A50="Passivkonto",Kontenplan!S52-1=Kontenplan!S51),"p",""))</f>
        <v/>
      </c>
      <c r="AW50" s="70">
        <f t="shared" si="33"/>
        <v>0</v>
      </c>
      <c r="AY50">
        <f t="shared" si="15"/>
        <v>44</v>
      </c>
      <c r="AZ50">
        <f t="shared" si="42"/>
        <v>44</v>
      </c>
      <c r="BA50" t="str">
        <f t="shared" si="43"/>
        <v/>
      </c>
      <c r="BB50" t="str">
        <f t="shared" si="45"/>
        <v>2900 Reserven</v>
      </c>
      <c r="BC50" s="70">
        <f t="shared" si="44"/>
        <v>0</v>
      </c>
      <c r="BD50" s="70">
        <f t="shared" si="24"/>
        <v>0</v>
      </c>
    </row>
    <row r="51" spans="1:56" x14ac:dyDescent="0.25">
      <c r="A51" s="3" t="str">
        <f>Kontenplan!C53</f>
        <v>Aufwandskonto</v>
      </c>
      <c r="B51" s="74">
        <f>Kontenplan!E53</f>
        <v>5100</v>
      </c>
      <c r="C51" s="71" t="str">
        <f>Kontenplan!F53</f>
        <v>Mietzinsaufwand (Probelokal etc.)</v>
      </c>
      <c r="D51" s="27">
        <f>IF(B51=0,0,SUMIF(Journal!$F$7:$F$84,Calc!B51,Journal!$I$7:$I$84))</f>
        <v>0</v>
      </c>
      <c r="E51" s="17">
        <f>IF(B51=0,0,SUMIF(Journal!$G$7:$G$84,Calc!B51,Journal!$I$7:$I$84))</f>
        <v>0</v>
      </c>
      <c r="F51" s="40">
        <f t="shared" si="25"/>
        <v>0</v>
      </c>
      <c r="G51" s="17">
        <f t="shared" si="26"/>
        <v>0</v>
      </c>
      <c r="H51" s="16" t="str">
        <f t="shared" si="27"/>
        <v xml:space="preserve"> </v>
      </c>
      <c r="I51" s="27" t="str">
        <f t="shared" si="28"/>
        <v xml:space="preserve"> </v>
      </c>
      <c r="J51" s="41" t="str">
        <f t="shared" si="29"/>
        <v xml:space="preserve"> </v>
      </c>
      <c r="K51" s="42" t="str">
        <f t="shared" si="30"/>
        <v xml:space="preserve"> </v>
      </c>
      <c r="L51" s="41" t="str">
        <f t="shared" si="31"/>
        <v xml:space="preserve"> </v>
      </c>
      <c r="M51" s="42" t="str">
        <f t="shared" si="32"/>
        <v xml:space="preserve"> </v>
      </c>
      <c r="N51" s="24"/>
      <c r="O51" s="24">
        <f t="shared" si="20"/>
        <v>0</v>
      </c>
      <c r="P51" s="24">
        <f t="shared" si="21"/>
        <v>0</v>
      </c>
      <c r="Q51" s="24"/>
      <c r="S51">
        <f>Kontenplan!R53</f>
        <v>6</v>
      </c>
      <c r="T51">
        <f>Kontenplan!S53</f>
        <v>2</v>
      </c>
      <c r="U51">
        <f>Kontenplan!T53</f>
        <v>2</v>
      </c>
      <c r="V51" s="30">
        <f>Kontenplan!U53</f>
        <v>1</v>
      </c>
      <c r="Z51">
        <f t="shared" si="1"/>
        <v>18</v>
      </c>
      <c r="AA51" t="str">
        <f>IF(OR(Kontenplan!T53-1=Kontenplan!T52,Kontenplan!U53-1=Kontenplan!U52),"T_ER","")</f>
        <v/>
      </c>
      <c r="AB51" t="str">
        <f>CONCATENATE(Kontenplan!D53,Kontenplan!E53," ",Kontenplan!F53)</f>
        <v>5100 Mietzinsaufwand (Probelokal etc.)</v>
      </c>
      <c r="AC51" s="70">
        <f t="shared" si="2"/>
        <v>0</v>
      </c>
      <c r="AD51" s="70">
        <f t="shared" si="3"/>
        <v>0</v>
      </c>
      <c r="AE51" s="70">
        <f t="shared" si="4"/>
        <v>0</v>
      </c>
      <c r="AG51">
        <f t="shared" si="5"/>
        <v>0</v>
      </c>
      <c r="AI51">
        <f t="shared" si="6"/>
        <v>45</v>
      </c>
      <c r="AJ51" s="27">
        <f t="shared" si="35"/>
        <v>44</v>
      </c>
      <c r="AK51" t="str">
        <f t="shared" si="36"/>
        <v>Sub</v>
      </c>
      <c r="AL51" t="str">
        <f t="shared" si="37"/>
        <v/>
      </c>
      <c r="AM51" s="70">
        <f t="shared" si="38"/>
        <v>0</v>
      </c>
      <c r="AN51">
        <f t="shared" si="22"/>
        <v>0</v>
      </c>
      <c r="AP51">
        <f t="shared" si="34"/>
        <v>45.001400000000046</v>
      </c>
      <c r="AQ51" t="str">
        <f>IF(OR(Kontenplan!R53-1=Kontenplan!R52,Kontenplan!S53-1=Kontenplan!S52),"T_B","")</f>
        <v/>
      </c>
      <c r="AR51" t="str">
        <f>CONCATENATE(Kontenplan!D53,Kontenplan!E53," ",Kontenplan!F53)</f>
        <v>5100 Mietzinsaufwand (Probelokal etc.)</v>
      </c>
      <c r="AS51" s="70">
        <f t="shared" si="39"/>
        <v>0</v>
      </c>
      <c r="AT51" s="70">
        <f t="shared" si="40"/>
        <v>0</v>
      </c>
      <c r="AU51" s="70">
        <f t="shared" si="41"/>
        <v>0</v>
      </c>
      <c r="AV51" s="70" t="str">
        <f>IF(OR(A51="Aktivkonto",Kontenplan!R53-1=Kontenplan!R52),"a",IF(OR(A51="Passivkonto",Kontenplan!S53-1=Kontenplan!S52),"p",""))</f>
        <v/>
      </c>
      <c r="AW51" s="70">
        <f t="shared" si="33"/>
        <v>0</v>
      </c>
      <c r="AY51">
        <f t="shared" si="15"/>
        <v>45</v>
      </c>
      <c r="AZ51">
        <f t="shared" si="42"/>
        <v>45</v>
      </c>
      <c r="BA51" t="str">
        <f>IF(AZ51=AY51,VLOOKUP(AY51,$AP$7:$AW$98,2),IF(AND($BA$5&gt;=1,ROUND(AZ51+1,0)=AY51),"Sub",""))</f>
        <v/>
      </c>
      <c r="BB51" t="str">
        <f t="shared" si="45"/>
        <v>2990 Gewinnvortrag / Verlustvortrag</v>
      </c>
      <c r="BC51" s="70">
        <f t="shared" si="44"/>
        <v>0</v>
      </c>
      <c r="BD51" s="70">
        <f t="shared" si="24"/>
        <v>0</v>
      </c>
    </row>
    <row r="52" spans="1:56" x14ac:dyDescent="0.25">
      <c r="A52" s="3" t="str">
        <f>Kontenplan!C54</f>
        <v>Aufwandskonto</v>
      </c>
      <c r="B52" s="74">
        <f>Kontenplan!E54</f>
        <v>5200</v>
      </c>
      <c r="C52" s="71" t="str">
        <f>Kontenplan!F54</f>
        <v>Versicherungen</v>
      </c>
      <c r="D52" s="27">
        <f>IF(B52=0,0,SUMIF(Journal!$F$7:$F$84,Calc!B52,Journal!$I$7:$I$84))</f>
        <v>0</v>
      </c>
      <c r="E52" s="17">
        <f>IF(B52=0,0,SUMIF(Journal!$G$7:$G$84,Calc!B52,Journal!$I$7:$I$84))</f>
        <v>0</v>
      </c>
      <c r="F52" s="40">
        <f t="shared" si="25"/>
        <v>0</v>
      </c>
      <c r="G52" s="17">
        <f t="shared" si="26"/>
        <v>0</v>
      </c>
      <c r="H52" s="16" t="str">
        <f t="shared" si="27"/>
        <v xml:space="preserve"> </v>
      </c>
      <c r="I52" s="27" t="str">
        <f t="shared" si="28"/>
        <v xml:space="preserve"> </v>
      </c>
      <c r="J52" s="41" t="str">
        <f t="shared" si="29"/>
        <v xml:space="preserve"> </v>
      </c>
      <c r="K52" s="42" t="str">
        <f t="shared" si="30"/>
        <v xml:space="preserve"> </v>
      </c>
      <c r="L52" s="41" t="str">
        <f t="shared" si="31"/>
        <v xml:space="preserve"> </v>
      </c>
      <c r="M52" s="42" t="str">
        <f t="shared" si="32"/>
        <v xml:space="preserve"> </v>
      </c>
      <c r="N52" s="24"/>
      <c r="O52" s="24">
        <f t="shared" si="20"/>
        <v>0</v>
      </c>
      <c r="P52" s="24">
        <f t="shared" si="21"/>
        <v>0</v>
      </c>
      <c r="Q52" s="24"/>
      <c r="S52">
        <f>Kontenplan!R54</f>
        <v>6</v>
      </c>
      <c r="T52">
        <f>Kontenplan!S54</f>
        <v>2</v>
      </c>
      <c r="U52">
        <f>Kontenplan!T54</f>
        <v>2</v>
      </c>
      <c r="V52" s="30">
        <f>Kontenplan!U54</f>
        <v>1</v>
      </c>
      <c r="Z52">
        <f t="shared" si="1"/>
        <v>19</v>
      </c>
      <c r="AA52" t="str">
        <f>IF(OR(Kontenplan!T54-1=Kontenplan!T53,Kontenplan!U54-1=Kontenplan!U53),"T_ER","")</f>
        <v/>
      </c>
      <c r="AB52" t="str">
        <f>CONCATENATE(Kontenplan!D54,Kontenplan!E54," ",Kontenplan!F54)</f>
        <v>5200 Versicherungen</v>
      </c>
      <c r="AC52" s="70">
        <f t="shared" si="2"/>
        <v>0</v>
      </c>
      <c r="AD52" s="70">
        <f t="shared" si="3"/>
        <v>0</v>
      </c>
      <c r="AE52" s="70">
        <f t="shared" si="4"/>
        <v>0</v>
      </c>
      <c r="AG52">
        <f t="shared" si="5"/>
        <v>0</v>
      </c>
      <c r="AI52">
        <f t="shared" si="6"/>
        <v>46</v>
      </c>
      <c r="AJ52" s="27">
        <f t="shared" si="35"/>
        <v>44</v>
      </c>
      <c r="AK52" t="str">
        <f t="shared" si="36"/>
        <v/>
      </c>
      <c r="AL52" t="str">
        <f t="shared" si="37"/>
        <v/>
      </c>
      <c r="AM52" s="70" t="str">
        <f t="shared" si="38"/>
        <v/>
      </c>
      <c r="AN52">
        <f t="shared" si="22"/>
        <v>0</v>
      </c>
      <c r="AP52">
        <f t="shared" si="34"/>
        <v>45.00150000000005</v>
      </c>
      <c r="AQ52" t="str">
        <f>IF(OR(Kontenplan!R54-1=Kontenplan!R53,Kontenplan!S54-1=Kontenplan!S53),"T_B","")</f>
        <v/>
      </c>
      <c r="AR52" t="str">
        <f>CONCATENATE(Kontenplan!D54,Kontenplan!E54," ",Kontenplan!F54)</f>
        <v>5200 Versicherungen</v>
      </c>
      <c r="AS52" s="70">
        <f t="shared" si="39"/>
        <v>0</v>
      </c>
      <c r="AT52" s="70">
        <f t="shared" si="40"/>
        <v>0</v>
      </c>
      <c r="AU52" s="70">
        <f t="shared" si="41"/>
        <v>0</v>
      </c>
      <c r="AV52" s="70" t="str">
        <f>IF(OR(A52="Aktivkonto",Kontenplan!R54-1=Kontenplan!R53),"a",IF(OR(A52="Passivkonto",Kontenplan!S54-1=Kontenplan!S53),"p",""))</f>
        <v/>
      </c>
      <c r="AW52" s="70">
        <f t="shared" si="33"/>
        <v>0</v>
      </c>
      <c r="AY52">
        <f t="shared" si="15"/>
        <v>46</v>
      </c>
      <c r="AZ52">
        <f t="shared" si="42"/>
        <v>45.006100000000202</v>
      </c>
      <c r="BA52" t="str">
        <f t="shared" si="43"/>
        <v>Sub</v>
      </c>
      <c r="BB52" t="str">
        <f t="shared" si="45"/>
        <v/>
      </c>
      <c r="BC52" s="70">
        <f t="shared" si="44"/>
        <v>0</v>
      </c>
      <c r="BD52" s="70">
        <f t="shared" si="24"/>
        <v>0</v>
      </c>
    </row>
    <row r="53" spans="1:56" x14ac:dyDescent="0.25">
      <c r="A53" s="3" t="str">
        <f>Kontenplan!C55</f>
        <v>Aufwandskonto</v>
      </c>
      <c r="B53" s="74">
        <f>Kontenplan!E55</f>
        <v>5300</v>
      </c>
      <c r="C53" s="71" t="str">
        <f>Kontenplan!F55</f>
        <v>Aufwand für Dirigent</v>
      </c>
      <c r="D53" s="27">
        <f>IF(B53=0,0,SUMIF(Journal!$F$7:$F$84,Calc!B53,Journal!$I$7:$I$84))</f>
        <v>0</v>
      </c>
      <c r="E53" s="17">
        <f>IF(B53=0,0,SUMIF(Journal!$G$7:$G$84,Calc!B53,Journal!$I$7:$I$84))</f>
        <v>0</v>
      </c>
      <c r="F53" s="40">
        <f t="shared" si="25"/>
        <v>0</v>
      </c>
      <c r="G53" s="17">
        <f t="shared" si="26"/>
        <v>0</v>
      </c>
      <c r="H53" s="16" t="str">
        <f t="shared" si="27"/>
        <v xml:space="preserve"> </v>
      </c>
      <c r="I53" s="27" t="str">
        <f t="shared" si="28"/>
        <v xml:space="preserve"> </v>
      </c>
      <c r="J53" s="41" t="str">
        <f t="shared" si="29"/>
        <v xml:space="preserve"> </v>
      </c>
      <c r="K53" s="42" t="str">
        <f t="shared" si="30"/>
        <v xml:space="preserve"> </v>
      </c>
      <c r="L53" s="41" t="str">
        <f t="shared" si="31"/>
        <v xml:space="preserve"> </v>
      </c>
      <c r="M53" s="42" t="str">
        <f t="shared" si="32"/>
        <v xml:space="preserve"> </v>
      </c>
      <c r="N53" s="24"/>
      <c r="O53" s="24">
        <f t="shared" si="20"/>
        <v>0</v>
      </c>
      <c r="P53" s="24">
        <f t="shared" si="21"/>
        <v>0</v>
      </c>
      <c r="Q53" s="24"/>
      <c r="S53">
        <f>Kontenplan!R55</f>
        <v>6</v>
      </c>
      <c r="T53">
        <f>Kontenplan!S55</f>
        <v>2</v>
      </c>
      <c r="U53">
        <f>Kontenplan!T55</f>
        <v>2</v>
      </c>
      <c r="V53" s="30">
        <f>Kontenplan!U55</f>
        <v>1</v>
      </c>
      <c r="Z53">
        <f t="shared" si="1"/>
        <v>20</v>
      </c>
      <c r="AA53" t="str">
        <f>IF(OR(Kontenplan!T55-1=Kontenplan!T54,Kontenplan!U55-1=Kontenplan!U54),"T_ER","")</f>
        <v/>
      </c>
      <c r="AB53" t="str">
        <f>CONCATENATE(Kontenplan!D55,Kontenplan!E55," ",Kontenplan!F55)</f>
        <v>5300 Aufwand für Dirigent</v>
      </c>
      <c r="AC53" s="70">
        <f t="shared" si="2"/>
        <v>0</v>
      </c>
      <c r="AD53" s="70">
        <f t="shared" si="3"/>
        <v>0</v>
      </c>
      <c r="AE53" s="70">
        <f t="shared" si="4"/>
        <v>0</v>
      </c>
      <c r="AG53">
        <f t="shared" si="5"/>
        <v>0</v>
      </c>
      <c r="AI53">
        <f t="shared" si="6"/>
        <v>47</v>
      </c>
      <c r="AJ53" s="27">
        <f t="shared" si="35"/>
        <v>47</v>
      </c>
      <c r="AK53" t="str">
        <f t="shared" si="36"/>
        <v>T_ER</v>
      </c>
      <c r="AL53" t="str">
        <f t="shared" si="37"/>
        <v xml:space="preserve">Weitere Erträge </v>
      </c>
      <c r="AM53" s="70" t="str">
        <f t="shared" si="38"/>
        <v/>
      </c>
      <c r="AN53">
        <f t="shared" si="22"/>
        <v>0</v>
      </c>
      <c r="AP53">
        <f t="shared" si="34"/>
        <v>45.001600000000053</v>
      </c>
      <c r="AQ53" t="str">
        <f>IF(OR(Kontenplan!R55-1=Kontenplan!R54,Kontenplan!S55-1=Kontenplan!S54),"T_B","")</f>
        <v/>
      </c>
      <c r="AR53" t="str">
        <f>CONCATENATE(Kontenplan!D55,Kontenplan!E55," ",Kontenplan!F55)</f>
        <v>5300 Aufwand für Dirigent</v>
      </c>
      <c r="AS53" s="70">
        <f t="shared" si="39"/>
        <v>0</v>
      </c>
      <c r="AT53" s="70">
        <f t="shared" si="40"/>
        <v>0</v>
      </c>
      <c r="AU53" s="70">
        <f t="shared" si="41"/>
        <v>0</v>
      </c>
      <c r="AV53" s="70" t="str">
        <f>IF(OR(A53="Aktivkonto",Kontenplan!R55-1=Kontenplan!R54),"a",IF(OR(A53="Passivkonto",Kontenplan!S55-1=Kontenplan!S54),"p",""))</f>
        <v/>
      </c>
      <c r="AW53" s="70">
        <f t="shared" si="33"/>
        <v>0</v>
      </c>
      <c r="AY53">
        <f t="shared" si="15"/>
        <v>47</v>
      </c>
      <c r="AZ53">
        <f t="shared" si="42"/>
        <v>45.006100000000202</v>
      </c>
      <c r="BA53" t="str">
        <f t="shared" si="43"/>
        <v/>
      </c>
      <c r="BB53" t="str">
        <f t="shared" si="45"/>
        <v/>
      </c>
      <c r="BC53" s="70" t="str">
        <f t="shared" si="44"/>
        <v/>
      </c>
      <c r="BD53" s="70">
        <f t="shared" si="24"/>
        <v>0</v>
      </c>
    </row>
    <row r="54" spans="1:56" x14ac:dyDescent="0.25">
      <c r="A54" s="3" t="str">
        <f>Kontenplan!C56</f>
        <v>Aufwandskonto</v>
      </c>
      <c r="B54" s="74">
        <f>Kontenplan!E56</f>
        <v>5350</v>
      </c>
      <c r="C54" s="71" t="str">
        <f>Kontenplan!F56</f>
        <v>Aufwand für Noten</v>
      </c>
      <c r="D54" s="27">
        <f>IF(B54=0,0,SUMIF(Journal!$F$7:$F$84,Calc!B54,Journal!$I$7:$I$84))</f>
        <v>0</v>
      </c>
      <c r="E54" s="17">
        <f>IF(B54=0,0,SUMIF(Journal!$G$7:$G$84,Calc!B54,Journal!$I$7:$I$84))</f>
        <v>0</v>
      </c>
      <c r="F54" s="40">
        <f t="shared" si="25"/>
        <v>0</v>
      </c>
      <c r="G54" s="17">
        <f t="shared" si="26"/>
        <v>0</v>
      </c>
      <c r="H54" s="16" t="str">
        <f t="shared" si="27"/>
        <v xml:space="preserve"> </v>
      </c>
      <c r="I54" s="27" t="str">
        <f t="shared" si="28"/>
        <v xml:space="preserve"> </v>
      </c>
      <c r="J54" s="41" t="str">
        <f t="shared" si="29"/>
        <v xml:space="preserve"> </v>
      </c>
      <c r="K54" s="42" t="str">
        <f t="shared" si="30"/>
        <v xml:space="preserve"> </v>
      </c>
      <c r="L54" s="41" t="str">
        <f t="shared" si="31"/>
        <v xml:space="preserve"> </v>
      </c>
      <c r="M54" s="42" t="str">
        <f t="shared" si="32"/>
        <v xml:space="preserve"> </v>
      </c>
      <c r="N54" s="24"/>
      <c r="O54" s="24">
        <f t="shared" si="20"/>
        <v>0</v>
      </c>
      <c r="P54" s="24">
        <f t="shared" si="21"/>
        <v>0</v>
      </c>
      <c r="Q54" s="24"/>
      <c r="S54">
        <f>Kontenplan!R56</f>
        <v>6</v>
      </c>
      <c r="T54">
        <f>Kontenplan!S56</f>
        <v>2</v>
      </c>
      <c r="U54">
        <f>Kontenplan!T56</f>
        <v>2</v>
      </c>
      <c r="V54" s="30">
        <f>Kontenplan!U56</f>
        <v>1</v>
      </c>
      <c r="Z54">
        <f t="shared" si="1"/>
        <v>21</v>
      </c>
      <c r="AA54" t="str">
        <f>IF(OR(Kontenplan!T56-1=Kontenplan!T55,Kontenplan!U56-1=Kontenplan!U55),"T_ER","")</f>
        <v/>
      </c>
      <c r="AB54" t="str">
        <f>CONCATENATE(Kontenplan!D56,Kontenplan!E56," ",Kontenplan!F56)</f>
        <v>5350 Aufwand für Noten</v>
      </c>
      <c r="AC54" s="70">
        <f t="shared" si="2"/>
        <v>0</v>
      </c>
      <c r="AD54" s="70">
        <f t="shared" si="3"/>
        <v>0</v>
      </c>
      <c r="AE54" s="70">
        <f t="shared" si="4"/>
        <v>0</v>
      </c>
      <c r="AG54">
        <f t="shared" si="5"/>
        <v>0</v>
      </c>
      <c r="AI54">
        <f t="shared" si="6"/>
        <v>48</v>
      </c>
      <c r="AJ54" s="27">
        <f t="shared" si="35"/>
        <v>48</v>
      </c>
      <c r="AK54" t="str">
        <f t="shared" si="36"/>
        <v/>
      </c>
      <c r="AL54" t="str">
        <f t="shared" si="37"/>
        <v>8000 Subventionen</v>
      </c>
      <c r="AM54" s="70">
        <f t="shared" si="38"/>
        <v>0</v>
      </c>
      <c r="AN54">
        <f t="shared" si="22"/>
        <v>0</v>
      </c>
      <c r="AP54">
        <f t="shared" si="34"/>
        <v>45.001700000000056</v>
      </c>
      <c r="AQ54" t="str">
        <f>IF(OR(Kontenplan!R56-1=Kontenplan!R55,Kontenplan!S56-1=Kontenplan!S55),"T_B","")</f>
        <v/>
      </c>
      <c r="AR54" t="str">
        <f>CONCATENATE(Kontenplan!D56,Kontenplan!E56," ",Kontenplan!F56)</f>
        <v>5350 Aufwand für Noten</v>
      </c>
      <c r="AS54" s="70">
        <f t="shared" si="39"/>
        <v>0</v>
      </c>
      <c r="AT54" s="70">
        <f t="shared" si="40"/>
        <v>0</v>
      </c>
      <c r="AU54" s="70">
        <f t="shared" si="41"/>
        <v>0</v>
      </c>
      <c r="AV54" s="70" t="str">
        <f>IF(OR(A54="Aktivkonto",Kontenplan!R56-1=Kontenplan!R55),"a",IF(OR(A54="Passivkonto",Kontenplan!S56-1=Kontenplan!S55),"p",""))</f>
        <v/>
      </c>
      <c r="AW54" s="70">
        <f t="shared" si="33"/>
        <v>0</v>
      </c>
      <c r="AY54">
        <f t="shared" si="15"/>
        <v>48</v>
      </c>
      <c r="AZ54">
        <f t="shared" si="42"/>
        <v>45.006100000000202</v>
      </c>
      <c r="BA54" t="str">
        <f t="shared" si="43"/>
        <v/>
      </c>
      <c r="BB54" t="str">
        <f t="shared" si="45"/>
        <v>Gewinn</v>
      </c>
      <c r="BC54" s="70">
        <f t="shared" si="44"/>
        <v>0</v>
      </c>
      <c r="BD54" s="70">
        <f t="shared" si="24"/>
        <v>0</v>
      </c>
    </row>
    <row r="55" spans="1:56" x14ac:dyDescent="0.25">
      <c r="A55" s="3" t="str">
        <f>Kontenplan!C57</f>
        <v>Aufwandskonto</v>
      </c>
      <c r="B55" s="74">
        <f>Kontenplan!E57</f>
        <v>5400</v>
      </c>
      <c r="C55" s="71" t="str">
        <f>Kontenplan!F57</f>
        <v>Aufwand für Vereinsinstrumente</v>
      </c>
      <c r="D55" s="27">
        <f>IF(B55=0,0,SUMIF(Journal!$F$7:$F$84,Calc!B55,Journal!$I$7:$I$84))</f>
        <v>0</v>
      </c>
      <c r="E55" s="17">
        <f>IF(B55=0,0,SUMIF(Journal!$G$7:$G$84,Calc!B55,Journal!$I$7:$I$84))</f>
        <v>0</v>
      </c>
      <c r="F55" s="40">
        <f t="shared" si="25"/>
        <v>0</v>
      </c>
      <c r="G55" s="17">
        <f t="shared" si="26"/>
        <v>0</v>
      </c>
      <c r="H55" s="16" t="str">
        <f t="shared" si="27"/>
        <v xml:space="preserve"> </v>
      </c>
      <c r="I55" s="27" t="str">
        <f t="shared" si="28"/>
        <v xml:space="preserve"> </v>
      </c>
      <c r="J55" s="41" t="str">
        <f t="shared" si="29"/>
        <v xml:space="preserve"> </v>
      </c>
      <c r="K55" s="42" t="str">
        <f t="shared" si="30"/>
        <v xml:space="preserve"> </v>
      </c>
      <c r="L55" s="41" t="str">
        <f t="shared" si="31"/>
        <v xml:space="preserve"> </v>
      </c>
      <c r="M55" s="42" t="str">
        <f t="shared" si="32"/>
        <v xml:space="preserve"> </v>
      </c>
      <c r="N55" s="24"/>
      <c r="O55" s="24">
        <f t="shared" si="20"/>
        <v>0</v>
      </c>
      <c r="P55" s="24">
        <f t="shared" si="21"/>
        <v>0</v>
      </c>
      <c r="Q55" s="24"/>
      <c r="S55">
        <f>Kontenplan!R57</f>
        <v>6</v>
      </c>
      <c r="T55">
        <f>Kontenplan!S57</f>
        <v>2</v>
      </c>
      <c r="U55">
        <f>Kontenplan!T57</f>
        <v>2</v>
      </c>
      <c r="V55" s="30">
        <f>Kontenplan!U57</f>
        <v>1</v>
      </c>
      <c r="Z55">
        <f t="shared" si="1"/>
        <v>22</v>
      </c>
      <c r="AA55" t="str">
        <f>IF(OR(Kontenplan!T57-1=Kontenplan!T56,Kontenplan!U57-1=Kontenplan!U56),"T_ER","")</f>
        <v/>
      </c>
      <c r="AB55" t="str">
        <f>CONCATENATE(Kontenplan!D57,Kontenplan!E57," ",Kontenplan!F57)</f>
        <v>5400 Aufwand für Vereinsinstrumente</v>
      </c>
      <c r="AC55" s="70">
        <f t="shared" si="2"/>
        <v>0</v>
      </c>
      <c r="AD55" s="70">
        <f t="shared" si="3"/>
        <v>0</v>
      </c>
      <c r="AE55" s="70">
        <f t="shared" si="4"/>
        <v>0</v>
      </c>
      <c r="AG55">
        <f t="shared" si="5"/>
        <v>0</v>
      </c>
      <c r="AI55">
        <f t="shared" si="6"/>
        <v>49</v>
      </c>
      <c r="AJ55" s="27">
        <f t="shared" si="35"/>
        <v>49</v>
      </c>
      <c r="AK55" t="str">
        <f t="shared" si="36"/>
        <v/>
      </c>
      <c r="AL55" t="str">
        <f t="shared" si="37"/>
        <v>8200 Zinsertrag</v>
      </c>
      <c r="AM55" s="70">
        <f t="shared" si="38"/>
        <v>0</v>
      </c>
      <c r="AN55">
        <f t="shared" si="22"/>
        <v>0</v>
      </c>
      <c r="AP55">
        <f t="shared" si="34"/>
        <v>45.00180000000006</v>
      </c>
      <c r="AQ55" t="str">
        <f>IF(OR(Kontenplan!R57-1=Kontenplan!R56,Kontenplan!S57-1=Kontenplan!S56),"T_B","")</f>
        <v/>
      </c>
      <c r="AR55" t="str">
        <f>CONCATENATE(Kontenplan!D57,Kontenplan!E57," ",Kontenplan!F57)</f>
        <v>5400 Aufwand für Vereinsinstrumente</v>
      </c>
      <c r="AS55" s="70">
        <f t="shared" si="39"/>
        <v>0</v>
      </c>
      <c r="AT55" s="70">
        <f t="shared" si="40"/>
        <v>0</v>
      </c>
      <c r="AU55" s="70">
        <f t="shared" si="41"/>
        <v>0</v>
      </c>
      <c r="AV55" s="70" t="str">
        <f>IF(OR(A55="Aktivkonto",Kontenplan!R57-1=Kontenplan!R56),"a",IF(OR(A55="Passivkonto",Kontenplan!S57-1=Kontenplan!S56),"p",""))</f>
        <v/>
      </c>
      <c r="AW55" s="70">
        <f t="shared" si="33"/>
        <v>0</v>
      </c>
      <c r="AY55">
        <f t="shared" si="15"/>
        <v>49</v>
      </c>
      <c r="AZ55">
        <f t="shared" si="42"/>
        <v>45.006100000000202</v>
      </c>
      <c r="BA55" t="str">
        <f t="shared" si="43"/>
        <v/>
      </c>
      <c r="BB55" t="str">
        <f t="shared" si="45"/>
        <v/>
      </c>
      <c r="BC55" s="70" t="str">
        <f t="shared" si="44"/>
        <v/>
      </c>
      <c r="BD55" s="70">
        <f t="shared" si="24"/>
        <v>0</v>
      </c>
    </row>
    <row r="56" spans="1:56" x14ac:dyDescent="0.25">
      <c r="A56" s="3" t="str">
        <f>Kontenplan!C58</f>
        <v>Aufwandskonto</v>
      </c>
      <c r="B56" s="74">
        <f>Kontenplan!E58</f>
        <v>5500</v>
      </c>
      <c r="C56" s="71" t="str">
        <f>Kontenplan!F58</f>
        <v>Probewochenende</v>
      </c>
      <c r="D56" s="27">
        <f>IF(B56=0,0,SUMIF(Journal!$F$7:$F$84,Calc!B56,Journal!$I$7:$I$84))</f>
        <v>0</v>
      </c>
      <c r="E56" s="17">
        <f>IF(B56=0,0,SUMIF(Journal!$G$7:$G$84,Calc!B56,Journal!$I$7:$I$84))</f>
        <v>0</v>
      </c>
      <c r="F56" s="40">
        <f t="shared" si="25"/>
        <v>0</v>
      </c>
      <c r="G56" s="17">
        <f t="shared" si="26"/>
        <v>0</v>
      </c>
      <c r="H56" s="16" t="str">
        <f t="shared" si="27"/>
        <v xml:space="preserve"> </v>
      </c>
      <c r="I56" s="27" t="str">
        <f t="shared" si="28"/>
        <v xml:space="preserve"> </v>
      </c>
      <c r="J56" s="41" t="str">
        <f t="shared" si="29"/>
        <v xml:space="preserve"> </v>
      </c>
      <c r="K56" s="42" t="str">
        <f t="shared" si="30"/>
        <v xml:space="preserve"> </v>
      </c>
      <c r="L56" s="41" t="str">
        <f t="shared" si="31"/>
        <v xml:space="preserve"> </v>
      </c>
      <c r="M56" s="42" t="str">
        <f t="shared" si="32"/>
        <v xml:space="preserve"> </v>
      </c>
      <c r="N56" s="24"/>
      <c r="O56" s="24">
        <f t="shared" si="20"/>
        <v>0</v>
      </c>
      <c r="P56" s="24">
        <f t="shared" si="21"/>
        <v>0</v>
      </c>
      <c r="Q56" s="24"/>
      <c r="S56">
        <f>Kontenplan!R58</f>
        <v>6</v>
      </c>
      <c r="T56">
        <f>Kontenplan!S58</f>
        <v>2</v>
      </c>
      <c r="U56">
        <f>Kontenplan!T58</f>
        <v>2</v>
      </c>
      <c r="V56" s="30">
        <f>Kontenplan!U58</f>
        <v>1</v>
      </c>
      <c r="Z56">
        <f t="shared" si="1"/>
        <v>23</v>
      </c>
      <c r="AA56" t="str">
        <f>IF(OR(Kontenplan!T58-1=Kontenplan!T57,Kontenplan!U58-1=Kontenplan!U57),"T_ER","")</f>
        <v/>
      </c>
      <c r="AB56" t="str">
        <f>CONCATENATE(Kontenplan!D58,Kontenplan!E58," ",Kontenplan!F58)</f>
        <v>5500 Probewochenende</v>
      </c>
      <c r="AC56" s="70">
        <f t="shared" si="2"/>
        <v>0</v>
      </c>
      <c r="AD56" s="70">
        <f t="shared" si="3"/>
        <v>0</v>
      </c>
      <c r="AE56" s="70">
        <f t="shared" si="4"/>
        <v>0</v>
      </c>
      <c r="AG56">
        <f t="shared" si="5"/>
        <v>0</v>
      </c>
      <c r="AI56">
        <f t="shared" si="6"/>
        <v>50</v>
      </c>
      <c r="AJ56" s="27">
        <f t="shared" si="35"/>
        <v>50</v>
      </c>
      <c r="AK56" t="str">
        <f t="shared" si="36"/>
        <v/>
      </c>
      <c r="AL56" t="str">
        <f t="shared" si="37"/>
        <v>8300 diverse Erträge</v>
      </c>
      <c r="AM56" s="70">
        <f t="shared" si="38"/>
        <v>0</v>
      </c>
      <c r="AN56">
        <f t="shared" si="22"/>
        <v>0</v>
      </c>
      <c r="AP56">
        <f t="shared" si="34"/>
        <v>45.001900000000063</v>
      </c>
      <c r="AQ56" t="str">
        <f>IF(OR(Kontenplan!R58-1=Kontenplan!R57,Kontenplan!S58-1=Kontenplan!S57),"T_B","")</f>
        <v/>
      </c>
      <c r="AR56" t="str">
        <f>CONCATENATE(Kontenplan!D58,Kontenplan!E58," ",Kontenplan!F58)</f>
        <v>5500 Probewochenende</v>
      </c>
      <c r="AS56" s="70">
        <f t="shared" si="39"/>
        <v>0</v>
      </c>
      <c r="AT56" s="70">
        <f t="shared" si="40"/>
        <v>0</v>
      </c>
      <c r="AU56" s="70">
        <f t="shared" si="41"/>
        <v>0</v>
      </c>
      <c r="AV56" s="70" t="str">
        <f>IF(OR(A56="Aktivkonto",Kontenplan!R58-1=Kontenplan!R57),"a",IF(OR(A56="Passivkonto",Kontenplan!S58-1=Kontenplan!S57),"p",""))</f>
        <v/>
      </c>
      <c r="AW56" s="70">
        <f t="shared" si="33"/>
        <v>0</v>
      </c>
      <c r="AY56">
        <f t="shared" si="15"/>
        <v>50</v>
      </c>
      <c r="AZ56">
        <f>VLOOKUP(AY56,$AP$7:$AW$98,1)</f>
        <v>45.006100000000202</v>
      </c>
      <c r="BA56" t="str">
        <f t="shared" si="43"/>
        <v/>
      </c>
      <c r="BB56" t="str">
        <f t="shared" si="45"/>
        <v>Bilanzsumme</v>
      </c>
      <c r="BC56" s="70">
        <f t="shared" si="44"/>
        <v>0</v>
      </c>
      <c r="BD56" s="70">
        <f t="shared" si="24"/>
        <v>0</v>
      </c>
    </row>
    <row r="57" spans="1:56" x14ac:dyDescent="0.25">
      <c r="A57" s="3" t="str">
        <f>Kontenplan!C59</f>
        <v>Aufwandskonto</v>
      </c>
      <c r="B57" s="74">
        <f>Kontenplan!E59</f>
        <v>5520</v>
      </c>
      <c r="C57" s="71" t="str">
        <f>Kontenplan!F59</f>
        <v>Vereinsreise</v>
      </c>
      <c r="D57" s="27">
        <f>IF(B57=0,0,SUMIF(Journal!$F$7:$F$84,Calc!B57,Journal!$I$7:$I$84))</f>
        <v>0</v>
      </c>
      <c r="E57" s="17">
        <f>IF(B57=0,0,SUMIF(Journal!$G$7:$G$84,Calc!B57,Journal!$I$7:$I$84))</f>
        <v>0</v>
      </c>
      <c r="F57" s="40">
        <f t="shared" si="25"/>
        <v>0</v>
      </c>
      <c r="G57" s="17">
        <f t="shared" si="26"/>
        <v>0</v>
      </c>
      <c r="H57" s="16" t="str">
        <f t="shared" si="27"/>
        <v xml:space="preserve"> </v>
      </c>
      <c r="I57" s="27" t="str">
        <f t="shared" si="28"/>
        <v xml:space="preserve"> </v>
      </c>
      <c r="J57" s="41" t="str">
        <f t="shared" si="29"/>
        <v xml:space="preserve"> </v>
      </c>
      <c r="K57" s="42" t="str">
        <f t="shared" si="30"/>
        <v xml:space="preserve"> </v>
      </c>
      <c r="L57" s="41" t="str">
        <f t="shared" si="31"/>
        <v xml:space="preserve"> </v>
      </c>
      <c r="M57" s="42" t="str">
        <f t="shared" si="32"/>
        <v xml:space="preserve"> </v>
      </c>
      <c r="N57" s="24"/>
      <c r="O57" s="24">
        <f t="shared" si="20"/>
        <v>0</v>
      </c>
      <c r="P57" s="24">
        <f t="shared" si="21"/>
        <v>0</v>
      </c>
      <c r="Q57" s="24"/>
      <c r="S57">
        <f>Kontenplan!R59</f>
        <v>6</v>
      </c>
      <c r="T57">
        <f>Kontenplan!S59</f>
        <v>2</v>
      </c>
      <c r="U57">
        <f>Kontenplan!T59</f>
        <v>2</v>
      </c>
      <c r="V57" s="30">
        <f>Kontenplan!U59</f>
        <v>1</v>
      </c>
      <c r="Z57">
        <f t="shared" si="1"/>
        <v>24</v>
      </c>
      <c r="AA57" t="str">
        <f>IF(OR(Kontenplan!T59-1=Kontenplan!T58,Kontenplan!U59-1=Kontenplan!U58),"T_ER","")</f>
        <v/>
      </c>
      <c r="AB57" t="str">
        <f>CONCATENATE(Kontenplan!D59,Kontenplan!E59," ",Kontenplan!F59)</f>
        <v>5520 Vereinsreise</v>
      </c>
      <c r="AC57" s="70">
        <f t="shared" si="2"/>
        <v>0</v>
      </c>
      <c r="AD57" s="70">
        <f t="shared" si="3"/>
        <v>0</v>
      </c>
      <c r="AE57" s="70">
        <f t="shared" si="4"/>
        <v>0</v>
      </c>
      <c r="AG57">
        <f t="shared" si="5"/>
        <v>0</v>
      </c>
      <c r="AI57">
        <f t="shared" si="6"/>
        <v>51</v>
      </c>
      <c r="AJ57" s="27">
        <f t="shared" si="35"/>
        <v>51</v>
      </c>
      <c r="AK57" t="str">
        <f t="shared" si="36"/>
        <v/>
      </c>
      <c r="AL57" t="str">
        <f t="shared" si="37"/>
        <v>9999 Eröffnungskonto</v>
      </c>
      <c r="AM57" s="70">
        <f t="shared" si="38"/>
        <v>0</v>
      </c>
      <c r="AN57">
        <f t="shared" si="22"/>
        <v>0</v>
      </c>
      <c r="AP57">
        <f t="shared" si="34"/>
        <v>45.002000000000066</v>
      </c>
      <c r="AQ57" t="str">
        <f>IF(OR(Kontenplan!R59-1=Kontenplan!R58,Kontenplan!S59-1=Kontenplan!S58),"T_B","")</f>
        <v/>
      </c>
      <c r="AR57" t="str">
        <f>CONCATENATE(Kontenplan!D59,Kontenplan!E59," ",Kontenplan!F59)</f>
        <v>5520 Vereinsreise</v>
      </c>
      <c r="AS57" s="70">
        <f t="shared" si="39"/>
        <v>0</v>
      </c>
      <c r="AT57" s="70">
        <f t="shared" si="40"/>
        <v>0</v>
      </c>
      <c r="AU57" s="70">
        <f t="shared" si="41"/>
        <v>0</v>
      </c>
      <c r="AV57" s="70" t="str">
        <f>IF(OR(A57="Aktivkonto",Kontenplan!R59-1=Kontenplan!R58),"a",IF(OR(A57="Passivkonto",Kontenplan!S59-1=Kontenplan!S58),"p",""))</f>
        <v/>
      </c>
      <c r="AW57" s="70">
        <f t="shared" si="33"/>
        <v>0</v>
      </c>
      <c r="AY57">
        <f t="shared" si="15"/>
        <v>51</v>
      </c>
      <c r="AZ57">
        <f t="shared" si="42"/>
        <v>45.006100000000202</v>
      </c>
      <c r="BA57" t="str">
        <f t="shared" si="43"/>
        <v/>
      </c>
      <c r="BB57" t="str">
        <f t="shared" si="45"/>
        <v/>
      </c>
      <c r="BC57" s="70" t="str">
        <f t="shared" si="44"/>
        <v/>
      </c>
      <c r="BD57" s="70">
        <f t="shared" si="24"/>
        <v>0</v>
      </c>
    </row>
    <row r="58" spans="1:56" x14ac:dyDescent="0.25">
      <c r="A58" s="3" t="str">
        <f>Kontenplan!C60</f>
        <v>Aufwandskonto</v>
      </c>
      <c r="B58" s="74">
        <f>Kontenplan!E60</f>
        <v>5600</v>
      </c>
      <c r="C58" s="71" t="str">
        <f>Kontenplan!F60</f>
        <v>Heft des Vereins</v>
      </c>
      <c r="D58" s="27">
        <f>IF(B58=0,0,SUMIF(Journal!$F$7:$F$84,Calc!B58,Journal!$I$7:$I$84))</f>
        <v>0</v>
      </c>
      <c r="E58" s="17">
        <f>IF(B58=0,0,SUMIF(Journal!$G$7:$G$84,Calc!B58,Journal!$I$7:$I$84))</f>
        <v>0</v>
      </c>
      <c r="F58" s="40">
        <f t="shared" si="25"/>
        <v>0</v>
      </c>
      <c r="G58" s="17">
        <f t="shared" si="26"/>
        <v>0</v>
      </c>
      <c r="H58" s="16" t="str">
        <f t="shared" si="27"/>
        <v xml:space="preserve"> </v>
      </c>
      <c r="I58" s="27" t="str">
        <f t="shared" si="28"/>
        <v xml:space="preserve"> </v>
      </c>
      <c r="J58" s="41" t="str">
        <f t="shared" si="29"/>
        <v xml:space="preserve"> </v>
      </c>
      <c r="K58" s="42" t="str">
        <f t="shared" si="30"/>
        <v xml:space="preserve"> </v>
      </c>
      <c r="L58" s="41" t="str">
        <f t="shared" si="31"/>
        <v xml:space="preserve"> </v>
      </c>
      <c r="M58" s="42" t="str">
        <f t="shared" si="32"/>
        <v xml:space="preserve"> </v>
      </c>
      <c r="N58" s="24"/>
      <c r="O58" s="24">
        <f t="shared" si="20"/>
        <v>0</v>
      </c>
      <c r="P58" s="24">
        <f t="shared" si="21"/>
        <v>0</v>
      </c>
      <c r="Q58" s="24"/>
      <c r="S58">
        <f>Kontenplan!R60</f>
        <v>6</v>
      </c>
      <c r="T58">
        <f>Kontenplan!S60</f>
        <v>2</v>
      </c>
      <c r="U58">
        <f>Kontenplan!T60</f>
        <v>2</v>
      </c>
      <c r="V58" s="30">
        <f>Kontenplan!U60</f>
        <v>1</v>
      </c>
      <c r="Z58">
        <f t="shared" si="1"/>
        <v>25</v>
      </c>
      <c r="AA58" t="str">
        <f>IF(OR(Kontenplan!T60-1=Kontenplan!T59,Kontenplan!U60-1=Kontenplan!U59),"T_ER","")</f>
        <v/>
      </c>
      <c r="AB58" t="str">
        <f>CONCATENATE(Kontenplan!D60,Kontenplan!E60," ",Kontenplan!F60)</f>
        <v>5600 Heft des Vereins</v>
      </c>
      <c r="AC58" s="70">
        <f t="shared" si="2"/>
        <v>0</v>
      </c>
      <c r="AD58" s="70">
        <f t="shared" si="3"/>
        <v>0</v>
      </c>
      <c r="AE58" s="70">
        <f t="shared" si="4"/>
        <v>0</v>
      </c>
      <c r="AG58">
        <f t="shared" si="5"/>
        <v>0</v>
      </c>
      <c r="AI58">
        <f t="shared" si="6"/>
        <v>52</v>
      </c>
      <c r="AJ58" s="27">
        <f t="shared" si="35"/>
        <v>51.004000000000133</v>
      </c>
      <c r="AK58" t="str">
        <f t="shared" si="36"/>
        <v>Sub</v>
      </c>
      <c r="AL58" t="str">
        <f t="shared" si="37"/>
        <v/>
      </c>
      <c r="AM58" s="70">
        <f t="shared" si="38"/>
        <v>0</v>
      </c>
      <c r="AN58">
        <f t="shared" si="22"/>
        <v>0</v>
      </c>
      <c r="AP58">
        <f t="shared" si="34"/>
        <v>45.00210000000007</v>
      </c>
      <c r="AQ58" t="str">
        <f>IF(OR(Kontenplan!R60-1=Kontenplan!R59,Kontenplan!S60-1=Kontenplan!S59),"T_B","")</f>
        <v/>
      </c>
      <c r="AR58" t="str">
        <f>CONCATENATE(Kontenplan!D60,Kontenplan!E60," ",Kontenplan!F60)</f>
        <v>5600 Heft des Vereins</v>
      </c>
      <c r="AS58" s="70">
        <f t="shared" si="39"/>
        <v>0</v>
      </c>
      <c r="AT58" s="70">
        <f t="shared" si="40"/>
        <v>0</v>
      </c>
      <c r="AU58" s="70">
        <f t="shared" si="41"/>
        <v>0</v>
      </c>
      <c r="AV58" s="70" t="str">
        <f>IF(OR(A58="Aktivkonto",Kontenplan!R60-1=Kontenplan!R59),"a",IF(OR(A58="Passivkonto",Kontenplan!S60-1=Kontenplan!S59),"p",""))</f>
        <v/>
      </c>
      <c r="AW58" s="70">
        <f t="shared" si="33"/>
        <v>0</v>
      </c>
      <c r="AY58">
        <f t="shared" si="15"/>
        <v>52</v>
      </c>
      <c r="AZ58">
        <f t="shared" si="42"/>
        <v>45.006100000000202</v>
      </c>
      <c r="BA58" t="str">
        <f t="shared" si="43"/>
        <v/>
      </c>
      <c r="BB58" t="str">
        <f t="shared" si="45"/>
        <v/>
      </c>
      <c r="BC58" s="70" t="str">
        <f t="shared" si="44"/>
        <v/>
      </c>
      <c r="BD58" s="70">
        <f t="shared" si="24"/>
        <v>0</v>
      </c>
    </row>
    <row r="59" spans="1:56" x14ac:dyDescent="0.25">
      <c r="A59" s="3" t="str">
        <f>Kontenplan!C61</f>
        <v>Aufwandskonto</v>
      </c>
      <c r="B59" s="74">
        <f>Kontenplan!E61</f>
        <v>5700</v>
      </c>
      <c r="C59" s="71" t="str">
        <f>Kontenplan!F61</f>
        <v>Spesen Dirigent</v>
      </c>
      <c r="D59" s="27">
        <f>IF(B59=0,0,SUMIF(Journal!$F$7:$F$84,Calc!B59,Journal!$I$7:$I$84))</f>
        <v>0</v>
      </c>
      <c r="E59" s="17">
        <f>IF(B59=0,0,SUMIF(Journal!$G$7:$G$84,Calc!B59,Journal!$I$7:$I$84))</f>
        <v>0</v>
      </c>
      <c r="F59" s="40">
        <f t="shared" si="25"/>
        <v>0</v>
      </c>
      <c r="G59" s="17">
        <f t="shared" si="26"/>
        <v>0</v>
      </c>
      <c r="H59" s="16" t="str">
        <f t="shared" si="27"/>
        <v xml:space="preserve"> </v>
      </c>
      <c r="I59" s="27" t="str">
        <f t="shared" si="28"/>
        <v xml:space="preserve"> </v>
      </c>
      <c r="J59" s="41" t="str">
        <f t="shared" si="29"/>
        <v xml:space="preserve"> </v>
      </c>
      <c r="K59" s="42" t="str">
        <f t="shared" si="30"/>
        <v xml:space="preserve"> </v>
      </c>
      <c r="L59" s="41" t="str">
        <f t="shared" si="31"/>
        <v xml:space="preserve"> </v>
      </c>
      <c r="M59" s="42" t="str">
        <f t="shared" si="32"/>
        <v xml:space="preserve"> </v>
      </c>
      <c r="N59" s="24"/>
      <c r="O59" s="24">
        <f t="shared" si="20"/>
        <v>0</v>
      </c>
      <c r="P59" s="24">
        <f t="shared" si="21"/>
        <v>0</v>
      </c>
      <c r="Q59" s="24"/>
      <c r="S59">
        <f>Kontenplan!R61</f>
        <v>6</v>
      </c>
      <c r="T59">
        <f>Kontenplan!S61</f>
        <v>2</v>
      </c>
      <c r="U59">
        <f>Kontenplan!T61</f>
        <v>2</v>
      </c>
      <c r="V59" s="30">
        <f>Kontenplan!U61</f>
        <v>1</v>
      </c>
      <c r="Z59">
        <f t="shared" si="1"/>
        <v>26</v>
      </c>
      <c r="AA59" t="str">
        <f>IF(OR(Kontenplan!T61-1=Kontenplan!T60,Kontenplan!U61-1=Kontenplan!U60),"T_ER","")</f>
        <v/>
      </c>
      <c r="AB59" t="str">
        <f>CONCATENATE(Kontenplan!D61,Kontenplan!E61," ",Kontenplan!F61)</f>
        <v>5700 Spesen Dirigent</v>
      </c>
      <c r="AC59" s="70">
        <f t="shared" si="2"/>
        <v>0</v>
      </c>
      <c r="AD59" s="70">
        <f t="shared" si="3"/>
        <v>0</v>
      </c>
      <c r="AE59" s="70">
        <f t="shared" si="4"/>
        <v>0</v>
      </c>
      <c r="AG59">
        <f t="shared" si="5"/>
        <v>0</v>
      </c>
      <c r="AI59">
        <f t="shared" si="6"/>
        <v>53</v>
      </c>
      <c r="AJ59" s="27">
        <f t="shared" si="35"/>
        <v>51.004000000000133</v>
      </c>
      <c r="AK59" t="str">
        <f t="shared" si="36"/>
        <v/>
      </c>
      <c r="AL59" t="str">
        <f t="shared" si="37"/>
        <v/>
      </c>
      <c r="AM59" s="70" t="str">
        <f t="shared" si="38"/>
        <v/>
      </c>
      <c r="AN59">
        <f t="shared" si="22"/>
        <v>0</v>
      </c>
      <c r="AP59">
        <f t="shared" si="34"/>
        <v>45.002200000000073</v>
      </c>
      <c r="AQ59" t="str">
        <f>IF(OR(Kontenplan!R61-1=Kontenplan!R60,Kontenplan!S61-1=Kontenplan!S60),"T_B","")</f>
        <v/>
      </c>
      <c r="AR59" t="str">
        <f>CONCATENATE(Kontenplan!D61,Kontenplan!E61," ",Kontenplan!F61)</f>
        <v>5700 Spesen Dirigent</v>
      </c>
      <c r="AS59" s="70">
        <f t="shared" si="39"/>
        <v>0</v>
      </c>
      <c r="AT59" s="70">
        <f t="shared" si="40"/>
        <v>0</v>
      </c>
      <c r="AU59" s="70">
        <f t="shared" si="41"/>
        <v>0</v>
      </c>
      <c r="AV59" s="70" t="str">
        <f>IF(OR(A59="Aktivkonto",Kontenplan!R61-1=Kontenplan!R60),"a",IF(OR(A59="Passivkonto",Kontenplan!S61-1=Kontenplan!S60),"p",""))</f>
        <v/>
      </c>
      <c r="AW59" s="70">
        <f t="shared" si="33"/>
        <v>0</v>
      </c>
      <c r="AY59">
        <f t="shared" si="15"/>
        <v>53</v>
      </c>
      <c r="AZ59">
        <f t="shared" si="42"/>
        <v>45.006100000000202</v>
      </c>
      <c r="BA59" t="str">
        <f t="shared" si="43"/>
        <v/>
      </c>
      <c r="BB59" t="str">
        <f t="shared" si="45"/>
        <v/>
      </c>
      <c r="BC59" s="70" t="str">
        <f t="shared" si="44"/>
        <v/>
      </c>
      <c r="BD59" s="70">
        <f t="shared" si="24"/>
        <v>0</v>
      </c>
    </row>
    <row r="60" spans="1:56" x14ac:dyDescent="0.25">
      <c r="A60" s="3" t="str">
        <f>Kontenplan!C62</f>
        <v>Aufwandskonto</v>
      </c>
      <c r="B60" s="74">
        <f>Kontenplan!E62</f>
        <v>5720</v>
      </c>
      <c r="C60" s="71" t="str">
        <f>Kontenplan!F62</f>
        <v>Spesen Vorstand</v>
      </c>
      <c r="D60" s="27">
        <f>IF(B60=0,0,SUMIF(Journal!$F$7:$F$84,Calc!B60,Journal!$I$7:$I$84))</f>
        <v>0</v>
      </c>
      <c r="E60" s="17">
        <f>IF(B60=0,0,SUMIF(Journal!$G$7:$G$84,Calc!B60,Journal!$I$7:$I$84))</f>
        <v>0</v>
      </c>
      <c r="F60" s="40">
        <f t="shared" si="25"/>
        <v>0</v>
      </c>
      <c r="G60" s="17">
        <f t="shared" si="26"/>
        <v>0</v>
      </c>
      <c r="H60" s="16" t="str">
        <f t="shared" si="27"/>
        <v xml:space="preserve"> </v>
      </c>
      <c r="I60" s="27" t="str">
        <f t="shared" si="28"/>
        <v xml:space="preserve"> </v>
      </c>
      <c r="J60" s="41" t="str">
        <f t="shared" si="29"/>
        <v xml:space="preserve"> </v>
      </c>
      <c r="K60" s="42" t="str">
        <f t="shared" si="30"/>
        <v xml:space="preserve"> </v>
      </c>
      <c r="L60" s="41" t="str">
        <f t="shared" si="31"/>
        <v xml:space="preserve"> </v>
      </c>
      <c r="M60" s="42" t="str">
        <f t="shared" si="32"/>
        <v xml:space="preserve"> </v>
      </c>
      <c r="N60" s="24"/>
      <c r="O60" s="24">
        <f t="shared" si="20"/>
        <v>0</v>
      </c>
      <c r="P60" s="24">
        <f t="shared" si="21"/>
        <v>0</v>
      </c>
      <c r="Q60" s="24"/>
      <c r="S60">
        <f>Kontenplan!R62</f>
        <v>6</v>
      </c>
      <c r="T60">
        <f>Kontenplan!S62</f>
        <v>2</v>
      </c>
      <c r="U60">
        <f>Kontenplan!T62</f>
        <v>2</v>
      </c>
      <c r="V60" s="30">
        <f>Kontenplan!U62</f>
        <v>1</v>
      </c>
      <c r="Z60">
        <f t="shared" si="1"/>
        <v>27</v>
      </c>
      <c r="AA60" t="str">
        <f>IF(OR(Kontenplan!T62-1=Kontenplan!T61,Kontenplan!U62-1=Kontenplan!U61),"T_ER","")</f>
        <v/>
      </c>
      <c r="AB60" t="str">
        <f>CONCATENATE(Kontenplan!D62,Kontenplan!E62," ",Kontenplan!F62)</f>
        <v>5720 Spesen Vorstand</v>
      </c>
      <c r="AC60" s="70">
        <f t="shared" si="2"/>
        <v>0</v>
      </c>
      <c r="AD60" s="70">
        <f t="shared" si="3"/>
        <v>0</v>
      </c>
      <c r="AE60" s="70">
        <f t="shared" si="4"/>
        <v>0</v>
      </c>
      <c r="AG60">
        <f t="shared" si="5"/>
        <v>0</v>
      </c>
      <c r="AI60">
        <f t="shared" si="6"/>
        <v>54</v>
      </c>
      <c r="AJ60" s="27">
        <f t="shared" si="35"/>
        <v>51.004000000000133</v>
      </c>
      <c r="AK60" t="str">
        <f t="shared" si="36"/>
        <v/>
      </c>
      <c r="AL60" t="str">
        <f t="shared" si="37"/>
        <v>Gewinn</v>
      </c>
      <c r="AM60" s="70">
        <f t="shared" si="38"/>
        <v>0</v>
      </c>
      <c r="AN60">
        <f t="shared" si="22"/>
        <v>0</v>
      </c>
      <c r="AP60">
        <f t="shared" si="34"/>
        <v>45.002300000000076</v>
      </c>
      <c r="AQ60" t="str">
        <f>IF(OR(Kontenplan!R62-1=Kontenplan!R61,Kontenplan!S62-1=Kontenplan!S61),"T_B","")</f>
        <v/>
      </c>
      <c r="AR60" t="str">
        <f>CONCATENATE(Kontenplan!D62,Kontenplan!E62," ",Kontenplan!F62)</f>
        <v>5720 Spesen Vorstand</v>
      </c>
      <c r="AS60" s="70">
        <f t="shared" si="39"/>
        <v>0</v>
      </c>
      <c r="AT60" s="70">
        <f t="shared" si="40"/>
        <v>0</v>
      </c>
      <c r="AU60" s="70">
        <f t="shared" si="41"/>
        <v>0</v>
      </c>
      <c r="AV60" s="70" t="str">
        <f>IF(OR(A60="Aktivkonto",Kontenplan!R62-1=Kontenplan!R61),"a",IF(OR(A60="Passivkonto",Kontenplan!S62-1=Kontenplan!S61),"p",""))</f>
        <v/>
      </c>
      <c r="AW60" s="70">
        <f t="shared" si="33"/>
        <v>0</v>
      </c>
      <c r="AY60">
        <f t="shared" si="15"/>
        <v>54</v>
      </c>
      <c r="AZ60">
        <f t="shared" si="42"/>
        <v>45.006100000000202</v>
      </c>
      <c r="BA60" t="str">
        <f t="shared" si="43"/>
        <v/>
      </c>
      <c r="BB60" t="str">
        <f t="shared" si="45"/>
        <v/>
      </c>
      <c r="BC60" s="70" t="str">
        <f t="shared" si="44"/>
        <v/>
      </c>
      <c r="BD60" s="70">
        <f t="shared" si="24"/>
        <v>0</v>
      </c>
    </row>
    <row r="61" spans="1:56" x14ac:dyDescent="0.25">
      <c r="A61" s="3" t="str">
        <f>Kontenplan!C63</f>
        <v>Aufwandskonto</v>
      </c>
      <c r="B61" s="74">
        <f>Kontenplan!E63</f>
        <v>5740</v>
      </c>
      <c r="C61" s="71" t="str">
        <f>Kontenplan!F63</f>
        <v>Spesen Mitglieder</v>
      </c>
      <c r="D61" s="27">
        <f>IF(B61=0,0,SUMIF(Journal!$F$7:$F$84,Calc!B61,Journal!$I$7:$I$84))</f>
        <v>0</v>
      </c>
      <c r="E61" s="17">
        <f>IF(B61=0,0,SUMIF(Journal!$G$7:$G$84,Calc!B61,Journal!$I$7:$I$84))</f>
        <v>0</v>
      </c>
      <c r="F61" s="40">
        <f t="shared" si="25"/>
        <v>0</v>
      </c>
      <c r="G61" s="17">
        <f t="shared" si="26"/>
        <v>0</v>
      </c>
      <c r="H61" s="16" t="str">
        <f t="shared" si="27"/>
        <v xml:space="preserve"> </v>
      </c>
      <c r="I61" s="27" t="str">
        <f t="shared" si="28"/>
        <v xml:space="preserve"> </v>
      </c>
      <c r="J61" s="41" t="str">
        <f t="shared" si="29"/>
        <v xml:space="preserve"> </v>
      </c>
      <c r="K61" s="42" t="str">
        <f t="shared" si="30"/>
        <v xml:space="preserve"> </v>
      </c>
      <c r="L61" s="41" t="str">
        <f t="shared" si="31"/>
        <v xml:space="preserve"> </v>
      </c>
      <c r="M61" s="42" t="str">
        <f t="shared" si="32"/>
        <v xml:space="preserve"> </v>
      </c>
      <c r="N61" s="24"/>
      <c r="O61" s="24">
        <f t="shared" si="20"/>
        <v>0</v>
      </c>
      <c r="P61" s="24">
        <f t="shared" si="21"/>
        <v>0</v>
      </c>
      <c r="Q61" s="24"/>
      <c r="S61">
        <f>Kontenplan!R63</f>
        <v>6</v>
      </c>
      <c r="T61">
        <f>Kontenplan!S63</f>
        <v>2</v>
      </c>
      <c r="U61">
        <f>Kontenplan!T63</f>
        <v>2</v>
      </c>
      <c r="V61" s="30">
        <f>Kontenplan!U63</f>
        <v>1</v>
      </c>
      <c r="Z61">
        <f t="shared" si="1"/>
        <v>28</v>
      </c>
      <c r="AA61" t="str">
        <f>IF(OR(Kontenplan!T63-1=Kontenplan!T62,Kontenplan!U63-1=Kontenplan!U62),"T_ER","")</f>
        <v/>
      </c>
      <c r="AB61" t="str">
        <f>CONCATENATE(Kontenplan!D63,Kontenplan!E63," ",Kontenplan!F63)</f>
        <v>5740 Spesen Mitglieder</v>
      </c>
      <c r="AC61" s="70">
        <f t="shared" si="2"/>
        <v>0</v>
      </c>
      <c r="AD61" s="70">
        <f t="shared" si="3"/>
        <v>0</v>
      </c>
      <c r="AE61" s="70">
        <f t="shared" si="4"/>
        <v>0</v>
      </c>
      <c r="AG61">
        <f t="shared" si="5"/>
        <v>0</v>
      </c>
      <c r="AI61">
        <f t="shared" si="6"/>
        <v>55</v>
      </c>
      <c r="AJ61" s="27">
        <f t="shared" si="35"/>
        <v>51.004000000000133</v>
      </c>
      <c r="AK61" t="str">
        <f t="shared" si="36"/>
        <v/>
      </c>
      <c r="AL61" t="str">
        <f t="shared" si="37"/>
        <v/>
      </c>
      <c r="AM61" s="70" t="str">
        <f t="shared" si="38"/>
        <v/>
      </c>
      <c r="AN61">
        <f t="shared" si="22"/>
        <v>0</v>
      </c>
      <c r="AP61">
        <f t="shared" si="34"/>
        <v>45.00240000000008</v>
      </c>
      <c r="AQ61" t="str">
        <f>IF(OR(Kontenplan!R63-1=Kontenplan!R62,Kontenplan!S63-1=Kontenplan!S62),"T_B","")</f>
        <v/>
      </c>
      <c r="AR61" t="str">
        <f>CONCATENATE(Kontenplan!D63,Kontenplan!E63," ",Kontenplan!F63)</f>
        <v>5740 Spesen Mitglieder</v>
      </c>
      <c r="AS61" s="70">
        <f t="shared" si="39"/>
        <v>0</v>
      </c>
      <c r="AT61" s="70">
        <f t="shared" si="40"/>
        <v>0</v>
      </c>
      <c r="AU61" s="70">
        <f t="shared" si="41"/>
        <v>0</v>
      </c>
      <c r="AV61" s="70" t="str">
        <f>IF(OR(A61="Aktivkonto",Kontenplan!R63-1=Kontenplan!R62),"a",IF(OR(A61="Passivkonto",Kontenplan!S63-1=Kontenplan!S62),"p",""))</f>
        <v/>
      </c>
      <c r="AW61" s="70">
        <f t="shared" si="33"/>
        <v>0</v>
      </c>
      <c r="AY61">
        <f t="shared" si="15"/>
        <v>55</v>
      </c>
      <c r="AZ61">
        <f t="shared" si="42"/>
        <v>45.006100000000202</v>
      </c>
      <c r="BA61" t="str">
        <f t="shared" si="43"/>
        <v/>
      </c>
      <c r="BB61" t="str">
        <f t="shared" si="45"/>
        <v/>
      </c>
      <c r="BC61" s="70" t="str">
        <f t="shared" si="44"/>
        <v/>
      </c>
      <c r="BD61" s="70">
        <f>IF(BA61="Sub",BC61,0)</f>
        <v>0</v>
      </c>
    </row>
    <row r="62" spans="1:56" x14ac:dyDescent="0.25">
      <c r="A62" s="3" t="str">
        <f>Kontenplan!C64</f>
        <v>Aufwandskonto</v>
      </c>
      <c r="B62" s="74">
        <f>Kontenplan!E64</f>
        <v>5760</v>
      </c>
      <c r="C62" s="71" t="str">
        <f>Kontenplan!F64</f>
        <v>sonstige Spesen</v>
      </c>
      <c r="D62" s="27">
        <f>IF(B62=0,0,SUMIF(Journal!$F$7:$F$84,Calc!B62,Journal!$I$7:$I$84))</f>
        <v>0</v>
      </c>
      <c r="E62" s="17">
        <f>IF(B62=0,0,SUMIF(Journal!$G$7:$G$84,Calc!B62,Journal!$I$7:$I$84))</f>
        <v>0</v>
      </c>
      <c r="F62" s="40">
        <f t="shared" si="25"/>
        <v>0</v>
      </c>
      <c r="G62" s="17">
        <f t="shared" si="26"/>
        <v>0</v>
      </c>
      <c r="H62" s="16" t="str">
        <f t="shared" si="27"/>
        <v xml:space="preserve"> </v>
      </c>
      <c r="I62" s="27" t="str">
        <f t="shared" si="28"/>
        <v xml:space="preserve"> </v>
      </c>
      <c r="J62" s="41" t="str">
        <f t="shared" si="29"/>
        <v xml:space="preserve"> </v>
      </c>
      <c r="K62" s="42" t="str">
        <f t="shared" si="30"/>
        <v xml:space="preserve"> </v>
      </c>
      <c r="L62" s="41" t="str">
        <f t="shared" si="31"/>
        <v xml:space="preserve"> </v>
      </c>
      <c r="M62" s="42" t="str">
        <f t="shared" si="32"/>
        <v xml:space="preserve"> </v>
      </c>
      <c r="N62" s="24"/>
      <c r="O62" s="24">
        <f t="shared" si="20"/>
        <v>0</v>
      </c>
      <c r="P62" s="24">
        <f t="shared" si="21"/>
        <v>0</v>
      </c>
      <c r="Q62" s="24"/>
      <c r="S62">
        <f>Kontenplan!R64</f>
        <v>6</v>
      </c>
      <c r="T62">
        <f>Kontenplan!S64</f>
        <v>2</v>
      </c>
      <c r="U62">
        <f>Kontenplan!T64</f>
        <v>2</v>
      </c>
      <c r="V62" s="30">
        <f>Kontenplan!U64</f>
        <v>1</v>
      </c>
      <c r="Z62">
        <f t="shared" si="1"/>
        <v>29</v>
      </c>
      <c r="AA62" t="str">
        <f>IF(OR(Kontenplan!T64-1=Kontenplan!T63,Kontenplan!U64-1=Kontenplan!U63),"T_ER","")</f>
        <v/>
      </c>
      <c r="AB62" t="str">
        <f>CONCATENATE(Kontenplan!D64,Kontenplan!E64," ",Kontenplan!F64)</f>
        <v>5760 sonstige Spesen</v>
      </c>
      <c r="AC62" s="70">
        <f t="shared" si="2"/>
        <v>0</v>
      </c>
      <c r="AD62" s="70">
        <f t="shared" si="3"/>
        <v>0</v>
      </c>
      <c r="AE62" s="70">
        <f t="shared" si="4"/>
        <v>0</v>
      </c>
      <c r="AG62">
        <f t="shared" si="5"/>
        <v>0</v>
      </c>
      <c r="AI62">
        <f t="shared" si="6"/>
        <v>56</v>
      </c>
      <c r="AJ62" s="27">
        <f t="shared" si="35"/>
        <v>51.004000000000133</v>
      </c>
      <c r="AK62" t="str">
        <f t="shared" si="36"/>
        <v/>
      </c>
      <c r="AL62" t="str">
        <f t="shared" si="37"/>
        <v/>
      </c>
      <c r="AM62" s="70" t="str">
        <f t="shared" si="38"/>
        <v/>
      </c>
      <c r="AN62">
        <f t="shared" si="22"/>
        <v>0</v>
      </c>
      <c r="AP62">
        <f t="shared" si="34"/>
        <v>45.002500000000083</v>
      </c>
      <c r="AQ62" t="str">
        <f>IF(OR(Kontenplan!R64-1=Kontenplan!R63,Kontenplan!S64-1=Kontenplan!S63),"T_B","")</f>
        <v/>
      </c>
      <c r="AR62" t="str">
        <f>CONCATENATE(Kontenplan!D64,Kontenplan!E64," ",Kontenplan!F64)</f>
        <v>5760 sonstige Spesen</v>
      </c>
      <c r="AS62" s="70">
        <f t="shared" si="39"/>
        <v>0</v>
      </c>
      <c r="AT62" s="70">
        <f t="shared" si="40"/>
        <v>0</v>
      </c>
      <c r="AU62" s="70">
        <f t="shared" si="41"/>
        <v>0</v>
      </c>
      <c r="AV62" s="70" t="str">
        <f>IF(OR(A62="Aktivkonto",Kontenplan!R64-1=Kontenplan!R63),"a",IF(OR(A62="Passivkonto",Kontenplan!S64-1=Kontenplan!S63),"p",""))</f>
        <v/>
      </c>
      <c r="AW62" s="70">
        <f t="shared" si="33"/>
        <v>0</v>
      </c>
      <c r="AY62">
        <f t="shared" si="15"/>
        <v>56</v>
      </c>
      <c r="AZ62">
        <f t="shared" si="42"/>
        <v>45.006100000000202</v>
      </c>
      <c r="BA62" t="str">
        <f t="shared" si="43"/>
        <v/>
      </c>
      <c r="BB62" t="str">
        <f t="shared" si="45"/>
        <v/>
      </c>
      <c r="BC62" s="70" t="str">
        <f t="shared" si="44"/>
        <v/>
      </c>
      <c r="BD62" s="70">
        <f t="shared" si="24"/>
        <v>0</v>
      </c>
    </row>
    <row r="63" spans="1:56" x14ac:dyDescent="0.25">
      <c r="A63" s="3" t="str">
        <f>Kontenplan!C65</f>
        <v>Aufwandskonto</v>
      </c>
      <c r="B63" s="74">
        <f>Kontenplan!E65</f>
        <v>5780</v>
      </c>
      <c r="C63" s="71" t="str">
        <f>Kontenplan!F65</f>
        <v>Bank-, Post-Spesen</v>
      </c>
      <c r="D63" s="27">
        <f>IF(B63=0,0,SUMIF(Journal!$F$7:$F$84,Calc!B63,Journal!$I$7:$I$84))</f>
        <v>0</v>
      </c>
      <c r="E63" s="17">
        <f>IF(B63=0,0,SUMIF(Journal!$G$7:$G$84,Calc!B63,Journal!$I$7:$I$84))</f>
        <v>0</v>
      </c>
      <c r="F63" s="40">
        <f t="shared" si="25"/>
        <v>0</v>
      </c>
      <c r="G63" s="17">
        <f t="shared" si="26"/>
        <v>0</v>
      </c>
      <c r="H63" s="16" t="str">
        <f t="shared" si="27"/>
        <v xml:space="preserve"> </v>
      </c>
      <c r="I63" s="27" t="str">
        <f t="shared" si="28"/>
        <v xml:space="preserve"> </v>
      </c>
      <c r="J63" s="41" t="str">
        <f t="shared" si="29"/>
        <v xml:space="preserve"> </v>
      </c>
      <c r="K63" s="42" t="str">
        <f t="shared" si="30"/>
        <v xml:space="preserve"> </v>
      </c>
      <c r="L63" s="41" t="str">
        <f t="shared" si="31"/>
        <v xml:space="preserve"> </v>
      </c>
      <c r="M63" s="42" t="str">
        <f t="shared" si="32"/>
        <v xml:space="preserve"> </v>
      </c>
      <c r="N63" s="24"/>
      <c r="O63" s="24">
        <f t="shared" si="20"/>
        <v>0</v>
      </c>
      <c r="P63" s="24">
        <f t="shared" si="21"/>
        <v>0</v>
      </c>
      <c r="Q63" s="24"/>
      <c r="S63">
        <f>Kontenplan!R65</f>
        <v>6</v>
      </c>
      <c r="T63">
        <f>Kontenplan!S65</f>
        <v>2</v>
      </c>
      <c r="U63">
        <f>Kontenplan!T65</f>
        <v>2</v>
      </c>
      <c r="V63" s="30">
        <f>Kontenplan!U65</f>
        <v>1</v>
      </c>
      <c r="Z63">
        <f t="shared" si="1"/>
        <v>30</v>
      </c>
      <c r="AA63" t="str">
        <f>IF(OR(Kontenplan!T65-1=Kontenplan!T64,Kontenplan!U65-1=Kontenplan!U64),"T_ER","")</f>
        <v/>
      </c>
      <c r="AB63" t="str">
        <f>CONCATENATE(Kontenplan!D65,Kontenplan!E65," ",Kontenplan!F65)</f>
        <v>5780 Bank-, Post-Spesen</v>
      </c>
      <c r="AC63" s="70">
        <f t="shared" si="2"/>
        <v>0</v>
      </c>
      <c r="AD63" s="70">
        <f t="shared" si="3"/>
        <v>0</v>
      </c>
      <c r="AE63" s="70">
        <f t="shared" si="4"/>
        <v>0</v>
      </c>
      <c r="AG63">
        <f t="shared" si="5"/>
        <v>0</v>
      </c>
      <c r="AI63">
        <f t="shared" si="6"/>
        <v>57</v>
      </c>
      <c r="AJ63" s="27">
        <f t="shared" si="35"/>
        <v>51.004000000000133</v>
      </c>
      <c r="AK63" t="str">
        <f t="shared" si="36"/>
        <v/>
      </c>
      <c r="AL63" t="str">
        <f t="shared" si="37"/>
        <v/>
      </c>
      <c r="AM63" s="70" t="str">
        <f t="shared" si="38"/>
        <v/>
      </c>
      <c r="AN63">
        <f>IF(AK63="Sub",AM63,0)</f>
        <v>0</v>
      </c>
      <c r="AP63">
        <f t="shared" si="34"/>
        <v>45.002600000000086</v>
      </c>
      <c r="AQ63" t="str">
        <f>IF(OR(Kontenplan!R65-1=Kontenplan!R64,Kontenplan!S65-1=Kontenplan!S64),"T_B","")</f>
        <v/>
      </c>
      <c r="AR63" t="str">
        <f>CONCATENATE(Kontenplan!D65,Kontenplan!E65," ",Kontenplan!F65)</f>
        <v>5780 Bank-, Post-Spesen</v>
      </c>
      <c r="AS63" s="70">
        <f t="shared" si="39"/>
        <v>0</v>
      </c>
      <c r="AT63" s="70">
        <f t="shared" si="40"/>
        <v>0</v>
      </c>
      <c r="AU63" s="70">
        <f t="shared" si="41"/>
        <v>0</v>
      </c>
      <c r="AV63" s="70" t="str">
        <f>IF(OR(A63="Aktivkonto",Kontenplan!R65-1=Kontenplan!R64),"a",IF(OR(A63="Passivkonto",Kontenplan!S65-1=Kontenplan!S64),"p",""))</f>
        <v/>
      </c>
      <c r="AW63" s="70">
        <f t="shared" si="33"/>
        <v>0</v>
      </c>
      <c r="AY63">
        <f t="shared" si="15"/>
        <v>57</v>
      </c>
      <c r="AZ63">
        <f t="shared" si="42"/>
        <v>45.006100000000202</v>
      </c>
      <c r="BA63" t="str">
        <f t="shared" si="43"/>
        <v/>
      </c>
      <c r="BB63" t="str">
        <f t="shared" si="45"/>
        <v/>
      </c>
      <c r="BC63" s="70" t="str">
        <f t="shared" si="44"/>
        <v/>
      </c>
      <c r="BD63" s="70">
        <f t="shared" si="24"/>
        <v>0</v>
      </c>
    </row>
    <row r="64" spans="1:56" x14ac:dyDescent="0.25">
      <c r="A64" s="3" t="str">
        <f>Kontenplan!C66</f>
        <v>Aufwandskonto</v>
      </c>
      <c r="B64" s="74">
        <f>Kontenplan!E66</f>
        <v>5800</v>
      </c>
      <c r="C64" s="71" t="str">
        <f>Kontenplan!F66</f>
        <v>Aufwand GV und Dankeschön</v>
      </c>
      <c r="D64" s="27">
        <f>IF(B64=0,0,SUMIF(Journal!$F$7:$F$84,Calc!B64,Journal!$I$7:$I$84))</f>
        <v>0</v>
      </c>
      <c r="E64" s="17">
        <f>IF(B64=0,0,SUMIF(Journal!$G$7:$G$84,Calc!B64,Journal!$I$7:$I$84))</f>
        <v>0</v>
      </c>
      <c r="F64" s="40">
        <f t="shared" si="25"/>
        <v>0</v>
      </c>
      <c r="G64" s="17">
        <f t="shared" si="26"/>
        <v>0</v>
      </c>
      <c r="H64" s="16" t="str">
        <f t="shared" si="27"/>
        <v xml:space="preserve"> </v>
      </c>
      <c r="I64" s="27" t="str">
        <f t="shared" si="28"/>
        <v xml:space="preserve"> </v>
      </c>
      <c r="J64" s="41" t="str">
        <f t="shared" si="29"/>
        <v xml:space="preserve"> </v>
      </c>
      <c r="K64" s="42" t="str">
        <f t="shared" si="30"/>
        <v xml:space="preserve"> </v>
      </c>
      <c r="L64" s="41" t="str">
        <f t="shared" si="31"/>
        <v xml:space="preserve"> </v>
      </c>
      <c r="M64" s="42" t="str">
        <f t="shared" si="32"/>
        <v xml:space="preserve"> </v>
      </c>
      <c r="N64" s="24"/>
      <c r="O64" s="24">
        <f t="shared" si="20"/>
        <v>0</v>
      </c>
      <c r="P64" s="24">
        <f t="shared" si="21"/>
        <v>0</v>
      </c>
      <c r="Q64" s="24"/>
      <c r="S64">
        <f>Kontenplan!R66</f>
        <v>6</v>
      </c>
      <c r="T64">
        <f>Kontenplan!S66</f>
        <v>2</v>
      </c>
      <c r="U64">
        <f>Kontenplan!T66</f>
        <v>2</v>
      </c>
      <c r="V64" s="30">
        <f>Kontenplan!U66</f>
        <v>1</v>
      </c>
      <c r="Z64">
        <f t="shared" si="1"/>
        <v>31</v>
      </c>
      <c r="AA64" t="str">
        <f>IF(OR(Kontenplan!T66-1=Kontenplan!T65,Kontenplan!U66-1=Kontenplan!U65),"T_ER","")</f>
        <v/>
      </c>
      <c r="AB64" t="str">
        <f>CONCATENATE(Kontenplan!D66,Kontenplan!E66," ",Kontenplan!F66)</f>
        <v>5800 Aufwand GV und Dankeschön</v>
      </c>
      <c r="AC64" s="70">
        <f t="shared" si="2"/>
        <v>0</v>
      </c>
      <c r="AD64" s="70">
        <f t="shared" si="3"/>
        <v>0</v>
      </c>
      <c r="AE64" s="70">
        <f t="shared" si="4"/>
        <v>0</v>
      </c>
      <c r="AG64">
        <f t="shared" si="5"/>
        <v>0</v>
      </c>
      <c r="AI64">
        <f t="shared" si="6"/>
        <v>58</v>
      </c>
      <c r="AJ64" s="27">
        <f t="shared" si="35"/>
        <v>51.004000000000133</v>
      </c>
      <c r="AK64" t="str">
        <f t="shared" si="36"/>
        <v/>
      </c>
      <c r="AL64" t="str">
        <f t="shared" si="37"/>
        <v/>
      </c>
      <c r="AM64" s="70" t="str">
        <f t="shared" si="38"/>
        <v/>
      </c>
      <c r="AN64">
        <f t="shared" si="22"/>
        <v>0</v>
      </c>
      <c r="AP64">
        <f t="shared" si="34"/>
        <v>45.00270000000009</v>
      </c>
      <c r="AQ64" t="str">
        <f>IF(OR(Kontenplan!R66-1=Kontenplan!R65,Kontenplan!S66-1=Kontenplan!S65),"T_B","")</f>
        <v/>
      </c>
      <c r="AR64" t="str">
        <f>CONCATENATE(Kontenplan!D66,Kontenplan!E66," ",Kontenplan!F66)</f>
        <v>5800 Aufwand GV und Dankeschön</v>
      </c>
      <c r="AS64" s="70">
        <f t="shared" si="39"/>
        <v>0</v>
      </c>
      <c r="AT64" s="70">
        <f t="shared" si="40"/>
        <v>0</v>
      </c>
      <c r="AU64" s="70">
        <f t="shared" si="41"/>
        <v>0</v>
      </c>
      <c r="AV64" s="70" t="str">
        <f>IF(OR(A64="Aktivkonto",Kontenplan!R66-1=Kontenplan!R65),"a",IF(OR(A64="Passivkonto",Kontenplan!S66-1=Kontenplan!S65),"p",""))</f>
        <v/>
      </c>
      <c r="AW64" s="70">
        <f t="shared" si="33"/>
        <v>0</v>
      </c>
      <c r="AY64">
        <f t="shared" si="15"/>
        <v>58</v>
      </c>
      <c r="AZ64">
        <f t="shared" si="42"/>
        <v>45.006100000000202</v>
      </c>
      <c r="BA64" t="str">
        <f t="shared" si="43"/>
        <v/>
      </c>
      <c r="BB64" t="str">
        <f t="shared" si="45"/>
        <v/>
      </c>
      <c r="BC64" s="70" t="str">
        <f t="shared" si="44"/>
        <v/>
      </c>
      <c r="BD64" s="70">
        <f t="shared" si="24"/>
        <v>0</v>
      </c>
    </row>
    <row r="65" spans="1:56" x14ac:dyDescent="0.25">
      <c r="A65" s="3" t="str">
        <f>Kontenplan!C67</f>
        <v>Aufwandskonto</v>
      </c>
      <c r="B65" s="74">
        <f>Kontenplan!E67</f>
        <v>5820</v>
      </c>
      <c r="C65" s="71" t="str">
        <f>Kontenplan!F67</f>
        <v>diverse wiederkehrende Aufwände</v>
      </c>
      <c r="D65" s="27">
        <f>IF(B65=0,0,SUMIF(Journal!$F$7:$F$84,Calc!B65,Journal!$I$7:$I$84))</f>
        <v>0</v>
      </c>
      <c r="E65" s="17">
        <f>IF(B65=0,0,SUMIF(Journal!$G$7:$G$84,Calc!B65,Journal!$I$7:$I$84))</f>
        <v>0</v>
      </c>
      <c r="F65" s="40">
        <f t="shared" si="25"/>
        <v>0</v>
      </c>
      <c r="G65" s="17">
        <f t="shared" si="26"/>
        <v>0</v>
      </c>
      <c r="H65" s="16" t="str">
        <f t="shared" si="27"/>
        <v xml:space="preserve"> </v>
      </c>
      <c r="I65" s="27" t="str">
        <f t="shared" si="28"/>
        <v xml:space="preserve"> </v>
      </c>
      <c r="J65" s="41" t="str">
        <f t="shared" si="29"/>
        <v xml:space="preserve"> </v>
      </c>
      <c r="K65" s="42" t="str">
        <f t="shared" si="30"/>
        <v xml:space="preserve"> </v>
      </c>
      <c r="L65" s="41" t="str">
        <f t="shared" si="31"/>
        <v xml:space="preserve"> </v>
      </c>
      <c r="M65" s="42" t="str">
        <f t="shared" si="32"/>
        <v xml:space="preserve"> </v>
      </c>
      <c r="N65" s="24"/>
      <c r="O65" s="24">
        <f t="shared" si="20"/>
        <v>0</v>
      </c>
      <c r="P65" s="24">
        <f t="shared" si="21"/>
        <v>0</v>
      </c>
      <c r="Q65" s="24"/>
      <c r="S65">
        <f>Kontenplan!R67</f>
        <v>6</v>
      </c>
      <c r="T65">
        <f>Kontenplan!S67</f>
        <v>2</v>
      </c>
      <c r="U65">
        <f>Kontenplan!T67</f>
        <v>2</v>
      </c>
      <c r="V65" s="30">
        <f>Kontenplan!U67</f>
        <v>1</v>
      </c>
      <c r="Z65">
        <f t="shared" si="1"/>
        <v>32</v>
      </c>
      <c r="AA65" t="str">
        <f>IF(OR(Kontenplan!T67-1=Kontenplan!T66,Kontenplan!U67-1=Kontenplan!U66),"T_ER","")</f>
        <v/>
      </c>
      <c r="AB65" t="str">
        <f>CONCATENATE(Kontenplan!D67,Kontenplan!E67," ",Kontenplan!F67)</f>
        <v>5820 diverse wiederkehrende Aufwände</v>
      </c>
      <c r="AC65" s="70">
        <f t="shared" si="2"/>
        <v>0</v>
      </c>
      <c r="AD65" s="70">
        <f t="shared" si="3"/>
        <v>0</v>
      </c>
      <c r="AE65" s="70">
        <f t="shared" si="4"/>
        <v>0</v>
      </c>
      <c r="AG65">
        <f t="shared" si="5"/>
        <v>0</v>
      </c>
      <c r="AI65">
        <f t="shared" ref="AI65" si="46">AI64+1</f>
        <v>59</v>
      </c>
      <c r="AJ65" s="27">
        <f t="shared" si="35"/>
        <v>51.004000000000133</v>
      </c>
      <c r="AK65" t="str">
        <f t="shared" si="36"/>
        <v/>
      </c>
      <c r="AL65" t="str">
        <f t="shared" si="37"/>
        <v/>
      </c>
      <c r="AM65" s="70" t="str">
        <f t="shared" si="38"/>
        <v/>
      </c>
      <c r="AN65">
        <f t="shared" si="22"/>
        <v>0</v>
      </c>
      <c r="AP65">
        <f t="shared" si="34"/>
        <v>45.002800000000093</v>
      </c>
      <c r="AQ65" t="str">
        <f>IF(OR(Kontenplan!R67-1=Kontenplan!R66,Kontenplan!S67-1=Kontenplan!S66),"T_B","")</f>
        <v/>
      </c>
      <c r="AR65" t="str">
        <f>CONCATENATE(Kontenplan!D67,Kontenplan!E67," ",Kontenplan!F67)</f>
        <v>5820 diverse wiederkehrende Aufwände</v>
      </c>
      <c r="AS65" s="70">
        <f t="shared" si="39"/>
        <v>0</v>
      </c>
      <c r="AT65" s="70">
        <f t="shared" si="40"/>
        <v>0</v>
      </c>
      <c r="AU65" s="70">
        <f t="shared" si="41"/>
        <v>0</v>
      </c>
      <c r="AV65" s="70" t="str">
        <f>IF(OR(A65="Aktivkonto",Kontenplan!R67-1=Kontenplan!R66),"a",IF(OR(A65="Passivkonto",Kontenplan!S67-1=Kontenplan!S66),"p",""))</f>
        <v/>
      </c>
      <c r="AW65" s="70">
        <f t="shared" si="33"/>
        <v>0</v>
      </c>
      <c r="AY65">
        <f t="shared" si="15"/>
        <v>59</v>
      </c>
      <c r="AZ65">
        <f t="shared" si="42"/>
        <v>45.006100000000202</v>
      </c>
      <c r="BA65" t="str">
        <f t="shared" si="43"/>
        <v/>
      </c>
      <c r="BB65" t="str">
        <f t="shared" si="45"/>
        <v/>
      </c>
      <c r="BC65" s="70" t="str">
        <f t="shared" si="44"/>
        <v/>
      </c>
      <c r="BD65" s="70">
        <f t="shared" si="24"/>
        <v>0</v>
      </c>
    </row>
    <row r="66" spans="1:56" x14ac:dyDescent="0.25">
      <c r="A66" s="3" t="str">
        <f>Kontenplan!C68</f>
        <v>Aufwandskonto</v>
      </c>
      <c r="B66" s="74">
        <f>Kontenplan!E68</f>
        <v>5840</v>
      </c>
      <c r="C66" s="71" t="str">
        <f>Kontenplan!F68</f>
        <v>Zinsaufwand</v>
      </c>
      <c r="D66" s="27">
        <f>IF(B66=0,0,SUMIF(Journal!$F$7:$F$84,Calc!B66,Journal!$I$7:$I$84))</f>
        <v>0</v>
      </c>
      <c r="E66" s="17">
        <f>IF(B66=0,0,SUMIF(Journal!$G$7:$G$84,Calc!B66,Journal!$I$7:$I$84))</f>
        <v>0</v>
      </c>
      <c r="F66" s="40">
        <f t="shared" si="25"/>
        <v>0</v>
      </c>
      <c r="G66" s="17">
        <f t="shared" si="26"/>
        <v>0</v>
      </c>
      <c r="H66" s="16" t="str">
        <f t="shared" si="27"/>
        <v xml:space="preserve"> </v>
      </c>
      <c r="I66" s="27" t="str">
        <f t="shared" si="28"/>
        <v xml:space="preserve"> </v>
      </c>
      <c r="J66" s="41" t="str">
        <f t="shared" si="29"/>
        <v xml:space="preserve"> </v>
      </c>
      <c r="K66" s="42" t="str">
        <f t="shared" si="30"/>
        <v xml:space="preserve"> </v>
      </c>
      <c r="L66" s="41" t="str">
        <f t="shared" si="31"/>
        <v xml:space="preserve"> </v>
      </c>
      <c r="M66" s="42" t="str">
        <f t="shared" si="32"/>
        <v xml:space="preserve"> </v>
      </c>
      <c r="N66" s="24"/>
      <c r="O66" s="24">
        <f t="shared" si="20"/>
        <v>0</v>
      </c>
      <c r="P66" s="24">
        <f t="shared" si="21"/>
        <v>0</v>
      </c>
      <c r="Q66" s="24"/>
      <c r="S66">
        <f>Kontenplan!R68</f>
        <v>6</v>
      </c>
      <c r="T66">
        <f>Kontenplan!S68</f>
        <v>2</v>
      </c>
      <c r="U66">
        <f>Kontenplan!T68</f>
        <v>2</v>
      </c>
      <c r="V66" s="30">
        <f>Kontenplan!U68</f>
        <v>1</v>
      </c>
      <c r="Z66">
        <f t="shared" si="1"/>
        <v>33</v>
      </c>
      <c r="AA66" t="str">
        <f>IF(OR(Kontenplan!T68-1=Kontenplan!T67,Kontenplan!U68-1=Kontenplan!U67),"T_ER","")</f>
        <v/>
      </c>
      <c r="AB66" t="str">
        <f>CONCATENATE(Kontenplan!D68,Kontenplan!E68," ",Kontenplan!F68)</f>
        <v>5840 Zinsaufwand</v>
      </c>
      <c r="AC66" s="70">
        <f t="shared" si="2"/>
        <v>0</v>
      </c>
      <c r="AD66" s="70">
        <f t="shared" si="3"/>
        <v>0</v>
      </c>
      <c r="AE66" s="70">
        <f t="shared" si="4"/>
        <v>0</v>
      </c>
      <c r="AG66">
        <f t="shared" si="5"/>
        <v>0</v>
      </c>
      <c r="AI66">
        <f t="shared" ref="AI66:AI99" si="47">AI65+1</f>
        <v>60</v>
      </c>
      <c r="AJ66" s="27">
        <f t="shared" si="35"/>
        <v>51.004000000000133</v>
      </c>
      <c r="AK66" t="str">
        <f t="shared" si="36"/>
        <v/>
      </c>
      <c r="AL66" t="str">
        <f t="shared" si="37"/>
        <v/>
      </c>
      <c r="AM66" s="70" t="str">
        <f t="shared" si="38"/>
        <v/>
      </c>
      <c r="AN66">
        <f t="shared" si="22"/>
        <v>0</v>
      </c>
      <c r="AP66">
        <f t="shared" si="34"/>
        <v>45.002900000000096</v>
      </c>
      <c r="AQ66" t="str">
        <f>IF(OR(Kontenplan!R68-1=Kontenplan!R67,Kontenplan!S68-1=Kontenplan!S67),"T_B","")</f>
        <v/>
      </c>
      <c r="AR66" t="str">
        <f>CONCATENATE(Kontenplan!D68,Kontenplan!E68," ",Kontenplan!F68)</f>
        <v>5840 Zinsaufwand</v>
      </c>
      <c r="AS66" s="70">
        <f t="shared" si="39"/>
        <v>0</v>
      </c>
      <c r="AT66" s="70">
        <f t="shared" si="40"/>
        <v>0</v>
      </c>
      <c r="AU66" s="70">
        <f t="shared" si="41"/>
        <v>0</v>
      </c>
      <c r="AV66" s="70" t="str">
        <f>IF(OR(A66="Aktivkonto",Kontenplan!R68-1=Kontenplan!R67),"a",IF(OR(A66="Passivkonto",Kontenplan!S68-1=Kontenplan!S67),"p",""))</f>
        <v/>
      </c>
      <c r="AW66" s="70">
        <f t="shared" si="33"/>
        <v>0</v>
      </c>
      <c r="AY66">
        <f t="shared" si="15"/>
        <v>60</v>
      </c>
      <c r="AZ66">
        <f t="shared" si="42"/>
        <v>45.006100000000202</v>
      </c>
      <c r="BA66" t="str">
        <f t="shared" si="43"/>
        <v/>
      </c>
      <c r="BB66" t="str">
        <f t="shared" si="45"/>
        <v/>
      </c>
      <c r="BC66" s="70" t="str">
        <f t="shared" si="44"/>
        <v/>
      </c>
      <c r="BD66" s="70">
        <f t="shared" si="24"/>
        <v>0</v>
      </c>
    </row>
    <row r="67" spans="1:56" x14ac:dyDescent="0.25">
      <c r="A67" s="3" t="str">
        <f>Kontenplan!C69</f>
        <v>Aufwandskonto</v>
      </c>
      <c r="B67" s="74">
        <f>Kontenplan!E69</f>
        <v>5900</v>
      </c>
      <c r="C67" s="71" t="str">
        <f>Kontenplan!F69</f>
        <v>Abschreibungen</v>
      </c>
      <c r="D67" s="27">
        <f>IF(B67=0,0,SUMIF(Journal!$F$7:$F$84,Calc!B67,Journal!$I$7:$I$84))</f>
        <v>0</v>
      </c>
      <c r="E67" s="17">
        <f>IF(B67=0,0,SUMIF(Journal!$G$7:$G$84,Calc!B67,Journal!$I$7:$I$84))</f>
        <v>0</v>
      </c>
      <c r="F67" s="40">
        <f t="shared" si="25"/>
        <v>0</v>
      </c>
      <c r="G67" s="17">
        <f t="shared" si="26"/>
        <v>0</v>
      </c>
      <c r="H67" s="16" t="str">
        <f t="shared" si="27"/>
        <v xml:space="preserve"> </v>
      </c>
      <c r="I67" s="27" t="str">
        <f t="shared" si="28"/>
        <v xml:space="preserve"> </v>
      </c>
      <c r="J67" s="41" t="str">
        <f t="shared" si="29"/>
        <v xml:space="preserve"> </v>
      </c>
      <c r="K67" s="42" t="str">
        <f t="shared" si="30"/>
        <v xml:space="preserve"> </v>
      </c>
      <c r="L67" s="41" t="str">
        <f t="shared" si="31"/>
        <v xml:space="preserve"> </v>
      </c>
      <c r="M67" s="42" t="str">
        <f t="shared" si="32"/>
        <v xml:space="preserve"> </v>
      </c>
      <c r="N67" s="24"/>
      <c r="O67" s="24">
        <f t="shared" si="20"/>
        <v>0</v>
      </c>
      <c r="P67" s="24">
        <f t="shared" si="21"/>
        <v>0</v>
      </c>
      <c r="Q67" s="24"/>
      <c r="S67">
        <f>Kontenplan!R69</f>
        <v>6</v>
      </c>
      <c r="T67">
        <f>Kontenplan!S69</f>
        <v>2</v>
      </c>
      <c r="U67">
        <f>Kontenplan!T69</f>
        <v>2</v>
      </c>
      <c r="V67" s="30">
        <f>Kontenplan!U69</f>
        <v>1</v>
      </c>
      <c r="Z67">
        <f t="shared" si="1"/>
        <v>34</v>
      </c>
      <c r="AA67" t="str">
        <f>IF(OR(Kontenplan!T69-1=Kontenplan!T68,Kontenplan!U69-1=Kontenplan!U68),"T_ER","")</f>
        <v/>
      </c>
      <c r="AB67" t="str">
        <f>CONCATENATE(Kontenplan!D69,Kontenplan!E69," ",Kontenplan!F69)</f>
        <v>5900 Abschreibungen</v>
      </c>
      <c r="AC67" s="70">
        <f t="shared" si="2"/>
        <v>0</v>
      </c>
      <c r="AD67" s="70">
        <f t="shared" si="3"/>
        <v>0</v>
      </c>
      <c r="AE67" s="70">
        <f t="shared" si="4"/>
        <v>0</v>
      </c>
      <c r="AG67">
        <f t="shared" si="5"/>
        <v>0</v>
      </c>
      <c r="AI67">
        <f t="shared" si="47"/>
        <v>61</v>
      </c>
      <c r="AJ67" s="27">
        <f t="shared" si="35"/>
        <v>51.004000000000133</v>
      </c>
      <c r="AK67" t="str">
        <f t="shared" si="36"/>
        <v/>
      </c>
      <c r="AL67" t="str">
        <f t="shared" si="37"/>
        <v/>
      </c>
      <c r="AM67" s="70" t="str">
        <f t="shared" si="38"/>
        <v/>
      </c>
      <c r="AN67">
        <f t="shared" si="22"/>
        <v>0</v>
      </c>
      <c r="AP67">
        <f t="shared" si="34"/>
        <v>45.0030000000001</v>
      </c>
      <c r="AQ67" t="str">
        <f>IF(OR(Kontenplan!R69-1=Kontenplan!R68,Kontenplan!S69-1=Kontenplan!S68),"T_B","")</f>
        <v/>
      </c>
      <c r="AR67" t="str">
        <f>CONCATENATE(Kontenplan!D69,Kontenplan!E69," ",Kontenplan!F69)</f>
        <v>5900 Abschreibungen</v>
      </c>
      <c r="AS67" s="70">
        <f t="shared" si="39"/>
        <v>0</v>
      </c>
      <c r="AT67" s="70">
        <f t="shared" si="40"/>
        <v>0</v>
      </c>
      <c r="AU67" s="70">
        <f t="shared" si="41"/>
        <v>0</v>
      </c>
      <c r="AV67" s="70" t="str">
        <f>IF(OR(A67="Aktivkonto",Kontenplan!R69-1=Kontenplan!R68),"a",IF(OR(A67="Passivkonto",Kontenplan!S69-1=Kontenplan!S68),"p",""))</f>
        <v/>
      </c>
      <c r="AW67" s="70">
        <f t="shared" si="33"/>
        <v>0</v>
      </c>
      <c r="AY67">
        <f t="shared" si="15"/>
        <v>61</v>
      </c>
      <c r="AZ67">
        <f t="shared" si="42"/>
        <v>45.006100000000202</v>
      </c>
      <c r="BA67" t="str">
        <f t="shared" si="43"/>
        <v/>
      </c>
      <c r="BB67" t="str">
        <f t="shared" si="45"/>
        <v/>
      </c>
      <c r="BC67" s="70" t="str">
        <f t="shared" si="44"/>
        <v/>
      </c>
      <c r="BD67" s="70">
        <f t="shared" si="24"/>
        <v>0</v>
      </c>
    </row>
    <row r="68" spans="1:56" x14ac:dyDescent="0.25">
      <c r="A68" s="3">
        <f>Kontenplan!C70</f>
        <v>0</v>
      </c>
      <c r="B68" s="74">
        <f>Kontenplan!E70</f>
        <v>0</v>
      </c>
      <c r="C68" s="71">
        <f>Kontenplan!F70</f>
        <v>0</v>
      </c>
      <c r="D68" s="27">
        <f>IF(B68=0,0,SUMIF(Journal!$F$7:$F$84,Calc!B68,Journal!$I$7:$I$84))</f>
        <v>0</v>
      </c>
      <c r="E68" s="17">
        <f>IF(B68=0,0,SUMIF(Journal!$G$7:$G$84,Calc!B68,Journal!$I$7:$I$84))</f>
        <v>0</v>
      </c>
      <c r="F68" s="40">
        <f t="shared" si="25"/>
        <v>0</v>
      </c>
      <c r="G68" s="17">
        <f t="shared" si="26"/>
        <v>0</v>
      </c>
      <c r="H68" s="16" t="str">
        <f t="shared" si="27"/>
        <v xml:space="preserve"> </v>
      </c>
      <c r="I68" s="27" t="str">
        <f t="shared" si="28"/>
        <v xml:space="preserve"> </v>
      </c>
      <c r="J68" s="41" t="str">
        <f t="shared" si="29"/>
        <v xml:space="preserve"> </v>
      </c>
      <c r="K68" s="42" t="str">
        <f t="shared" si="30"/>
        <v xml:space="preserve"> </v>
      </c>
      <c r="L68" s="41" t="str">
        <f t="shared" si="31"/>
        <v xml:space="preserve"> </v>
      </c>
      <c r="M68" s="42" t="str">
        <f t="shared" si="32"/>
        <v xml:space="preserve"> </v>
      </c>
      <c r="N68" s="24"/>
      <c r="O68" s="24">
        <f t="shared" si="20"/>
        <v>0</v>
      </c>
      <c r="P68" s="24">
        <f t="shared" si="21"/>
        <v>0</v>
      </c>
      <c r="Q68" s="24"/>
      <c r="S68">
        <f>Kontenplan!R70</f>
        <v>6</v>
      </c>
      <c r="T68">
        <f>Kontenplan!S70</f>
        <v>2</v>
      </c>
      <c r="U68">
        <f>Kontenplan!T70</f>
        <v>2</v>
      </c>
      <c r="V68" s="30">
        <f>Kontenplan!U70</f>
        <v>2</v>
      </c>
      <c r="Z68">
        <f t="shared" si="1"/>
        <v>37</v>
      </c>
      <c r="AA68" t="str">
        <f>IF(OR(Kontenplan!T70-1=Kontenplan!T69,Kontenplan!U70-1=Kontenplan!U69),"T_ER","")</f>
        <v>T_ER</v>
      </c>
      <c r="AB68" t="str">
        <f>CONCATENATE(Kontenplan!D70,Kontenplan!E70," ",Kontenplan!F70)</f>
        <v xml:space="preserve">Ertrag aus Beiträgen Dritter </v>
      </c>
      <c r="AC68" s="70" t="str">
        <f t="shared" si="2"/>
        <v/>
      </c>
      <c r="AD68" s="70">
        <f t="shared" si="3"/>
        <v>0</v>
      </c>
      <c r="AE68" s="70">
        <f t="shared" si="4"/>
        <v>0</v>
      </c>
      <c r="AG68" t="str">
        <f t="shared" si="5"/>
        <v/>
      </c>
      <c r="AI68">
        <f t="shared" si="47"/>
        <v>62</v>
      </c>
      <c r="AJ68" s="27">
        <f t="shared" si="35"/>
        <v>51.004000000000133</v>
      </c>
      <c r="AK68" t="str">
        <f t="shared" si="36"/>
        <v/>
      </c>
      <c r="AL68" t="str">
        <f t="shared" si="37"/>
        <v/>
      </c>
      <c r="AM68" s="70" t="str">
        <f t="shared" si="38"/>
        <v/>
      </c>
      <c r="AN68">
        <f t="shared" si="22"/>
        <v>0</v>
      </c>
      <c r="AP68">
        <f t="shared" si="34"/>
        <v>45.003100000000103</v>
      </c>
      <c r="AQ68" t="str">
        <f>IF(OR(Kontenplan!R70-1=Kontenplan!R69,Kontenplan!S70-1=Kontenplan!S69),"T_B","")</f>
        <v/>
      </c>
      <c r="AR68" t="str">
        <f>CONCATENATE(Kontenplan!D70,Kontenplan!E70," ",Kontenplan!F70)</f>
        <v xml:space="preserve">Ertrag aus Beiträgen Dritter </v>
      </c>
      <c r="AS68" s="70" t="str">
        <f t="shared" si="39"/>
        <v/>
      </c>
      <c r="AT68" s="70">
        <f t="shared" si="40"/>
        <v>0</v>
      </c>
      <c r="AU68" s="70">
        <f t="shared" si="41"/>
        <v>0</v>
      </c>
      <c r="AV68" s="70" t="str">
        <f>IF(OR(A68="Aktivkonto",Kontenplan!R70-1=Kontenplan!R69),"a",IF(OR(A68="Passivkonto",Kontenplan!S70-1=Kontenplan!S69),"p",""))</f>
        <v/>
      </c>
      <c r="AW68" s="70" t="str">
        <f t="shared" si="33"/>
        <v/>
      </c>
      <c r="AY68">
        <f t="shared" si="15"/>
        <v>62</v>
      </c>
      <c r="AZ68">
        <f t="shared" si="42"/>
        <v>45.006100000000202</v>
      </c>
      <c r="BA68" t="str">
        <f t="shared" si="43"/>
        <v/>
      </c>
      <c r="BB68" t="str">
        <f t="shared" si="45"/>
        <v/>
      </c>
      <c r="BC68" s="70" t="str">
        <f t="shared" si="44"/>
        <v/>
      </c>
      <c r="BD68" s="70">
        <f t="shared" si="24"/>
        <v>0</v>
      </c>
    </row>
    <row r="69" spans="1:56" x14ac:dyDescent="0.25">
      <c r="A69" s="3" t="str">
        <f>Kontenplan!C71</f>
        <v>Ertragskonto</v>
      </c>
      <c r="B69" s="74">
        <f>Kontenplan!E71</f>
        <v>7000</v>
      </c>
      <c r="C69" s="71" t="str">
        <f>Kontenplan!F71</f>
        <v>Beiträge Aktivmitglieder</v>
      </c>
      <c r="D69" s="27">
        <f>IF(B69=0,0,SUMIF(Journal!$F$7:$F$84,Calc!B69,Journal!$I$7:$I$84))</f>
        <v>0</v>
      </c>
      <c r="E69" s="17">
        <f>IF(B69=0,0,SUMIF(Journal!$G$7:$G$84,Calc!B69,Journal!$I$7:$I$84))</f>
        <v>0</v>
      </c>
      <c r="F69" s="40">
        <f t="shared" si="25"/>
        <v>0</v>
      </c>
      <c r="G69" s="17">
        <f t="shared" si="26"/>
        <v>0</v>
      </c>
      <c r="H69" s="16" t="str">
        <f t="shared" si="27"/>
        <v xml:space="preserve"> </v>
      </c>
      <c r="I69" s="27" t="str">
        <f t="shared" si="28"/>
        <v xml:space="preserve"> </v>
      </c>
      <c r="J69" s="41" t="str">
        <f t="shared" si="29"/>
        <v xml:space="preserve"> </v>
      </c>
      <c r="K69" s="42" t="str">
        <f t="shared" si="30"/>
        <v xml:space="preserve"> </v>
      </c>
      <c r="L69" s="41" t="str">
        <f t="shared" si="31"/>
        <v xml:space="preserve"> </v>
      </c>
      <c r="M69" s="42" t="str">
        <f t="shared" si="32"/>
        <v xml:space="preserve"> </v>
      </c>
      <c r="N69" s="24"/>
      <c r="O69" s="24">
        <f t="shared" si="20"/>
        <v>0</v>
      </c>
      <c r="P69" s="24">
        <f t="shared" si="21"/>
        <v>0</v>
      </c>
      <c r="Q69" s="24"/>
      <c r="S69">
        <f>Kontenplan!R71</f>
        <v>6</v>
      </c>
      <c r="T69">
        <f>Kontenplan!S71</f>
        <v>2</v>
      </c>
      <c r="U69">
        <f>Kontenplan!T71</f>
        <v>2</v>
      </c>
      <c r="V69" s="30">
        <f>Kontenplan!U71</f>
        <v>2</v>
      </c>
      <c r="Z69">
        <f t="shared" si="1"/>
        <v>38</v>
      </c>
      <c r="AA69" t="str">
        <f>IF(OR(Kontenplan!T71-1=Kontenplan!T70,Kontenplan!U71-1=Kontenplan!U70),"T_ER","")</f>
        <v/>
      </c>
      <c r="AB69" t="str">
        <f>CONCATENATE(Kontenplan!D71,Kontenplan!E71," ",Kontenplan!F71)</f>
        <v>7000 Beiträge Aktivmitglieder</v>
      </c>
      <c r="AC69" s="70">
        <f t="shared" si="2"/>
        <v>0</v>
      </c>
      <c r="AD69" s="70">
        <f t="shared" si="3"/>
        <v>0</v>
      </c>
      <c r="AE69" s="70">
        <f t="shared" si="4"/>
        <v>0</v>
      </c>
      <c r="AG69">
        <f t="shared" si="5"/>
        <v>0</v>
      </c>
      <c r="AI69">
        <f t="shared" si="47"/>
        <v>63</v>
      </c>
      <c r="AJ69" s="27">
        <f t="shared" si="35"/>
        <v>51.004000000000133</v>
      </c>
      <c r="AK69" t="str">
        <f t="shared" si="36"/>
        <v/>
      </c>
      <c r="AL69" t="str">
        <f t="shared" si="37"/>
        <v/>
      </c>
      <c r="AM69" s="70" t="str">
        <f t="shared" si="38"/>
        <v/>
      </c>
      <c r="AN69">
        <f t="shared" si="22"/>
        <v>0</v>
      </c>
      <c r="AP69">
        <f t="shared" si="34"/>
        <v>45.003200000000106</v>
      </c>
      <c r="AQ69" t="str">
        <f>IF(OR(Kontenplan!R71-1=Kontenplan!R70,Kontenplan!S71-1=Kontenplan!S70),"T_B","")</f>
        <v/>
      </c>
      <c r="AR69" t="str">
        <f>CONCATENATE(Kontenplan!D71,Kontenplan!E71," ",Kontenplan!F71)</f>
        <v>7000 Beiträge Aktivmitglieder</v>
      </c>
      <c r="AS69" s="70">
        <f t="shared" si="39"/>
        <v>0</v>
      </c>
      <c r="AT69" s="70">
        <f t="shared" si="40"/>
        <v>0</v>
      </c>
      <c r="AU69" s="70">
        <f t="shared" si="41"/>
        <v>0</v>
      </c>
      <c r="AV69" s="70" t="str">
        <f>IF(OR(A69="Aktivkonto",Kontenplan!R71-1=Kontenplan!R70),"a",IF(OR(A69="Passivkonto",Kontenplan!S71-1=Kontenplan!S70),"p",""))</f>
        <v/>
      </c>
      <c r="AW69" s="70">
        <f t="shared" si="33"/>
        <v>0</v>
      </c>
      <c r="AY69">
        <f t="shared" si="15"/>
        <v>63</v>
      </c>
      <c r="AZ69">
        <f t="shared" si="42"/>
        <v>45.006100000000202</v>
      </c>
      <c r="BA69" t="str">
        <f t="shared" si="43"/>
        <v/>
      </c>
      <c r="BB69" t="str">
        <f t="shared" si="45"/>
        <v/>
      </c>
      <c r="BC69" s="70" t="str">
        <f t="shared" si="44"/>
        <v/>
      </c>
      <c r="BD69" s="70">
        <f t="shared" si="24"/>
        <v>0</v>
      </c>
    </row>
    <row r="70" spans="1:56" x14ac:dyDescent="0.25">
      <c r="A70" s="3" t="str">
        <f>Kontenplan!C72</f>
        <v>Ertragskonto</v>
      </c>
      <c r="B70" s="74">
        <f>Kontenplan!E72</f>
        <v>7100</v>
      </c>
      <c r="C70" s="71" t="str">
        <f>Kontenplan!F72</f>
        <v>Beiträge Nachwuchs</v>
      </c>
      <c r="D70" s="27">
        <f>IF(B70=0,0,SUMIF(Journal!$F$7:$F$84,Calc!B70,Journal!$I$7:$I$84))</f>
        <v>0</v>
      </c>
      <c r="E70" s="17">
        <f>IF(B70=0,0,SUMIF(Journal!$G$7:$G$84,Calc!B70,Journal!$I$7:$I$84))</f>
        <v>0</v>
      </c>
      <c r="F70" s="40">
        <f t="shared" si="25"/>
        <v>0</v>
      </c>
      <c r="G70" s="17">
        <f t="shared" si="26"/>
        <v>0</v>
      </c>
      <c r="H70" s="16" t="str">
        <f t="shared" si="27"/>
        <v xml:space="preserve"> </v>
      </c>
      <c r="I70" s="27" t="str">
        <f t="shared" si="28"/>
        <v xml:space="preserve"> </v>
      </c>
      <c r="J70" s="41" t="str">
        <f t="shared" si="29"/>
        <v xml:space="preserve"> </v>
      </c>
      <c r="K70" s="42" t="str">
        <f t="shared" si="30"/>
        <v xml:space="preserve"> </v>
      </c>
      <c r="L70" s="41" t="str">
        <f t="shared" si="31"/>
        <v xml:space="preserve"> </v>
      </c>
      <c r="M70" s="42" t="str">
        <f t="shared" si="32"/>
        <v xml:space="preserve"> </v>
      </c>
      <c r="N70" s="24"/>
      <c r="O70" s="24">
        <f t="shared" si="20"/>
        <v>0</v>
      </c>
      <c r="P70" s="24">
        <f t="shared" si="21"/>
        <v>0</v>
      </c>
      <c r="Q70" s="24"/>
      <c r="S70">
        <f>Kontenplan!R72</f>
        <v>6</v>
      </c>
      <c r="T70">
        <f>Kontenplan!S72</f>
        <v>2</v>
      </c>
      <c r="U70">
        <f>Kontenplan!T72</f>
        <v>2</v>
      </c>
      <c r="V70" s="30">
        <f>Kontenplan!U72</f>
        <v>2</v>
      </c>
      <c r="Z70">
        <f t="shared" si="1"/>
        <v>39</v>
      </c>
      <c r="AA70" t="str">
        <f>IF(OR(Kontenplan!T72-1=Kontenplan!T71,Kontenplan!U72-1=Kontenplan!U71),"T_ER","")</f>
        <v/>
      </c>
      <c r="AB70" t="str">
        <f>CONCATENATE(Kontenplan!D72,Kontenplan!E72," ",Kontenplan!F72)</f>
        <v>7100 Beiträge Nachwuchs</v>
      </c>
      <c r="AC70" s="70">
        <f t="shared" si="2"/>
        <v>0</v>
      </c>
      <c r="AD70" s="70">
        <f t="shared" si="3"/>
        <v>0</v>
      </c>
      <c r="AE70" s="70">
        <f t="shared" si="4"/>
        <v>0</v>
      </c>
      <c r="AG70">
        <f t="shared" si="5"/>
        <v>0</v>
      </c>
      <c r="AI70">
        <f t="shared" si="47"/>
        <v>64</v>
      </c>
      <c r="AJ70" s="27">
        <f t="shared" si="35"/>
        <v>51.004000000000133</v>
      </c>
      <c r="AK70" t="str">
        <f t="shared" si="36"/>
        <v/>
      </c>
      <c r="AL70" t="str">
        <f t="shared" si="37"/>
        <v/>
      </c>
      <c r="AM70" s="70" t="str">
        <f t="shared" si="38"/>
        <v/>
      </c>
      <c r="AN70">
        <f t="shared" si="22"/>
        <v>0</v>
      </c>
      <c r="AP70">
        <f t="shared" si="34"/>
        <v>45.00330000000011</v>
      </c>
      <c r="AQ70" t="str">
        <f>IF(OR(Kontenplan!R72-1=Kontenplan!R71,Kontenplan!S72-1=Kontenplan!S71),"T_B","")</f>
        <v/>
      </c>
      <c r="AR70" t="str">
        <f>CONCATENATE(Kontenplan!D72,Kontenplan!E72," ",Kontenplan!F72)</f>
        <v>7100 Beiträge Nachwuchs</v>
      </c>
      <c r="AS70" s="70">
        <f t="shared" si="39"/>
        <v>0</v>
      </c>
      <c r="AT70" s="70">
        <f t="shared" si="40"/>
        <v>0</v>
      </c>
      <c r="AU70" s="70">
        <f t="shared" si="41"/>
        <v>0</v>
      </c>
      <c r="AV70" s="70" t="str">
        <f>IF(OR(A70="Aktivkonto",Kontenplan!R72-1=Kontenplan!R71),"a",IF(OR(A70="Passivkonto",Kontenplan!S72-1=Kontenplan!S71),"p",""))</f>
        <v/>
      </c>
      <c r="AW70" s="70">
        <f t="shared" si="33"/>
        <v>0</v>
      </c>
      <c r="AY70">
        <f t="shared" si="15"/>
        <v>64</v>
      </c>
      <c r="AZ70">
        <f t="shared" si="42"/>
        <v>45.006100000000202</v>
      </c>
      <c r="BA70" t="str">
        <f t="shared" si="43"/>
        <v/>
      </c>
      <c r="BB70" t="str">
        <f t="shared" si="45"/>
        <v/>
      </c>
      <c r="BC70" s="70" t="str">
        <f t="shared" si="44"/>
        <v/>
      </c>
      <c r="BD70" s="70">
        <f t="shared" si="24"/>
        <v>0</v>
      </c>
    </row>
    <row r="71" spans="1:56" x14ac:dyDescent="0.25">
      <c r="A71" s="3" t="str">
        <f>Kontenplan!C73</f>
        <v>Ertragskonto</v>
      </c>
      <c r="B71" s="74">
        <f>Kontenplan!E73</f>
        <v>7200</v>
      </c>
      <c r="C71" s="71" t="str">
        <f>Kontenplan!F73</f>
        <v>Beiräge Passivmitglieder</v>
      </c>
      <c r="D71" s="27">
        <f>IF(B71=0,0,SUMIF(Journal!$F$7:$F$84,Calc!B71,Journal!$I$7:$I$84))</f>
        <v>0</v>
      </c>
      <c r="E71" s="17">
        <f>IF(B71=0,0,SUMIF(Journal!$G$7:$G$84,Calc!B71,Journal!$I$7:$I$84))</f>
        <v>0</v>
      </c>
      <c r="F71" s="40">
        <f t="shared" si="25"/>
        <v>0</v>
      </c>
      <c r="G71" s="17">
        <f t="shared" si="26"/>
        <v>0</v>
      </c>
      <c r="H71" s="16" t="str">
        <f t="shared" si="27"/>
        <v xml:space="preserve"> </v>
      </c>
      <c r="I71" s="27" t="str">
        <f t="shared" si="28"/>
        <v xml:space="preserve"> </v>
      </c>
      <c r="J71" s="41" t="str">
        <f t="shared" si="29"/>
        <v xml:space="preserve"> </v>
      </c>
      <c r="K71" s="42" t="str">
        <f t="shared" si="30"/>
        <v xml:space="preserve"> </v>
      </c>
      <c r="L71" s="41" t="str">
        <f t="shared" si="31"/>
        <v xml:space="preserve"> </v>
      </c>
      <c r="M71" s="42" t="str">
        <f t="shared" si="32"/>
        <v xml:space="preserve"> </v>
      </c>
      <c r="N71" s="24"/>
      <c r="O71" s="24">
        <f t="shared" si="20"/>
        <v>0</v>
      </c>
      <c r="P71" s="24">
        <f t="shared" si="21"/>
        <v>0</v>
      </c>
      <c r="Q71" s="24"/>
      <c r="S71">
        <f>Kontenplan!R73</f>
        <v>6</v>
      </c>
      <c r="T71">
        <f>Kontenplan!S73</f>
        <v>2</v>
      </c>
      <c r="U71">
        <f>Kontenplan!T73</f>
        <v>2</v>
      </c>
      <c r="V71" s="30">
        <f>Kontenplan!U73</f>
        <v>2</v>
      </c>
      <c r="Z71">
        <f t="shared" ref="Z71:Z91" si="48">IF(AND(OR(A70="Passivkonto",A70="Aktivkonto"),OR(A71="Ertragskonto",A71="Aufwandskonto")),1,IF(AND(A71=0,A72=0,A73=0,A74=0,A75=0,A76=0),Z70+0.0001,IF(AND(Z70&lt;1,AA71="T_ER"),1,IF(AND(AA71="T_ER",AA70&lt;&gt;"T_ER"),ROUND(Z70,0)+3,IF(AND(Z70&gt;=1,OR(AB71&lt;&gt;"",AB71&lt;&gt;0)),ROUND(Z70+1,0),Z70+0.0001)))))</f>
        <v>40</v>
      </c>
      <c r="AA71" t="str">
        <f>IF(OR(Kontenplan!T73-1=Kontenplan!T72,Kontenplan!U73-1=Kontenplan!U72),"T_ER","")</f>
        <v/>
      </c>
      <c r="AB71" t="str">
        <f>CONCATENATE(Kontenplan!D73,Kontenplan!E73," ",Kontenplan!F73)</f>
        <v>7200 Beiräge Passivmitglieder</v>
      </c>
      <c r="AC71" s="70">
        <f t="shared" ref="AC71:AC91" si="49">IF(A71=0,"",AE71-AD71)</f>
        <v>0</v>
      </c>
      <c r="AD71" s="70">
        <f t="shared" ref="AD71:AD91" si="50">IF(J71=" ",0,J71)</f>
        <v>0</v>
      </c>
      <c r="AE71" s="70">
        <f t="shared" ref="AE71:AE91" si="51">IF(K71=" ",0,K71)</f>
        <v>0</v>
      </c>
      <c r="AG71">
        <f t="shared" ref="AG71:AG91" si="52">IF(AC71="","",IF(AC70="",AC71,AG70+AC71))</f>
        <v>0</v>
      </c>
      <c r="AI71">
        <f t="shared" si="47"/>
        <v>65</v>
      </c>
      <c r="AJ71" s="27">
        <f t="shared" ref="AJ71:AJ102" si="53">VLOOKUP(AI71,$Z$7:$AG$120,1)</f>
        <v>51.004000000000133</v>
      </c>
      <c r="AK71" t="str">
        <f t="shared" ref="AK71:AK102" si="54">IF(AJ71=AI71,VLOOKUP(AI71,$Z$7:$AG$120,2),IF(AND(ROUND(AJ71+1,0)=AI71,$AK$5&gt;=1),"Sub",""))</f>
        <v/>
      </c>
      <c r="AL71" t="str">
        <f t="shared" ref="AL71:AL102" si="55">IF(ROUND(AJ71+3,0)=AI71,$C$131,IF(AJ71=AI71,VLOOKUP(AI71,$Z$7:$AG$120,3),""))</f>
        <v/>
      </c>
      <c r="AM71" s="70" t="str">
        <f t="shared" ref="AM71:AM102" si="56">IF($H$137=0,0,IF(ROUND(AJ71+3,0)=AI71,$I$131-$H$131,IF(AJ71=AI71,VLOOKUP(AI71,$Z$7:$AG$120,4),IF(AND($AK$5&gt;0,ROUND(AJ71+1,0)=AI71),VLOOKUP(ROUND(AJ71,0),$Z$7:$AG$120,8),""))))</f>
        <v/>
      </c>
      <c r="AN71">
        <f t="shared" si="22"/>
        <v>0</v>
      </c>
      <c r="AP71">
        <f t="shared" si="34"/>
        <v>45.003400000000113</v>
      </c>
      <c r="AQ71" t="str">
        <f>IF(OR(Kontenplan!R73-1=Kontenplan!R72,Kontenplan!S73-1=Kontenplan!S72),"T_B","")</f>
        <v/>
      </c>
      <c r="AR71" t="str">
        <f>CONCATENATE(Kontenplan!D73,Kontenplan!E73," ",Kontenplan!F73)</f>
        <v>7200 Beiräge Passivmitglieder</v>
      </c>
      <c r="AS71" s="70">
        <f t="shared" ref="AS71:AS91" si="57">IF(A71=0,"",IF(A71="Passivkonto",AU71-AT71,AT71-AU71))</f>
        <v>0</v>
      </c>
      <c r="AT71" s="70">
        <f t="shared" ref="AT71:AT91" si="58">IF(H71=" ",0,H71)</f>
        <v>0</v>
      </c>
      <c r="AU71" s="70">
        <f t="shared" ref="AU71:AU91" si="59">IF(I71=" ",0,I71)</f>
        <v>0</v>
      </c>
      <c r="AV71" s="70" t="str">
        <f>IF(OR(A71="Aktivkonto",Kontenplan!R73-1=Kontenplan!R72),"a",IF(OR(A71="Passivkonto",Kontenplan!S73-1=Kontenplan!S72),"p",""))</f>
        <v/>
      </c>
      <c r="AW71" s="70">
        <f t="shared" si="33"/>
        <v>0</v>
      </c>
      <c r="AY71">
        <f t="shared" ref="AY71:AY99" si="60">AY70+1</f>
        <v>65</v>
      </c>
      <c r="AZ71">
        <f t="shared" ref="AZ71:AZ91" si="61">VLOOKUP(AY71,$AP$7:$AW$98,1)</f>
        <v>45.006100000000202</v>
      </c>
      <c r="BA71" t="str">
        <f t="shared" ref="BA71:BA91" si="62">IF(AZ71=AY71,VLOOKUP(AY71,$AP$7:$AW$98,2),IF(AND($BA$5&gt;=1,ROUND(AZ71+1,0)=AY71),"Sub",""))</f>
        <v/>
      </c>
      <c r="BB71" t="str">
        <f t="shared" ref="BB71:BB91" si="63">IF(AY71-AZ71=5,"PASSIVEN",IF(OR(AY71-AZ71=3,AND(AZ71=$AZ$3,ROUND(AZ71,0)+5=AY71)),"Bilanzsumme",IF(AND($AZ$3-1&lt;AZ71,ROUND(AZ71+3,0)=AY71),$C$131,IF(AZ71=AY71,VLOOKUP(AY71,$AP$7:$AW$98,3),""))))</f>
        <v/>
      </c>
      <c r="BC71" s="70" t="str">
        <f t="shared" ref="BC71:BC91" si="64">IF($H$137=0,0,IF(OR(AY71-AZ71=3,AND(AZ71=$AZ$3,ROUND(AZ71,0)+5=AY71)),$O$4,IF(AND($AZ$3-1&lt;AZ71,ROUND(AZ71+3,0)=AY71),$I$131-$H$131,IF(AZ71=AY71,VLOOKUP(AY71,$AP$7:$AW$98,4),IF(AND($BA$5&gt;0,ROUND(AZ71+1,0)=AY71),VLOOKUP(ROUND(AZ71,0),$AP$7:$AW$98,8),"")))))</f>
        <v/>
      </c>
      <c r="BD71" s="70">
        <f t="shared" si="24"/>
        <v>0</v>
      </c>
    </row>
    <row r="72" spans="1:56" x14ac:dyDescent="0.25">
      <c r="A72" s="3" t="str">
        <f>Kontenplan!C74</f>
        <v>Ertragskonto</v>
      </c>
      <c r="B72" s="74">
        <f>Kontenplan!E74</f>
        <v>7500</v>
      </c>
      <c r="C72" s="71" t="str">
        <f>Kontenplan!F74</f>
        <v>Gönnerbeiträge</v>
      </c>
      <c r="D72" s="27">
        <f>IF(B72=0,0,SUMIF(Journal!$F$7:$F$84,Calc!B72,Journal!$I$7:$I$84))</f>
        <v>0</v>
      </c>
      <c r="E72" s="17">
        <f>IF(B72=0,0,SUMIF(Journal!$G$7:$G$84,Calc!B72,Journal!$I$7:$I$84))</f>
        <v>0</v>
      </c>
      <c r="F72" s="40">
        <f t="shared" si="25"/>
        <v>0</v>
      </c>
      <c r="G72" s="17">
        <f t="shared" si="26"/>
        <v>0</v>
      </c>
      <c r="H72" s="16" t="str">
        <f t="shared" si="27"/>
        <v xml:space="preserve"> </v>
      </c>
      <c r="I72" s="27" t="str">
        <f t="shared" si="28"/>
        <v xml:space="preserve"> </v>
      </c>
      <c r="J72" s="41" t="str">
        <f t="shared" si="29"/>
        <v xml:space="preserve"> </v>
      </c>
      <c r="K72" s="42" t="str">
        <f t="shared" si="30"/>
        <v xml:space="preserve"> </v>
      </c>
      <c r="L72" s="41" t="str">
        <f t="shared" si="31"/>
        <v xml:space="preserve"> </v>
      </c>
      <c r="M72" s="42" t="str">
        <f t="shared" si="32"/>
        <v xml:space="preserve"> </v>
      </c>
      <c r="N72" s="24"/>
      <c r="O72" s="24">
        <f t="shared" ref="O72:O91" si="65">IF(A72="Aktivkonto",F72-G72,0)</f>
        <v>0</v>
      </c>
      <c r="P72" s="24">
        <f t="shared" ref="P72:P91" si="66">IF(A72="Passivkonto",G72-F72,0)</f>
        <v>0</v>
      </c>
      <c r="Q72" s="24"/>
      <c r="S72">
        <f>Kontenplan!R74</f>
        <v>6</v>
      </c>
      <c r="T72">
        <f>Kontenplan!S74</f>
        <v>2</v>
      </c>
      <c r="U72">
        <f>Kontenplan!T74</f>
        <v>2</v>
      </c>
      <c r="V72" s="30">
        <f>Kontenplan!U74</f>
        <v>2</v>
      </c>
      <c r="Z72">
        <f t="shared" si="48"/>
        <v>41</v>
      </c>
      <c r="AA72" t="str">
        <f>IF(OR(Kontenplan!T74-1=Kontenplan!T73,Kontenplan!U74-1=Kontenplan!U73),"T_ER","")</f>
        <v/>
      </c>
      <c r="AB72" t="str">
        <f>CONCATENATE(Kontenplan!D74,Kontenplan!E74," ",Kontenplan!F74)</f>
        <v>7500 Gönnerbeiträge</v>
      </c>
      <c r="AC72" s="70">
        <f t="shared" si="49"/>
        <v>0</v>
      </c>
      <c r="AD72" s="70">
        <f t="shared" si="50"/>
        <v>0</v>
      </c>
      <c r="AE72" s="70">
        <f t="shared" si="51"/>
        <v>0</v>
      </c>
      <c r="AG72">
        <f t="shared" si="52"/>
        <v>0</v>
      </c>
      <c r="AI72">
        <f t="shared" si="47"/>
        <v>66</v>
      </c>
      <c r="AJ72" s="27">
        <f t="shared" si="53"/>
        <v>51.004000000000133</v>
      </c>
      <c r="AK72" t="str">
        <f t="shared" si="54"/>
        <v/>
      </c>
      <c r="AL72" t="str">
        <f t="shared" si="55"/>
        <v/>
      </c>
      <c r="AM72" s="70" t="str">
        <f t="shared" si="56"/>
        <v/>
      </c>
      <c r="AN72">
        <f>IF(AK72="Sub",AM72,0)</f>
        <v>0</v>
      </c>
      <c r="AP72">
        <f t="shared" si="34"/>
        <v>45.003500000000116</v>
      </c>
      <c r="AQ72" t="str">
        <f>IF(OR(Kontenplan!R74-1=Kontenplan!R73,Kontenplan!S74-1=Kontenplan!S73),"T_B","")</f>
        <v/>
      </c>
      <c r="AR72" t="str">
        <f>CONCATENATE(Kontenplan!D74,Kontenplan!E74," ",Kontenplan!F74)</f>
        <v>7500 Gönnerbeiträge</v>
      </c>
      <c r="AS72" s="70">
        <f t="shared" si="57"/>
        <v>0</v>
      </c>
      <c r="AT72" s="70">
        <f t="shared" si="58"/>
        <v>0</v>
      </c>
      <c r="AU72" s="70">
        <f t="shared" si="59"/>
        <v>0</v>
      </c>
      <c r="AV72" s="70" t="str">
        <f>IF(OR(A72="Aktivkonto",Kontenplan!R74-1=Kontenplan!R73),"a",IF(OR(A72="Passivkonto",Kontenplan!S74-1=Kontenplan!S73),"p",""))</f>
        <v/>
      </c>
      <c r="AW72" s="70">
        <f t="shared" si="33"/>
        <v>0</v>
      </c>
      <c r="AY72">
        <f t="shared" si="60"/>
        <v>66</v>
      </c>
      <c r="AZ72">
        <f t="shared" si="61"/>
        <v>45.006100000000202</v>
      </c>
      <c r="BA72" t="str">
        <f t="shared" si="62"/>
        <v/>
      </c>
      <c r="BB72" t="str">
        <f t="shared" si="63"/>
        <v/>
      </c>
      <c r="BC72" s="70" t="str">
        <f t="shared" si="64"/>
        <v/>
      </c>
      <c r="BD72" s="70">
        <f t="shared" ref="BD72:BD91" si="67">IF(BA72="Sub",BC72,0)</f>
        <v>0</v>
      </c>
    </row>
    <row r="73" spans="1:56" x14ac:dyDescent="0.25">
      <c r="A73" s="3" t="str">
        <f>Kontenplan!C75</f>
        <v>Ertragskonto</v>
      </c>
      <c r="B73" s="74">
        <f>Kontenplan!E75</f>
        <v>7600</v>
      </c>
      <c r="C73" s="71" t="str">
        <f>Kontenplan!F75</f>
        <v>Beiträge Hauptsponsoren</v>
      </c>
      <c r="D73" s="27">
        <f>IF(B73=0,0,SUMIF(Journal!$F$7:$F$84,Calc!B73,Journal!$I$7:$I$84))</f>
        <v>0</v>
      </c>
      <c r="E73" s="17">
        <f>IF(B73=0,0,SUMIF(Journal!$G$7:$G$84,Calc!B73,Journal!$I$7:$I$84))</f>
        <v>0</v>
      </c>
      <c r="F73" s="40">
        <f t="shared" si="25"/>
        <v>0</v>
      </c>
      <c r="G73" s="17">
        <f t="shared" si="26"/>
        <v>0</v>
      </c>
      <c r="H73" s="16" t="str">
        <f t="shared" si="27"/>
        <v xml:space="preserve"> </v>
      </c>
      <c r="I73" s="27" t="str">
        <f t="shared" si="28"/>
        <v xml:space="preserve"> </v>
      </c>
      <c r="J73" s="41" t="str">
        <f t="shared" si="29"/>
        <v xml:space="preserve"> </v>
      </c>
      <c r="K73" s="42" t="str">
        <f t="shared" si="30"/>
        <v xml:space="preserve"> </v>
      </c>
      <c r="L73" s="41" t="str">
        <f t="shared" si="31"/>
        <v xml:space="preserve"> </v>
      </c>
      <c r="M73" s="42" t="str">
        <f t="shared" si="32"/>
        <v xml:space="preserve"> </v>
      </c>
      <c r="N73" s="24"/>
      <c r="O73" s="24">
        <f t="shared" si="65"/>
        <v>0</v>
      </c>
      <c r="P73" s="24">
        <f t="shared" si="66"/>
        <v>0</v>
      </c>
      <c r="Q73" s="24"/>
      <c r="S73">
        <f>Kontenplan!R75</f>
        <v>6</v>
      </c>
      <c r="T73">
        <f>Kontenplan!S75</f>
        <v>2</v>
      </c>
      <c r="U73">
        <f>Kontenplan!T75</f>
        <v>2</v>
      </c>
      <c r="V73" s="30">
        <f>Kontenplan!U75</f>
        <v>2</v>
      </c>
      <c r="Z73">
        <f t="shared" si="48"/>
        <v>42</v>
      </c>
      <c r="AA73" t="str">
        <f>IF(OR(Kontenplan!T75-1=Kontenplan!T74,Kontenplan!U75-1=Kontenplan!U74),"T_ER","")</f>
        <v/>
      </c>
      <c r="AB73" t="str">
        <f>CONCATENATE(Kontenplan!D75,Kontenplan!E75," ",Kontenplan!F75)</f>
        <v>7600 Beiträge Hauptsponsoren</v>
      </c>
      <c r="AC73" s="70">
        <f t="shared" si="49"/>
        <v>0</v>
      </c>
      <c r="AD73" s="70">
        <f t="shared" si="50"/>
        <v>0</v>
      </c>
      <c r="AE73" s="70">
        <f t="shared" si="51"/>
        <v>0</v>
      </c>
      <c r="AG73">
        <f t="shared" si="52"/>
        <v>0</v>
      </c>
      <c r="AI73">
        <f t="shared" si="47"/>
        <v>67</v>
      </c>
      <c r="AJ73" s="27">
        <f t="shared" si="53"/>
        <v>51.004000000000133</v>
      </c>
      <c r="AK73" t="str">
        <f t="shared" si="54"/>
        <v/>
      </c>
      <c r="AL73" t="str">
        <f t="shared" si="55"/>
        <v/>
      </c>
      <c r="AM73" s="70" t="str">
        <f t="shared" si="56"/>
        <v/>
      </c>
      <c r="AN73">
        <f t="shared" ref="AN73:AN91" si="68">IF(AK73="Sub",AM73,0)</f>
        <v>0</v>
      </c>
      <c r="AP73">
        <f t="shared" si="34"/>
        <v>45.00360000000012</v>
      </c>
      <c r="AQ73" t="str">
        <f>IF(OR(Kontenplan!R75-1=Kontenplan!R74,Kontenplan!S75-1=Kontenplan!S74),"T_B","")</f>
        <v/>
      </c>
      <c r="AR73" t="str">
        <f>CONCATENATE(Kontenplan!D75,Kontenplan!E75," ",Kontenplan!F75)</f>
        <v>7600 Beiträge Hauptsponsoren</v>
      </c>
      <c r="AS73" s="70">
        <f t="shared" si="57"/>
        <v>0</v>
      </c>
      <c r="AT73" s="70">
        <f t="shared" si="58"/>
        <v>0</v>
      </c>
      <c r="AU73" s="70">
        <f t="shared" si="59"/>
        <v>0</v>
      </c>
      <c r="AV73" s="70" t="str">
        <f>IF(OR(A73="Aktivkonto",Kontenplan!R75-1=Kontenplan!R74),"a",IF(OR(A73="Passivkonto",Kontenplan!S75-1=Kontenplan!S74),"p",""))</f>
        <v/>
      </c>
      <c r="AW73" s="70">
        <f t="shared" si="33"/>
        <v>0</v>
      </c>
      <c r="AY73">
        <f t="shared" si="60"/>
        <v>67</v>
      </c>
      <c r="AZ73">
        <f t="shared" si="61"/>
        <v>45.006100000000202</v>
      </c>
      <c r="BA73" t="str">
        <f t="shared" si="62"/>
        <v/>
      </c>
      <c r="BB73" t="str">
        <f t="shared" si="63"/>
        <v/>
      </c>
      <c r="BC73" s="70" t="str">
        <f t="shared" si="64"/>
        <v/>
      </c>
      <c r="BD73" s="70">
        <f t="shared" si="67"/>
        <v>0</v>
      </c>
    </row>
    <row r="74" spans="1:56" x14ac:dyDescent="0.25">
      <c r="A74" s="3" t="str">
        <f>Kontenplan!C76</f>
        <v>Ertragskonto</v>
      </c>
      <c r="B74" s="74">
        <f>Kontenplan!E76</f>
        <v>7610</v>
      </c>
      <c r="C74" s="71" t="str">
        <f>Kontenplan!F76</f>
        <v>Beiträge weitere Sponsoren</v>
      </c>
      <c r="D74" s="27">
        <f>IF(B74=0,0,SUMIF(Journal!$F$7:$F$84,Calc!B74,Journal!$I$7:$I$84))</f>
        <v>0</v>
      </c>
      <c r="E74" s="17">
        <f>IF(B74=0,0,SUMIF(Journal!$G$7:$G$84,Calc!B74,Journal!$I$7:$I$84))</f>
        <v>0</v>
      </c>
      <c r="F74" s="40">
        <f t="shared" si="25"/>
        <v>0</v>
      </c>
      <c r="G74" s="17">
        <f t="shared" si="26"/>
        <v>0</v>
      </c>
      <c r="H74" s="16" t="str">
        <f t="shared" si="27"/>
        <v xml:space="preserve"> </v>
      </c>
      <c r="I74" s="27" t="str">
        <f t="shared" si="28"/>
        <v xml:space="preserve"> </v>
      </c>
      <c r="J74" s="41" t="str">
        <f t="shared" si="29"/>
        <v xml:space="preserve"> </v>
      </c>
      <c r="K74" s="42" t="str">
        <f t="shared" si="30"/>
        <v xml:space="preserve"> </v>
      </c>
      <c r="L74" s="41" t="str">
        <f t="shared" si="31"/>
        <v xml:space="preserve"> </v>
      </c>
      <c r="M74" s="42" t="str">
        <f t="shared" si="32"/>
        <v xml:space="preserve"> </v>
      </c>
      <c r="N74" s="24"/>
      <c r="O74" s="24">
        <f t="shared" si="65"/>
        <v>0</v>
      </c>
      <c r="P74" s="24">
        <f t="shared" si="66"/>
        <v>0</v>
      </c>
      <c r="Q74" s="24"/>
      <c r="S74">
        <f>Kontenplan!R76</f>
        <v>6</v>
      </c>
      <c r="T74">
        <f>Kontenplan!S76</f>
        <v>2</v>
      </c>
      <c r="U74">
        <f>Kontenplan!T76</f>
        <v>2</v>
      </c>
      <c r="V74" s="30">
        <f>Kontenplan!U76</f>
        <v>2</v>
      </c>
      <c r="Z74">
        <f t="shared" si="48"/>
        <v>43</v>
      </c>
      <c r="AA74" t="str">
        <f>IF(OR(Kontenplan!T76-1=Kontenplan!T75,Kontenplan!U76-1=Kontenplan!U75),"T_ER","")</f>
        <v/>
      </c>
      <c r="AB74" t="str">
        <f>CONCATENATE(Kontenplan!D76,Kontenplan!E76," ",Kontenplan!F76)</f>
        <v>7610 Beiträge weitere Sponsoren</v>
      </c>
      <c r="AC74" s="70">
        <f t="shared" si="49"/>
        <v>0</v>
      </c>
      <c r="AD74" s="70">
        <f t="shared" si="50"/>
        <v>0</v>
      </c>
      <c r="AE74" s="70">
        <f t="shared" si="51"/>
        <v>0</v>
      </c>
      <c r="AG74">
        <f t="shared" si="52"/>
        <v>0</v>
      </c>
      <c r="AI74">
        <f t="shared" si="47"/>
        <v>68</v>
      </c>
      <c r="AJ74" s="27">
        <f t="shared" si="53"/>
        <v>51.004000000000133</v>
      </c>
      <c r="AK74" t="str">
        <f t="shared" si="54"/>
        <v/>
      </c>
      <c r="AL74" t="str">
        <f t="shared" si="55"/>
        <v/>
      </c>
      <c r="AM74" s="70" t="str">
        <f t="shared" si="56"/>
        <v/>
      </c>
      <c r="AN74">
        <f t="shared" si="68"/>
        <v>0</v>
      </c>
      <c r="AP74">
        <f t="shared" si="34"/>
        <v>45.003700000000123</v>
      </c>
      <c r="AQ74" t="str">
        <f>IF(OR(Kontenplan!R76-1=Kontenplan!R75,Kontenplan!S76-1=Kontenplan!S75),"T_B","")</f>
        <v/>
      </c>
      <c r="AR74" t="str">
        <f>CONCATENATE(Kontenplan!D76,Kontenplan!E76," ",Kontenplan!F76)</f>
        <v>7610 Beiträge weitere Sponsoren</v>
      </c>
      <c r="AS74" s="70">
        <f t="shared" si="57"/>
        <v>0</v>
      </c>
      <c r="AT74" s="70">
        <f t="shared" si="58"/>
        <v>0</v>
      </c>
      <c r="AU74" s="70">
        <f t="shared" si="59"/>
        <v>0</v>
      </c>
      <c r="AV74" s="70" t="str">
        <f>IF(OR(A74="Aktivkonto",Kontenplan!R76-1=Kontenplan!R75),"a",IF(OR(A74="Passivkonto",Kontenplan!S76-1=Kontenplan!S75),"p",""))</f>
        <v/>
      </c>
      <c r="AW74" s="70">
        <f t="shared" si="33"/>
        <v>0</v>
      </c>
      <c r="AY74">
        <f t="shared" si="60"/>
        <v>68</v>
      </c>
      <c r="AZ74">
        <f t="shared" si="61"/>
        <v>45.006100000000202</v>
      </c>
      <c r="BA74" t="str">
        <f t="shared" si="62"/>
        <v/>
      </c>
      <c r="BB74" t="str">
        <f t="shared" si="63"/>
        <v/>
      </c>
      <c r="BC74" s="70" t="str">
        <f t="shared" si="64"/>
        <v/>
      </c>
      <c r="BD74" s="70">
        <f t="shared" si="67"/>
        <v>0</v>
      </c>
    </row>
    <row r="75" spans="1:56" x14ac:dyDescent="0.25">
      <c r="A75" s="3" t="str">
        <f>Kontenplan!C77</f>
        <v>Ertragskonto</v>
      </c>
      <c r="B75" s="74">
        <f>Kontenplan!E77</f>
        <v>7700</v>
      </c>
      <c r="C75" s="71" t="str">
        <f>Kontenplan!F77</f>
        <v>Inserate Vereinszeitschrift</v>
      </c>
      <c r="D75" s="27">
        <f>IF(B75=0,0,SUMIF(Journal!$F$7:$F$84,Calc!B75,Journal!$I$7:$I$84))</f>
        <v>0</v>
      </c>
      <c r="E75" s="17">
        <f>IF(B75=0,0,SUMIF(Journal!$G$7:$G$84,Calc!B75,Journal!$I$7:$I$84))</f>
        <v>0</v>
      </c>
      <c r="F75" s="40">
        <f t="shared" ref="F75:F91" si="69">IF(D75-E75&gt;0,D75-E75,0)</f>
        <v>0</v>
      </c>
      <c r="G75" s="17">
        <f t="shared" ref="G75:G91" si="70">IF(E75&gt;D75,E75-D75,0)</f>
        <v>0</v>
      </c>
      <c r="H75" s="16" t="str">
        <f t="shared" ref="H75:H91" si="71">IF(AND(OR(A75="Aktivkonto",A75="Passivkonto"),F75&gt;0),F75," ")</f>
        <v xml:space="preserve"> </v>
      </c>
      <c r="I75" s="27" t="str">
        <f t="shared" ref="I75:I91" si="72">IF(AND(OR(A75="Aktivkonto",A75="Passivkonto"),G75&gt;0),G75," ")</f>
        <v xml:space="preserve"> </v>
      </c>
      <c r="J75" s="41" t="str">
        <f t="shared" ref="J75:J91" si="73">IF(AND(OR(A75="Aufwandskonto",A75="Ertragskonto",A75="Ertragsminderung",A75="a.o.Erfolgskonto"),F75&gt;0),F75," ")</f>
        <v xml:space="preserve"> </v>
      </c>
      <c r="K75" s="42" t="str">
        <f t="shared" ref="K75:K91" si="74">IF(AND(OR(A75="Aufwandskonto",A75="Ertragskonto",A75="Ertragsminderung",A75="a.o.Erfolgskonto"),G75&gt;0),G75," ")</f>
        <v xml:space="preserve"> </v>
      </c>
      <c r="L75" s="41" t="str">
        <f t="shared" ref="L75:L91" si="75">H75</f>
        <v xml:space="preserve"> </v>
      </c>
      <c r="M75" s="42" t="str">
        <f t="shared" ref="M75:M91" si="76">I75</f>
        <v xml:space="preserve"> </v>
      </c>
      <c r="N75" s="24"/>
      <c r="O75" s="24">
        <f t="shared" si="65"/>
        <v>0</v>
      </c>
      <c r="P75" s="24">
        <f t="shared" si="66"/>
        <v>0</v>
      </c>
      <c r="Q75" s="24"/>
      <c r="S75">
        <f>Kontenplan!R77</f>
        <v>6</v>
      </c>
      <c r="T75">
        <f>Kontenplan!S77</f>
        <v>2</v>
      </c>
      <c r="U75">
        <f>Kontenplan!T77</f>
        <v>2</v>
      </c>
      <c r="V75" s="30">
        <f>Kontenplan!U77</f>
        <v>2</v>
      </c>
      <c r="Z75">
        <f t="shared" si="48"/>
        <v>44</v>
      </c>
      <c r="AA75" t="str">
        <f>IF(OR(Kontenplan!T77-1=Kontenplan!T76,Kontenplan!U77-1=Kontenplan!U76),"T_ER","")</f>
        <v/>
      </c>
      <c r="AB75" t="str">
        <f>CONCATENATE(Kontenplan!D77,Kontenplan!E77," ",Kontenplan!F77)</f>
        <v>7700 Inserate Vereinszeitschrift</v>
      </c>
      <c r="AC75" s="70">
        <f t="shared" si="49"/>
        <v>0</v>
      </c>
      <c r="AD75" s="70">
        <f t="shared" si="50"/>
        <v>0</v>
      </c>
      <c r="AE75" s="70">
        <f t="shared" si="51"/>
        <v>0</v>
      </c>
      <c r="AG75">
        <f t="shared" si="52"/>
        <v>0</v>
      </c>
      <c r="AI75">
        <f t="shared" si="47"/>
        <v>69</v>
      </c>
      <c r="AJ75" s="27">
        <f t="shared" si="53"/>
        <v>51.004000000000133</v>
      </c>
      <c r="AK75" t="str">
        <f t="shared" si="54"/>
        <v/>
      </c>
      <c r="AL75" t="str">
        <f t="shared" si="55"/>
        <v/>
      </c>
      <c r="AM75" s="70" t="str">
        <f t="shared" si="56"/>
        <v/>
      </c>
      <c r="AN75">
        <f t="shared" si="68"/>
        <v>0</v>
      </c>
      <c r="AP75">
        <f t="shared" si="34"/>
        <v>45.003800000000126</v>
      </c>
      <c r="AQ75" t="str">
        <f>IF(OR(Kontenplan!R77-1=Kontenplan!R76,Kontenplan!S77-1=Kontenplan!S76),"T_B","")</f>
        <v/>
      </c>
      <c r="AR75" t="str">
        <f>CONCATENATE(Kontenplan!D77,Kontenplan!E77," ",Kontenplan!F77)</f>
        <v>7700 Inserate Vereinszeitschrift</v>
      </c>
      <c r="AS75" s="70">
        <f t="shared" si="57"/>
        <v>0</v>
      </c>
      <c r="AT75" s="70">
        <f t="shared" si="58"/>
        <v>0</v>
      </c>
      <c r="AU75" s="70">
        <f t="shared" si="59"/>
        <v>0</v>
      </c>
      <c r="AV75" s="70" t="str">
        <f>IF(OR(A75="Aktivkonto",Kontenplan!R77-1=Kontenplan!R76),"a",IF(OR(A75="Passivkonto",Kontenplan!S77-1=Kontenplan!S76),"p",""))</f>
        <v/>
      </c>
      <c r="AW75" s="70">
        <f t="shared" si="33"/>
        <v>0</v>
      </c>
      <c r="AY75">
        <f t="shared" si="60"/>
        <v>69</v>
      </c>
      <c r="AZ75">
        <f t="shared" si="61"/>
        <v>45.006100000000202</v>
      </c>
      <c r="BA75" t="str">
        <f t="shared" si="62"/>
        <v/>
      </c>
      <c r="BB75" t="str">
        <f t="shared" si="63"/>
        <v/>
      </c>
      <c r="BC75" s="70" t="str">
        <f t="shared" si="64"/>
        <v/>
      </c>
      <c r="BD75" s="70">
        <f t="shared" si="67"/>
        <v>0</v>
      </c>
    </row>
    <row r="76" spans="1:56" x14ac:dyDescent="0.25">
      <c r="A76" s="3">
        <f>Kontenplan!C78</f>
        <v>0</v>
      </c>
      <c r="B76" s="74">
        <f>Kontenplan!E78</f>
        <v>0</v>
      </c>
      <c r="C76" s="71">
        <f>Kontenplan!F78</f>
        <v>0</v>
      </c>
      <c r="D76" s="27">
        <f>IF(B76=0,0,SUMIF(Journal!$F$7:$F$84,Calc!B76,Journal!$I$7:$I$84))</f>
        <v>0</v>
      </c>
      <c r="E76" s="17">
        <f>IF(B76=0,0,SUMIF(Journal!$G$7:$G$84,Calc!B76,Journal!$I$7:$I$84))</f>
        <v>0</v>
      </c>
      <c r="F76" s="40">
        <f t="shared" si="69"/>
        <v>0</v>
      </c>
      <c r="G76" s="17">
        <f t="shared" si="70"/>
        <v>0</v>
      </c>
      <c r="H76" s="16" t="str">
        <f t="shared" si="71"/>
        <v xml:space="preserve"> </v>
      </c>
      <c r="I76" s="27" t="str">
        <f t="shared" si="72"/>
        <v xml:space="preserve"> </v>
      </c>
      <c r="J76" s="41" t="str">
        <f t="shared" si="73"/>
        <v xml:space="preserve"> </v>
      </c>
      <c r="K76" s="42" t="str">
        <f t="shared" si="74"/>
        <v xml:space="preserve"> </v>
      </c>
      <c r="L76" s="41" t="str">
        <f t="shared" si="75"/>
        <v xml:space="preserve"> </v>
      </c>
      <c r="M76" s="42" t="str">
        <f t="shared" si="76"/>
        <v xml:space="preserve"> </v>
      </c>
      <c r="N76" s="24"/>
      <c r="O76" s="24">
        <f t="shared" si="65"/>
        <v>0</v>
      </c>
      <c r="P76" s="24">
        <f t="shared" si="66"/>
        <v>0</v>
      </c>
      <c r="Q76" s="24"/>
      <c r="S76">
        <f>Kontenplan!R78</f>
        <v>6</v>
      </c>
      <c r="T76">
        <f>Kontenplan!S78</f>
        <v>2</v>
      </c>
      <c r="U76">
        <f>Kontenplan!T78</f>
        <v>2</v>
      </c>
      <c r="V76" s="30">
        <f>Kontenplan!U78</f>
        <v>3</v>
      </c>
      <c r="Z76">
        <f t="shared" si="48"/>
        <v>47</v>
      </c>
      <c r="AA76" t="str">
        <f>IF(OR(Kontenplan!T78-1=Kontenplan!T77,Kontenplan!U78-1=Kontenplan!U77),"T_ER","")</f>
        <v>T_ER</v>
      </c>
      <c r="AB76" t="str">
        <f>CONCATENATE(Kontenplan!D78,Kontenplan!E78," ",Kontenplan!F78)</f>
        <v xml:space="preserve">Weitere Erträge </v>
      </c>
      <c r="AC76" s="70" t="str">
        <f t="shared" si="49"/>
        <v/>
      </c>
      <c r="AD76" s="70">
        <f t="shared" si="50"/>
        <v>0</v>
      </c>
      <c r="AE76" s="70">
        <f t="shared" si="51"/>
        <v>0</v>
      </c>
      <c r="AG76" t="str">
        <f t="shared" si="52"/>
        <v/>
      </c>
      <c r="AI76">
        <f t="shared" si="47"/>
        <v>70</v>
      </c>
      <c r="AJ76" s="27">
        <f t="shared" si="53"/>
        <v>51.004000000000133</v>
      </c>
      <c r="AK76" t="str">
        <f t="shared" si="54"/>
        <v/>
      </c>
      <c r="AL76" t="str">
        <f t="shared" si="55"/>
        <v/>
      </c>
      <c r="AM76" s="70" t="str">
        <f t="shared" si="56"/>
        <v/>
      </c>
      <c r="AN76">
        <f t="shared" si="68"/>
        <v>0</v>
      </c>
      <c r="AP76">
        <f t="shared" si="34"/>
        <v>45.003900000000129</v>
      </c>
      <c r="AQ76" t="str">
        <f>IF(OR(Kontenplan!R78-1=Kontenplan!R77,Kontenplan!S78-1=Kontenplan!S77),"T_B","")</f>
        <v/>
      </c>
      <c r="AR76" t="str">
        <f>CONCATENATE(Kontenplan!D78,Kontenplan!E78," ",Kontenplan!F78)</f>
        <v xml:space="preserve">Weitere Erträge </v>
      </c>
      <c r="AS76" s="70" t="str">
        <f t="shared" si="57"/>
        <v/>
      </c>
      <c r="AT76" s="70">
        <f t="shared" si="58"/>
        <v>0</v>
      </c>
      <c r="AU76" s="70">
        <f t="shared" si="59"/>
        <v>0</v>
      </c>
      <c r="AV76" s="70" t="str">
        <f>IF(OR(A76="Aktivkonto",Kontenplan!R78-1=Kontenplan!R77),"a",IF(OR(A76="Passivkonto",Kontenplan!S78-1=Kontenplan!S77),"p",""))</f>
        <v/>
      </c>
      <c r="AW76" s="70" t="str">
        <f t="shared" si="33"/>
        <v/>
      </c>
      <c r="AY76">
        <f t="shared" si="60"/>
        <v>70</v>
      </c>
      <c r="AZ76">
        <f t="shared" si="61"/>
        <v>45.006100000000202</v>
      </c>
      <c r="BA76" t="str">
        <f t="shared" si="62"/>
        <v/>
      </c>
      <c r="BB76" t="str">
        <f t="shared" si="63"/>
        <v/>
      </c>
      <c r="BC76" s="70" t="str">
        <f t="shared" si="64"/>
        <v/>
      </c>
      <c r="BD76" s="70">
        <f t="shared" si="67"/>
        <v>0</v>
      </c>
    </row>
    <row r="77" spans="1:56" x14ac:dyDescent="0.25">
      <c r="A77" s="3" t="str">
        <f>Kontenplan!C79</f>
        <v>Ertragskonto</v>
      </c>
      <c r="B77" s="74">
        <f>Kontenplan!E79</f>
        <v>8000</v>
      </c>
      <c r="C77" s="71" t="str">
        <f>Kontenplan!F79</f>
        <v>Subventionen</v>
      </c>
      <c r="D77" s="27">
        <f>IF(B77=0,0,SUMIF(Journal!$F$7:$F$84,Calc!B77,Journal!$I$7:$I$84))</f>
        <v>0</v>
      </c>
      <c r="E77" s="17">
        <f>IF(B77=0,0,SUMIF(Journal!$G$7:$G$84,Calc!B77,Journal!$I$7:$I$84))</f>
        <v>0</v>
      </c>
      <c r="F77" s="40">
        <f t="shared" si="69"/>
        <v>0</v>
      </c>
      <c r="G77" s="17">
        <f t="shared" si="70"/>
        <v>0</v>
      </c>
      <c r="H77" s="16" t="str">
        <f t="shared" si="71"/>
        <v xml:space="preserve"> </v>
      </c>
      <c r="I77" s="27" t="str">
        <f t="shared" si="72"/>
        <v xml:space="preserve"> </v>
      </c>
      <c r="J77" s="41" t="str">
        <f t="shared" si="73"/>
        <v xml:space="preserve"> </v>
      </c>
      <c r="K77" s="42" t="str">
        <f t="shared" si="74"/>
        <v xml:space="preserve"> </v>
      </c>
      <c r="L77" s="41" t="str">
        <f t="shared" si="75"/>
        <v xml:space="preserve"> </v>
      </c>
      <c r="M77" s="42" t="str">
        <f t="shared" si="76"/>
        <v xml:space="preserve"> </v>
      </c>
      <c r="N77" s="24"/>
      <c r="O77" s="24">
        <f t="shared" si="65"/>
        <v>0</v>
      </c>
      <c r="P77" s="24">
        <f t="shared" si="66"/>
        <v>0</v>
      </c>
      <c r="Q77" s="24"/>
      <c r="S77">
        <f>Kontenplan!R79</f>
        <v>6</v>
      </c>
      <c r="T77">
        <f>Kontenplan!S79</f>
        <v>2</v>
      </c>
      <c r="U77">
        <f>Kontenplan!T79</f>
        <v>2</v>
      </c>
      <c r="V77" s="30">
        <f>Kontenplan!U79</f>
        <v>3</v>
      </c>
      <c r="Z77">
        <f t="shared" si="48"/>
        <v>48</v>
      </c>
      <c r="AA77" t="str">
        <f>IF(OR(Kontenplan!T79-1=Kontenplan!T78,Kontenplan!U79-1=Kontenplan!U78),"T_ER","")</f>
        <v/>
      </c>
      <c r="AB77" t="str">
        <f>CONCATENATE(Kontenplan!D79,Kontenplan!E79," ",Kontenplan!F79)</f>
        <v>8000 Subventionen</v>
      </c>
      <c r="AC77" s="70">
        <f t="shared" si="49"/>
        <v>0</v>
      </c>
      <c r="AD77" s="70">
        <f t="shared" si="50"/>
        <v>0</v>
      </c>
      <c r="AE77" s="70">
        <f t="shared" si="51"/>
        <v>0</v>
      </c>
      <c r="AG77">
        <f t="shared" si="52"/>
        <v>0</v>
      </c>
      <c r="AI77">
        <f t="shared" si="47"/>
        <v>71</v>
      </c>
      <c r="AJ77" s="27">
        <f t="shared" si="53"/>
        <v>51.004000000000133</v>
      </c>
      <c r="AK77" t="str">
        <f t="shared" si="54"/>
        <v/>
      </c>
      <c r="AL77" t="str">
        <f t="shared" si="55"/>
        <v/>
      </c>
      <c r="AM77" s="70" t="str">
        <f t="shared" si="56"/>
        <v/>
      </c>
      <c r="AN77">
        <f t="shared" si="68"/>
        <v>0</v>
      </c>
      <c r="AP77">
        <f t="shared" si="34"/>
        <v>45.004000000000133</v>
      </c>
      <c r="AQ77" t="str">
        <f>IF(OR(Kontenplan!R79-1=Kontenplan!R78,Kontenplan!S79-1=Kontenplan!S78),"T_B","")</f>
        <v/>
      </c>
      <c r="AR77" t="str">
        <f>CONCATENATE(Kontenplan!D79,Kontenplan!E79," ",Kontenplan!F79)</f>
        <v>8000 Subventionen</v>
      </c>
      <c r="AS77" s="70">
        <f t="shared" si="57"/>
        <v>0</v>
      </c>
      <c r="AT77" s="70">
        <f t="shared" si="58"/>
        <v>0</v>
      </c>
      <c r="AU77" s="70">
        <f t="shared" si="59"/>
        <v>0</v>
      </c>
      <c r="AV77" s="70" t="str">
        <f>IF(OR(A77="Aktivkonto",Kontenplan!R79-1=Kontenplan!R78),"a",IF(OR(A77="Passivkonto",Kontenplan!S79-1=Kontenplan!S78),"p",""))</f>
        <v/>
      </c>
      <c r="AW77" s="70">
        <f t="shared" ref="AW77:AW91" si="77">IF(AS77="","",IF(AND(AV76="a",AV77="p"),AS77,IF(AS76="",AS77,AW76+AS77)))</f>
        <v>0</v>
      </c>
      <c r="AY77">
        <f t="shared" si="60"/>
        <v>71</v>
      </c>
      <c r="AZ77">
        <f t="shared" si="61"/>
        <v>45.006100000000202</v>
      </c>
      <c r="BA77" t="str">
        <f t="shared" si="62"/>
        <v/>
      </c>
      <c r="BB77" t="str">
        <f t="shared" si="63"/>
        <v/>
      </c>
      <c r="BC77" s="70" t="str">
        <f t="shared" si="64"/>
        <v/>
      </c>
      <c r="BD77" s="70">
        <f t="shared" si="67"/>
        <v>0</v>
      </c>
    </row>
    <row r="78" spans="1:56" x14ac:dyDescent="0.25">
      <c r="A78" s="3" t="str">
        <f>Kontenplan!C80</f>
        <v>Ertragskonto</v>
      </c>
      <c r="B78" s="74">
        <f>Kontenplan!E80</f>
        <v>8200</v>
      </c>
      <c r="C78" s="71" t="str">
        <f>Kontenplan!F80</f>
        <v>Zinsertrag</v>
      </c>
      <c r="D78" s="27">
        <f>IF(B78=0,0,SUMIF(Journal!$F$7:$F$84,Calc!B78,Journal!$I$7:$I$84))</f>
        <v>0</v>
      </c>
      <c r="E78" s="17">
        <f>IF(B78=0,0,SUMIF(Journal!$G$7:$G$84,Calc!B78,Journal!$I$7:$I$84))</f>
        <v>0</v>
      </c>
      <c r="F78" s="40">
        <f t="shared" si="69"/>
        <v>0</v>
      </c>
      <c r="G78" s="17">
        <f t="shared" si="70"/>
        <v>0</v>
      </c>
      <c r="H78" s="16" t="str">
        <f t="shared" si="71"/>
        <v xml:space="preserve"> </v>
      </c>
      <c r="I78" s="27" t="str">
        <f t="shared" si="72"/>
        <v xml:space="preserve"> </v>
      </c>
      <c r="J78" s="41" t="str">
        <f t="shared" si="73"/>
        <v xml:space="preserve"> </v>
      </c>
      <c r="K78" s="42" t="str">
        <f t="shared" si="74"/>
        <v xml:space="preserve"> </v>
      </c>
      <c r="L78" s="41" t="str">
        <f t="shared" si="75"/>
        <v xml:space="preserve"> </v>
      </c>
      <c r="M78" s="42" t="str">
        <f t="shared" si="76"/>
        <v xml:space="preserve"> </v>
      </c>
      <c r="N78" s="24"/>
      <c r="O78" s="24">
        <f t="shared" si="65"/>
        <v>0</v>
      </c>
      <c r="P78" s="24">
        <f t="shared" si="66"/>
        <v>0</v>
      </c>
      <c r="Q78" s="24"/>
      <c r="S78">
        <f>Kontenplan!R80</f>
        <v>6</v>
      </c>
      <c r="T78">
        <f>Kontenplan!S80</f>
        <v>2</v>
      </c>
      <c r="U78">
        <f>Kontenplan!T80</f>
        <v>2</v>
      </c>
      <c r="V78" s="30">
        <f>Kontenplan!U80</f>
        <v>3</v>
      </c>
      <c r="Z78">
        <f t="shared" si="48"/>
        <v>49</v>
      </c>
      <c r="AA78" t="str">
        <f>IF(OR(Kontenplan!T80-1=Kontenplan!T79,Kontenplan!U80-1=Kontenplan!U79),"T_ER","")</f>
        <v/>
      </c>
      <c r="AB78" t="str">
        <f>CONCATENATE(Kontenplan!D80,Kontenplan!E80," ",Kontenplan!F80)</f>
        <v>8200 Zinsertrag</v>
      </c>
      <c r="AC78" s="70">
        <f t="shared" si="49"/>
        <v>0</v>
      </c>
      <c r="AD78" s="70">
        <f t="shared" si="50"/>
        <v>0</v>
      </c>
      <c r="AE78" s="70">
        <f t="shared" si="51"/>
        <v>0</v>
      </c>
      <c r="AG78">
        <f t="shared" si="52"/>
        <v>0</v>
      </c>
      <c r="AI78">
        <f t="shared" si="47"/>
        <v>72</v>
      </c>
      <c r="AJ78" s="27">
        <f t="shared" si="53"/>
        <v>51.004000000000133</v>
      </c>
      <c r="AK78" t="str">
        <f t="shared" si="54"/>
        <v/>
      </c>
      <c r="AL78" t="str">
        <f t="shared" si="55"/>
        <v/>
      </c>
      <c r="AM78" s="70" t="str">
        <f t="shared" si="56"/>
        <v/>
      </c>
      <c r="AN78">
        <f t="shared" si="68"/>
        <v>0</v>
      </c>
      <c r="AP78">
        <f t="shared" si="34"/>
        <v>45.004100000000136</v>
      </c>
      <c r="AQ78" t="str">
        <f>IF(OR(Kontenplan!R80-1=Kontenplan!R79,Kontenplan!S80-1=Kontenplan!S79),"T_B","")</f>
        <v/>
      </c>
      <c r="AR78" t="str">
        <f>CONCATENATE(Kontenplan!D80,Kontenplan!E80," ",Kontenplan!F80)</f>
        <v>8200 Zinsertrag</v>
      </c>
      <c r="AS78" s="70">
        <f t="shared" si="57"/>
        <v>0</v>
      </c>
      <c r="AT78" s="70">
        <f t="shared" si="58"/>
        <v>0</v>
      </c>
      <c r="AU78" s="70">
        <f t="shared" si="59"/>
        <v>0</v>
      </c>
      <c r="AV78" s="70" t="str">
        <f>IF(OR(A78="Aktivkonto",Kontenplan!R80-1=Kontenplan!R79),"a",IF(OR(A78="Passivkonto",Kontenplan!S80-1=Kontenplan!S79),"p",""))</f>
        <v/>
      </c>
      <c r="AW78" s="70">
        <f t="shared" si="77"/>
        <v>0</v>
      </c>
      <c r="AY78">
        <f t="shared" si="60"/>
        <v>72</v>
      </c>
      <c r="AZ78">
        <f t="shared" si="61"/>
        <v>45.006100000000202</v>
      </c>
      <c r="BA78" t="str">
        <f t="shared" si="62"/>
        <v/>
      </c>
      <c r="BB78" t="str">
        <f t="shared" si="63"/>
        <v/>
      </c>
      <c r="BC78" s="70" t="str">
        <f t="shared" si="64"/>
        <v/>
      </c>
      <c r="BD78" s="70">
        <f t="shared" si="67"/>
        <v>0</v>
      </c>
    </row>
    <row r="79" spans="1:56" x14ac:dyDescent="0.25">
      <c r="A79" s="3" t="str">
        <f>Kontenplan!C81</f>
        <v>Ertragskonto</v>
      </c>
      <c r="B79" s="74">
        <f>Kontenplan!E81</f>
        <v>8300</v>
      </c>
      <c r="C79" s="71" t="str">
        <f>Kontenplan!F81</f>
        <v>diverse Erträge</v>
      </c>
      <c r="D79" s="27">
        <f>IF(B79=0,0,SUMIF(Journal!$F$7:$F$84,Calc!B79,Journal!$I$7:$I$84))</f>
        <v>0</v>
      </c>
      <c r="E79" s="17">
        <f>IF(B79=0,0,SUMIF(Journal!$G$7:$G$84,Calc!B79,Journal!$I$7:$I$84))</f>
        <v>0</v>
      </c>
      <c r="F79" s="40">
        <f t="shared" si="69"/>
        <v>0</v>
      </c>
      <c r="G79" s="17">
        <f t="shared" si="70"/>
        <v>0</v>
      </c>
      <c r="H79" s="16" t="str">
        <f t="shared" si="71"/>
        <v xml:space="preserve"> </v>
      </c>
      <c r="I79" s="27" t="str">
        <f t="shared" si="72"/>
        <v xml:space="preserve"> </v>
      </c>
      <c r="J79" s="41" t="str">
        <f t="shared" si="73"/>
        <v xml:space="preserve"> </v>
      </c>
      <c r="K79" s="42" t="str">
        <f t="shared" si="74"/>
        <v xml:space="preserve"> </v>
      </c>
      <c r="L79" s="41" t="str">
        <f t="shared" si="75"/>
        <v xml:space="preserve"> </v>
      </c>
      <c r="M79" s="42" t="str">
        <f t="shared" si="76"/>
        <v xml:space="preserve"> </v>
      </c>
      <c r="N79" s="24"/>
      <c r="O79" s="24">
        <f t="shared" si="65"/>
        <v>0</v>
      </c>
      <c r="P79" s="24">
        <f t="shared" si="66"/>
        <v>0</v>
      </c>
      <c r="Q79" s="24"/>
      <c r="S79">
        <f>Kontenplan!R81</f>
        <v>6</v>
      </c>
      <c r="T79">
        <f>Kontenplan!S81</f>
        <v>2</v>
      </c>
      <c r="U79">
        <f>Kontenplan!T81</f>
        <v>2</v>
      </c>
      <c r="V79" s="30">
        <f>Kontenplan!U81</f>
        <v>3</v>
      </c>
      <c r="Z79">
        <f t="shared" si="48"/>
        <v>50</v>
      </c>
      <c r="AA79" t="str">
        <f>IF(OR(Kontenplan!T81-1=Kontenplan!T80,Kontenplan!U81-1=Kontenplan!U80),"T_ER","")</f>
        <v/>
      </c>
      <c r="AB79" t="str">
        <f>CONCATENATE(Kontenplan!D81,Kontenplan!E81," ",Kontenplan!F81)</f>
        <v>8300 diverse Erträge</v>
      </c>
      <c r="AC79" s="70">
        <f t="shared" si="49"/>
        <v>0</v>
      </c>
      <c r="AD79" s="70">
        <f t="shared" si="50"/>
        <v>0</v>
      </c>
      <c r="AE79" s="70">
        <f t="shared" si="51"/>
        <v>0</v>
      </c>
      <c r="AG79">
        <f t="shared" si="52"/>
        <v>0</v>
      </c>
      <c r="AI79">
        <f t="shared" si="47"/>
        <v>73</v>
      </c>
      <c r="AJ79" s="27">
        <f t="shared" si="53"/>
        <v>51.004000000000133</v>
      </c>
      <c r="AK79" t="str">
        <f t="shared" si="54"/>
        <v/>
      </c>
      <c r="AL79" t="str">
        <f t="shared" si="55"/>
        <v/>
      </c>
      <c r="AM79" s="70" t="str">
        <f t="shared" si="56"/>
        <v/>
      </c>
      <c r="AN79">
        <f t="shared" si="68"/>
        <v>0</v>
      </c>
      <c r="AP79">
        <f t="shared" si="34"/>
        <v>45.004200000000139</v>
      </c>
      <c r="AQ79" t="str">
        <f>IF(OR(Kontenplan!R81-1=Kontenplan!R80,Kontenplan!S81-1=Kontenplan!S80),"T_B","")</f>
        <v/>
      </c>
      <c r="AR79" t="str">
        <f>CONCATENATE(Kontenplan!D81,Kontenplan!E81," ",Kontenplan!F81)</f>
        <v>8300 diverse Erträge</v>
      </c>
      <c r="AS79" s="70">
        <f t="shared" si="57"/>
        <v>0</v>
      </c>
      <c r="AT79" s="70">
        <f t="shared" si="58"/>
        <v>0</v>
      </c>
      <c r="AU79" s="70">
        <f t="shared" si="59"/>
        <v>0</v>
      </c>
      <c r="AV79" s="70" t="str">
        <f>IF(OR(A79="Aktivkonto",Kontenplan!R81-1=Kontenplan!R80),"a",IF(OR(A79="Passivkonto",Kontenplan!S81-1=Kontenplan!S80),"p",""))</f>
        <v/>
      </c>
      <c r="AW79" s="70">
        <f t="shared" si="77"/>
        <v>0</v>
      </c>
      <c r="AY79">
        <f t="shared" si="60"/>
        <v>73</v>
      </c>
      <c r="AZ79">
        <f t="shared" si="61"/>
        <v>45.006100000000202</v>
      </c>
      <c r="BA79" t="str">
        <f t="shared" si="62"/>
        <v/>
      </c>
      <c r="BB79" t="str">
        <f t="shared" si="63"/>
        <v/>
      </c>
      <c r="BC79" s="70" t="str">
        <f t="shared" si="64"/>
        <v/>
      </c>
      <c r="BD79" s="70">
        <f t="shared" si="67"/>
        <v>0</v>
      </c>
    </row>
    <row r="80" spans="1:56" x14ac:dyDescent="0.25">
      <c r="A80" s="3" t="str">
        <f>Kontenplan!C82</f>
        <v>Ertragskonto</v>
      </c>
      <c r="B80" s="74">
        <f>Kontenplan!E82</f>
        <v>9999</v>
      </c>
      <c r="C80" s="71" t="str">
        <f>Kontenplan!F82</f>
        <v>Eröffnungskonto</v>
      </c>
      <c r="D80" s="27">
        <f>IF(B80=0,0,SUMIF(Journal!$F$7:$F$84,Calc!B80,Journal!$I$7:$I$84))</f>
        <v>0</v>
      </c>
      <c r="E80" s="17">
        <f>IF(B80=0,0,SUMIF(Journal!$G$7:$G$84,Calc!B80,Journal!$I$7:$I$84))</f>
        <v>0</v>
      </c>
      <c r="F80" s="40">
        <f t="shared" si="69"/>
        <v>0</v>
      </c>
      <c r="G80" s="17">
        <f t="shared" si="70"/>
        <v>0</v>
      </c>
      <c r="H80" s="16" t="str">
        <f t="shared" si="71"/>
        <v xml:space="preserve"> </v>
      </c>
      <c r="I80" s="27" t="str">
        <f t="shared" si="72"/>
        <v xml:space="preserve"> </v>
      </c>
      <c r="J80" s="41" t="str">
        <f t="shared" si="73"/>
        <v xml:space="preserve"> </v>
      </c>
      <c r="K80" s="42" t="str">
        <f t="shared" si="74"/>
        <v xml:space="preserve"> </v>
      </c>
      <c r="L80" s="41" t="str">
        <f t="shared" si="75"/>
        <v xml:space="preserve"> </v>
      </c>
      <c r="M80" s="42" t="str">
        <f t="shared" si="76"/>
        <v xml:space="preserve"> </v>
      </c>
      <c r="N80" s="24"/>
      <c r="O80" s="24">
        <f t="shared" si="65"/>
        <v>0</v>
      </c>
      <c r="P80" s="24">
        <f t="shared" si="66"/>
        <v>0</v>
      </c>
      <c r="Q80" s="24"/>
      <c r="S80">
        <f>Kontenplan!R82</f>
        <v>6</v>
      </c>
      <c r="T80">
        <f>Kontenplan!S82</f>
        <v>2</v>
      </c>
      <c r="U80">
        <f>Kontenplan!T82</f>
        <v>2</v>
      </c>
      <c r="V80" s="30">
        <f>Kontenplan!U82</f>
        <v>3</v>
      </c>
      <c r="Z80">
        <f t="shared" si="48"/>
        <v>51</v>
      </c>
      <c r="AA80" t="str">
        <f>IF(OR(Kontenplan!T82-1=Kontenplan!T81,Kontenplan!U82-1=Kontenplan!U81),"T_ER","")</f>
        <v/>
      </c>
      <c r="AB80" t="str">
        <f>CONCATENATE(Kontenplan!D82,Kontenplan!E82," ",Kontenplan!F82)</f>
        <v>9999 Eröffnungskonto</v>
      </c>
      <c r="AC80" s="70">
        <f t="shared" si="49"/>
        <v>0</v>
      </c>
      <c r="AD80" s="70">
        <f t="shared" si="50"/>
        <v>0</v>
      </c>
      <c r="AE80" s="70">
        <f t="shared" si="51"/>
        <v>0</v>
      </c>
      <c r="AG80">
        <f t="shared" si="52"/>
        <v>0</v>
      </c>
      <c r="AI80">
        <f t="shared" si="47"/>
        <v>74</v>
      </c>
      <c r="AJ80" s="27">
        <f t="shared" si="53"/>
        <v>51.004000000000133</v>
      </c>
      <c r="AK80" t="str">
        <f t="shared" si="54"/>
        <v/>
      </c>
      <c r="AL80" t="str">
        <f t="shared" si="55"/>
        <v/>
      </c>
      <c r="AM80" s="70" t="str">
        <f t="shared" si="56"/>
        <v/>
      </c>
      <c r="AN80">
        <f t="shared" si="68"/>
        <v>0</v>
      </c>
      <c r="AP80">
        <f t="shared" si="34"/>
        <v>45.004300000000143</v>
      </c>
      <c r="AQ80" t="str">
        <f>IF(OR(Kontenplan!R82-1=Kontenplan!R81,Kontenplan!S82-1=Kontenplan!S81),"T_B","")</f>
        <v/>
      </c>
      <c r="AR80" t="str">
        <f>CONCATENATE(Kontenplan!D82,Kontenplan!E82," ",Kontenplan!F82)</f>
        <v>9999 Eröffnungskonto</v>
      </c>
      <c r="AS80" s="70">
        <f t="shared" si="57"/>
        <v>0</v>
      </c>
      <c r="AT80" s="70">
        <f t="shared" si="58"/>
        <v>0</v>
      </c>
      <c r="AU80" s="70">
        <f t="shared" si="59"/>
        <v>0</v>
      </c>
      <c r="AV80" s="70" t="str">
        <f>IF(OR(A80="Aktivkonto",Kontenplan!R82-1=Kontenplan!R81),"a",IF(OR(A80="Passivkonto",Kontenplan!S82-1=Kontenplan!S81),"p",""))</f>
        <v/>
      </c>
      <c r="AW80" s="70">
        <f t="shared" si="77"/>
        <v>0</v>
      </c>
      <c r="AY80">
        <f t="shared" si="60"/>
        <v>74</v>
      </c>
      <c r="AZ80">
        <f t="shared" si="61"/>
        <v>45.006100000000202</v>
      </c>
      <c r="BA80" t="str">
        <f t="shared" si="62"/>
        <v/>
      </c>
      <c r="BB80" t="str">
        <f t="shared" si="63"/>
        <v/>
      </c>
      <c r="BC80" s="70" t="str">
        <f t="shared" si="64"/>
        <v/>
      </c>
      <c r="BD80" s="70">
        <f t="shared" si="67"/>
        <v>0</v>
      </c>
    </row>
    <row r="81" spans="1:56" x14ac:dyDescent="0.25">
      <c r="A81" s="3">
        <f>Kontenplan!C83</f>
        <v>0</v>
      </c>
      <c r="B81" s="74">
        <f>Kontenplan!E83</f>
        <v>0</v>
      </c>
      <c r="C81" s="71">
        <f>Kontenplan!F83</f>
        <v>0</v>
      </c>
      <c r="D81" s="27">
        <f>IF(B81=0,0,SUMIF(Journal!$F$7:$F$84,Calc!B81,Journal!$I$7:$I$84))</f>
        <v>0</v>
      </c>
      <c r="E81" s="17">
        <f>IF(B81=0,0,SUMIF(Journal!$G$7:$G$84,Calc!B81,Journal!$I$7:$I$84))</f>
        <v>0</v>
      </c>
      <c r="F81" s="40">
        <f t="shared" si="69"/>
        <v>0</v>
      </c>
      <c r="G81" s="17">
        <f t="shared" si="70"/>
        <v>0</v>
      </c>
      <c r="H81" s="16" t="str">
        <f t="shared" si="71"/>
        <v xml:space="preserve"> </v>
      </c>
      <c r="I81" s="27" t="str">
        <f t="shared" si="72"/>
        <v xml:space="preserve"> </v>
      </c>
      <c r="J81" s="41" t="str">
        <f t="shared" si="73"/>
        <v xml:space="preserve"> </v>
      </c>
      <c r="K81" s="42" t="str">
        <f t="shared" si="74"/>
        <v xml:space="preserve"> </v>
      </c>
      <c r="L81" s="41" t="str">
        <f t="shared" si="75"/>
        <v xml:space="preserve"> </v>
      </c>
      <c r="M81" s="42" t="str">
        <f t="shared" si="76"/>
        <v xml:space="preserve"> </v>
      </c>
      <c r="N81" s="24"/>
      <c r="O81" s="24">
        <f t="shared" si="65"/>
        <v>0</v>
      </c>
      <c r="P81" s="24">
        <f t="shared" si="66"/>
        <v>0</v>
      </c>
      <c r="Q81" s="24"/>
      <c r="S81">
        <f>Kontenplan!R83</f>
        <v>6</v>
      </c>
      <c r="T81">
        <f>Kontenplan!S83</f>
        <v>2</v>
      </c>
      <c r="U81">
        <f>Kontenplan!T83</f>
        <v>2</v>
      </c>
      <c r="V81" s="30">
        <f>Kontenplan!U83</f>
        <v>3</v>
      </c>
      <c r="Z81">
        <f t="shared" si="48"/>
        <v>51.000100000000003</v>
      </c>
      <c r="AA81" t="str">
        <f>IF(OR(Kontenplan!T83-1=Kontenplan!T82,Kontenplan!U83-1=Kontenplan!U82),"T_ER","")</f>
        <v/>
      </c>
      <c r="AB81" t="str">
        <f>CONCATENATE(Kontenplan!D83,Kontenplan!E83," ",Kontenplan!F83)</f>
        <v xml:space="preserve"> </v>
      </c>
      <c r="AC81" s="70" t="str">
        <f t="shared" si="49"/>
        <v/>
      </c>
      <c r="AD81" s="70">
        <f t="shared" si="50"/>
        <v>0</v>
      </c>
      <c r="AE81" s="70">
        <f t="shared" si="51"/>
        <v>0</v>
      </c>
      <c r="AG81" t="str">
        <f t="shared" si="52"/>
        <v/>
      </c>
      <c r="AI81">
        <f t="shared" si="47"/>
        <v>75</v>
      </c>
      <c r="AJ81" s="27">
        <f t="shared" si="53"/>
        <v>51.004000000000133</v>
      </c>
      <c r="AK81" t="str">
        <f t="shared" si="54"/>
        <v/>
      </c>
      <c r="AL81" t="str">
        <f t="shared" si="55"/>
        <v/>
      </c>
      <c r="AM81" s="70" t="str">
        <f t="shared" si="56"/>
        <v/>
      </c>
      <c r="AN81">
        <f t="shared" si="68"/>
        <v>0</v>
      </c>
      <c r="AP81">
        <f t="shared" si="34"/>
        <v>45.004400000000146</v>
      </c>
      <c r="AQ81" t="str">
        <f>IF(OR(Kontenplan!R83-1=Kontenplan!R82,Kontenplan!S83-1=Kontenplan!S82),"T_B","")</f>
        <v/>
      </c>
      <c r="AR81" t="str">
        <f>CONCATENATE(Kontenplan!D83,Kontenplan!E83," ",Kontenplan!F83)</f>
        <v xml:space="preserve"> </v>
      </c>
      <c r="AS81" s="70" t="str">
        <f t="shared" si="57"/>
        <v/>
      </c>
      <c r="AT81" s="70">
        <f t="shared" si="58"/>
        <v>0</v>
      </c>
      <c r="AU81" s="70">
        <f t="shared" si="59"/>
        <v>0</v>
      </c>
      <c r="AV81" s="70" t="str">
        <f>IF(OR(A81="Aktivkonto",Kontenplan!R83-1=Kontenplan!R82),"a",IF(OR(A81="Passivkonto",Kontenplan!S83-1=Kontenplan!S82),"p",""))</f>
        <v/>
      </c>
      <c r="AW81" s="70" t="str">
        <f t="shared" si="77"/>
        <v/>
      </c>
      <c r="AY81">
        <f t="shared" si="60"/>
        <v>75</v>
      </c>
      <c r="AZ81">
        <f t="shared" si="61"/>
        <v>45.006100000000202</v>
      </c>
      <c r="BA81" t="str">
        <f t="shared" si="62"/>
        <v/>
      </c>
      <c r="BB81" t="str">
        <f t="shared" si="63"/>
        <v/>
      </c>
      <c r="BC81" s="70" t="str">
        <f t="shared" si="64"/>
        <v/>
      </c>
      <c r="BD81" s="70">
        <f t="shared" si="67"/>
        <v>0</v>
      </c>
    </row>
    <row r="82" spans="1:56" x14ac:dyDescent="0.25">
      <c r="A82" s="3">
        <f>Kontenplan!C84</f>
        <v>0</v>
      </c>
      <c r="B82" s="74">
        <f>Kontenplan!E84</f>
        <v>0</v>
      </c>
      <c r="C82" s="71">
        <f>Kontenplan!F84</f>
        <v>0</v>
      </c>
      <c r="D82" s="27">
        <f>IF(B82=0,0,SUMIF(Journal!$F$7:$F$84,Calc!B82,Journal!$I$7:$I$84))</f>
        <v>0</v>
      </c>
      <c r="E82" s="17">
        <f>IF(B82=0,0,SUMIF(Journal!$G$7:$G$84,Calc!B82,Journal!$I$7:$I$84))</f>
        <v>0</v>
      </c>
      <c r="F82" s="40">
        <f t="shared" si="69"/>
        <v>0</v>
      </c>
      <c r="G82" s="17">
        <f t="shared" si="70"/>
        <v>0</v>
      </c>
      <c r="H82" s="16" t="str">
        <f t="shared" si="71"/>
        <v xml:space="preserve"> </v>
      </c>
      <c r="I82" s="27" t="str">
        <f t="shared" si="72"/>
        <v xml:space="preserve"> </v>
      </c>
      <c r="J82" s="41" t="str">
        <f t="shared" si="73"/>
        <v xml:space="preserve"> </v>
      </c>
      <c r="K82" s="42" t="str">
        <f t="shared" si="74"/>
        <v xml:space="preserve"> </v>
      </c>
      <c r="L82" s="41" t="str">
        <f t="shared" si="75"/>
        <v xml:space="preserve"> </v>
      </c>
      <c r="M82" s="42" t="str">
        <f t="shared" si="76"/>
        <v xml:space="preserve"> </v>
      </c>
      <c r="N82" s="24"/>
      <c r="O82" s="24">
        <f t="shared" si="65"/>
        <v>0</v>
      </c>
      <c r="P82" s="24">
        <f t="shared" si="66"/>
        <v>0</v>
      </c>
      <c r="Q82" s="24"/>
      <c r="S82">
        <f>Kontenplan!R84</f>
        <v>6</v>
      </c>
      <c r="T82">
        <f>Kontenplan!S84</f>
        <v>2</v>
      </c>
      <c r="U82">
        <f>Kontenplan!T84</f>
        <v>2</v>
      </c>
      <c r="V82" s="30">
        <f>Kontenplan!U84</f>
        <v>3</v>
      </c>
      <c r="Z82">
        <f t="shared" si="48"/>
        <v>51.000200000000007</v>
      </c>
      <c r="AA82" t="str">
        <f>IF(OR(Kontenplan!T84-1=Kontenplan!T83,Kontenplan!U84-1=Kontenplan!U83),"T_ER","")</f>
        <v/>
      </c>
      <c r="AB82" t="str">
        <f>CONCATENATE(Kontenplan!D84,Kontenplan!E84," ",Kontenplan!F84)</f>
        <v xml:space="preserve"> </v>
      </c>
      <c r="AC82" s="70" t="str">
        <f t="shared" si="49"/>
        <v/>
      </c>
      <c r="AD82" s="70">
        <f t="shared" si="50"/>
        <v>0</v>
      </c>
      <c r="AE82" s="70">
        <f t="shared" si="51"/>
        <v>0</v>
      </c>
      <c r="AG82" t="str">
        <f t="shared" si="52"/>
        <v/>
      </c>
      <c r="AI82">
        <f t="shared" si="47"/>
        <v>76</v>
      </c>
      <c r="AJ82" s="27">
        <f t="shared" si="53"/>
        <v>51.004000000000133</v>
      </c>
      <c r="AK82" t="str">
        <f t="shared" si="54"/>
        <v/>
      </c>
      <c r="AL82" t="str">
        <f t="shared" si="55"/>
        <v/>
      </c>
      <c r="AM82" s="70" t="str">
        <f t="shared" si="56"/>
        <v/>
      </c>
      <c r="AN82">
        <f t="shared" si="68"/>
        <v>0</v>
      </c>
      <c r="AP82">
        <f t="shared" si="34"/>
        <v>45.004500000000149</v>
      </c>
      <c r="AQ82" t="str">
        <f>IF(OR(Kontenplan!R84-1=Kontenplan!R83,Kontenplan!S84-1=Kontenplan!S83),"T_B","")</f>
        <v/>
      </c>
      <c r="AR82" t="str">
        <f>CONCATENATE(Kontenplan!D84,Kontenplan!E84," ",Kontenplan!F84)</f>
        <v xml:space="preserve"> </v>
      </c>
      <c r="AS82" s="70" t="str">
        <f t="shared" si="57"/>
        <v/>
      </c>
      <c r="AT82" s="70">
        <f t="shared" si="58"/>
        <v>0</v>
      </c>
      <c r="AU82" s="70">
        <f t="shared" si="59"/>
        <v>0</v>
      </c>
      <c r="AV82" s="70" t="str">
        <f>IF(OR(A82="Aktivkonto",Kontenplan!R84-1=Kontenplan!R83),"a",IF(OR(A82="Passivkonto",Kontenplan!S84-1=Kontenplan!S83),"p",""))</f>
        <v/>
      </c>
      <c r="AW82" s="70" t="str">
        <f t="shared" si="77"/>
        <v/>
      </c>
      <c r="AY82">
        <f t="shared" si="60"/>
        <v>76</v>
      </c>
      <c r="AZ82">
        <f t="shared" si="61"/>
        <v>45.006100000000202</v>
      </c>
      <c r="BA82" t="str">
        <f t="shared" si="62"/>
        <v/>
      </c>
      <c r="BB82" t="str">
        <f t="shared" si="63"/>
        <v/>
      </c>
      <c r="BC82" s="70" t="str">
        <f t="shared" si="64"/>
        <v/>
      </c>
      <c r="BD82" s="70">
        <f t="shared" si="67"/>
        <v>0</v>
      </c>
    </row>
    <row r="83" spans="1:56" x14ac:dyDescent="0.25">
      <c r="A83" s="3">
        <f>Kontenplan!C85</f>
        <v>0</v>
      </c>
      <c r="B83" s="74">
        <f>Kontenplan!E85</f>
        <v>0</v>
      </c>
      <c r="C83" s="71">
        <f>Kontenplan!F85</f>
        <v>0</v>
      </c>
      <c r="D83" s="27">
        <f>IF(B83=0,0,SUMIF(Journal!$F$7:$F$84,Calc!B83,Journal!$I$7:$I$84))</f>
        <v>0</v>
      </c>
      <c r="E83" s="17">
        <f>IF(B83=0,0,SUMIF(Journal!$G$7:$G$84,Calc!B83,Journal!$I$7:$I$84))</f>
        <v>0</v>
      </c>
      <c r="F83" s="40">
        <f t="shared" si="69"/>
        <v>0</v>
      </c>
      <c r="G83" s="17">
        <f t="shared" si="70"/>
        <v>0</v>
      </c>
      <c r="H83" s="16" t="str">
        <f t="shared" si="71"/>
        <v xml:space="preserve"> </v>
      </c>
      <c r="I83" s="27" t="str">
        <f t="shared" si="72"/>
        <v xml:space="preserve"> </v>
      </c>
      <c r="J83" s="41" t="str">
        <f t="shared" si="73"/>
        <v xml:space="preserve"> </v>
      </c>
      <c r="K83" s="42" t="str">
        <f t="shared" si="74"/>
        <v xml:space="preserve"> </v>
      </c>
      <c r="L83" s="41" t="str">
        <f t="shared" si="75"/>
        <v xml:space="preserve"> </v>
      </c>
      <c r="M83" s="42" t="str">
        <f t="shared" si="76"/>
        <v xml:space="preserve"> </v>
      </c>
      <c r="N83" s="24"/>
      <c r="O83" s="24">
        <f t="shared" si="65"/>
        <v>0</v>
      </c>
      <c r="P83" s="24">
        <f t="shared" si="66"/>
        <v>0</v>
      </c>
      <c r="Q83" s="24"/>
      <c r="S83">
        <f>Kontenplan!R85</f>
        <v>6</v>
      </c>
      <c r="T83">
        <f>Kontenplan!S85</f>
        <v>2</v>
      </c>
      <c r="U83">
        <f>Kontenplan!T85</f>
        <v>2</v>
      </c>
      <c r="V83" s="30">
        <f>Kontenplan!U85</f>
        <v>3</v>
      </c>
      <c r="Z83">
        <f t="shared" si="48"/>
        <v>51.00030000000001</v>
      </c>
      <c r="AA83" t="str">
        <f>IF(OR(Kontenplan!T85-1=Kontenplan!T84,Kontenplan!U85-1=Kontenplan!U84),"T_ER","")</f>
        <v/>
      </c>
      <c r="AB83" t="str">
        <f>CONCATENATE(Kontenplan!D85,Kontenplan!E85," ",Kontenplan!F85)</f>
        <v xml:space="preserve"> </v>
      </c>
      <c r="AC83" s="70" t="str">
        <f t="shared" si="49"/>
        <v/>
      </c>
      <c r="AD83" s="70">
        <f t="shared" si="50"/>
        <v>0</v>
      </c>
      <c r="AE83" s="70">
        <f t="shared" si="51"/>
        <v>0</v>
      </c>
      <c r="AG83" t="str">
        <f t="shared" si="52"/>
        <v/>
      </c>
      <c r="AI83">
        <f t="shared" si="47"/>
        <v>77</v>
      </c>
      <c r="AJ83" s="27">
        <f t="shared" si="53"/>
        <v>51.004000000000133</v>
      </c>
      <c r="AK83" t="str">
        <f t="shared" si="54"/>
        <v/>
      </c>
      <c r="AL83" t="str">
        <f t="shared" si="55"/>
        <v/>
      </c>
      <c r="AM83" s="70" t="str">
        <f t="shared" si="56"/>
        <v/>
      </c>
      <c r="AN83">
        <f t="shared" si="68"/>
        <v>0</v>
      </c>
      <c r="AP83">
        <f t="shared" si="34"/>
        <v>45.004600000000153</v>
      </c>
      <c r="AQ83" t="str">
        <f>IF(OR(Kontenplan!R85-1=Kontenplan!R84,Kontenplan!S85-1=Kontenplan!S84),"T_B","")</f>
        <v/>
      </c>
      <c r="AR83" t="str">
        <f>CONCATENATE(Kontenplan!D85,Kontenplan!E85," ",Kontenplan!F85)</f>
        <v xml:space="preserve"> </v>
      </c>
      <c r="AS83" s="70" t="str">
        <f t="shared" si="57"/>
        <v/>
      </c>
      <c r="AT83" s="70">
        <f t="shared" si="58"/>
        <v>0</v>
      </c>
      <c r="AU83" s="70">
        <f t="shared" si="59"/>
        <v>0</v>
      </c>
      <c r="AV83" s="70" t="str">
        <f>IF(OR(A83="Aktivkonto",Kontenplan!R85-1=Kontenplan!R84),"a",IF(OR(A83="Passivkonto",Kontenplan!S85-1=Kontenplan!S84),"p",""))</f>
        <v/>
      </c>
      <c r="AW83" s="70" t="str">
        <f t="shared" si="77"/>
        <v/>
      </c>
      <c r="AY83">
        <f t="shared" si="60"/>
        <v>77</v>
      </c>
      <c r="AZ83">
        <f t="shared" si="61"/>
        <v>45.006100000000202</v>
      </c>
      <c r="BA83" t="str">
        <f t="shared" si="62"/>
        <v/>
      </c>
      <c r="BB83" t="str">
        <f t="shared" si="63"/>
        <v/>
      </c>
      <c r="BC83" s="70" t="str">
        <f t="shared" si="64"/>
        <v/>
      </c>
      <c r="BD83" s="70">
        <f t="shared" si="67"/>
        <v>0</v>
      </c>
    </row>
    <row r="84" spans="1:56" x14ac:dyDescent="0.25">
      <c r="A84" s="3">
        <f>Kontenplan!C86</f>
        <v>0</v>
      </c>
      <c r="B84" s="74">
        <f>Kontenplan!E86</f>
        <v>0</v>
      </c>
      <c r="C84" s="71">
        <f>Kontenplan!F86</f>
        <v>0</v>
      </c>
      <c r="D84" s="27">
        <f>IF(B84=0,0,SUMIF(Journal!$F$7:$F$84,Calc!B84,Journal!$I$7:$I$84))</f>
        <v>0</v>
      </c>
      <c r="E84" s="17">
        <f>IF(B84=0,0,SUMIF(Journal!$G$7:$G$84,Calc!B84,Journal!$I$7:$I$84))</f>
        <v>0</v>
      </c>
      <c r="F84" s="40">
        <f t="shared" si="69"/>
        <v>0</v>
      </c>
      <c r="G84" s="17">
        <f t="shared" si="70"/>
        <v>0</v>
      </c>
      <c r="H84" s="16" t="str">
        <f t="shared" si="71"/>
        <v xml:space="preserve"> </v>
      </c>
      <c r="I84" s="27" t="str">
        <f t="shared" si="72"/>
        <v xml:space="preserve"> </v>
      </c>
      <c r="J84" s="41" t="str">
        <f t="shared" si="73"/>
        <v xml:space="preserve"> </v>
      </c>
      <c r="K84" s="42" t="str">
        <f t="shared" si="74"/>
        <v xml:space="preserve"> </v>
      </c>
      <c r="L84" s="41" t="str">
        <f t="shared" si="75"/>
        <v xml:space="preserve"> </v>
      </c>
      <c r="M84" s="42" t="str">
        <f t="shared" si="76"/>
        <v xml:space="preserve"> </v>
      </c>
      <c r="N84" s="24"/>
      <c r="O84" s="24">
        <f t="shared" si="65"/>
        <v>0</v>
      </c>
      <c r="P84" s="24">
        <f t="shared" si="66"/>
        <v>0</v>
      </c>
      <c r="Q84" s="24"/>
      <c r="S84">
        <f>Kontenplan!R86</f>
        <v>6</v>
      </c>
      <c r="T84">
        <f>Kontenplan!S86</f>
        <v>2</v>
      </c>
      <c r="U84">
        <f>Kontenplan!T86</f>
        <v>2</v>
      </c>
      <c r="V84" s="30">
        <f>Kontenplan!U86</f>
        <v>3</v>
      </c>
      <c r="Z84">
        <f t="shared" si="48"/>
        <v>51.000400000000013</v>
      </c>
      <c r="AA84" t="str">
        <f>IF(OR(Kontenplan!T86-1=Kontenplan!T85,Kontenplan!U86-1=Kontenplan!U85),"T_ER","")</f>
        <v/>
      </c>
      <c r="AB84" t="str">
        <f>CONCATENATE(Kontenplan!D86,Kontenplan!E86," ",Kontenplan!F86)</f>
        <v xml:space="preserve"> </v>
      </c>
      <c r="AC84" s="70" t="str">
        <f t="shared" si="49"/>
        <v/>
      </c>
      <c r="AD84" s="70">
        <f t="shared" si="50"/>
        <v>0</v>
      </c>
      <c r="AE84" s="70">
        <f t="shared" si="51"/>
        <v>0</v>
      </c>
      <c r="AG84" t="str">
        <f t="shared" si="52"/>
        <v/>
      </c>
      <c r="AI84">
        <f t="shared" si="47"/>
        <v>78</v>
      </c>
      <c r="AJ84" s="27">
        <f t="shared" si="53"/>
        <v>51.004000000000133</v>
      </c>
      <c r="AK84" t="str">
        <f t="shared" si="54"/>
        <v/>
      </c>
      <c r="AL84" t="str">
        <f t="shared" si="55"/>
        <v/>
      </c>
      <c r="AM84" s="70" t="str">
        <f t="shared" si="56"/>
        <v/>
      </c>
      <c r="AN84">
        <f t="shared" si="68"/>
        <v>0</v>
      </c>
      <c r="AP84">
        <f t="shared" si="34"/>
        <v>45.004700000000156</v>
      </c>
      <c r="AQ84" t="str">
        <f>IF(OR(Kontenplan!R86-1=Kontenplan!R85,Kontenplan!S86-1=Kontenplan!S85),"T_B","")</f>
        <v/>
      </c>
      <c r="AR84" t="str">
        <f>CONCATENATE(Kontenplan!D86,Kontenplan!E86," ",Kontenplan!F86)</f>
        <v xml:space="preserve"> </v>
      </c>
      <c r="AS84" s="70" t="str">
        <f t="shared" si="57"/>
        <v/>
      </c>
      <c r="AT84" s="70">
        <f t="shared" si="58"/>
        <v>0</v>
      </c>
      <c r="AU84" s="70">
        <f t="shared" si="59"/>
        <v>0</v>
      </c>
      <c r="AV84" s="70" t="str">
        <f>IF(OR(A84="Aktivkonto",Kontenplan!R86-1=Kontenplan!R85),"a",IF(OR(A84="Passivkonto",Kontenplan!S86-1=Kontenplan!S85),"p",""))</f>
        <v/>
      </c>
      <c r="AW84" s="70" t="str">
        <f t="shared" si="77"/>
        <v/>
      </c>
      <c r="AY84">
        <f t="shared" si="60"/>
        <v>78</v>
      </c>
      <c r="AZ84">
        <f t="shared" si="61"/>
        <v>45.006100000000202</v>
      </c>
      <c r="BA84" t="str">
        <f t="shared" si="62"/>
        <v/>
      </c>
      <c r="BB84" t="str">
        <f t="shared" si="63"/>
        <v/>
      </c>
      <c r="BC84" s="70" t="str">
        <f t="shared" si="64"/>
        <v/>
      </c>
      <c r="BD84" s="70">
        <f t="shared" si="67"/>
        <v>0</v>
      </c>
    </row>
    <row r="85" spans="1:56" x14ac:dyDescent="0.25">
      <c r="A85" s="3">
        <f>Kontenplan!C87</f>
        <v>0</v>
      </c>
      <c r="B85" s="74">
        <f>Kontenplan!E87</f>
        <v>0</v>
      </c>
      <c r="C85" s="71">
        <f>Kontenplan!F87</f>
        <v>0</v>
      </c>
      <c r="D85" s="27">
        <f>IF(B85=0,0,SUMIF(Journal!$F$7:$F$84,Calc!B85,Journal!$I$7:$I$84))</f>
        <v>0</v>
      </c>
      <c r="E85" s="17">
        <f>IF(B85=0,0,SUMIF(Journal!$G$7:$G$84,Calc!B85,Journal!$I$7:$I$84))</f>
        <v>0</v>
      </c>
      <c r="F85" s="40">
        <f t="shared" si="69"/>
        <v>0</v>
      </c>
      <c r="G85" s="17">
        <f t="shared" si="70"/>
        <v>0</v>
      </c>
      <c r="H85" s="16" t="str">
        <f t="shared" si="71"/>
        <v xml:space="preserve"> </v>
      </c>
      <c r="I85" s="27" t="str">
        <f t="shared" si="72"/>
        <v xml:space="preserve"> </v>
      </c>
      <c r="J85" s="41" t="str">
        <f t="shared" si="73"/>
        <v xml:space="preserve"> </v>
      </c>
      <c r="K85" s="42" t="str">
        <f t="shared" si="74"/>
        <v xml:space="preserve"> </v>
      </c>
      <c r="L85" s="41" t="str">
        <f t="shared" si="75"/>
        <v xml:space="preserve"> </v>
      </c>
      <c r="M85" s="42" t="str">
        <f t="shared" si="76"/>
        <v xml:space="preserve"> </v>
      </c>
      <c r="N85" s="24"/>
      <c r="O85" s="24">
        <f t="shared" si="65"/>
        <v>0</v>
      </c>
      <c r="P85" s="24">
        <f t="shared" si="66"/>
        <v>0</v>
      </c>
      <c r="Q85" s="24"/>
      <c r="S85">
        <f>Kontenplan!R87</f>
        <v>6</v>
      </c>
      <c r="T85">
        <f>Kontenplan!S87</f>
        <v>2</v>
      </c>
      <c r="U85">
        <f>Kontenplan!T87</f>
        <v>2</v>
      </c>
      <c r="V85" s="30">
        <f>Kontenplan!U87</f>
        <v>3</v>
      </c>
      <c r="Z85">
        <f t="shared" si="48"/>
        <v>51.000500000000017</v>
      </c>
      <c r="AA85" t="str">
        <f>IF(OR(Kontenplan!T87-1=Kontenplan!T86,Kontenplan!U87-1=Kontenplan!U86),"T_ER","")</f>
        <v/>
      </c>
      <c r="AB85" t="str">
        <f>CONCATENATE(Kontenplan!D87,Kontenplan!E87," ",Kontenplan!F87)</f>
        <v xml:space="preserve"> </v>
      </c>
      <c r="AC85" s="70" t="str">
        <f t="shared" si="49"/>
        <v/>
      </c>
      <c r="AD85" s="70">
        <f t="shared" si="50"/>
        <v>0</v>
      </c>
      <c r="AE85" s="70">
        <f t="shared" si="51"/>
        <v>0</v>
      </c>
      <c r="AG85" t="str">
        <f t="shared" si="52"/>
        <v/>
      </c>
      <c r="AI85">
        <f t="shared" si="47"/>
        <v>79</v>
      </c>
      <c r="AJ85" s="27">
        <f t="shared" si="53"/>
        <v>51.004000000000133</v>
      </c>
      <c r="AK85" t="str">
        <f t="shared" si="54"/>
        <v/>
      </c>
      <c r="AL85" t="str">
        <f t="shared" si="55"/>
        <v/>
      </c>
      <c r="AM85" s="70" t="str">
        <f t="shared" si="56"/>
        <v/>
      </c>
      <c r="AN85">
        <f t="shared" si="68"/>
        <v>0</v>
      </c>
      <c r="AP85">
        <f t="shared" si="34"/>
        <v>45.004800000000159</v>
      </c>
      <c r="AQ85" t="str">
        <f>IF(OR(Kontenplan!R87-1=Kontenplan!R86,Kontenplan!S87-1=Kontenplan!S86),"T_B","")</f>
        <v/>
      </c>
      <c r="AR85" t="str">
        <f>CONCATENATE(Kontenplan!D87,Kontenplan!E87," ",Kontenplan!F87)</f>
        <v xml:space="preserve"> </v>
      </c>
      <c r="AS85" s="70" t="str">
        <f t="shared" si="57"/>
        <v/>
      </c>
      <c r="AT85" s="70">
        <f t="shared" si="58"/>
        <v>0</v>
      </c>
      <c r="AU85" s="70">
        <f t="shared" si="59"/>
        <v>0</v>
      </c>
      <c r="AV85" s="70" t="str">
        <f>IF(OR(A85="Aktivkonto",Kontenplan!R87-1=Kontenplan!R86),"a",IF(OR(A85="Passivkonto",Kontenplan!S87-1=Kontenplan!S86),"p",""))</f>
        <v/>
      </c>
      <c r="AW85" s="70" t="str">
        <f t="shared" si="77"/>
        <v/>
      </c>
      <c r="AY85">
        <f t="shared" si="60"/>
        <v>79</v>
      </c>
      <c r="AZ85">
        <f t="shared" si="61"/>
        <v>45.006100000000202</v>
      </c>
      <c r="BA85" t="str">
        <f t="shared" si="62"/>
        <v/>
      </c>
      <c r="BB85" t="str">
        <f t="shared" si="63"/>
        <v/>
      </c>
      <c r="BC85" s="70" t="str">
        <f t="shared" si="64"/>
        <v/>
      </c>
      <c r="BD85" s="70">
        <f t="shared" si="67"/>
        <v>0</v>
      </c>
    </row>
    <row r="86" spans="1:56" x14ac:dyDescent="0.25">
      <c r="A86" s="3">
        <f>Kontenplan!C88</f>
        <v>0</v>
      </c>
      <c r="B86" s="74">
        <f>Kontenplan!E88</f>
        <v>0</v>
      </c>
      <c r="C86" s="71">
        <f>Kontenplan!F88</f>
        <v>0</v>
      </c>
      <c r="D86" s="27">
        <f>IF(B86=0,0,SUMIF(Journal!$F$7:$F$84,Calc!B86,Journal!$I$7:$I$84))</f>
        <v>0</v>
      </c>
      <c r="E86" s="17">
        <f>IF(B86=0,0,SUMIF(Journal!$G$7:$G$84,Calc!B86,Journal!$I$7:$I$84))</f>
        <v>0</v>
      </c>
      <c r="F86" s="40">
        <f t="shared" si="69"/>
        <v>0</v>
      </c>
      <c r="G86" s="17">
        <f t="shared" si="70"/>
        <v>0</v>
      </c>
      <c r="H86" s="16" t="str">
        <f t="shared" si="71"/>
        <v xml:space="preserve"> </v>
      </c>
      <c r="I86" s="27" t="str">
        <f t="shared" si="72"/>
        <v xml:space="preserve"> </v>
      </c>
      <c r="J86" s="41" t="str">
        <f t="shared" si="73"/>
        <v xml:space="preserve"> </v>
      </c>
      <c r="K86" s="42" t="str">
        <f t="shared" si="74"/>
        <v xml:space="preserve"> </v>
      </c>
      <c r="L86" s="41" t="str">
        <f t="shared" si="75"/>
        <v xml:space="preserve"> </v>
      </c>
      <c r="M86" s="42" t="str">
        <f t="shared" si="76"/>
        <v xml:space="preserve"> </v>
      </c>
      <c r="N86" s="24"/>
      <c r="O86" s="24">
        <f t="shared" si="65"/>
        <v>0</v>
      </c>
      <c r="P86" s="24">
        <f t="shared" si="66"/>
        <v>0</v>
      </c>
      <c r="Q86" s="24"/>
      <c r="S86">
        <f>Kontenplan!R88</f>
        <v>6</v>
      </c>
      <c r="T86">
        <f>Kontenplan!S88</f>
        <v>2</v>
      </c>
      <c r="U86">
        <f>Kontenplan!T88</f>
        <v>2</v>
      </c>
      <c r="V86" s="30">
        <f>Kontenplan!U88</f>
        <v>3</v>
      </c>
      <c r="Z86">
        <f>IF(AND(OR(A85="Passivkonto",A85="Aktivkonto"),OR(A86="Ertragskonto",A86="Aufwandskonto")),1,IF(AND(A86=0,A87=0,A88=0,A89=0,A90=0,A91=0),Z85+0.0001,IF(AND(Z85&lt;1,AA86="T_ER"),1,IF(AND(AA86="T_ER",AA85&lt;&gt;"T_ER"),ROUND(Z85,0)+3,IF(AND(Z85&gt;=1,OR(AB86&lt;&gt;"",AB86&lt;&gt;0)),ROUND(Z85+1,0),Z85+0.0001)))))</f>
        <v>51.00060000000002</v>
      </c>
      <c r="AA86" t="str">
        <f>IF(OR(Kontenplan!T88-1=Kontenplan!T87,Kontenplan!U88-1=Kontenplan!U87),"T_ER","")</f>
        <v/>
      </c>
      <c r="AB86" t="str">
        <f>CONCATENATE(Kontenplan!D88,Kontenplan!E88," ",Kontenplan!F88)</f>
        <v xml:space="preserve"> </v>
      </c>
      <c r="AC86" s="70" t="str">
        <f t="shared" si="49"/>
        <v/>
      </c>
      <c r="AD86" s="70">
        <f t="shared" si="50"/>
        <v>0</v>
      </c>
      <c r="AE86" s="70">
        <f t="shared" si="51"/>
        <v>0</v>
      </c>
      <c r="AG86" t="str">
        <f t="shared" si="52"/>
        <v/>
      </c>
      <c r="AI86">
        <f t="shared" si="47"/>
        <v>80</v>
      </c>
      <c r="AJ86" s="27">
        <f t="shared" si="53"/>
        <v>51.004000000000133</v>
      </c>
      <c r="AK86" t="str">
        <f t="shared" si="54"/>
        <v/>
      </c>
      <c r="AL86" t="str">
        <f t="shared" si="55"/>
        <v/>
      </c>
      <c r="AM86" s="70" t="str">
        <f t="shared" si="56"/>
        <v/>
      </c>
      <c r="AN86">
        <f t="shared" si="68"/>
        <v>0</v>
      </c>
      <c r="AP86">
        <f t="shared" si="34"/>
        <v>45.004900000000163</v>
      </c>
      <c r="AQ86" t="str">
        <f>IF(OR(Kontenplan!R88-1=Kontenplan!R87,Kontenplan!S88-1=Kontenplan!S87),"T_B","")</f>
        <v/>
      </c>
      <c r="AR86" t="str">
        <f>CONCATENATE(Kontenplan!D88,Kontenplan!E88," ",Kontenplan!F88)</f>
        <v xml:space="preserve"> </v>
      </c>
      <c r="AS86" s="70" t="str">
        <f t="shared" si="57"/>
        <v/>
      </c>
      <c r="AT86" s="70">
        <f t="shared" si="58"/>
        <v>0</v>
      </c>
      <c r="AU86" s="70">
        <f t="shared" si="59"/>
        <v>0</v>
      </c>
      <c r="AV86" s="70" t="str">
        <f>IF(OR(A86="Aktivkonto",Kontenplan!R88-1=Kontenplan!R87),"a",IF(OR(A86="Passivkonto",Kontenplan!S88-1=Kontenplan!S87),"p",""))</f>
        <v/>
      </c>
      <c r="AW86" s="70" t="str">
        <f t="shared" si="77"/>
        <v/>
      </c>
      <c r="AY86">
        <f t="shared" si="60"/>
        <v>80</v>
      </c>
      <c r="AZ86">
        <f t="shared" si="61"/>
        <v>45.006100000000202</v>
      </c>
      <c r="BA86" t="str">
        <f t="shared" si="62"/>
        <v/>
      </c>
      <c r="BB86" t="str">
        <f t="shared" si="63"/>
        <v/>
      </c>
      <c r="BC86" s="70" t="str">
        <f t="shared" si="64"/>
        <v/>
      </c>
      <c r="BD86" s="70">
        <f t="shared" si="67"/>
        <v>0</v>
      </c>
    </row>
    <row r="87" spans="1:56" x14ac:dyDescent="0.25">
      <c r="A87" s="3">
        <f>Kontenplan!C89</f>
        <v>0</v>
      </c>
      <c r="B87" s="74">
        <f>Kontenplan!E89</f>
        <v>0</v>
      </c>
      <c r="C87" s="71">
        <f>Kontenplan!F89</f>
        <v>0</v>
      </c>
      <c r="D87" s="27">
        <f>IF(B87=0,0,SUMIF(Journal!$F$7:$F$84,Calc!B87,Journal!$I$7:$I$84))</f>
        <v>0</v>
      </c>
      <c r="E87" s="17">
        <f>IF(B87=0,0,SUMIF(Journal!$G$7:$G$84,Calc!B87,Journal!$I$7:$I$84))</f>
        <v>0</v>
      </c>
      <c r="F87" s="40">
        <f t="shared" si="69"/>
        <v>0</v>
      </c>
      <c r="G87" s="17">
        <f t="shared" si="70"/>
        <v>0</v>
      </c>
      <c r="H87" s="16" t="str">
        <f t="shared" si="71"/>
        <v xml:space="preserve"> </v>
      </c>
      <c r="I87" s="27" t="str">
        <f t="shared" si="72"/>
        <v xml:space="preserve"> </v>
      </c>
      <c r="J87" s="41" t="str">
        <f t="shared" si="73"/>
        <v xml:space="preserve"> </v>
      </c>
      <c r="K87" s="42" t="str">
        <f t="shared" si="74"/>
        <v xml:space="preserve"> </v>
      </c>
      <c r="L87" s="41" t="str">
        <f t="shared" si="75"/>
        <v xml:space="preserve"> </v>
      </c>
      <c r="M87" s="42" t="str">
        <f t="shared" si="76"/>
        <v xml:space="preserve"> </v>
      </c>
      <c r="N87" s="24"/>
      <c r="O87" s="24">
        <f t="shared" si="65"/>
        <v>0</v>
      </c>
      <c r="P87" s="24">
        <f t="shared" si="66"/>
        <v>0</v>
      </c>
      <c r="Q87" s="24"/>
      <c r="S87">
        <f>Kontenplan!R89</f>
        <v>6</v>
      </c>
      <c r="T87">
        <f>Kontenplan!S89</f>
        <v>2</v>
      </c>
      <c r="U87">
        <f>Kontenplan!T89</f>
        <v>2</v>
      </c>
      <c r="V87" s="30">
        <f>Kontenplan!U89</f>
        <v>3</v>
      </c>
      <c r="Z87">
        <f t="shared" si="48"/>
        <v>51.000700000000023</v>
      </c>
      <c r="AA87" t="str">
        <f>IF(OR(Kontenplan!T89-1=Kontenplan!T88,Kontenplan!U89-1=Kontenplan!U88),"T_ER","")</f>
        <v/>
      </c>
      <c r="AB87" t="str">
        <f>CONCATENATE(Kontenplan!D89,Kontenplan!E89," ",Kontenplan!F89)</f>
        <v xml:space="preserve"> </v>
      </c>
      <c r="AC87" s="70" t="str">
        <f t="shared" si="49"/>
        <v/>
      </c>
      <c r="AD87" s="70">
        <f t="shared" si="50"/>
        <v>0</v>
      </c>
      <c r="AE87" s="70">
        <f t="shared" si="51"/>
        <v>0</v>
      </c>
      <c r="AG87" t="str">
        <f t="shared" si="52"/>
        <v/>
      </c>
      <c r="AI87">
        <f t="shared" si="47"/>
        <v>81</v>
      </c>
      <c r="AJ87" s="27">
        <f t="shared" si="53"/>
        <v>51.004000000000133</v>
      </c>
      <c r="AK87" t="str">
        <f t="shared" si="54"/>
        <v/>
      </c>
      <c r="AL87" t="str">
        <f t="shared" si="55"/>
        <v/>
      </c>
      <c r="AM87" s="70" t="str">
        <f t="shared" si="56"/>
        <v/>
      </c>
      <c r="AN87">
        <f t="shared" si="68"/>
        <v>0</v>
      </c>
      <c r="AP87">
        <f t="shared" si="34"/>
        <v>45.005000000000166</v>
      </c>
      <c r="AQ87" t="str">
        <f>IF(OR(Kontenplan!R89-1=Kontenplan!R88,Kontenplan!S89-1=Kontenplan!S88),"T_B","")</f>
        <v/>
      </c>
      <c r="AR87" t="str">
        <f>CONCATENATE(Kontenplan!D89,Kontenplan!E89," ",Kontenplan!F89)</f>
        <v xml:space="preserve"> </v>
      </c>
      <c r="AS87" s="70" t="str">
        <f t="shared" si="57"/>
        <v/>
      </c>
      <c r="AT87" s="70">
        <f t="shared" si="58"/>
        <v>0</v>
      </c>
      <c r="AU87" s="70">
        <f t="shared" si="59"/>
        <v>0</v>
      </c>
      <c r="AV87" s="70" t="str">
        <f>IF(OR(A87="Aktivkonto",Kontenplan!R89-1=Kontenplan!R88),"a",IF(OR(A87="Passivkonto",Kontenplan!S89-1=Kontenplan!S88),"p",""))</f>
        <v/>
      </c>
      <c r="AW87" s="70" t="str">
        <f t="shared" si="77"/>
        <v/>
      </c>
      <c r="AY87">
        <f t="shared" si="60"/>
        <v>81</v>
      </c>
      <c r="AZ87">
        <f t="shared" si="61"/>
        <v>45.006100000000202</v>
      </c>
      <c r="BA87" t="str">
        <f t="shared" si="62"/>
        <v/>
      </c>
      <c r="BB87" t="str">
        <f t="shared" si="63"/>
        <v/>
      </c>
      <c r="BC87" s="70" t="str">
        <f t="shared" si="64"/>
        <v/>
      </c>
      <c r="BD87" s="70">
        <f t="shared" si="67"/>
        <v>0</v>
      </c>
    </row>
    <row r="88" spans="1:56" x14ac:dyDescent="0.25">
      <c r="A88" s="3">
        <f>Kontenplan!C90</f>
        <v>0</v>
      </c>
      <c r="B88" s="74">
        <f>Kontenplan!E90</f>
        <v>0</v>
      </c>
      <c r="C88" s="71">
        <f>Kontenplan!F90</f>
        <v>0</v>
      </c>
      <c r="D88" s="27">
        <f>IF(B88=0,0,SUMIF(Journal!$F$7:$F$84,Calc!B88,Journal!$I$7:$I$84))</f>
        <v>0</v>
      </c>
      <c r="E88" s="17">
        <f>IF(B88=0,0,SUMIF(Journal!$G$7:$G$84,Calc!B88,Journal!$I$7:$I$84))</f>
        <v>0</v>
      </c>
      <c r="F88" s="40">
        <f t="shared" si="69"/>
        <v>0</v>
      </c>
      <c r="G88" s="17">
        <f t="shared" si="70"/>
        <v>0</v>
      </c>
      <c r="H88" s="16" t="str">
        <f t="shared" si="71"/>
        <v xml:space="preserve"> </v>
      </c>
      <c r="I88" s="27" t="str">
        <f t="shared" si="72"/>
        <v xml:space="preserve"> </v>
      </c>
      <c r="J88" s="41" t="str">
        <f t="shared" si="73"/>
        <v xml:space="preserve"> </v>
      </c>
      <c r="K88" s="42" t="str">
        <f t="shared" si="74"/>
        <v xml:space="preserve"> </v>
      </c>
      <c r="L88" s="41" t="str">
        <f t="shared" si="75"/>
        <v xml:space="preserve"> </v>
      </c>
      <c r="M88" s="42" t="str">
        <f t="shared" si="76"/>
        <v xml:space="preserve"> </v>
      </c>
      <c r="N88" s="24"/>
      <c r="O88" s="24">
        <f t="shared" si="65"/>
        <v>0</v>
      </c>
      <c r="P88" s="24">
        <f t="shared" si="66"/>
        <v>0</v>
      </c>
      <c r="Q88" s="24"/>
      <c r="S88">
        <f>Kontenplan!R90</f>
        <v>6</v>
      </c>
      <c r="T88">
        <f>Kontenplan!S90</f>
        <v>2</v>
      </c>
      <c r="U88">
        <f>Kontenplan!T90</f>
        <v>2</v>
      </c>
      <c r="V88" s="30">
        <f>Kontenplan!U90</f>
        <v>3</v>
      </c>
      <c r="Z88">
        <f t="shared" si="48"/>
        <v>51.000800000000027</v>
      </c>
      <c r="AA88" t="str">
        <f>IF(OR(Kontenplan!T90-1=Kontenplan!T89,Kontenplan!U90-1=Kontenplan!U89),"T_ER","")</f>
        <v/>
      </c>
      <c r="AB88" t="str">
        <f>CONCATENATE(Kontenplan!D90,Kontenplan!E90," ",Kontenplan!F90)</f>
        <v xml:space="preserve"> </v>
      </c>
      <c r="AC88" s="70" t="str">
        <f t="shared" si="49"/>
        <v/>
      </c>
      <c r="AD88" s="70">
        <f t="shared" si="50"/>
        <v>0</v>
      </c>
      <c r="AE88" s="70">
        <f t="shared" si="51"/>
        <v>0</v>
      </c>
      <c r="AG88" t="str">
        <f t="shared" si="52"/>
        <v/>
      </c>
      <c r="AI88">
        <f t="shared" si="47"/>
        <v>82</v>
      </c>
      <c r="AJ88" s="27">
        <f t="shared" si="53"/>
        <v>51.004000000000133</v>
      </c>
      <c r="AK88" t="str">
        <f t="shared" si="54"/>
        <v/>
      </c>
      <c r="AL88" t="str">
        <f t="shared" si="55"/>
        <v/>
      </c>
      <c r="AM88" s="70" t="str">
        <f t="shared" si="56"/>
        <v/>
      </c>
      <c r="AN88">
        <f t="shared" si="68"/>
        <v>0</v>
      </c>
      <c r="AP88">
        <f t="shared" si="34"/>
        <v>45.005100000000169</v>
      </c>
      <c r="AQ88" t="str">
        <f>IF(OR(Kontenplan!R90-1=Kontenplan!R89,Kontenplan!S90-1=Kontenplan!S89),"T_B","")</f>
        <v/>
      </c>
      <c r="AR88" t="str">
        <f>CONCATENATE(Kontenplan!D90,Kontenplan!E90," ",Kontenplan!F90)</f>
        <v xml:space="preserve"> </v>
      </c>
      <c r="AS88" s="70" t="str">
        <f t="shared" si="57"/>
        <v/>
      </c>
      <c r="AT88" s="70">
        <f t="shared" si="58"/>
        <v>0</v>
      </c>
      <c r="AU88" s="70">
        <f t="shared" si="59"/>
        <v>0</v>
      </c>
      <c r="AV88" s="70" t="str">
        <f>IF(OR(A88="Aktivkonto",Kontenplan!R90-1=Kontenplan!R89),"a",IF(OR(A88="Passivkonto",Kontenplan!S90-1=Kontenplan!S89),"p",""))</f>
        <v/>
      </c>
      <c r="AW88" s="70" t="str">
        <f t="shared" si="77"/>
        <v/>
      </c>
      <c r="AY88">
        <f t="shared" si="60"/>
        <v>82</v>
      </c>
      <c r="AZ88">
        <f t="shared" si="61"/>
        <v>45.006100000000202</v>
      </c>
      <c r="BA88" t="str">
        <f t="shared" si="62"/>
        <v/>
      </c>
      <c r="BB88" t="str">
        <f t="shared" si="63"/>
        <v/>
      </c>
      <c r="BC88" s="70" t="str">
        <f t="shared" si="64"/>
        <v/>
      </c>
      <c r="BD88" s="70">
        <f t="shared" si="67"/>
        <v>0</v>
      </c>
    </row>
    <row r="89" spans="1:56" x14ac:dyDescent="0.25">
      <c r="A89" s="3">
        <f>Kontenplan!C91</f>
        <v>0</v>
      </c>
      <c r="B89" s="74">
        <f>Kontenplan!E91</f>
        <v>0</v>
      </c>
      <c r="C89" s="71">
        <f>Kontenplan!F91</f>
        <v>0</v>
      </c>
      <c r="D89" s="27">
        <f>IF(B89=0,0,SUMIF(Journal!$F$7:$F$84,Calc!B89,Journal!$I$7:$I$84))</f>
        <v>0</v>
      </c>
      <c r="E89" s="17">
        <f>IF(B89=0,0,SUMIF(Journal!$G$7:$G$84,Calc!B89,Journal!$I$7:$I$84))</f>
        <v>0</v>
      </c>
      <c r="F89" s="40">
        <f t="shared" si="69"/>
        <v>0</v>
      </c>
      <c r="G89" s="17">
        <f t="shared" si="70"/>
        <v>0</v>
      </c>
      <c r="H89" s="16" t="str">
        <f t="shared" si="71"/>
        <v xml:space="preserve"> </v>
      </c>
      <c r="I89" s="27" t="str">
        <f t="shared" si="72"/>
        <v xml:space="preserve"> </v>
      </c>
      <c r="J89" s="41" t="str">
        <f t="shared" si="73"/>
        <v xml:space="preserve"> </v>
      </c>
      <c r="K89" s="42" t="str">
        <f t="shared" si="74"/>
        <v xml:space="preserve"> </v>
      </c>
      <c r="L89" s="41" t="str">
        <f t="shared" si="75"/>
        <v xml:space="preserve"> </v>
      </c>
      <c r="M89" s="42" t="str">
        <f t="shared" si="76"/>
        <v xml:space="preserve"> </v>
      </c>
      <c r="N89" s="24"/>
      <c r="O89" s="24">
        <f t="shared" si="65"/>
        <v>0</v>
      </c>
      <c r="P89" s="24">
        <f t="shared" si="66"/>
        <v>0</v>
      </c>
      <c r="Q89" s="24"/>
      <c r="S89">
        <f>Kontenplan!R91</f>
        <v>6</v>
      </c>
      <c r="T89">
        <f>Kontenplan!S91</f>
        <v>2</v>
      </c>
      <c r="U89">
        <f>Kontenplan!T91</f>
        <v>2</v>
      </c>
      <c r="V89" s="30">
        <f>Kontenplan!U91</f>
        <v>3</v>
      </c>
      <c r="Z89">
        <f t="shared" si="48"/>
        <v>51.00090000000003</v>
      </c>
      <c r="AA89" t="str">
        <f>IF(OR(Kontenplan!T91-1=Kontenplan!T90,Kontenplan!U91-1=Kontenplan!U90),"T_ER","")</f>
        <v/>
      </c>
      <c r="AB89" t="str">
        <f>CONCATENATE(Kontenplan!D91,Kontenplan!E91," ",Kontenplan!F91)</f>
        <v xml:space="preserve"> </v>
      </c>
      <c r="AC89" s="70" t="str">
        <f t="shared" si="49"/>
        <v/>
      </c>
      <c r="AD89" s="70">
        <f t="shared" si="50"/>
        <v>0</v>
      </c>
      <c r="AE89" s="70">
        <f t="shared" si="51"/>
        <v>0</v>
      </c>
      <c r="AG89" t="str">
        <f t="shared" si="52"/>
        <v/>
      </c>
      <c r="AI89">
        <f t="shared" si="47"/>
        <v>83</v>
      </c>
      <c r="AJ89" s="27">
        <f t="shared" si="53"/>
        <v>51.004000000000133</v>
      </c>
      <c r="AK89" t="str">
        <f t="shared" si="54"/>
        <v/>
      </c>
      <c r="AL89" t="str">
        <f t="shared" si="55"/>
        <v/>
      </c>
      <c r="AM89" s="70" t="str">
        <f t="shared" si="56"/>
        <v/>
      </c>
      <c r="AN89">
        <f t="shared" si="68"/>
        <v>0</v>
      </c>
      <c r="AP89">
        <f t="shared" si="34"/>
        <v>45.005200000000173</v>
      </c>
      <c r="AQ89" t="str">
        <f>IF(OR(Kontenplan!R91-1=Kontenplan!R90,Kontenplan!S91-1=Kontenplan!S90),"T_B","")</f>
        <v/>
      </c>
      <c r="AR89" t="str">
        <f>CONCATENATE(Kontenplan!D91,Kontenplan!E91," ",Kontenplan!F91)</f>
        <v xml:space="preserve"> </v>
      </c>
      <c r="AS89" s="70" t="str">
        <f t="shared" si="57"/>
        <v/>
      </c>
      <c r="AT89" s="70">
        <f t="shared" si="58"/>
        <v>0</v>
      </c>
      <c r="AU89" s="70">
        <f t="shared" si="59"/>
        <v>0</v>
      </c>
      <c r="AV89" s="70" t="str">
        <f>IF(OR(A89="Aktivkonto",Kontenplan!R91-1=Kontenplan!R90),"a",IF(OR(A89="Passivkonto",Kontenplan!S91-1=Kontenplan!S90),"p",""))</f>
        <v/>
      </c>
      <c r="AW89" s="70" t="str">
        <f t="shared" si="77"/>
        <v/>
      </c>
      <c r="AY89">
        <f t="shared" si="60"/>
        <v>83</v>
      </c>
      <c r="AZ89">
        <f t="shared" si="61"/>
        <v>45.006100000000202</v>
      </c>
      <c r="BA89" t="str">
        <f t="shared" si="62"/>
        <v/>
      </c>
      <c r="BB89" t="str">
        <f t="shared" si="63"/>
        <v/>
      </c>
      <c r="BC89" s="70" t="str">
        <f t="shared" si="64"/>
        <v/>
      </c>
      <c r="BD89" s="70">
        <f t="shared" si="67"/>
        <v>0</v>
      </c>
    </row>
    <row r="90" spans="1:56" x14ac:dyDescent="0.25">
      <c r="A90" s="3">
        <f>Kontenplan!C92</f>
        <v>0</v>
      </c>
      <c r="B90" s="74">
        <f>Kontenplan!E92</f>
        <v>0</v>
      </c>
      <c r="C90" s="71">
        <f>Kontenplan!F92</f>
        <v>0</v>
      </c>
      <c r="D90" s="27">
        <f>IF(B90=0,0,SUMIF(Journal!$F$7:$F$84,Calc!B90,Journal!$I$7:$I$84))</f>
        <v>0</v>
      </c>
      <c r="E90" s="17">
        <f>IF(B90=0,0,SUMIF(Journal!$G$7:$G$84,Calc!B90,Journal!$I$7:$I$84))</f>
        <v>0</v>
      </c>
      <c r="F90" s="40">
        <f t="shared" si="69"/>
        <v>0</v>
      </c>
      <c r="G90" s="17">
        <f t="shared" si="70"/>
        <v>0</v>
      </c>
      <c r="H90" s="16" t="str">
        <f t="shared" si="71"/>
        <v xml:space="preserve"> </v>
      </c>
      <c r="I90" s="27" t="str">
        <f t="shared" si="72"/>
        <v xml:space="preserve"> </v>
      </c>
      <c r="J90" s="41" t="str">
        <f t="shared" si="73"/>
        <v xml:space="preserve"> </v>
      </c>
      <c r="K90" s="42" t="str">
        <f t="shared" si="74"/>
        <v xml:space="preserve"> </v>
      </c>
      <c r="L90" s="41" t="str">
        <f t="shared" si="75"/>
        <v xml:space="preserve"> </v>
      </c>
      <c r="M90" s="42" t="str">
        <f t="shared" si="76"/>
        <v xml:space="preserve"> </v>
      </c>
      <c r="N90" s="24"/>
      <c r="O90" s="24">
        <f t="shared" si="65"/>
        <v>0</v>
      </c>
      <c r="P90" s="24">
        <f t="shared" si="66"/>
        <v>0</v>
      </c>
      <c r="Q90" s="24"/>
      <c r="S90">
        <f>Kontenplan!R92</f>
        <v>6</v>
      </c>
      <c r="T90">
        <f>Kontenplan!S92</f>
        <v>2</v>
      </c>
      <c r="U90">
        <f>Kontenplan!T92</f>
        <v>2</v>
      </c>
      <c r="V90" s="30">
        <f>Kontenplan!U92</f>
        <v>3</v>
      </c>
      <c r="Z90">
        <f t="shared" si="48"/>
        <v>51.001000000000033</v>
      </c>
      <c r="AA90" t="str">
        <f>IF(OR(Kontenplan!T92-1=Kontenplan!T91,Kontenplan!U92-1=Kontenplan!U91),"T_ER","")</f>
        <v/>
      </c>
      <c r="AB90" t="str">
        <f>CONCATENATE(Kontenplan!D92,Kontenplan!E92," ",Kontenplan!F92)</f>
        <v xml:space="preserve"> </v>
      </c>
      <c r="AC90" s="70" t="str">
        <f t="shared" si="49"/>
        <v/>
      </c>
      <c r="AD90" s="70">
        <f t="shared" si="50"/>
        <v>0</v>
      </c>
      <c r="AE90" s="70">
        <f t="shared" si="51"/>
        <v>0</v>
      </c>
      <c r="AG90" t="str">
        <f t="shared" si="52"/>
        <v/>
      </c>
      <c r="AI90">
        <f t="shared" si="47"/>
        <v>84</v>
      </c>
      <c r="AJ90" s="27">
        <f t="shared" si="53"/>
        <v>51.004000000000133</v>
      </c>
      <c r="AK90" t="str">
        <f t="shared" si="54"/>
        <v/>
      </c>
      <c r="AL90" t="str">
        <f t="shared" si="55"/>
        <v/>
      </c>
      <c r="AM90" s="70" t="str">
        <f t="shared" si="56"/>
        <v/>
      </c>
      <c r="AN90">
        <f t="shared" si="68"/>
        <v>0</v>
      </c>
      <c r="AP90">
        <f t="shared" si="34"/>
        <v>45.005300000000176</v>
      </c>
      <c r="AQ90" t="str">
        <f>IF(OR(Kontenplan!R92-1=Kontenplan!R91,Kontenplan!S92-1=Kontenplan!S91),"T_B","")</f>
        <v/>
      </c>
      <c r="AR90" t="str">
        <f>CONCATENATE(Kontenplan!D92,Kontenplan!E92," ",Kontenplan!F92)</f>
        <v xml:space="preserve"> </v>
      </c>
      <c r="AS90" s="70" t="str">
        <f t="shared" si="57"/>
        <v/>
      </c>
      <c r="AT90" s="70">
        <f t="shared" si="58"/>
        <v>0</v>
      </c>
      <c r="AU90" s="70">
        <f t="shared" si="59"/>
        <v>0</v>
      </c>
      <c r="AV90" s="70" t="str">
        <f>IF(OR(A90="Aktivkonto",Kontenplan!R92-1=Kontenplan!R91),"a",IF(OR(A90="Passivkonto",Kontenplan!S92-1=Kontenplan!S91),"p",""))</f>
        <v/>
      </c>
      <c r="AW90" s="70" t="str">
        <f t="shared" si="77"/>
        <v/>
      </c>
      <c r="AY90">
        <f t="shared" si="60"/>
        <v>84</v>
      </c>
      <c r="AZ90">
        <f t="shared" si="61"/>
        <v>45.006100000000202</v>
      </c>
      <c r="BA90" t="str">
        <f t="shared" si="62"/>
        <v/>
      </c>
      <c r="BB90" t="str">
        <f t="shared" si="63"/>
        <v/>
      </c>
      <c r="BC90" s="70" t="str">
        <f t="shared" si="64"/>
        <v/>
      </c>
      <c r="BD90" s="70">
        <f t="shared" si="67"/>
        <v>0</v>
      </c>
    </row>
    <row r="91" spans="1:56" x14ac:dyDescent="0.25">
      <c r="A91" s="3">
        <f>Kontenplan!C93</f>
        <v>0</v>
      </c>
      <c r="B91" s="74">
        <f>Kontenplan!E93</f>
        <v>0</v>
      </c>
      <c r="C91" s="71">
        <f>Kontenplan!F93</f>
        <v>0</v>
      </c>
      <c r="D91" s="27">
        <f>IF(B91=0,0,SUMIF(Journal!$F$7:$F$84,Calc!B91,Journal!$I$7:$I$84))</f>
        <v>0</v>
      </c>
      <c r="E91" s="17">
        <f>IF(B91=0,0,SUMIF(Journal!$G$7:$G$84,Calc!B91,Journal!$I$7:$I$84))</f>
        <v>0</v>
      </c>
      <c r="F91" s="40">
        <f t="shared" si="69"/>
        <v>0</v>
      </c>
      <c r="G91" s="17">
        <f t="shared" si="70"/>
        <v>0</v>
      </c>
      <c r="H91" s="16" t="str">
        <f t="shared" si="71"/>
        <v xml:space="preserve"> </v>
      </c>
      <c r="I91" s="27" t="str">
        <f t="shared" si="72"/>
        <v xml:space="preserve"> </v>
      </c>
      <c r="J91" s="41" t="str">
        <f t="shared" si="73"/>
        <v xml:space="preserve"> </v>
      </c>
      <c r="K91" s="42" t="str">
        <f t="shared" si="74"/>
        <v xml:space="preserve"> </v>
      </c>
      <c r="L91" s="41" t="str">
        <f t="shared" si="75"/>
        <v xml:space="preserve"> </v>
      </c>
      <c r="M91" s="42" t="str">
        <f t="shared" si="76"/>
        <v xml:space="preserve"> </v>
      </c>
      <c r="N91" s="24"/>
      <c r="O91" s="24">
        <f t="shared" si="65"/>
        <v>0</v>
      </c>
      <c r="P91" s="24">
        <f t="shared" si="66"/>
        <v>0</v>
      </c>
      <c r="Q91" s="24"/>
      <c r="S91">
        <f>Kontenplan!R93</f>
        <v>6</v>
      </c>
      <c r="T91">
        <f>Kontenplan!S93</f>
        <v>2</v>
      </c>
      <c r="U91">
        <f>Kontenplan!T93</f>
        <v>2</v>
      </c>
      <c r="V91" s="30">
        <f>Kontenplan!U93</f>
        <v>3</v>
      </c>
      <c r="Z91">
        <f t="shared" si="48"/>
        <v>51.001100000000037</v>
      </c>
      <c r="AA91" t="str">
        <f>IF(OR(Kontenplan!T93-1=Kontenplan!T92,Kontenplan!U93-1=Kontenplan!U92),"T_ER","")</f>
        <v/>
      </c>
      <c r="AB91" t="str">
        <f>CONCATENATE(Kontenplan!D93,Kontenplan!E93," ",Kontenplan!F93)</f>
        <v xml:space="preserve"> </v>
      </c>
      <c r="AC91" s="70" t="str">
        <f t="shared" si="49"/>
        <v/>
      </c>
      <c r="AD91" s="70">
        <f t="shared" si="50"/>
        <v>0</v>
      </c>
      <c r="AE91" s="70">
        <f t="shared" si="51"/>
        <v>0</v>
      </c>
      <c r="AG91" t="str">
        <f t="shared" si="52"/>
        <v/>
      </c>
      <c r="AI91">
        <f t="shared" si="47"/>
        <v>85</v>
      </c>
      <c r="AJ91" s="27">
        <f t="shared" si="53"/>
        <v>51.004000000000133</v>
      </c>
      <c r="AK91" t="str">
        <f t="shared" si="54"/>
        <v/>
      </c>
      <c r="AL91" t="str">
        <f t="shared" si="55"/>
        <v/>
      </c>
      <c r="AM91" s="70" t="str">
        <f t="shared" si="56"/>
        <v/>
      </c>
      <c r="AN91">
        <f t="shared" si="68"/>
        <v>0</v>
      </c>
      <c r="AP91">
        <f t="shared" si="34"/>
        <v>45.005400000000179</v>
      </c>
      <c r="AQ91" t="str">
        <f>IF(OR(Kontenplan!R93-1=Kontenplan!R92,Kontenplan!S93-1=Kontenplan!S92),"T_B","")</f>
        <v/>
      </c>
      <c r="AR91" t="str">
        <f>CONCATENATE(Kontenplan!D93,Kontenplan!E93," ",Kontenplan!F93)</f>
        <v xml:space="preserve"> </v>
      </c>
      <c r="AS91" s="70" t="str">
        <f t="shared" si="57"/>
        <v/>
      </c>
      <c r="AT91" s="70">
        <f t="shared" si="58"/>
        <v>0</v>
      </c>
      <c r="AU91" s="70">
        <f t="shared" si="59"/>
        <v>0</v>
      </c>
      <c r="AV91" s="70" t="str">
        <f>IF(OR(A91="Aktivkonto",Kontenplan!R93-1=Kontenplan!R92),"a",IF(OR(A91="Passivkonto",Kontenplan!S93-1=Kontenplan!S92),"p",""))</f>
        <v/>
      </c>
      <c r="AW91" s="70" t="str">
        <f t="shared" si="77"/>
        <v/>
      </c>
      <c r="AY91">
        <f t="shared" si="60"/>
        <v>85</v>
      </c>
      <c r="AZ91">
        <f t="shared" si="61"/>
        <v>45.006100000000202</v>
      </c>
      <c r="BA91" t="str">
        <f t="shared" si="62"/>
        <v/>
      </c>
      <c r="BB91" t="str">
        <f t="shared" si="63"/>
        <v/>
      </c>
      <c r="BC91" s="70" t="str">
        <f t="shared" si="64"/>
        <v/>
      </c>
      <c r="BD91" s="70">
        <f t="shared" si="67"/>
        <v>0</v>
      </c>
    </row>
    <row r="92" spans="1:56" x14ac:dyDescent="0.25">
      <c r="A92" s="3">
        <f>Kontenplan!C94</f>
        <v>0</v>
      </c>
      <c r="B92" s="74">
        <f>Kontenplan!E94</f>
        <v>0</v>
      </c>
      <c r="C92" s="71">
        <f>Kontenplan!F94</f>
        <v>0</v>
      </c>
      <c r="D92" s="27">
        <f>IF(B92=0,0,SUMIF(Journal!$F$7:$F$84,Calc!B92,Journal!$I$7:$I$84))</f>
        <v>0</v>
      </c>
      <c r="E92" s="17">
        <f>IF(B92=0,0,SUMIF(Journal!$G$7:$G$84,Calc!B92,Journal!$I$7:$I$84))</f>
        <v>0</v>
      </c>
      <c r="F92" s="40">
        <f t="shared" ref="F92:F99" si="78">IF(D92-E92&gt;0,D92-E92,0)</f>
        <v>0</v>
      </c>
      <c r="G92" s="17">
        <f t="shared" ref="G92:G99" si="79">IF(E92&gt;D92,E92-D92,0)</f>
        <v>0</v>
      </c>
      <c r="H92" s="16" t="str">
        <f t="shared" ref="H92:H99" si="80">IF(AND(OR(A92="Aktivkonto",A92="Passivkonto"),F92&gt;0),F92," ")</f>
        <v xml:space="preserve"> </v>
      </c>
      <c r="I92" s="27" t="str">
        <f t="shared" ref="I92:I99" si="81">IF(AND(OR(A92="Aktivkonto",A92="Passivkonto"),G92&gt;0),G92," ")</f>
        <v xml:space="preserve"> </v>
      </c>
      <c r="J92" s="41" t="str">
        <f t="shared" ref="J92:J99" si="82">IF(AND(OR(A92="Aufwandskonto",A92="Ertragskonto",A92="Ertragsminderung",A92="a.o.Erfolgskonto"),F92&gt;0),F92," ")</f>
        <v xml:space="preserve"> </v>
      </c>
      <c r="K92" s="42" t="str">
        <f t="shared" ref="K92:K99" si="83">IF(AND(OR(A92="Aufwandskonto",A92="Ertragskonto",A92="Ertragsminderung",A92="a.o.Erfolgskonto"),G92&gt;0),G92," ")</f>
        <v xml:space="preserve"> </v>
      </c>
      <c r="L92" s="41" t="str">
        <f t="shared" ref="L92:L99" si="84">H92</f>
        <v xml:space="preserve"> </v>
      </c>
      <c r="M92" s="42" t="str">
        <f t="shared" ref="M92:M99" si="85">I92</f>
        <v xml:space="preserve"> </v>
      </c>
      <c r="N92" s="24"/>
      <c r="O92" s="24">
        <f t="shared" ref="O92:O99" si="86">IF(A92="Aktivkonto",F92-G92,0)</f>
        <v>0</v>
      </c>
      <c r="P92" s="24">
        <f t="shared" ref="P92:P99" si="87">IF(A92="Passivkonto",G92-F92,0)</f>
        <v>0</v>
      </c>
      <c r="Q92" s="24"/>
      <c r="S92">
        <f>Kontenplan!R94</f>
        <v>6</v>
      </c>
      <c r="T92">
        <f>Kontenplan!S94</f>
        <v>2</v>
      </c>
      <c r="U92">
        <f>Kontenplan!T94</f>
        <v>2</v>
      </c>
      <c r="V92" s="30">
        <f>Kontenplan!U94</f>
        <v>3</v>
      </c>
      <c r="Z92">
        <f t="shared" ref="Z92:Z99" si="88">IF(AND(OR(A91="Passivkonto",A91="Aktivkonto"),OR(A92="Ertragskonto",A92="Aufwandskonto")),1,IF(AND(A92=0,A93=0,A94=0,A95=0,A96=0,A97=0),Z91+0.0001,IF(AND(Z91&lt;1,AA92="T_ER"),1,IF(AND(AA92="T_ER",AA91&lt;&gt;"T_ER"),ROUND(Z91,0)+3,IF(AND(Z91&gt;=1,OR(AB92&lt;&gt;"",AB92&lt;&gt;0)),ROUND(Z91+1,0),Z91+0.0001)))))</f>
        <v>51.00120000000004</v>
      </c>
      <c r="AA92" t="str">
        <f>IF(OR(Kontenplan!T94-1=Kontenplan!T93,Kontenplan!U94-1=Kontenplan!U93),"T_ER","")</f>
        <v/>
      </c>
      <c r="AB92" t="str">
        <f>CONCATENATE(Kontenplan!D94,Kontenplan!E94," ",Kontenplan!F94)</f>
        <v xml:space="preserve"> </v>
      </c>
      <c r="AC92" s="70" t="str">
        <f t="shared" ref="AC92:AC99" si="89">IF(A92=0,"",AE92-AD92)</f>
        <v/>
      </c>
      <c r="AD92" s="70">
        <f t="shared" ref="AD92:AD99" si="90">IF(J92=" ",0,J92)</f>
        <v>0</v>
      </c>
      <c r="AE92" s="70">
        <f t="shared" ref="AE92:AE99" si="91">IF(K92=" ",0,K92)</f>
        <v>0</v>
      </c>
      <c r="AG92" t="str">
        <f t="shared" ref="AG92:AG99" si="92">IF(AC92="","",IF(AC91="",AC92,AG91+AC92))</f>
        <v/>
      </c>
      <c r="AI92">
        <f t="shared" si="47"/>
        <v>86</v>
      </c>
      <c r="AJ92" s="27">
        <f t="shared" si="53"/>
        <v>51.004000000000133</v>
      </c>
      <c r="AK92" t="str">
        <f t="shared" si="54"/>
        <v/>
      </c>
      <c r="AL92" t="str">
        <f t="shared" si="55"/>
        <v/>
      </c>
      <c r="AM92" s="70" t="str">
        <f t="shared" si="56"/>
        <v/>
      </c>
      <c r="AN92">
        <f t="shared" ref="AN92:AN99" si="93">IF(AK92="Sub",AM92,0)</f>
        <v>0</v>
      </c>
      <c r="AP92">
        <f t="shared" ref="AP92:AP99" si="94">IF(AV92="",AP91+0.0001,IF(AND(AV91="a",AV92="p"),AP91+7,IF(AND(AP91&lt;1,AQ92="T_B"),1,IF(AND(AQ91&lt;&gt;"T_B",AQ92="T_B"),ROUND(AP91,0)+3,IF(AND(AP91&gt;=1,OR(AR92&lt;&gt;"",AR92&lt;&gt;0)),ROUND(AP91+1,0),AP91+0.0001)))))</f>
        <v>45.005500000000183</v>
      </c>
      <c r="AQ92" t="str">
        <f>IF(OR(Kontenplan!R94-1=Kontenplan!R93,Kontenplan!S94-1=Kontenplan!S93),"T_B","")</f>
        <v/>
      </c>
      <c r="AR92" t="str">
        <f>CONCATENATE(Kontenplan!D94,Kontenplan!E94," ",Kontenplan!F94)</f>
        <v xml:space="preserve"> </v>
      </c>
      <c r="AS92" s="70" t="str">
        <f t="shared" ref="AS92:AS99" si="95">IF(A92=0,"",IF(A92="Passivkonto",AU92-AT92,AT92-AU92))</f>
        <v/>
      </c>
      <c r="AT92" s="70">
        <f t="shared" ref="AT92:AT99" si="96">IF(H92=" ",0,H92)</f>
        <v>0</v>
      </c>
      <c r="AU92" s="70">
        <f t="shared" ref="AU92:AU99" si="97">IF(I92=" ",0,I92)</f>
        <v>0</v>
      </c>
      <c r="AV92" s="70" t="str">
        <f>IF(OR(A92="Aktivkonto",Kontenplan!R94-1=Kontenplan!R93),"a",IF(OR(A92="Passivkonto",Kontenplan!S94-1=Kontenplan!S93),"p",""))</f>
        <v/>
      </c>
      <c r="AW92" s="70" t="str">
        <f t="shared" ref="AW92:AW99" si="98">IF(AS92="","",IF(AND(AV91="a",AV92="p"),AS92,IF(AS91="",AS92,AW91+AS92)))</f>
        <v/>
      </c>
      <c r="AY92">
        <f t="shared" si="60"/>
        <v>86</v>
      </c>
      <c r="AZ92">
        <f t="shared" ref="AZ92:AZ99" si="99">VLOOKUP(AY92,$AP$7:$AW$98,1)</f>
        <v>45.006100000000202</v>
      </c>
      <c r="BA92" t="str">
        <f t="shared" ref="BA92:BA99" si="100">IF(AZ92=AY92,VLOOKUP(AY92,$AP$7:$AW$98,2),IF(AND($BA$5&gt;=1,ROUND(AZ92+1,0)=AY92),"Sub",""))</f>
        <v/>
      </c>
      <c r="BB92" t="str">
        <f t="shared" ref="BB92:BB99" si="101">IF(AY92-AZ92=5,"PASSIVEN",IF(OR(AY92-AZ92=3,AND(AZ92=$AZ$3,ROUND(AZ92,0)+5=AY92)),"Bilanzsumme",IF(AND($AZ$3-1&lt;AZ92,ROUND(AZ92+3,0)=AY92),$C$131,IF(AZ92=AY92,VLOOKUP(AY92,$AP$7:$AW$98,3),""))))</f>
        <v/>
      </c>
      <c r="BC92" s="70" t="str">
        <f t="shared" ref="BC92:BC99" si="102">IF($H$137=0,0,IF(OR(AY92-AZ92=3,AND(AZ92=$AZ$3,ROUND(AZ92,0)+5=AY92)),$O$4,IF(AND($AZ$3-1&lt;AZ92,ROUND(AZ92+3,0)=AY92),$I$131-$H$131,IF(AZ92=AY92,VLOOKUP(AY92,$AP$7:$AW$98,4),IF(AND($BA$5&gt;0,ROUND(AZ92+1,0)=AY92),VLOOKUP(ROUND(AZ92,0),$AP$7:$AW$98,8),"")))))</f>
        <v/>
      </c>
      <c r="BD92" s="70">
        <f t="shared" ref="BD92:BD99" si="103">IF(BA92="Sub",BC92,0)</f>
        <v>0</v>
      </c>
    </row>
    <row r="93" spans="1:56" x14ac:dyDescent="0.25">
      <c r="A93" s="3">
        <f>Kontenplan!C95</f>
        <v>0</v>
      </c>
      <c r="B93" s="74">
        <f>Kontenplan!E95</f>
        <v>0</v>
      </c>
      <c r="C93" s="71">
        <f>Kontenplan!F95</f>
        <v>0</v>
      </c>
      <c r="D93" s="27">
        <f>IF(B93=0,0,SUMIF(Journal!$F$7:$F$84,Calc!B93,Journal!$I$7:$I$84))</f>
        <v>0</v>
      </c>
      <c r="E93" s="17">
        <f>IF(B93=0,0,SUMIF(Journal!$G$7:$G$84,Calc!B93,Journal!$I$7:$I$84))</f>
        <v>0</v>
      </c>
      <c r="F93" s="40">
        <f t="shared" si="78"/>
        <v>0</v>
      </c>
      <c r="G93" s="17">
        <f t="shared" si="79"/>
        <v>0</v>
      </c>
      <c r="H93" s="16" t="str">
        <f t="shared" si="80"/>
        <v xml:space="preserve"> </v>
      </c>
      <c r="I93" s="27" t="str">
        <f t="shared" si="81"/>
        <v xml:space="preserve"> </v>
      </c>
      <c r="J93" s="41" t="str">
        <f t="shared" si="82"/>
        <v xml:space="preserve"> </v>
      </c>
      <c r="K93" s="42" t="str">
        <f t="shared" si="83"/>
        <v xml:space="preserve"> </v>
      </c>
      <c r="L93" s="41" t="str">
        <f t="shared" si="84"/>
        <v xml:space="preserve"> </v>
      </c>
      <c r="M93" s="42" t="str">
        <f t="shared" si="85"/>
        <v xml:space="preserve"> </v>
      </c>
      <c r="N93" s="24"/>
      <c r="O93" s="24">
        <f t="shared" si="86"/>
        <v>0</v>
      </c>
      <c r="P93" s="24">
        <f t="shared" si="87"/>
        <v>0</v>
      </c>
      <c r="Q93" s="24"/>
      <c r="S93">
        <f>Kontenplan!R95</f>
        <v>6</v>
      </c>
      <c r="T93">
        <f>Kontenplan!S95</f>
        <v>2</v>
      </c>
      <c r="U93">
        <f>Kontenplan!T95</f>
        <v>2</v>
      </c>
      <c r="V93" s="30">
        <f>Kontenplan!U95</f>
        <v>3</v>
      </c>
      <c r="Z93">
        <f t="shared" si="88"/>
        <v>51.001300000000043</v>
      </c>
      <c r="AA93" t="str">
        <f>IF(OR(Kontenplan!T95-1=Kontenplan!T94,Kontenplan!U95-1=Kontenplan!U94),"T_ER","")</f>
        <v/>
      </c>
      <c r="AB93" t="str">
        <f>CONCATENATE(Kontenplan!D95,Kontenplan!E95," ",Kontenplan!F95)</f>
        <v xml:space="preserve"> </v>
      </c>
      <c r="AC93" s="70" t="str">
        <f t="shared" si="89"/>
        <v/>
      </c>
      <c r="AD93" s="70">
        <f t="shared" si="90"/>
        <v>0</v>
      </c>
      <c r="AE93" s="70">
        <f t="shared" si="91"/>
        <v>0</v>
      </c>
      <c r="AG93" t="str">
        <f t="shared" si="92"/>
        <v/>
      </c>
      <c r="AI93">
        <f t="shared" si="47"/>
        <v>87</v>
      </c>
      <c r="AJ93" s="27">
        <f t="shared" si="53"/>
        <v>51.004000000000133</v>
      </c>
      <c r="AK93" t="str">
        <f t="shared" si="54"/>
        <v/>
      </c>
      <c r="AL93" t="str">
        <f t="shared" si="55"/>
        <v/>
      </c>
      <c r="AM93" s="70" t="str">
        <f t="shared" si="56"/>
        <v/>
      </c>
      <c r="AN93">
        <f t="shared" si="93"/>
        <v>0</v>
      </c>
      <c r="AP93">
        <f t="shared" si="94"/>
        <v>45.005600000000186</v>
      </c>
      <c r="AQ93" t="str">
        <f>IF(OR(Kontenplan!R95-1=Kontenplan!R94,Kontenplan!S95-1=Kontenplan!S94),"T_B","")</f>
        <v/>
      </c>
      <c r="AR93" t="str">
        <f>CONCATENATE(Kontenplan!D95,Kontenplan!E95," ",Kontenplan!F95)</f>
        <v xml:space="preserve"> </v>
      </c>
      <c r="AS93" s="70" t="str">
        <f t="shared" si="95"/>
        <v/>
      </c>
      <c r="AT93" s="70">
        <f t="shared" si="96"/>
        <v>0</v>
      </c>
      <c r="AU93" s="70">
        <f t="shared" si="97"/>
        <v>0</v>
      </c>
      <c r="AV93" s="70" t="str">
        <f>IF(OR(A93="Aktivkonto",Kontenplan!R95-1=Kontenplan!R94),"a",IF(OR(A93="Passivkonto",Kontenplan!S95-1=Kontenplan!S94),"p",""))</f>
        <v/>
      </c>
      <c r="AW93" s="70" t="str">
        <f t="shared" si="98"/>
        <v/>
      </c>
      <c r="AY93">
        <f t="shared" si="60"/>
        <v>87</v>
      </c>
      <c r="AZ93">
        <f t="shared" si="99"/>
        <v>45.006100000000202</v>
      </c>
      <c r="BA93" t="str">
        <f t="shared" si="100"/>
        <v/>
      </c>
      <c r="BB93" t="str">
        <f t="shared" si="101"/>
        <v/>
      </c>
      <c r="BC93" s="70" t="str">
        <f t="shared" si="102"/>
        <v/>
      </c>
      <c r="BD93" s="70">
        <f t="shared" si="103"/>
        <v>0</v>
      </c>
    </row>
    <row r="94" spans="1:56" x14ac:dyDescent="0.25">
      <c r="A94" s="3">
        <f>Kontenplan!C96</f>
        <v>0</v>
      </c>
      <c r="B94" s="74">
        <f>Kontenplan!E96</f>
        <v>0</v>
      </c>
      <c r="C94" s="71">
        <f>Kontenplan!F96</f>
        <v>0</v>
      </c>
      <c r="D94" s="27">
        <f>IF(B94=0,0,SUMIF(Journal!$F$7:$F$84,Calc!B94,Journal!$I$7:$I$84))</f>
        <v>0</v>
      </c>
      <c r="E94" s="17">
        <f>IF(B94=0,0,SUMIF(Journal!$G$7:$G$84,Calc!B94,Journal!$I$7:$I$84))</f>
        <v>0</v>
      </c>
      <c r="F94" s="40">
        <f t="shared" si="78"/>
        <v>0</v>
      </c>
      <c r="G94" s="17">
        <f t="shared" si="79"/>
        <v>0</v>
      </c>
      <c r="H94" s="16" t="str">
        <f t="shared" si="80"/>
        <v xml:space="preserve"> </v>
      </c>
      <c r="I94" s="27" t="str">
        <f t="shared" si="81"/>
        <v xml:space="preserve"> </v>
      </c>
      <c r="J94" s="41" t="str">
        <f t="shared" si="82"/>
        <v xml:space="preserve"> </v>
      </c>
      <c r="K94" s="42" t="str">
        <f t="shared" si="83"/>
        <v xml:space="preserve"> </v>
      </c>
      <c r="L94" s="41" t="str">
        <f t="shared" si="84"/>
        <v xml:space="preserve"> </v>
      </c>
      <c r="M94" s="42" t="str">
        <f t="shared" si="85"/>
        <v xml:space="preserve"> </v>
      </c>
      <c r="N94" s="24"/>
      <c r="O94" s="24">
        <f t="shared" si="86"/>
        <v>0</v>
      </c>
      <c r="P94" s="24">
        <f t="shared" si="87"/>
        <v>0</v>
      </c>
      <c r="Q94" s="24"/>
      <c r="S94">
        <f>Kontenplan!R96</f>
        <v>6</v>
      </c>
      <c r="T94">
        <f>Kontenplan!S96</f>
        <v>2</v>
      </c>
      <c r="U94">
        <f>Kontenplan!T96</f>
        <v>2</v>
      </c>
      <c r="V94" s="30">
        <f>Kontenplan!U96</f>
        <v>3</v>
      </c>
      <c r="Z94">
        <f t="shared" si="88"/>
        <v>51.001400000000046</v>
      </c>
      <c r="AA94" t="str">
        <f>IF(OR(Kontenplan!T96-1=Kontenplan!T95,Kontenplan!U96-1=Kontenplan!U95),"T_ER","")</f>
        <v/>
      </c>
      <c r="AB94" t="str">
        <f>CONCATENATE(Kontenplan!D96,Kontenplan!E96," ",Kontenplan!F96)</f>
        <v xml:space="preserve"> </v>
      </c>
      <c r="AC94" s="70" t="str">
        <f t="shared" si="89"/>
        <v/>
      </c>
      <c r="AD94" s="70">
        <f t="shared" si="90"/>
        <v>0</v>
      </c>
      <c r="AE94" s="70">
        <f t="shared" si="91"/>
        <v>0</v>
      </c>
      <c r="AG94" t="str">
        <f t="shared" si="92"/>
        <v/>
      </c>
      <c r="AI94">
        <f t="shared" si="47"/>
        <v>88</v>
      </c>
      <c r="AJ94" s="27">
        <f t="shared" si="53"/>
        <v>51.004000000000133</v>
      </c>
      <c r="AK94" t="str">
        <f t="shared" si="54"/>
        <v/>
      </c>
      <c r="AL94" t="str">
        <f t="shared" si="55"/>
        <v/>
      </c>
      <c r="AM94" s="70" t="str">
        <f t="shared" si="56"/>
        <v/>
      </c>
      <c r="AN94">
        <f t="shared" si="93"/>
        <v>0</v>
      </c>
      <c r="AP94">
        <f t="shared" si="94"/>
        <v>45.005700000000189</v>
      </c>
      <c r="AQ94" t="str">
        <f>IF(OR(Kontenplan!R96-1=Kontenplan!R95,Kontenplan!S96-1=Kontenplan!S95),"T_B","")</f>
        <v/>
      </c>
      <c r="AR94" t="str">
        <f>CONCATENATE(Kontenplan!D96,Kontenplan!E96," ",Kontenplan!F96)</f>
        <v xml:space="preserve"> </v>
      </c>
      <c r="AS94" s="70" t="str">
        <f t="shared" si="95"/>
        <v/>
      </c>
      <c r="AT94" s="70">
        <f t="shared" si="96"/>
        <v>0</v>
      </c>
      <c r="AU94" s="70">
        <f t="shared" si="97"/>
        <v>0</v>
      </c>
      <c r="AV94" s="70" t="str">
        <f>IF(OR(A94="Aktivkonto",Kontenplan!R96-1=Kontenplan!R95),"a",IF(OR(A94="Passivkonto",Kontenplan!S96-1=Kontenplan!S95),"p",""))</f>
        <v/>
      </c>
      <c r="AW94" s="70" t="str">
        <f t="shared" si="98"/>
        <v/>
      </c>
      <c r="AY94">
        <f t="shared" si="60"/>
        <v>88</v>
      </c>
      <c r="AZ94">
        <f t="shared" si="99"/>
        <v>45.006100000000202</v>
      </c>
      <c r="BA94" t="str">
        <f t="shared" si="100"/>
        <v/>
      </c>
      <c r="BB94" t="str">
        <f t="shared" si="101"/>
        <v/>
      </c>
      <c r="BC94" s="70" t="str">
        <f t="shared" si="102"/>
        <v/>
      </c>
      <c r="BD94" s="70">
        <f t="shared" si="103"/>
        <v>0</v>
      </c>
    </row>
    <row r="95" spans="1:56" x14ac:dyDescent="0.25">
      <c r="A95" s="3">
        <f>Kontenplan!C97</f>
        <v>0</v>
      </c>
      <c r="B95" s="74">
        <f>Kontenplan!E97</f>
        <v>0</v>
      </c>
      <c r="C95" s="71">
        <f>Kontenplan!F97</f>
        <v>0</v>
      </c>
      <c r="D95" s="27">
        <f>IF(B95=0,0,SUMIF(Journal!$F$7:$F$84,Calc!B95,Journal!$I$7:$I$84))</f>
        <v>0</v>
      </c>
      <c r="E95" s="17">
        <f>IF(B95=0,0,SUMIF(Journal!$G$7:$G$84,Calc!B95,Journal!$I$7:$I$84))</f>
        <v>0</v>
      </c>
      <c r="F95" s="40">
        <f t="shared" si="78"/>
        <v>0</v>
      </c>
      <c r="G95" s="17">
        <f t="shared" si="79"/>
        <v>0</v>
      </c>
      <c r="H95" s="16" t="str">
        <f t="shared" si="80"/>
        <v xml:space="preserve"> </v>
      </c>
      <c r="I95" s="27" t="str">
        <f t="shared" si="81"/>
        <v xml:space="preserve"> </v>
      </c>
      <c r="J95" s="41" t="str">
        <f t="shared" si="82"/>
        <v xml:space="preserve"> </v>
      </c>
      <c r="K95" s="42" t="str">
        <f t="shared" si="83"/>
        <v xml:space="preserve"> </v>
      </c>
      <c r="L95" s="41" t="str">
        <f t="shared" si="84"/>
        <v xml:space="preserve"> </v>
      </c>
      <c r="M95" s="42" t="str">
        <f t="shared" si="85"/>
        <v xml:space="preserve"> </v>
      </c>
      <c r="N95" s="24"/>
      <c r="O95" s="24">
        <f t="shared" si="86"/>
        <v>0</v>
      </c>
      <c r="P95" s="24">
        <f t="shared" si="87"/>
        <v>0</v>
      </c>
      <c r="Q95" s="24"/>
      <c r="S95">
        <f>Kontenplan!R97</f>
        <v>6</v>
      </c>
      <c r="T95">
        <f>Kontenplan!S97</f>
        <v>2</v>
      </c>
      <c r="U95">
        <f>Kontenplan!T97</f>
        <v>2</v>
      </c>
      <c r="V95" s="30">
        <f>Kontenplan!U97</f>
        <v>3</v>
      </c>
      <c r="Z95">
        <f t="shared" si="88"/>
        <v>51.00150000000005</v>
      </c>
      <c r="AA95" t="str">
        <f>IF(OR(Kontenplan!T97-1=Kontenplan!T96,Kontenplan!U97-1=Kontenplan!U96),"T_ER","")</f>
        <v/>
      </c>
      <c r="AB95" t="str">
        <f>CONCATENATE(Kontenplan!D97,Kontenplan!E97," ",Kontenplan!F97)</f>
        <v xml:space="preserve"> </v>
      </c>
      <c r="AC95" s="70" t="str">
        <f t="shared" si="89"/>
        <v/>
      </c>
      <c r="AD95" s="70">
        <f t="shared" si="90"/>
        <v>0</v>
      </c>
      <c r="AE95" s="70">
        <f t="shared" si="91"/>
        <v>0</v>
      </c>
      <c r="AG95" t="str">
        <f t="shared" si="92"/>
        <v/>
      </c>
      <c r="AI95">
        <f t="shared" si="47"/>
        <v>89</v>
      </c>
      <c r="AJ95" s="27">
        <f t="shared" si="53"/>
        <v>51.004000000000133</v>
      </c>
      <c r="AK95" t="str">
        <f t="shared" si="54"/>
        <v/>
      </c>
      <c r="AL95" t="str">
        <f t="shared" si="55"/>
        <v/>
      </c>
      <c r="AM95" s="70" t="str">
        <f t="shared" si="56"/>
        <v/>
      </c>
      <c r="AN95">
        <f t="shared" si="93"/>
        <v>0</v>
      </c>
      <c r="AP95">
        <f t="shared" si="94"/>
        <v>45.005800000000193</v>
      </c>
      <c r="AQ95" t="str">
        <f>IF(OR(Kontenplan!R97-1=Kontenplan!R96,Kontenplan!S97-1=Kontenplan!S96),"T_B","")</f>
        <v/>
      </c>
      <c r="AR95" t="str">
        <f>CONCATENATE(Kontenplan!D97,Kontenplan!E97," ",Kontenplan!F97)</f>
        <v xml:space="preserve"> </v>
      </c>
      <c r="AS95" s="70" t="str">
        <f t="shared" si="95"/>
        <v/>
      </c>
      <c r="AT95" s="70">
        <f t="shared" si="96"/>
        <v>0</v>
      </c>
      <c r="AU95" s="70">
        <f t="shared" si="97"/>
        <v>0</v>
      </c>
      <c r="AV95" s="70" t="str">
        <f>IF(OR(A95="Aktivkonto",Kontenplan!R97-1=Kontenplan!R96),"a",IF(OR(A95="Passivkonto",Kontenplan!S97-1=Kontenplan!S96),"p",""))</f>
        <v/>
      </c>
      <c r="AW95" s="70" t="str">
        <f t="shared" si="98"/>
        <v/>
      </c>
      <c r="AY95">
        <f t="shared" si="60"/>
        <v>89</v>
      </c>
      <c r="AZ95">
        <f t="shared" si="99"/>
        <v>45.006100000000202</v>
      </c>
      <c r="BA95" t="str">
        <f t="shared" si="100"/>
        <v/>
      </c>
      <c r="BB95" t="str">
        <f t="shared" si="101"/>
        <v/>
      </c>
      <c r="BC95" s="70" t="str">
        <f t="shared" si="102"/>
        <v/>
      </c>
      <c r="BD95" s="70">
        <f t="shared" si="103"/>
        <v>0</v>
      </c>
    </row>
    <row r="96" spans="1:56" x14ac:dyDescent="0.25">
      <c r="A96" s="3">
        <f>Kontenplan!C98</f>
        <v>0</v>
      </c>
      <c r="B96" s="74">
        <f>Kontenplan!E98</f>
        <v>0</v>
      </c>
      <c r="C96" s="71">
        <f>Kontenplan!F98</f>
        <v>0</v>
      </c>
      <c r="D96" s="27">
        <f>IF(B96=0,0,SUMIF(Journal!$F$7:$F$84,Calc!B96,Journal!$I$7:$I$84))</f>
        <v>0</v>
      </c>
      <c r="E96" s="17">
        <f>IF(B96=0,0,SUMIF(Journal!$G$7:$G$84,Calc!B96,Journal!$I$7:$I$84))</f>
        <v>0</v>
      </c>
      <c r="F96" s="40">
        <f t="shared" si="78"/>
        <v>0</v>
      </c>
      <c r="G96" s="17">
        <f t="shared" si="79"/>
        <v>0</v>
      </c>
      <c r="H96" s="16" t="str">
        <f t="shared" si="80"/>
        <v xml:space="preserve"> </v>
      </c>
      <c r="I96" s="27" t="str">
        <f t="shared" si="81"/>
        <v xml:space="preserve"> </v>
      </c>
      <c r="J96" s="41" t="str">
        <f t="shared" si="82"/>
        <v xml:space="preserve"> </v>
      </c>
      <c r="K96" s="42" t="str">
        <f t="shared" si="83"/>
        <v xml:space="preserve"> </v>
      </c>
      <c r="L96" s="41" t="str">
        <f t="shared" si="84"/>
        <v xml:space="preserve"> </v>
      </c>
      <c r="M96" s="42" t="str">
        <f t="shared" si="85"/>
        <v xml:space="preserve"> </v>
      </c>
      <c r="N96" s="24"/>
      <c r="O96" s="24">
        <f t="shared" si="86"/>
        <v>0</v>
      </c>
      <c r="P96" s="24">
        <f t="shared" si="87"/>
        <v>0</v>
      </c>
      <c r="Q96" s="24"/>
      <c r="S96">
        <f>Kontenplan!R98</f>
        <v>6</v>
      </c>
      <c r="T96">
        <f>Kontenplan!S98</f>
        <v>2</v>
      </c>
      <c r="U96">
        <f>Kontenplan!T98</f>
        <v>2</v>
      </c>
      <c r="V96" s="30">
        <f>Kontenplan!U98</f>
        <v>3</v>
      </c>
      <c r="Z96">
        <f t="shared" si="88"/>
        <v>51.001600000000053</v>
      </c>
      <c r="AA96" t="str">
        <f>IF(OR(Kontenplan!T98-1=Kontenplan!T97,Kontenplan!U98-1=Kontenplan!U97),"T_ER","")</f>
        <v/>
      </c>
      <c r="AB96" t="str">
        <f>CONCATENATE(Kontenplan!D98,Kontenplan!E98," ",Kontenplan!F98)</f>
        <v xml:space="preserve"> </v>
      </c>
      <c r="AC96" s="70" t="str">
        <f t="shared" si="89"/>
        <v/>
      </c>
      <c r="AD96" s="70">
        <f t="shared" si="90"/>
        <v>0</v>
      </c>
      <c r="AE96" s="70">
        <f t="shared" si="91"/>
        <v>0</v>
      </c>
      <c r="AG96" t="str">
        <f t="shared" si="92"/>
        <v/>
      </c>
      <c r="AI96">
        <f t="shared" si="47"/>
        <v>90</v>
      </c>
      <c r="AJ96" s="27">
        <f t="shared" si="53"/>
        <v>51.004000000000133</v>
      </c>
      <c r="AK96" t="str">
        <f t="shared" si="54"/>
        <v/>
      </c>
      <c r="AL96" t="str">
        <f t="shared" si="55"/>
        <v/>
      </c>
      <c r="AM96" s="70" t="str">
        <f t="shared" si="56"/>
        <v/>
      </c>
      <c r="AN96">
        <f t="shared" si="93"/>
        <v>0</v>
      </c>
      <c r="AP96">
        <f t="shared" si="94"/>
        <v>45.005900000000196</v>
      </c>
      <c r="AQ96" t="str">
        <f>IF(OR(Kontenplan!R98-1=Kontenplan!R97,Kontenplan!S98-1=Kontenplan!S97),"T_B","")</f>
        <v/>
      </c>
      <c r="AR96" t="str">
        <f>CONCATENATE(Kontenplan!D98,Kontenplan!E98," ",Kontenplan!F98)</f>
        <v xml:space="preserve"> </v>
      </c>
      <c r="AS96" s="70" t="str">
        <f t="shared" si="95"/>
        <v/>
      </c>
      <c r="AT96" s="70">
        <f t="shared" si="96"/>
        <v>0</v>
      </c>
      <c r="AU96" s="70">
        <f t="shared" si="97"/>
        <v>0</v>
      </c>
      <c r="AV96" s="70" t="str">
        <f>IF(OR(A96="Aktivkonto",Kontenplan!R98-1=Kontenplan!R97),"a",IF(OR(A96="Passivkonto",Kontenplan!S98-1=Kontenplan!S97),"p",""))</f>
        <v/>
      </c>
      <c r="AW96" s="70" t="str">
        <f t="shared" si="98"/>
        <v/>
      </c>
      <c r="AY96">
        <f t="shared" si="60"/>
        <v>90</v>
      </c>
      <c r="AZ96">
        <f t="shared" si="99"/>
        <v>45.006100000000202</v>
      </c>
      <c r="BA96" t="str">
        <f t="shared" si="100"/>
        <v/>
      </c>
      <c r="BB96" t="str">
        <f t="shared" si="101"/>
        <v/>
      </c>
      <c r="BC96" s="70" t="str">
        <f t="shared" si="102"/>
        <v/>
      </c>
      <c r="BD96" s="70">
        <f t="shared" si="103"/>
        <v>0</v>
      </c>
    </row>
    <row r="97" spans="1:56" x14ac:dyDescent="0.25">
      <c r="A97" s="3">
        <f>Kontenplan!C99</f>
        <v>0</v>
      </c>
      <c r="B97" s="74">
        <f>Kontenplan!E99</f>
        <v>0</v>
      </c>
      <c r="C97" s="71">
        <f>Kontenplan!F99</f>
        <v>0</v>
      </c>
      <c r="D97" s="27">
        <f>IF(B97=0,0,SUMIF(Journal!$F$7:$F$84,Calc!B97,Journal!$I$7:$I$84))</f>
        <v>0</v>
      </c>
      <c r="E97" s="17">
        <f>IF(B97=0,0,SUMIF(Journal!$G$7:$G$84,Calc!B97,Journal!$I$7:$I$84))</f>
        <v>0</v>
      </c>
      <c r="F97" s="40">
        <f t="shared" si="78"/>
        <v>0</v>
      </c>
      <c r="G97" s="17">
        <f t="shared" si="79"/>
        <v>0</v>
      </c>
      <c r="H97" s="16" t="str">
        <f t="shared" si="80"/>
        <v xml:space="preserve"> </v>
      </c>
      <c r="I97" s="27" t="str">
        <f t="shared" si="81"/>
        <v xml:space="preserve"> </v>
      </c>
      <c r="J97" s="41" t="str">
        <f t="shared" si="82"/>
        <v xml:space="preserve"> </v>
      </c>
      <c r="K97" s="42" t="str">
        <f t="shared" si="83"/>
        <v xml:space="preserve"> </v>
      </c>
      <c r="L97" s="41" t="str">
        <f t="shared" si="84"/>
        <v xml:space="preserve"> </v>
      </c>
      <c r="M97" s="42" t="str">
        <f t="shared" si="85"/>
        <v xml:space="preserve"> </v>
      </c>
      <c r="N97" s="24"/>
      <c r="O97" s="24">
        <f t="shared" si="86"/>
        <v>0</v>
      </c>
      <c r="P97" s="24">
        <f t="shared" si="87"/>
        <v>0</v>
      </c>
      <c r="Q97" s="24"/>
      <c r="S97">
        <f>Kontenplan!R99</f>
        <v>6</v>
      </c>
      <c r="T97">
        <f>Kontenplan!S99</f>
        <v>2</v>
      </c>
      <c r="U97">
        <f>Kontenplan!T99</f>
        <v>2</v>
      </c>
      <c r="V97" s="30">
        <f>Kontenplan!U99</f>
        <v>3</v>
      </c>
      <c r="Z97">
        <f t="shared" si="88"/>
        <v>51.001700000000056</v>
      </c>
      <c r="AA97" t="str">
        <f>IF(OR(Kontenplan!T99-1=Kontenplan!T98,Kontenplan!U99-1=Kontenplan!U98),"T_ER","")</f>
        <v/>
      </c>
      <c r="AB97" t="str">
        <f>CONCATENATE(Kontenplan!D99,Kontenplan!E99," ",Kontenplan!F99)</f>
        <v xml:space="preserve"> </v>
      </c>
      <c r="AC97" s="70" t="str">
        <f t="shared" si="89"/>
        <v/>
      </c>
      <c r="AD97" s="70">
        <f t="shared" si="90"/>
        <v>0</v>
      </c>
      <c r="AE97" s="70">
        <f t="shared" si="91"/>
        <v>0</v>
      </c>
      <c r="AG97" t="str">
        <f t="shared" si="92"/>
        <v/>
      </c>
      <c r="AI97">
        <f t="shared" si="47"/>
        <v>91</v>
      </c>
      <c r="AJ97" s="27">
        <f t="shared" si="53"/>
        <v>51.004000000000133</v>
      </c>
      <c r="AK97" t="str">
        <f t="shared" si="54"/>
        <v/>
      </c>
      <c r="AL97" t="str">
        <f t="shared" si="55"/>
        <v/>
      </c>
      <c r="AM97" s="70" t="str">
        <f t="shared" si="56"/>
        <v/>
      </c>
      <c r="AN97">
        <f t="shared" si="93"/>
        <v>0</v>
      </c>
      <c r="AP97">
        <f t="shared" si="94"/>
        <v>45.006000000000199</v>
      </c>
      <c r="AQ97" t="str">
        <f>IF(OR(Kontenplan!R99-1=Kontenplan!R98,Kontenplan!S99-1=Kontenplan!S98),"T_B","")</f>
        <v/>
      </c>
      <c r="AR97" t="str">
        <f>CONCATENATE(Kontenplan!D99,Kontenplan!E99," ",Kontenplan!F99)</f>
        <v xml:space="preserve"> </v>
      </c>
      <c r="AS97" s="70" t="str">
        <f t="shared" si="95"/>
        <v/>
      </c>
      <c r="AT97" s="70">
        <f t="shared" si="96"/>
        <v>0</v>
      </c>
      <c r="AU97" s="70">
        <f t="shared" si="97"/>
        <v>0</v>
      </c>
      <c r="AV97" s="70" t="str">
        <f>IF(OR(A97="Aktivkonto",Kontenplan!R99-1=Kontenplan!R98),"a",IF(OR(A97="Passivkonto",Kontenplan!S99-1=Kontenplan!S98),"p",""))</f>
        <v/>
      </c>
      <c r="AW97" s="70" t="str">
        <f t="shared" si="98"/>
        <v/>
      </c>
      <c r="AY97">
        <f t="shared" si="60"/>
        <v>91</v>
      </c>
      <c r="AZ97">
        <f t="shared" si="99"/>
        <v>45.006100000000202</v>
      </c>
      <c r="BA97" t="str">
        <f t="shared" si="100"/>
        <v/>
      </c>
      <c r="BB97" t="str">
        <f t="shared" si="101"/>
        <v/>
      </c>
      <c r="BC97" s="70" t="str">
        <f t="shared" si="102"/>
        <v/>
      </c>
      <c r="BD97" s="70">
        <f t="shared" si="103"/>
        <v>0</v>
      </c>
    </row>
    <row r="98" spans="1:56" x14ac:dyDescent="0.25">
      <c r="A98" s="3">
        <f>Kontenplan!C100</f>
        <v>0</v>
      </c>
      <c r="B98" s="74">
        <f>Kontenplan!E100</f>
        <v>0</v>
      </c>
      <c r="C98" s="71">
        <f>Kontenplan!F100</f>
        <v>0</v>
      </c>
      <c r="D98" s="27">
        <f>IF(B98=0,0,SUMIF(Journal!$F$7:$F$84,Calc!B98,Journal!$I$7:$I$84))</f>
        <v>0</v>
      </c>
      <c r="E98" s="17">
        <f>IF(B98=0,0,SUMIF(Journal!$G$7:$G$84,Calc!B98,Journal!$I$7:$I$84))</f>
        <v>0</v>
      </c>
      <c r="F98" s="40">
        <f t="shared" si="78"/>
        <v>0</v>
      </c>
      <c r="G98" s="17">
        <f t="shared" si="79"/>
        <v>0</v>
      </c>
      <c r="H98" s="16" t="str">
        <f t="shared" si="80"/>
        <v xml:space="preserve"> </v>
      </c>
      <c r="I98" s="27" t="str">
        <f t="shared" si="81"/>
        <v xml:space="preserve"> </v>
      </c>
      <c r="J98" s="41" t="str">
        <f t="shared" si="82"/>
        <v xml:space="preserve"> </v>
      </c>
      <c r="K98" s="42" t="str">
        <f t="shared" si="83"/>
        <v xml:space="preserve"> </v>
      </c>
      <c r="L98" s="41" t="str">
        <f t="shared" si="84"/>
        <v xml:space="preserve"> </v>
      </c>
      <c r="M98" s="42" t="str">
        <f t="shared" si="85"/>
        <v xml:space="preserve"> </v>
      </c>
      <c r="N98" s="24"/>
      <c r="O98" s="24">
        <f t="shared" si="86"/>
        <v>0</v>
      </c>
      <c r="P98" s="24">
        <f t="shared" si="87"/>
        <v>0</v>
      </c>
      <c r="Q98" s="24"/>
      <c r="S98">
        <f>Kontenplan!R100</f>
        <v>6</v>
      </c>
      <c r="T98">
        <f>Kontenplan!S100</f>
        <v>2</v>
      </c>
      <c r="U98">
        <f>Kontenplan!T100</f>
        <v>2</v>
      </c>
      <c r="V98" s="30">
        <f>Kontenplan!U100</f>
        <v>3</v>
      </c>
      <c r="Z98">
        <f t="shared" si="88"/>
        <v>51.00180000000006</v>
      </c>
      <c r="AA98" t="str">
        <f>IF(OR(Kontenplan!T100-1=Kontenplan!T99,Kontenplan!U100-1=Kontenplan!U99),"T_ER","")</f>
        <v/>
      </c>
      <c r="AB98" t="str">
        <f>CONCATENATE(Kontenplan!D100,Kontenplan!E100," ",Kontenplan!F100)</f>
        <v xml:space="preserve"> </v>
      </c>
      <c r="AC98" s="70" t="str">
        <f t="shared" si="89"/>
        <v/>
      </c>
      <c r="AD98" s="70">
        <f t="shared" si="90"/>
        <v>0</v>
      </c>
      <c r="AE98" s="70">
        <f t="shared" si="91"/>
        <v>0</v>
      </c>
      <c r="AG98" t="str">
        <f t="shared" si="92"/>
        <v/>
      </c>
      <c r="AI98">
        <f t="shared" si="47"/>
        <v>92</v>
      </c>
      <c r="AJ98" s="27">
        <f t="shared" si="53"/>
        <v>51.004000000000133</v>
      </c>
      <c r="AK98" t="str">
        <f t="shared" si="54"/>
        <v/>
      </c>
      <c r="AL98" t="str">
        <f t="shared" si="55"/>
        <v/>
      </c>
      <c r="AM98" s="70" t="str">
        <f t="shared" si="56"/>
        <v/>
      </c>
      <c r="AN98">
        <f t="shared" si="93"/>
        <v>0</v>
      </c>
      <c r="AP98">
        <f t="shared" si="94"/>
        <v>45.006100000000202</v>
      </c>
      <c r="AQ98" t="str">
        <f>IF(OR(Kontenplan!R100-1=Kontenplan!R99,Kontenplan!S100-1=Kontenplan!S99),"T_B","")</f>
        <v/>
      </c>
      <c r="AR98" t="str">
        <f>CONCATENATE(Kontenplan!D100,Kontenplan!E100," ",Kontenplan!F100)</f>
        <v xml:space="preserve"> </v>
      </c>
      <c r="AS98" s="70" t="str">
        <f t="shared" si="95"/>
        <v/>
      </c>
      <c r="AT98" s="70">
        <f t="shared" si="96"/>
        <v>0</v>
      </c>
      <c r="AU98" s="70">
        <f t="shared" si="97"/>
        <v>0</v>
      </c>
      <c r="AV98" s="70" t="str">
        <f>IF(OR(A98="Aktivkonto",Kontenplan!R100-1=Kontenplan!R99),"a",IF(OR(A98="Passivkonto",Kontenplan!S100-1=Kontenplan!S99),"p",""))</f>
        <v/>
      </c>
      <c r="AW98" s="70" t="str">
        <f t="shared" si="98"/>
        <v/>
      </c>
      <c r="AY98">
        <f t="shared" si="60"/>
        <v>92</v>
      </c>
      <c r="AZ98">
        <f t="shared" si="99"/>
        <v>45.006100000000202</v>
      </c>
      <c r="BA98" t="str">
        <f t="shared" si="100"/>
        <v/>
      </c>
      <c r="BB98" t="str">
        <f t="shared" si="101"/>
        <v/>
      </c>
      <c r="BC98" s="70" t="str">
        <f t="shared" si="102"/>
        <v/>
      </c>
      <c r="BD98" s="70">
        <f t="shared" si="103"/>
        <v>0</v>
      </c>
    </row>
    <row r="99" spans="1:56" x14ac:dyDescent="0.25">
      <c r="A99" s="3">
        <f>Kontenplan!C101</f>
        <v>0</v>
      </c>
      <c r="B99" s="74">
        <f>Kontenplan!E101</f>
        <v>0</v>
      </c>
      <c r="C99" s="71">
        <f>Kontenplan!F101</f>
        <v>0</v>
      </c>
      <c r="D99" s="27">
        <f>IF(B99=0,0,SUMIF(Journal!$F$7:$F$84,Calc!B99,Journal!$I$7:$I$84))</f>
        <v>0</v>
      </c>
      <c r="E99" s="17">
        <f>IF(B99=0,0,SUMIF(Journal!$G$7:$G$84,Calc!B99,Journal!$I$7:$I$84))</f>
        <v>0</v>
      </c>
      <c r="F99" s="40">
        <f t="shared" si="78"/>
        <v>0</v>
      </c>
      <c r="G99" s="17">
        <f t="shared" si="79"/>
        <v>0</v>
      </c>
      <c r="H99" s="16" t="str">
        <f t="shared" si="80"/>
        <v xml:space="preserve"> </v>
      </c>
      <c r="I99" s="27" t="str">
        <f t="shared" si="81"/>
        <v xml:space="preserve"> </v>
      </c>
      <c r="J99" s="41" t="str">
        <f t="shared" si="82"/>
        <v xml:space="preserve"> </v>
      </c>
      <c r="K99" s="42" t="str">
        <f t="shared" si="83"/>
        <v xml:space="preserve"> </v>
      </c>
      <c r="L99" s="41" t="str">
        <f t="shared" si="84"/>
        <v xml:space="preserve"> </v>
      </c>
      <c r="M99" s="42" t="str">
        <f t="shared" si="85"/>
        <v xml:space="preserve"> </v>
      </c>
      <c r="N99" s="24"/>
      <c r="O99" s="24">
        <f t="shared" si="86"/>
        <v>0</v>
      </c>
      <c r="P99" s="24">
        <f t="shared" si="87"/>
        <v>0</v>
      </c>
      <c r="Q99" s="24"/>
      <c r="S99">
        <f>Kontenplan!R101</f>
        <v>6</v>
      </c>
      <c r="T99">
        <f>Kontenplan!S101</f>
        <v>2</v>
      </c>
      <c r="U99">
        <f>Kontenplan!T101</f>
        <v>2</v>
      </c>
      <c r="V99" s="30">
        <f>Kontenplan!U101</f>
        <v>3</v>
      </c>
      <c r="Z99">
        <f t="shared" si="88"/>
        <v>51.001900000000063</v>
      </c>
      <c r="AA99" t="str">
        <f>IF(OR(Kontenplan!T101-1=Kontenplan!T100,Kontenplan!U101-1=Kontenplan!U100),"T_ER","")</f>
        <v/>
      </c>
      <c r="AB99" t="str">
        <f>CONCATENATE(Kontenplan!D101,Kontenplan!E101," ",Kontenplan!F101)</f>
        <v xml:space="preserve"> </v>
      </c>
      <c r="AC99" s="70" t="str">
        <f t="shared" si="89"/>
        <v/>
      </c>
      <c r="AD99" s="70">
        <f t="shared" si="90"/>
        <v>0</v>
      </c>
      <c r="AE99" s="70">
        <f t="shared" si="91"/>
        <v>0</v>
      </c>
      <c r="AG99" t="str">
        <f t="shared" si="92"/>
        <v/>
      </c>
      <c r="AI99">
        <f t="shared" si="47"/>
        <v>93</v>
      </c>
      <c r="AJ99" s="27">
        <f t="shared" si="53"/>
        <v>51.004000000000133</v>
      </c>
      <c r="AK99" t="str">
        <f t="shared" si="54"/>
        <v/>
      </c>
      <c r="AL99" t="str">
        <f t="shared" si="55"/>
        <v/>
      </c>
      <c r="AM99" s="70" t="str">
        <f t="shared" si="56"/>
        <v/>
      </c>
      <c r="AN99">
        <f t="shared" si="93"/>
        <v>0</v>
      </c>
      <c r="AP99">
        <f t="shared" si="94"/>
        <v>45.006200000000206</v>
      </c>
      <c r="AQ99" t="str">
        <f>IF(OR(Kontenplan!R101-1=Kontenplan!R100,Kontenplan!S101-1=Kontenplan!S100),"T_B","")</f>
        <v/>
      </c>
      <c r="AR99" t="str">
        <f>CONCATENATE(Kontenplan!D101,Kontenplan!E101," ",Kontenplan!F101)</f>
        <v xml:space="preserve"> </v>
      </c>
      <c r="AS99" s="70" t="str">
        <f t="shared" si="95"/>
        <v/>
      </c>
      <c r="AT99" s="70">
        <f t="shared" si="96"/>
        <v>0</v>
      </c>
      <c r="AU99" s="70">
        <f t="shared" si="97"/>
        <v>0</v>
      </c>
      <c r="AV99" s="70" t="str">
        <f>IF(OR(A99="Aktivkonto",Kontenplan!R101-1=Kontenplan!R100),"a",IF(OR(A99="Passivkonto",Kontenplan!S101-1=Kontenplan!S100),"p",""))</f>
        <v/>
      </c>
      <c r="AW99" s="70" t="str">
        <f t="shared" si="98"/>
        <v/>
      </c>
      <c r="AY99">
        <f t="shared" si="60"/>
        <v>93</v>
      </c>
      <c r="AZ99">
        <f t="shared" si="99"/>
        <v>45.006100000000202</v>
      </c>
      <c r="BA99" t="str">
        <f t="shared" si="100"/>
        <v/>
      </c>
      <c r="BB99" t="str">
        <f t="shared" si="101"/>
        <v/>
      </c>
      <c r="BC99" s="70" t="str">
        <f t="shared" si="102"/>
        <v/>
      </c>
      <c r="BD99" s="70">
        <f t="shared" si="103"/>
        <v>0</v>
      </c>
    </row>
    <row r="100" spans="1:56" x14ac:dyDescent="0.25">
      <c r="A100" s="3">
        <f>Kontenplan!C102</f>
        <v>0</v>
      </c>
      <c r="B100" s="74">
        <f>Kontenplan!E102</f>
        <v>0</v>
      </c>
      <c r="C100" s="71">
        <f>Kontenplan!F102</f>
        <v>0</v>
      </c>
      <c r="D100" s="27">
        <f>IF(B100=0,0,SUMIF(Journal!$F$7:$F$84,Calc!B100,Journal!$I$7:$I$84))</f>
        <v>0</v>
      </c>
      <c r="E100" s="17">
        <f>IF(B100=0,0,SUMIF(Journal!$G$7:$G$84,Calc!B100,Journal!$I$7:$I$84))</f>
        <v>0</v>
      </c>
      <c r="F100" s="40">
        <f t="shared" ref="F100:F106" si="104">IF(D100-E100&gt;0,D100-E100,0)</f>
        <v>0</v>
      </c>
      <c r="G100" s="17">
        <f t="shared" ref="G100:G106" si="105">IF(E100&gt;D100,E100-D100,0)</f>
        <v>0</v>
      </c>
      <c r="H100" s="16" t="str">
        <f t="shared" ref="H100:H106" si="106">IF(AND(OR(A100="Aktivkonto",A100="Passivkonto"),F100&gt;0),F100," ")</f>
        <v xml:space="preserve"> </v>
      </c>
      <c r="I100" s="27" t="str">
        <f t="shared" ref="I100:I106" si="107">IF(AND(OR(A100="Aktivkonto",A100="Passivkonto"),G100&gt;0),G100," ")</f>
        <v xml:space="preserve"> </v>
      </c>
      <c r="J100" s="41" t="str">
        <f t="shared" ref="J100:J106" si="108">IF(AND(OR(A100="Aufwandskonto",A100="Ertragskonto",A100="Ertragsminderung",A100="a.o.Erfolgskonto"),F100&gt;0),F100," ")</f>
        <v xml:space="preserve"> </v>
      </c>
      <c r="K100" s="42" t="str">
        <f t="shared" ref="K100:K106" si="109">IF(AND(OR(A100="Aufwandskonto",A100="Ertragskonto",A100="Ertragsminderung",A100="a.o.Erfolgskonto"),G100&gt;0),G100," ")</f>
        <v xml:space="preserve"> </v>
      </c>
      <c r="L100" s="41" t="str">
        <f t="shared" ref="L100:L106" si="110">H100</f>
        <v xml:space="preserve"> </v>
      </c>
      <c r="M100" s="42" t="str">
        <f t="shared" ref="M100:M106" si="111">I100</f>
        <v xml:space="preserve"> </v>
      </c>
      <c r="N100" s="24"/>
      <c r="O100" s="24">
        <f t="shared" ref="O100:O103" si="112">IF(A100="Aktivkonto",F100-G100,0)</f>
        <v>0</v>
      </c>
      <c r="P100" s="24">
        <f t="shared" ref="P100:P103" si="113">IF(A100="Passivkonto",G100-F100,0)</f>
        <v>0</v>
      </c>
      <c r="Q100" s="24"/>
      <c r="S100">
        <f>Kontenplan!R102</f>
        <v>6</v>
      </c>
      <c r="T100">
        <f>Kontenplan!S102</f>
        <v>2</v>
      </c>
      <c r="U100">
        <f>Kontenplan!T102</f>
        <v>2</v>
      </c>
      <c r="V100" s="30">
        <f>Kontenplan!U102</f>
        <v>3</v>
      </c>
      <c r="Z100">
        <f t="shared" ref="Z100:Z102" si="114">IF(AND(OR(A99="Passivkonto",A99="Aktivkonto"),OR(A100="Ertragskonto",A100="Aufwandskonto")),1,IF(AND(A100=0,A101=0,A102=0,A103=0,A104=0,A105=0),Z99+0.0001,IF(AND(Z99&lt;1,AA100="T_ER"),1,IF(AND(AA100="T_ER",AA99&lt;&gt;"T_ER"),ROUND(Z99,0)+3,IF(AND(Z99&gt;=1,OR(AB100&lt;&gt;"",AB100&lt;&gt;0)),ROUND(Z99+1,0),Z99+0.0001)))))</f>
        <v>51.002000000000066</v>
      </c>
      <c r="AA100" t="str">
        <f>IF(OR(Kontenplan!T102-1=Kontenplan!T101,Kontenplan!U102-1=Kontenplan!U101),"T_ER","")</f>
        <v/>
      </c>
      <c r="AB100" t="str">
        <f>CONCATENATE(Kontenplan!D102,Kontenplan!E102," ",Kontenplan!F102)</f>
        <v xml:space="preserve"> </v>
      </c>
      <c r="AC100" s="70" t="str">
        <f t="shared" ref="AC100:AC102" si="115">IF(A100=0,"",AE100-AD100)</f>
        <v/>
      </c>
      <c r="AD100" s="70">
        <f t="shared" ref="AD100:AD102" si="116">IF(J100=" ",0,J100)</f>
        <v>0</v>
      </c>
      <c r="AE100" s="70">
        <f t="shared" ref="AE100:AE102" si="117">IF(K100=" ",0,K100)</f>
        <v>0</v>
      </c>
      <c r="AG100" t="str">
        <f t="shared" ref="AG100:AG102" si="118">IF(AC100="","",IF(AC99="",AC100,AG99+AC100))</f>
        <v/>
      </c>
      <c r="AI100">
        <f t="shared" ref="AI100:AI125" si="119">AI99+1</f>
        <v>94</v>
      </c>
      <c r="AJ100" s="27">
        <f t="shared" si="53"/>
        <v>51.004000000000133</v>
      </c>
      <c r="AK100" t="str">
        <f t="shared" si="54"/>
        <v/>
      </c>
      <c r="AL100" t="str">
        <f t="shared" si="55"/>
        <v/>
      </c>
      <c r="AM100" s="70" t="str">
        <f t="shared" si="56"/>
        <v/>
      </c>
      <c r="AN100">
        <f t="shared" ref="AN100:AN103" si="120">IF(AK100="Sub",AM100,0)</f>
        <v>0</v>
      </c>
    </row>
    <row r="101" spans="1:56" x14ac:dyDescent="0.25">
      <c r="A101" s="3">
        <f>Kontenplan!C103</f>
        <v>0</v>
      </c>
      <c r="B101" s="74">
        <f>Kontenplan!E103</f>
        <v>0</v>
      </c>
      <c r="C101" s="71">
        <f>Kontenplan!F103</f>
        <v>0</v>
      </c>
      <c r="D101" s="27">
        <f>IF(B101=0,0,SUMIF(Journal!$F$7:$F$84,Calc!B101,Journal!$I$7:$I$84))</f>
        <v>0</v>
      </c>
      <c r="E101" s="17">
        <f>IF(B101=0,0,SUMIF(Journal!$G$7:$G$84,Calc!B101,Journal!$I$7:$I$84))</f>
        <v>0</v>
      </c>
      <c r="F101" s="40">
        <f t="shared" si="104"/>
        <v>0</v>
      </c>
      <c r="G101" s="17">
        <f t="shared" si="105"/>
        <v>0</v>
      </c>
      <c r="H101" s="16" t="str">
        <f t="shared" si="106"/>
        <v xml:space="preserve"> </v>
      </c>
      <c r="I101" s="27" t="str">
        <f t="shared" si="107"/>
        <v xml:space="preserve"> </v>
      </c>
      <c r="J101" s="41" t="str">
        <f t="shared" si="108"/>
        <v xml:space="preserve"> </v>
      </c>
      <c r="K101" s="42" t="str">
        <f t="shared" si="109"/>
        <v xml:space="preserve"> </v>
      </c>
      <c r="L101" s="41" t="str">
        <f t="shared" si="110"/>
        <v xml:space="preserve"> </v>
      </c>
      <c r="M101" s="42" t="str">
        <f t="shared" si="111"/>
        <v xml:space="preserve"> </v>
      </c>
      <c r="N101" s="24"/>
      <c r="O101" s="24">
        <f t="shared" si="112"/>
        <v>0</v>
      </c>
      <c r="P101" s="24">
        <f t="shared" si="113"/>
        <v>0</v>
      </c>
      <c r="Q101" s="24"/>
      <c r="S101">
        <f>Kontenplan!R103</f>
        <v>6</v>
      </c>
      <c r="T101">
        <f>Kontenplan!S103</f>
        <v>2</v>
      </c>
      <c r="U101">
        <f>Kontenplan!T103</f>
        <v>2</v>
      </c>
      <c r="V101" s="30">
        <f>Kontenplan!U103</f>
        <v>3</v>
      </c>
      <c r="Z101">
        <f t="shared" si="114"/>
        <v>51.00210000000007</v>
      </c>
      <c r="AA101" t="str">
        <f>IF(OR(Kontenplan!T103-1=Kontenplan!T102,Kontenplan!U103-1=Kontenplan!U102),"T_ER","")</f>
        <v/>
      </c>
      <c r="AB101" t="str">
        <f>CONCATENATE(Kontenplan!D103,Kontenplan!E103," ",Kontenplan!F103)</f>
        <v xml:space="preserve"> </v>
      </c>
      <c r="AC101" s="70" t="str">
        <f t="shared" si="115"/>
        <v/>
      </c>
      <c r="AD101" s="70">
        <f t="shared" si="116"/>
        <v>0</v>
      </c>
      <c r="AE101" s="70">
        <f t="shared" si="117"/>
        <v>0</v>
      </c>
      <c r="AG101" t="str">
        <f t="shared" si="118"/>
        <v/>
      </c>
      <c r="AI101">
        <f t="shared" si="119"/>
        <v>95</v>
      </c>
      <c r="AJ101" s="27">
        <f t="shared" si="53"/>
        <v>51.004000000000133</v>
      </c>
      <c r="AK101" t="str">
        <f t="shared" si="54"/>
        <v/>
      </c>
      <c r="AL101" t="str">
        <f t="shared" si="55"/>
        <v/>
      </c>
      <c r="AM101" s="70" t="str">
        <f t="shared" si="56"/>
        <v/>
      </c>
      <c r="AN101">
        <f t="shared" si="120"/>
        <v>0</v>
      </c>
    </row>
    <row r="102" spans="1:56" x14ac:dyDescent="0.25">
      <c r="A102" s="3">
        <f>Kontenplan!C104</f>
        <v>0</v>
      </c>
      <c r="B102" s="74">
        <f>Kontenplan!E104</f>
        <v>0</v>
      </c>
      <c r="C102" s="71">
        <f>Kontenplan!F104</f>
        <v>0</v>
      </c>
      <c r="D102" s="27">
        <f>IF(B102=0,0,SUMIF(Journal!$F$7:$F$84,Calc!B102,Journal!$I$7:$I$84))</f>
        <v>0</v>
      </c>
      <c r="E102" s="17">
        <f>IF(B102=0,0,SUMIF(Journal!$G$7:$G$84,Calc!B102,Journal!$I$7:$I$84))</f>
        <v>0</v>
      </c>
      <c r="F102" s="40">
        <f t="shared" si="104"/>
        <v>0</v>
      </c>
      <c r="G102" s="17">
        <f t="shared" si="105"/>
        <v>0</v>
      </c>
      <c r="H102" s="16" t="str">
        <f t="shared" si="106"/>
        <v xml:space="preserve"> </v>
      </c>
      <c r="I102" s="27" t="str">
        <f t="shared" si="107"/>
        <v xml:space="preserve"> </v>
      </c>
      <c r="J102" s="41" t="str">
        <f t="shared" si="108"/>
        <v xml:space="preserve"> </v>
      </c>
      <c r="K102" s="42" t="str">
        <f t="shared" si="109"/>
        <v xml:space="preserve"> </v>
      </c>
      <c r="L102" s="41" t="str">
        <f t="shared" si="110"/>
        <v xml:space="preserve"> </v>
      </c>
      <c r="M102" s="42" t="str">
        <f t="shared" si="111"/>
        <v xml:space="preserve"> </v>
      </c>
      <c r="N102" s="24"/>
      <c r="O102" s="24">
        <f t="shared" si="112"/>
        <v>0</v>
      </c>
      <c r="P102" s="24">
        <f t="shared" si="113"/>
        <v>0</v>
      </c>
      <c r="Q102" s="24"/>
      <c r="S102">
        <f>Kontenplan!R104</f>
        <v>6</v>
      </c>
      <c r="T102">
        <f>Kontenplan!S104</f>
        <v>2</v>
      </c>
      <c r="U102">
        <f>Kontenplan!T104</f>
        <v>2</v>
      </c>
      <c r="V102" s="30">
        <f>Kontenplan!U104</f>
        <v>3</v>
      </c>
      <c r="Z102">
        <f t="shared" si="114"/>
        <v>51.002200000000073</v>
      </c>
      <c r="AA102" t="str">
        <f>IF(OR(Kontenplan!T104-1=Kontenplan!T103,Kontenplan!U104-1=Kontenplan!U103),"T_ER","")</f>
        <v/>
      </c>
      <c r="AB102" t="str">
        <f>CONCATENATE(Kontenplan!D104,Kontenplan!E104," ",Kontenplan!F104)</f>
        <v xml:space="preserve"> </v>
      </c>
      <c r="AC102" s="70" t="str">
        <f t="shared" si="115"/>
        <v/>
      </c>
      <c r="AD102" s="70">
        <f t="shared" si="116"/>
        <v>0</v>
      </c>
      <c r="AE102" s="70">
        <f t="shared" si="117"/>
        <v>0</v>
      </c>
      <c r="AG102" t="str">
        <f t="shared" si="118"/>
        <v/>
      </c>
      <c r="AI102">
        <f t="shared" si="119"/>
        <v>96</v>
      </c>
      <c r="AJ102" s="27">
        <f t="shared" si="53"/>
        <v>51.004000000000133</v>
      </c>
      <c r="AK102" t="str">
        <f t="shared" si="54"/>
        <v/>
      </c>
      <c r="AL102" t="str">
        <f t="shared" si="55"/>
        <v/>
      </c>
      <c r="AM102" s="70" t="str">
        <f t="shared" si="56"/>
        <v/>
      </c>
      <c r="AN102">
        <f t="shared" si="120"/>
        <v>0</v>
      </c>
    </row>
    <row r="103" spans="1:56" x14ac:dyDescent="0.25">
      <c r="A103" s="3">
        <f>Kontenplan!C105</f>
        <v>0</v>
      </c>
      <c r="B103" s="74">
        <f>Kontenplan!E105</f>
        <v>0</v>
      </c>
      <c r="C103" s="71">
        <f>Kontenplan!F105</f>
        <v>0</v>
      </c>
      <c r="D103" s="27">
        <f>IF(B103=0,0,SUMIF(Journal!$F$7:$F$84,Calc!B103,Journal!$I$7:$I$84))</f>
        <v>0</v>
      </c>
      <c r="E103" s="17">
        <f>IF(B103=0,0,SUMIF(Journal!$G$7:$G$84,Calc!B103,Journal!$I$7:$I$84))</f>
        <v>0</v>
      </c>
      <c r="F103" s="40">
        <f t="shared" si="104"/>
        <v>0</v>
      </c>
      <c r="G103" s="17">
        <f t="shared" si="105"/>
        <v>0</v>
      </c>
      <c r="H103" s="16" t="str">
        <f t="shared" si="106"/>
        <v xml:space="preserve"> </v>
      </c>
      <c r="I103" s="27" t="str">
        <f t="shared" si="107"/>
        <v xml:space="preserve"> </v>
      </c>
      <c r="J103" s="41" t="str">
        <f t="shared" si="108"/>
        <v xml:space="preserve"> </v>
      </c>
      <c r="K103" s="42" t="str">
        <f t="shared" si="109"/>
        <v xml:space="preserve"> </v>
      </c>
      <c r="L103" s="41" t="str">
        <f t="shared" si="110"/>
        <v xml:space="preserve"> </v>
      </c>
      <c r="M103" s="42" t="str">
        <f t="shared" si="111"/>
        <v xml:space="preserve"> </v>
      </c>
      <c r="N103" s="24"/>
      <c r="O103" s="24">
        <f t="shared" si="112"/>
        <v>0</v>
      </c>
      <c r="P103" s="24">
        <f t="shared" si="113"/>
        <v>0</v>
      </c>
      <c r="Q103" s="24"/>
      <c r="S103">
        <f>Kontenplan!R105</f>
        <v>6</v>
      </c>
      <c r="T103">
        <f>Kontenplan!S105</f>
        <v>2</v>
      </c>
      <c r="U103">
        <f>Kontenplan!T105</f>
        <v>2</v>
      </c>
      <c r="V103" s="30">
        <f>Kontenplan!U105</f>
        <v>3</v>
      </c>
      <c r="Z103">
        <f t="shared" ref="Z103:Z123" si="121">IF(AND(OR(A102="Passivkonto",A102="Aktivkonto"),OR(A103="Ertragskonto",A103="Aufwandskonto")),1,IF(AND(A103=0,A104=0,A105=0,A106=0,A107=0,A108=0),Z102+0.0001,IF(AND(Z102&lt;1,AA103="T_ER"),1,IF(AND(AA103="T_ER",AA102&lt;&gt;"T_ER"),ROUND(Z102,0)+3,IF(AND(Z102&gt;=1,OR(AB103&lt;&gt;"",AB103&lt;&gt;0)),ROUND(Z102+1,0),Z102+0.0001)))))</f>
        <v>51.002300000000076</v>
      </c>
      <c r="AA103" t="str">
        <f>IF(OR(Kontenplan!T105-1=Kontenplan!T104,Kontenplan!U105-1=Kontenplan!U104),"T_ER","")</f>
        <v/>
      </c>
      <c r="AB103" t="str">
        <f>CONCATENATE(Kontenplan!D105,Kontenplan!E105," ",Kontenplan!F105)</f>
        <v xml:space="preserve"> </v>
      </c>
      <c r="AC103" s="70" t="str">
        <f t="shared" ref="AC103:AC106" si="122">IF(A103=0,"",AE103-AD103)</f>
        <v/>
      </c>
      <c r="AD103" s="70">
        <f t="shared" ref="AD103:AD106" si="123">IF(J103=" ",0,J103)</f>
        <v>0</v>
      </c>
      <c r="AE103" s="70">
        <f t="shared" ref="AE103:AE106" si="124">IF(K103=" ",0,K103)</f>
        <v>0</v>
      </c>
      <c r="AG103" t="str">
        <f t="shared" ref="AG103:AG106" si="125">IF(AC103="","",IF(AC102="",AC103,AG102+AC103))</f>
        <v/>
      </c>
      <c r="AI103">
        <f t="shared" si="119"/>
        <v>97</v>
      </c>
      <c r="AJ103" s="27">
        <f t="shared" ref="AJ103:AJ125" si="126">VLOOKUP(AI103,$Z$7:$AG$120,1)</f>
        <v>51.004000000000133</v>
      </c>
      <c r="AK103" t="str">
        <f t="shared" ref="AK103:AK125" si="127">IF(AJ103=AI103,VLOOKUP(AI103,$Z$7:$AG$120,2),IF(AND(ROUND(AJ103+1,0)=AI103,$AK$5&gt;=1),"Sub",""))</f>
        <v/>
      </c>
      <c r="AL103" t="str">
        <f t="shared" ref="AL103:AL125" si="128">IF(ROUND(AJ103+3,0)=AI103,$C$131,IF(AJ103=AI103,VLOOKUP(AI103,$Z$7:$AG$120,3),""))</f>
        <v/>
      </c>
      <c r="AM103" s="70" t="str">
        <f t="shared" ref="AM103:AM125" si="129">IF($H$137=0,0,IF(ROUND(AJ103+3,0)=AI103,$I$131-$H$131,IF(AJ103=AI103,VLOOKUP(AI103,$Z$7:$AG$120,4),IF(AND($AK$5&gt;0,ROUND(AJ103+1,0)=AI103),VLOOKUP(ROUND(AJ103,0),$Z$7:$AG$120,8),""))))</f>
        <v/>
      </c>
      <c r="AN103">
        <f t="shared" si="120"/>
        <v>0</v>
      </c>
    </row>
    <row r="104" spans="1:56" x14ac:dyDescent="0.25">
      <c r="A104" s="3">
        <f>Kontenplan!C106</f>
        <v>0</v>
      </c>
      <c r="B104" s="74">
        <f>Kontenplan!E106</f>
        <v>0</v>
      </c>
      <c r="C104" s="71">
        <f>Kontenplan!F106</f>
        <v>0</v>
      </c>
      <c r="D104" s="27">
        <f>IF(B104=0,0,SUMIF(Journal!$F$7:$F$84,Calc!B104,Journal!$I$7:$I$84))</f>
        <v>0</v>
      </c>
      <c r="E104" s="17">
        <f>IF(B104=0,0,SUMIF(Journal!$G$7:$G$84,Calc!B104,Journal!$I$7:$I$84))</f>
        <v>0</v>
      </c>
      <c r="F104" s="40">
        <f t="shared" si="104"/>
        <v>0</v>
      </c>
      <c r="G104" s="17">
        <f t="shared" si="105"/>
        <v>0</v>
      </c>
      <c r="H104" s="16" t="str">
        <f t="shared" si="106"/>
        <v xml:space="preserve"> </v>
      </c>
      <c r="I104" s="27" t="str">
        <f t="shared" si="107"/>
        <v xml:space="preserve"> </v>
      </c>
      <c r="J104" s="41" t="str">
        <f t="shared" si="108"/>
        <v xml:space="preserve"> </v>
      </c>
      <c r="K104" s="42" t="str">
        <f t="shared" si="109"/>
        <v xml:space="preserve"> </v>
      </c>
      <c r="L104" s="41" t="str">
        <f t="shared" si="110"/>
        <v xml:space="preserve"> </v>
      </c>
      <c r="M104" s="42" t="str">
        <f t="shared" si="111"/>
        <v xml:space="preserve"> </v>
      </c>
      <c r="N104" s="24"/>
      <c r="O104" s="24">
        <f t="shared" ref="O104:O106" si="130">IF(A104="Aktivkonto",F104-G104,0)</f>
        <v>0</v>
      </c>
      <c r="P104" s="24">
        <f t="shared" ref="P104:P106" si="131">IF(A104="Passivkonto",G104-F104,0)</f>
        <v>0</v>
      </c>
      <c r="Q104" s="24"/>
      <c r="S104">
        <f>Kontenplan!R106</f>
        <v>6</v>
      </c>
      <c r="T104">
        <f>Kontenplan!S106</f>
        <v>2</v>
      </c>
      <c r="U104">
        <f>Kontenplan!T106</f>
        <v>2</v>
      </c>
      <c r="V104" s="30">
        <f>Kontenplan!U106</f>
        <v>3</v>
      </c>
      <c r="Z104">
        <f t="shared" si="121"/>
        <v>51.00240000000008</v>
      </c>
      <c r="AA104" t="str">
        <f>IF(OR(Kontenplan!T106-1=Kontenplan!T105,Kontenplan!U106-1=Kontenplan!U105),"T_ER","")</f>
        <v/>
      </c>
      <c r="AB104" t="str">
        <f>CONCATENATE(Kontenplan!D106,Kontenplan!E106," ",Kontenplan!F106)</f>
        <v xml:space="preserve"> </v>
      </c>
      <c r="AC104" s="70" t="str">
        <f t="shared" si="122"/>
        <v/>
      </c>
      <c r="AD104" s="70">
        <f t="shared" si="123"/>
        <v>0</v>
      </c>
      <c r="AE104" s="70">
        <f t="shared" si="124"/>
        <v>0</v>
      </c>
      <c r="AG104" t="str">
        <f t="shared" si="125"/>
        <v/>
      </c>
      <c r="AI104">
        <f t="shared" si="119"/>
        <v>98</v>
      </c>
      <c r="AJ104" s="27">
        <f t="shared" si="126"/>
        <v>51.004000000000133</v>
      </c>
      <c r="AK104" t="str">
        <f t="shared" si="127"/>
        <v/>
      </c>
      <c r="AL104" t="str">
        <f t="shared" si="128"/>
        <v/>
      </c>
      <c r="AM104" s="70" t="str">
        <f t="shared" si="129"/>
        <v/>
      </c>
      <c r="AN104">
        <f t="shared" ref="AN104:AN106" si="132">IF(AK104="Sub",AM104,0)</f>
        <v>0</v>
      </c>
    </row>
    <row r="105" spans="1:56" x14ac:dyDescent="0.25">
      <c r="A105" s="3">
        <f>Kontenplan!C107</f>
        <v>0</v>
      </c>
      <c r="B105" s="74">
        <f>Kontenplan!E107</f>
        <v>0</v>
      </c>
      <c r="C105" s="71">
        <f>Kontenplan!F107</f>
        <v>0</v>
      </c>
      <c r="D105" s="27">
        <f>IF(B105=0,0,SUMIF(Journal!$F$7:$F$84,Calc!B105,Journal!$I$7:$I$84))</f>
        <v>0</v>
      </c>
      <c r="E105" s="17">
        <f>IF(B105=0,0,SUMIF(Journal!$G$7:$G$84,Calc!B105,Journal!$I$7:$I$84))</f>
        <v>0</v>
      </c>
      <c r="F105" s="40">
        <f t="shared" si="104"/>
        <v>0</v>
      </c>
      <c r="G105" s="17">
        <f t="shared" si="105"/>
        <v>0</v>
      </c>
      <c r="H105" s="16" t="str">
        <f t="shared" si="106"/>
        <v xml:space="preserve"> </v>
      </c>
      <c r="I105" s="27" t="str">
        <f t="shared" si="107"/>
        <v xml:space="preserve"> </v>
      </c>
      <c r="J105" s="41" t="str">
        <f t="shared" si="108"/>
        <v xml:space="preserve"> </v>
      </c>
      <c r="K105" s="42" t="str">
        <f t="shared" si="109"/>
        <v xml:space="preserve"> </v>
      </c>
      <c r="L105" s="41" t="str">
        <f t="shared" si="110"/>
        <v xml:space="preserve"> </v>
      </c>
      <c r="M105" s="42" t="str">
        <f t="shared" si="111"/>
        <v xml:space="preserve"> </v>
      </c>
      <c r="N105" s="24"/>
      <c r="O105" s="24">
        <f t="shared" si="130"/>
        <v>0</v>
      </c>
      <c r="P105" s="24">
        <f t="shared" si="131"/>
        <v>0</v>
      </c>
      <c r="Q105" s="24"/>
      <c r="S105">
        <f>Kontenplan!R107</f>
        <v>6</v>
      </c>
      <c r="T105">
        <f>Kontenplan!S107</f>
        <v>2</v>
      </c>
      <c r="U105">
        <f>Kontenplan!T107</f>
        <v>2</v>
      </c>
      <c r="V105" s="30">
        <f>Kontenplan!U107</f>
        <v>3</v>
      </c>
      <c r="Z105">
        <f t="shared" si="121"/>
        <v>51.002500000000083</v>
      </c>
      <c r="AA105" t="str">
        <f>IF(OR(Kontenplan!T107-1=Kontenplan!T106,Kontenplan!U107-1=Kontenplan!U106),"T_ER","")</f>
        <v/>
      </c>
      <c r="AB105" t="str">
        <f>CONCATENATE(Kontenplan!D107,Kontenplan!E107," ",Kontenplan!F107)</f>
        <v xml:space="preserve"> </v>
      </c>
      <c r="AC105" s="70" t="str">
        <f t="shared" si="122"/>
        <v/>
      </c>
      <c r="AD105" s="70">
        <f t="shared" si="123"/>
        <v>0</v>
      </c>
      <c r="AE105" s="70">
        <f t="shared" si="124"/>
        <v>0</v>
      </c>
      <c r="AG105" t="str">
        <f t="shared" si="125"/>
        <v/>
      </c>
      <c r="AI105">
        <f t="shared" si="119"/>
        <v>99</v>
      </c>
      <c r="AJ105" s="27">
        <f t="shared" si="126"/>
        <v>51.004000000000133</v>
      </c>
      <c r="AK105" t="str">
        <f t="shared" si="127"/>
        <v/>
      </c>
      <c r="AL105" t="str">
        <f t="shared" si="128"/>
        <v/>
      </c>
      <c r="AM105" s="70" t="str">
        <f t="shared" si="129"/>
        <v/>
      </c>
      <c r="AN105">
        <f t="shared" si="132"/>
        <v>0</v>
      </c>
    </row>
    <row r="106" spans="1:56" x14ac:dyDescent="0.25">
      <c r="A106" s="3">
        <f>Kontenplan!C108</f>
        <v>0</v>
      </c>
      <c r="B106" s="74">
        <f>Kontenplan!E108</f>
        <v>0</v>
      </c>
      <c r="C106" s="71">
        <f>Kontenplan!F108</f>
        <v>0</v>
      </c>
      <c r="D106" s="27">
        <f>IF(B106=0,0,SUMIF(Journal!$F$7:$F$84,Calc!B106,Journal!$I$7:$I$84))</f>
        <v>0</v>
      </c>
      <c r="E106" s="17">
        <f>IF(B106=0,0,SUMIF(Journal!$G$7:$G$84,Calc!B106,Journal!$I$7:$I$84))</f>
        <v>0</v>
      </c>
      <c r="F106" s="40">
        <f t="shared" si="104"/>
        <v>0</v>
      </c>
      <c r="G106" s="17">
        <f t="shared" si="105"/>
        <v>0</v>
      </c>
      <c r="H106" s="16" t="str">
        <f t="shared" si="106"/>
        <v xml:space="preserve"> </v>
      </c>
      <c r="I106" s="27" t="str">
        <f t="shared" si="107"/>
        <v xml:space="preserve"> </v>
      </c>
      <c r="J106" s="41" t="str">
        <f t="shared" si="108"/>
        <v xml:space="preserve"> </v>
      </c>
      <c r="K106" s="42" t="str">
        <f t="shared" si="109"/>
        <v xml:space="preserve"> </v>
      </c>
      <c r="L106" s="41" t="str">
        <f t="shared" si="110"/>
        <v xml:space="preserve"> </v>
      </c>
      <c r="M106" s="42" t="str">
        <f t="shared" si="111"/>
        <v xml:space="preserve"> </v>
      </c>
      <c r="N106" s="24"/>
      <c r="O106" s="24">
        <f t="shared" si="130"/>
        <v>0</v>
      </c>
      <c r="P106" s="24">
        <f t="shared" si="131"/>
        <v>0</v>
      </c>
      <c r="Q106" s="24"/>
      <c r="S106">
        <f>Kontenplan!R108</f>
        <v>6</v>
      </c>
      <c r="T106">
        <f>Kontenplan!S108</f>
        <v>2</v>
      </c>
      <c r="U106">
        <f>Kontenplan!T108</f>
        <v>2</v>
      </c>
      <c r="V106" s="30">
        <f>Kontenplan!U108</f>
        <v>3</v>
      </c>
      <c r="Z106">
        <f t="shared" si="121"/>
        <v>51.002600000000086</v>
      </c>
      <c r="AA106" t="str">
        <f>IF(OR(Kontenplan!T108-1=Kontenplan!T107,Kontenplan!U108-1=Kontenplan!U107),"T_ER","")</f>
        <v/>
      </c>
      <c r="AB106" t="str">
        <f>CONCATENATE(Kontenplan!D108,Kontenplan!E108," ",Kontenplan!F108)</f>
        <v xml:space="preserve"> </v>
      </c>
      <c r="AC106" s="70" t="str">
        <f t="shared" si="122"/>
        <v/>
      </c>
      <c r="AD106" s="70">
        <f t="shared" si="123"/>
        <v>0</v>
      </c>
      <c r="AE106" s="70">
        <f t="shared" si="124"/>
        <v>0</v>
      </c>
      <c r="AG106" t="str">
        <f t="shared" si="125"/>
        <v/>
      </c>
      <c r="AI106">
        <f t="shared" si="119"/>
        <v>100</v>
      </c>
      <c r="AJ106" s="27">
        <f t="shared" si="126"/>
        <v>51.004000000000133</v>
      </c>
      <c r="AK106" t="str">
        <f t="shared" si="127"/>
        <v/>
      </c>
      <c r="AL106" t="str">
        <f t="shared" si="128"/>
        <v/>
      </c>
      <c r="AM106" s="70" t="str">
        <f t="shared" si="129"/>
        <v/>
      </c>
      <c r="AN106">
        <f t="shared" si="132"/>
        <v>0</v>
      </c>
    </row>
    <row r="107" spans="1:56" x14ac:dyDescent="0.25">
      <c r="A107" s="3">
        <f>Kontenplan!C109</f>
        <v>0</v>
      </c>
      <c r="B107" s="74">
        <f>Kontenplan!E109</f>
        <v>0</v>
      </c>
      <c r="C107" s="71">
        <f>Kontenplan!F109</f>
        <v>0</v>
      </c>
      <c r="D107" s="27">
        <f>IF(B107=0,0,SUMIF(Journal!$F$7:$F$84,Calc!B107,Journal!$I$7:$I$84))</f>
        <v>0</v>
      </c>
      <c r="E107" s="17">
        <f>IF(B107=0,0,SUMIF(Journal!$G$7:$G$84,Calc!B107,Journal!$I$7:$I$84))</f>
        <v>0</v>
      </c>
      <c r="F107" s="40">
        <f t="shared" ref="F107:F117" si="133">IF(D107-E107&gt;0,D107-E107,0)</f>
        <v>0</v>
      </c>
      <c r="G107" s="17">
        <f t="shared" ref="G107:G117" si="134">IF(E107&gt;D107,E107-D107,0)</f>
        <v>0</v>
      </c>
      <c r="H107" s="16" t="str">
        <f t="shared" ref="H107:H117" si="135">IF(AND(OR(A107="Aktivkonto",A107="Passivkonto"),F107&gt;0),F107," ")</f>
        <v xml:space="preserve"> </v>
      </c>
      <c r="I107" s="27" t="str">
        <f t="shared" ref="I107:I117" si="136">IF(AND(OR(A107="Aktivkonto",A107="Passivkonto"),G107&gt;0),G107," ")</f>
        <v xml:space="preserve"> </v>
      </c>
      <c r="J107" s="41" t="str">
        <f t="shared" ref="J107:J117" si="137">IF(AND(OR(A107="Aufwandskonto",A107="Ertragskonto",A107="Ertragsminderung",A107="a.o.Erfolgskonto"),F107&gt;0),F107," ")</f>
        <v xml:space="preserve"> </v>
      </c>
      <c r="K107" s="42" t="str">
        <f t="shared" ref="K107:K117" si="138">IF(AND(OR(A107="Aufwandskonto",A107="Ertragskonto",A107="Ertragsminderung",A107="a.o.Erfolgskonto"),G107&gt;0),G107," ")</f>
        <v xml:space="preserve"> </v>
      </c>
      <c r="L107" s="41" t="str">
        <f t="shared" ref="L107:L117" si="139">H107</f>
        <v xml:space="preserve"> </v>
      </c>
      <c r="M107" s="42" t="str">
        <f t="shared" ref="M107:M117" si="140">I107</f>
        <v xml:space="preserve"> </v>
      </c>
      <c r="N107" s="24"/>
      <c r="O107" s="24">
        <f t="shared" ref="O107:O126" si="141">IF(A107="Aktivkonto",F107-G107,0)</f>
        <v>0</v>
      </c>
      <c r="P107" s="24">
        <f t="shared" ref="P107:P126" si="142">IF(A107="Passivkonto",G107-F107,0)</f>
        <v>0</v>
      </c>
      <c r="Q107" s="24"/>
      <c r="S107">
        <f>Kontenplan!R109</f>
        <v>6</v>
      </c>
      <c r="T107">
        <f>Kontenplan!S109</f>
        <v>2</v>
      </c>
      <c r="U107">
        <f>Kontenplan!T109</f>
        <v>2</v>
      </c>
      <c r="V107" s="30">
        <f>Kontenplan!U109</f>
        <v>3</v>
      </c>
      <c r="Z107">
        <f t="shared" si="121"/>
        <v>51.00270000000009</v>
      </c>
      <c r="AA107" t="str">
        <f>IF(OR(Kontenplan!T119-1=Kontenplan!T118,Kontenplan!U119-1=Kontenplan!U118),"T_ER","")</f>
        <v/>
      </c>
      <c r="AB107" t="str">
        <f>CONCATENATE(Kontenplan!D109,Kontenplan!E109," ",Kontenplan!F109)</f>
        <v xml:space="preserve"> </v>
      </c>
      <c r="AC107" s="70" t="str">
        <f t="shared" ref="AC107:AC125" si="143">IF(A107=0,"",AE107-AD107)</f>
        <v/>
      </c>
      <c r="AD107" s="70">
        <f t="shared" ref="AD107:AD125" si="144">IF(J107=" ",0,J107)</f>
        <v>0</v>
      </c>
      <c r="AE107" s="70">
        <f t="shared" ref="AE107:AE125" si="145">IF(K107=" ",0,K107)</f>
        <v>0</v>
      </c>
      <c r="AG107" t="str">
        <f>IF(AC107="","",IF(#REF!="",AC107,#REF!+AC107))</f>
        <v/>
      </c>
      <c r="AI107">
        <f t="shared" si="119"/>
        <v>101</v>
      </c>
      <c r="AJ107" s="27">
        <f t="shared" si="126"/>
        <v>51.004000000000133</v>
      </c>
      <c r="AK107" t="str">
        <f t="shared" si="127"/>
        <v/>
      </c>
      <c r="AL107" t="str">
        <f t="shared" si="128"/>
        <v/>
      </c>
      <c r="AM107" s="70" t="str">
        <f t="shared" si="129"/>
        <v/>
      </c>
      <c r="AN107">
        <f t="shared" ref="AN107:AN125" si="146">IF(AK107="Sub",AM107,0)</f>
        <v>0</v>
      </c>
    </row>
    <row r="108" spans="1:56" x14ac:dyDescent="0.25">
      <c r="A108" s="3">
        <f>Kontenplan!C110</f>
        <v>0</v>
      </c>
      <c r="B108" s="74">
        <f>Kontenplan!E110</f>
        <v>0</v>
      </c>
      <c r="C108" s="71">
        <f>Kontenplan!F110</f>
        <v>0</v>
      </c>
      <c r="D108" s="27">
        <f>IF(B108=0,0,SUMIF(Journal!$F$7:$F$84,Calc!B108,Journal!$I$7:$I$84))</f>
        <v>0</v>
      </c>
      <c r="E108" s="17">
        <f>IF(B108=0,0,SUMIF(Journal!$G$7:$G$84,Calc!B108,Journal!$I$7:$I$84))</f>
        <v>0</v>
      </c>
      <c r="F108" s="40">
        <f t="shared" si="133"/>
        <v>0</v>
      </c>
      <c r="G108" s="17">
        <f t="shared" si="134"/>
        <v>0</v>
      </c>
      <c r="H108" s="16" t="str">
        <f t="shared" si="135"/>
        <v xml:space="preserve"> </v>
      </c>
      <c r="I108" s="27" t="str">
        <f t="shared" si="136"/>
        <v xml:space="preserve"> </v>
      </c>
      <c r="J108" s="41" t="str">
        <f t="shared" si="137"/>
        <v xml:space="preserve"> </v>
      </c>
      <c r="K108" s="42" t="str">
        <f t="shared" si="138"/>
        <v xml:space="preserve"> </v>
      </c>
      <c r="L108" s="41" t="str">
        <f t="shared" si="139"/>
        <v xml:space="preserve"> </v>
      </c>
      <c r="M108" s="42" t="str">
        <f t="shared" si="140"/>
        <v xml:space="preserve"> </v>
      </c>
      <c r="N108" s="24"/>
      <c r="O108" s="24">
        <f t="shared" si="141"/>
        <v>0</v>
      </c>
      <c r="P108" s="24">
        <f t="shared" si="142"/>
        <v>0</v>
      </c>
      <c r="Q108" s="24"/>
      <c r="S108">
        <f>Kontenplan!R110</f>
        <v>6</v>
      </c>
      <c r="T108">
        <f>Kontenplan!S110</f>
        <v>2</v>
      </c>
      <c r="U108">
        <f>Kontenplan!T110</f>
        <v>2</v>
      </c>
      <c r="V108" s="30">
        <f>Kontenplan!U110</f>
        <v>3</v>
      </c>
      <c r="Z108">
        <f t="shared" si="121"/>
        <v>51.002800000000093</v>
      </c>
      <c r="AA108" t="str">
        <f>IF(OR(Kontenplan!T120-1=Kontenplan!T119,Kontenplan!U120-1=Kontenplan!U119),"T_ER","")</f>
        <v/>
      </c>
      <c r="AB108" t="str">
        <f>CONCATENATE(Kontenplan!D110,Kontenplan!E110," ",Kontenplan!F110)</f>
        <v xml:space="preserve"> </v>
      </c>
      <c r="AC108" s="70" t="str">
        <f t="shared" si="143"/>
        <v/>
      </c>
      <c r="AD108" s="70">
        <f t="shared" si="144"/>
        <v>0</v>
      </c>
      <c r="AE108" s="70">
        <f t="shared" si="145"/>
        <v>0</v>
      </c>
      <c r="AG108" t="str">
        <f t="shared" ref="AG108:AG125" si="147">IF(AC108="","",IF(AC107="",AC108,AG107+AC108))</f>
        <v/>
      </c>
      <c r="AI108">
        <f t="shared" si="119"/>
        <v>102</v>
      </c>
      <c r="AJ108" s="27">
        <f t="shared" si="126"/>
        <v>51.004000000000133</v>
      </c>
      <c r="AK108" t="str">
        <f t="shared" si="127"/>
        <v/>
      </c>
      <c r="AL108" t="str">
        <f t="shared" si="128"/>
        <v/>
      </c>
      <c r="AM108" s="70" t="str">
        <f t="shared" si="129"/>
        <v/>
      </c>
      <c r="AN108">
        <f t="shared" si="146"/>
        <v>0</v>
      </c>
    </row>
    <row r="109" spans="1:56" x14ac:dyDescent="0.25">
      <c r="A109" s="3">
        <f>Kontenplan!C111</f>
        <v>0</v>
      </c>
      <c r="B109" s="74">
        <f>Kontenplan!E111</f>
        <v>0</v>
      </c>
      <c r="C109" s="71">
        <f>Kontenplan!F111</f>
        <v>0</v>
      </c>
      <c r="D109" s="27">
        <f>IF(B109=0,0,SUMIF(Journal!$F$7:$F$84,Calc!B109,Journal!$I$7:$I$84))</f>
        <v>0</v>
      </c>
      <c r="E109" s="17">
        <f>IF(B109=0,0,SUMIF(Journal!$G$7:$G$84,Calc!B109,Journal!$I$7:$I$84))</f>
        <v>0</v>
      </c>
      <c r="F109" s="40">
        <f t="shared" si="133"/>
        <v>0</v>
      </c>
      <c r="G109" s="17">
        <f t="shared" si="134"/>
        <v>0</v>
      </c>
      <c r="H109" s="16" t="str">
        <f t="shared" si="135"/>
        <v xml:space="preserve"> </v>
      </c>
      <c r="I109" s="27" t="str">
        <f t="shared" si="136"/>
        <v xml:space="preserve"> </v>
      </c>
      <c r="J109" s="41" t="str">
        <f t="shared" si="137"/>
        <v xml:space="preserve"> </v>
      </c>
      <c r="K109" s="42" t="str">
        <f t="shared" si="138"/>
        <v xml:space="preserve"> </v>
      </c>
      <c r="L109" s="41" t="str">
        <f t="shared" si="139"/>
        <v xml:space="preserve"> </v>
      </c>
      <c r="M109" s="42" t="str">
        <f t="shared" si="140"/>
        <v xml:space="preserve"> </v>
      </c>
      <c r="N109" s="24"/>
      <c r="O109" s="24">
        <f t="shared" si="141"/>
        <v>0</v>
      </c>
      <c r="P109" s="24">
        <f t="shared" si="142"/>
        <v>0</v>
      </c>
      <c r="Q109" s="24"/>
      <c r="S109">
        <f>Kontenplan!R111</f>
        <v>6</v>
      </c>
      <c r="T109">
        <f>Kontenplan!S111</f>
        <v>2</v>
      </c>
      <c r="U109">
        <f>Kontenplan!T111</f>
        <v>2</v>
      </c>
      <c r="V109" s="30">
        <f>Kontenplan!U111</f>
        <v>3</v>
      </c>
      <c r="Z109">
        <f t="shared" si="121"/>
        <v>51.002900000000096</v>
      </c>
      <c r="AA109" t="str">
        <f>IF(OR(Kontenplan!T121-1=Kontenplan!T120,Kontenplan!U121-1=Kontenplan!U120),"T_ER","")</f>
        <v/>
      </c>
      <c r="AB109" t="str">
        <f>CONCATENATE(Kontenplan!D111,Kontenplan!E111," ",Kontenplan!F111)</f>
        <v xml:space="preserve"> </v>
      </c>
      <c r="AC109" s="70" t="str">
        <f t="shared" si="143"/>
        <v/>
      </c>
      <c r="AD109" s="70">
        <f t="shared" si="144"/>
        <v>0</v>
      </c>
      <c r="AE109" s="70">
        <f t="shared" si="145"/>
        <v>0</v>
      </c>
      <c r="AG109" t="str">
        <f t="shared" si="147"/>
        <v/>
      </c>
      <c r="AI109">
        <f t="shared" si="119"/>
        <v>103</v>
      </c>
      <c r="AJ109" s="27">
        <f t="shared" si="126"/>
        <v>51.004000000000133</v>
      </c>
      <c r="AK109" t="str">
        <f t="shared" si="127"/>
        <v/>
      </c>
      <c r="AL109" t="str">
        <f t="shared" si="128"/>
        <v/>
      </c>
      <c r="AM109" s="70" t="str">
        <f t="shared" si="129"/>
        <v/>
      </c>
      <c r="AN109">
        <f t="shared" si="146"/>
        <v>0</v>
      </c>
    </row>
    <row r="110" spans="1:56" x14ac:dyDescent="0.25">
      <c r="A110" s="3">
        <f>Kontenplan!C112</f>
        <v>0</v>
      </c>
      <c r="B110" s="74">
        <f>Kontenplan!E112</f>
        <v>0</v>
      </c>
      <c r="C110" s="71">
        <f>Kontenplan!F112</f>
        <v>0</v>
      </c>
      <c r="D110" s="27">
        <f>IF(B110=0,0,SUMIF(Journal!$F$7:$F$84,Calc!B110,Journal!$I$7:$I$84))</f>
        <v>0</v>
      </c>
      <c r="E110" s="17">
        <f>IF(B110=0,0,SUMIF(Journal!$G$7:$G$84,Calc!B110,Journal!$I$7:$I$84))</f>
        <v>0</v>
      </c>
      <c r="F110" s="40">
        <f t="shared" si="133"/>
        <v>0</v>
      </c>
      <c r="G110" s="17">
        <f t="shared" si="134"/>
        <v>0</v>
      </c>
      <c r="H110" s="16" t="str">
        <f t="shared" si="135"/>
        <v xml:space="preserve"> </v>
      </c>
      <c r="I110" s="27" t="str">
        <f t="shared" si="136"/>
        <v xml:space="preserve"> </v>
      </c>
      <c r="J110" s="41" t="str">
        <f t="shared" si="137"/>
        <v xml:space="preserve"> </v>
      </c>
      <c r="K110" s="42" t="str">
        <f t="shared" si="138"/>
        <v xml:space="preserve"> </v>
      </c>
      <c r="L110" s="41" t="str">
        <f t="shared" si="139"/>
        <v xml:space="preserve"> </v>
      </c>
      <c r="M110" s="42" t="str">
        <f t="shared" si="140"/>
        <v xml:space="preserve"> </v>
      </c>
      <c r="N110" s="24"/>
      <c r="O110" s="24">
        <f t="shared" si="141"/>
        <v>0</v>
      </c>
      <c r="P110" s="24">
        <f t="shared" si="142"/>
        <v>0</v>
      </c>
      <c r="Q110" s="24"/>
      <c r="S110">
        <f>Kontenplan!R112</f>
        <v>6</v>
      </c>
      <c r="T110">
        <f>Kontenplan!S112</f>
        <v>2</v>
      </c>
      <c r="U110">
        <f>Kontenplan!T112</f>
        <v>2</v>
      </c>
      <c r="V110" s="30">
        <f>Kontenplan!U112</f>
        <v>3</v>
      </c>
      <c r="Z110">
        <f t="shared" si="121"/>
        <v>51.0030000000001</v>
      </c>
      <c r="AA110" t="str">
        <f>IF(OR(Kontenplan!T122-1=Kontenplan!T121,Kontenplan!U122-1=Kontenplan!U121),"T_ER","")</f>
        <v/>
      </c>
      <c r="AB110" t="str">
        <f>CONCATENATE(Kontenplan!D112,Kontenplan!E112," ",Kontenplan!F112)</f>
        <v xml:space="preserve"> </v>
      </c>
      <c r="AC110" s="70" t="str">
        <f t="shared" si="143"/>
        <v/>
      </c>
      <c r="AD110" s="70">
        <f t="shared" si="144"/>
        <v>0</v>
      </c>
      <c r="AE110" s="70">
        <f t="shared" si="145"/>
        <v>0</v>
      </c>
      <c r="AG110" t="str">
        <f t="shared" si="147"/>
        <v/>
      </c>
      <c r="AI110">
        <f t="shared" si="119"/>
        <v>104</v>
      </c>
      <c r="AJ110" s="27">
        <f t="shared" si="126"/>
        <v>51.004000000000133</v>
      </c>
      <c r="AK110" t="str">
        <f t="shared" si="127"/>
        <v/>
      </c>
      <c r="AL110" t="str">
        <f t="shared" si="128"/>
        <v/>
      </c>
      <c r="AM110" s="70" t="str">
        <f t="shared" si="129"/>
        <v/>
      </c>
      <c r="AN110">
        <f t="shared" si="146"/>
        <v>0</v>
      </c>
    </row>
    <row r="111" spans="1:56" x14ac:dyDescent="0.25">
      <c r="A111" s="3">
        <f>Kontenplan!C113</f>
        <v>0</v>
      </c>
      <c r="B111" s="74">
        <f>Kontenplan!E113</f>
        <v>0</v>
      </c>
      <c r="C111" s="71">
        <f>Kontenplan!F113</f>
        <v>0</v>
      </c>
      <c r="D111" s="27">
        <f>IF(B111=0,0,SUMIF(Journal!$F$7:$F$84,Calc!B111,Journal!$I$7:$I$84))</f>
        <v>0</v>
      </c>
      <c r="E111" s="17">
        <f>IF(B111=0,0,SUMIF(Journal!$G$7:$G$84,Calc!B111,Journal!$I$7:$I$84))</f>
        <v>0</v>
      </c>
      <c r="F111" s="40">
        <f t="shared" si="133"/>
        <v>0</v>
      </c>
      <c r="G111" s="17">
        <f t="shared" si="134"/>
        <v>0</v>
      </c>
      <c r="H111" s="16" t="str">
        <f t="shared" si="135"/>
        <v xml:space="preserve"> </v>
      </c>
      <c r="I111" s="27" t="str">
        <f t="shared" si="136"/>
        <v xml:space="preserve"> </v>
      </c>
      <c r="J111" s="41" t="str">
        <f t="shared" si="137"/>
        <v xml:space="preserve"> </v>
      </c>
      <c r="K111" s="42" t="str">
        <f t="shared" si="138"/>
        <v xml:space="preserve"> </v>
      </c>
      <c r="L111" s="41" t="str">
        <f t="shared" si="139"/>
        <v xml:space="preserve"> </v>
      </c>
      <c r="M111" s="42" t="str">
        <f t="shared" si="140"/>
        <v xml:space="preserve"> </v>
      </c>
      <c r="N111" s="24"/>
      <c r="O111" s="24">
        <f t="shared" si="141"/>
        <v>0</v>
      </c>
      <c r="P111" s="24">
        <f t="shared" si="142"/>
        <v>0</v>
      </c>
      <c r="Q111" s="24"/>
      <c r="S111">
        <f>Kontenplan!R113</f>
        <v>6</v>
      </c>
      <c r="T111">
        <f>Kontenplan!S113</f>
        <v>2</v>
      </c>
      <c r="U111">
        <f>Kontenplan!T113</f>
        <v>2</v>
      </c>
      <c r="V111" s="30">
        <f>Kontenplan!U113</f>
        <v>3</v>
      </c>
      <c r="Z111">
        <f t="shared" si="121"/>
        <v>51.003100000000103</v>
      </c>
      <c r="AA111" t="str">
        <f>IF(OR(Kontenplan!T123-1=Kontenplan!T122,Kontenplan!U123-1=Kontenplan!U122),"T_ER","")</f>
        <v/>
      </c>
      <c r="AB111" t="str">
        <f>CONCATENATE(Kontenplan!D113,Kontenplan!E113," ",Kontenplan!F113)</f>
        <v xml:space="preserve"> </v>
      </c>
      <c r="AC111" s="70" t="str">
        <f t="shared" si="143"/>
        <v/>
      </c>
      <c r="AD111" s="70">
        <f t="shared" si="144"/>
        <v>0</v>
      </c>
      <c r="AE111" s="70">
        <f t="shared" si="145"/>
        <v>0</v>
      </c>
      <c r="AG111" t="str">
        <f t="shared" si="147"/>
        <v/>
      </c>
      <c r="AI111">
        <f t="shared" si="119"/>
        <v>105</v>
      </c>
      <c r="AJ111" s="27">
        <f t="shared" si="126"/>
        <v>51.004000000000133</v>
      </c>
      <c r="AK111" t="str">
        <f t="shared" si="127"/>
        <v/>
      </c>
      <c r="AL111" t="str">
        <f t="shared" si="128"/>
        <v/>
      </c>
      <c r="AM111" s="70" t="str">
        <f t="shared" si="129"/>
        <v/>
      </c>
      <c r="AN111">
        <f t="shared" si="146"/>
        <v>0</v>
      </c>
    </row>
    <row r="112" spans="1:56" x14ac:dyDescent="0.25">
      <c r="A112" s="3">
        <f>Kontenplan!C114</f>
        <v>0</v>
      </c>
      <c r="B112" s="74">
        <f>Kontenplan!E114</f>
        <v>0</v>
      </c>
      <c r="C112" s="71">
        <f>Kontenplan!F114</f>
        <v>0</v>
      </c>
      <c r="D112" s="27">
        <f>IF(B112=0,0,SUMIF(Journal!$F$7:$F$84,Calc!B112,Journal!$I$7:$I$84))</f>
        <v>0</v>
      </c>
      <c r="E112" s="17">
        <f>IF(B112=0,0,SUMIF(Journal!$G$7:$G$84,Calc!B112,Journal!$I$7:$I$84))</f>
        <v>0</v>
      </c>
      <c r="F112" s="40">
        <f t="shared" si="133"/>
        <v>0</v>
      </c>
      <c r="G112" s="17">
        <f t="shared" si="134"/>
        <v>0</v>
      </c>
      <c r="H112" s="16" t="str">
        <f t="shared" si="135"/>
        <v xml:space="preserve"> </v>
      </c>
      <c r="I112" s="27" t="str">
        <f t="shared" si="136"/>
        <v xml:space="preserve"> </v>
      </c>
      <c r="J112" s="41" t="str">
        <f t="shared" si="137"/>
        <v xml:space="preserve"> </v>
      </c>
      <c r="K112" s="42" t="str">
        <f t="shared" si="138"/>
        <v xml:space="preserve"> </v>
      </c>
      <c r="L112" s="41" t="str">
        <f t="shared" si="139"/>
        <v xml:space="preserve"> </v>
      </c>
      <c r="M112" s="42" t="str">
        <f t="shared" si="140"/>
        <v xml:space="preserve"> </v>
      </c>
      <c r="N112" s="24"/>
      <c r="O112" s="24">
        <f t="shared" si="141"/>
        <v>0</v>
      </c>
      <c r="P112" s="24">
        <f t="shared" si="142"/>
        <v>0</v>
      </c>
      <c r="Q112" s="24"/>
      <c r="S112">
        <f>Kontenplan!R114</f>
        <v>6</v>
      </c>
      <c r="T112">
        <f>Kontenplan!S114</f>
        <v>2</v>
      </c>
      <c r="U112">
        <f>Kontenplan!T114</f>
        <v>2</v>
      </c>
      <c r="V112" s="30">
        <f>Kontenplan!U114</f>
        <v>3</v>
      </c>
      <c r="Z112">
        <f t="shared" si="121"/>
        <v>51.003200000000106</v>
      </c>
      <c r="AA112" t="str">
        <f>IF(OR(Kontenplan!T124-1=Kontenplan!T123,Kontenplan!U124-1=Kontenplan!U123),"T_ER","")</f>
        <v/>
      </c>
      <c r="AB112" t="str">
        <f>CONCATENATE(Kontenplan!D114,Kontenplan!E114," ",Kontenplan!F114)</f>
        <v xml:space="preserve"> </v>
      </c>
      <c r="AC112" s="70" t="str">
        <f t="shared" si="143"/>
        <v/>
      </c>
      <c r="AD112" s="70">
        <f t="shared" si="144"/>
        <v>0</v>
      </c>
      <c r="AE112" s="70">
        <f t="shared" si="145"/>
        <v>0</v>
      </c>
      <c r="AG112" t="str">
        <f t="shared" si="147"/>
        <v/>
      </c>
      <c r="AI112">
        <f t="shared" si="119"/>
        <v>106</v>
      </c>
      <c r="AJ112" s="27">
        <f t="shared" si="126"/>
        <v>51.004000000000133</v>
      </c>
      <c r="AK112" t="str">
        <f t="shared" si="127"/>
        <v/>
      </c>
      <c r="AL112" t="str">
        <f t="shared" si="128"/>
        <v/>
      </c>
      <c r="AM112" s="70" t="str">
        <f t="shared" si="129"/>
        <v/>
      </c>
      <c r="AN112">
        <f t="shared" si="146"/>
        <v>0</v>
      </c>
    </row>
    <row r="113" spans="1:40" x14ac:dyDescent="0.25">
      <c r="A113" s="3">
        <f>Kontenplan!C115</f>
        <v>0</v>
      </c>
      <c r="B113" s="74">
        <f>Kontenplan!E115</f>
        <v>0</v>
      </c>
      <c r="C113" s="71">
        <f>Kontenplan!F115</f>
        <v>0</v>
      </c>
      <c r="D113" s="27">
        <f>IF(B113=0,0,SUMIF(Journal!$F$7:$F$84,Calc!B113,Journal!$I$7:$I$84))</f>
        <v>0</v>
      </c>
      <c r="E113" s="17">
        <f>IF(B113=0,0,SUMIF(Journal!$G$7:$G$84,Calc!B113,Journal!$I$7:$I$84))</f>
        <v>0</v>
      </c>
      <c r="F113" s="40">
        <f t="shared" si="133"/>
        <v>0</v>
      </c>
      <c r="G113" s="17">
        <f t="shared" si="134"/>
        <v>0</v>
      </c>
      <c r="H113" s="16" t="str">
        <f t="shared" si="135"/>
        <v xml:space="preserve"> </v>
      </c>
      <c r="I113" s="27" t="str">
        <f t="shared" si="136"/>
        <v xml:space="preserve"> </v>
      </c>
      <c r="J113" s="41" t="str">
        <f t="shared" si="137"/>
        <v xml:space="preserve"> </v>
      </c>
      <c r="K113" s="42" t="str">
        <f t="shared" si="138"/>
        <v xml:space="preserve"> </v>
      </c>
      <c r="L113" s="41" t="str">
        <f t="shared" si="139"/>
        <v xml:space="preserve"> </v>
      </c>
      <c r="M113" s="42" t="str">
        <f t="shared" si="140"/>
        <v xml:space="preserve"> </v>
      </c>
      <c r="N113" s="24"/>
      <c r="O113" s="24">
        <f t="shared" si="141"/>
        <v>0</v>
      </c>
      <c r="P113" s="24">
        <f t="shared" si="142"/>
        <v>0</v>
      </c>
      <c r="Q113" s="24"/>
      <c r="S113">
        <f>Kontenplan!R115</f>
        <v>6</v>
      </c>
      <c r="T113">
        <f>Kontenplan!S115</f>
        <v>2</v>
      </c>
      <c r="U113">
        <f>Kontenplan!T115</f>
        <v>2</v>
      </c>
      <c r="V113" s="30">
        <f>Kontenplan!U115</f>
        <v>3</v>
      </c>
      <c r="Z113">
        <f t="shared" si="121"/>
        <v>51.00330000000011</v>
      </c>
      <c r="AA113" t="str">
        <f>IF(OR(Kontenplan!T125-1=Kontenplan!T124,Kontenplan!U125-1=Kontenplan!U124),"T_ER","")</f>
        <v/>
      </c>
      <c r="AB113" t="str">
        <f>CONCATENATE(Kontenplan!D115,Kontenplan!E115," ",Kontenplan!F115)</f>
        <v xml:space="preserve"> </v>
      </c>
      <c r="AC113" s="70" t="str">
        <f t="shared" si="143"/>
        <v/>
      </c>
      <c r="AD113" s="70">
        <f t="shared" si="144"/>
        <v>0</v>
      </c>
      <c r="AE113" s="70">
        <f t="shared" si="145"/>
        <v>0</v>
      </c>
      <c r="AG113" t="str">
        <f t="shared" si="147"/>
        <v/>
      </c>
      <c r="AI113">
        <f t="shared" si="119"/>
        <v>107</v>
      </c>
      <c r="AJ113" s="27">
        <f t="shared" si="126"/>
        <v>51.004000000000133</v>
      </c>
      <c r="AK113" t="str">
        <f t="shared" si="127"/>
        <v/>
      </c>
      <c r="AL113" t="str">
        <f t="shared" si="128"/>
        <v/>
      </c>
      <c r="AM113" s="70" t="str">
        <f t="shared" si="129"/>
        <v/>
      </c>
      <c r="AN113">
        <f t="shared" si="146"/>
        <v>0</v>
      </c>
    </row>
    <row r="114" spans="1:40" x14ac:dyDescent="0.25">
      <c r="A114" s="3">
        <f>Kontenplan!C116</f>
        <v>0</v>
      </c>
      <c r="B114" s="74">
        <f>Kontenplan!E116</f>
        <v>0</v>
      </c>
      <c r="C114" s="71">
        <f>Kontenplan!F116</f>
        <v>0</v>
      </c>
      <c r="D114" s="27">
        <f>IF(B114=0,0,SUMIF(Journal!$F$7:$F$84,Calc!B114,Journal!$I$7:$I$84))</f>
        <v>0</v>
      </c>
      <c r="E114" s="17">
        <f>IF(B114=0,0,SUMIF(Journal!$G$7:$G$84,Calc!B114,Journal!$I$7:$I$84))</f>
        <v>0</v>
      </c>
      <c r="F114" s="40">
        <f t="shared" si="133"/>
        <v>0</v>
      </c>
      <c r="G114" s="17">
        <f t="shared" si="134"/>
        <v>0</v>
      </c>
      <c r="H114" s="16" t="str">
        <f t="shared" si="135"/>
        <v xml:space="preserve"> </v>
      </c>
      <c r="I114" s="27" t="str">
        <f t="shared" si="136"/>
        <v xml:space="preserve"> </v>
      </c>
      <c r="J114" s="41" t="str">
        <f t="shared" si="137"/>
        <v xml:space="preserve"> </v>
      </c>
      <c r="K114" s="42" t="str">
        <f t="shared" si="138"/>
        <v xml:space="preserve"> </v>
      </c>
      <c r="L114" s="41" t="str">
        <f t="shared" si="139"/>
        <v xml:space="preserve"> </v>
      </c>
      <c r="M114" s="42" t="str">
        <f t="shared" si="140"/>
        <v xml:space="preserve"> </v>
      </c>
      <c r="N114" s="24"/>
      <c r="O114" s="24">
        <f t="shared" si="141"/>
        <v>0</v>
      </c>
      <c r="P114" s="24">
        <f t="shared" si="142"/>
        <v>0</v>
      </c>
      <c r="Q114" s="24"/>
      <c r="S114">
        <f>Kontenplan!R116</f>
        <v>6</v>
      </c>
      <c r="T114">
        <f>Kontenplan!S116</f>
        <v>2</v>
      </c>
      <c r="U114">
        <f>Kontenplan!T116</f>
        <v>2</v>
      </c>
      <c r="V114" s="30">
        <f>Kontenplan!U116</f>
        <v>3</v>
      </c>
      <c r="Z114">
        <f t="shared" si="121"/>
        <v>51.003400000000113</v>
      </c>
      <c r="AA114" t="str">
        <f>IF(OR(Kontenplan!T126-1=Kontenplan!T125,Kontenplan!U126-1=Kontenplan!U125),"T_ER","")</f>
        <v/>
      </c>
      <c r="AB114" t="str">
        <f>CONCATENATE(Kontenplan!D116,Kontenplan!E116," ",Kontenplan!F116)</f>
        <v xml:space="preserve"> </v>
      </c>
      <c r="AC114" s="70" t="str">
        <f t="shared" si="143"/>
        <v/>
      </c>
      <c r="AD114" s="70">
        <f t="shared" si="144"/>
        <v>0</v>
      </c>
      <c r="AE114" s="70">
        <f t="shared" si="145"/>
        <v>0</v>
      </c>
      <c r="AG114" t="str">
        <f t="shared" si="147"/>
        <v/>
      </c>
      <c r="AI114">
        <f t="shared" si="119"/>
        <v>108</v>
      </c>
      <c r="AJ114" s="27">
        <f t="shared" si="126"/>
        <v>51.004000000000133</v>
      </c>
      <c r="AK114" t="str">
        <f t="shared" si="127"/>
        <v/>
      </c>
      <c r="AL114" t="str">
        <f t="shared" si="128"/>
        <v/>
      </c>
      <c r="AM114" s="70" t="str">
        <f t="shared" si="129"/>
        <v/>
      </c>
      <c r="AN114">
        <f t="shared" si="146"/>
        <v>0</v>
      </c>
    </row>
    <row r="115" spans="1:40" x14ac:dyDescent="0.25">
      <c r="A115" s="3">
        <f>Kontenplan!C117</f>
        <v>0</v>
      </c>
      <c r="B115" s="74">
        <f>Kontenplan!E117</f>
        <v>0</v>
      </c>
      <c r="C115" s="71">
        <f>Kontenplan!F117</f>
        <v>0</v>
      </c>
      <c r="D115" s="27">
        <f>IF(B115=0,0,SUMIF(Journal!$F$7:$F$84,Calc!B115,Journal!$I$7:$I$84))</f>
        <v>0</v>
      </c>
      <c r="E115" s="17">
        <f>IF(B115=0,0,SUMIF(Journal!$G$7:$G$84,Calc!B115,Journal!$I$7:$I$84))</f>
        <v>0</v>
      </c>
      <c r="F115" s="40">
        <f t="shared" si="133"/>
        <v>0</v>
      </c>
      <c r="G115" s="17">
        <f t="shared" si="134"/>
        <v>0</v>
      </c>
      <c r="H115" s="16" t="str">
        <f t="shared" si="135"/>
        <v xml:space="preserve"> </v>
      </c>
      <c r="I115" s="27" t="str">
        <f t="shared" si="136"/>
        <v xml:space="preserve"> </v>
      </c>
      <c r="J115" s="41" t="str">
        <f t="shared" si="137"/>
        <v xml:space="preserve"> </v>
      </c>
      <c r="K115" s="42" t="str">
        <f t="shared" si="138"/>
        <v xml:space="preserve"> </v>
      </c>
      <c r="L115" s="41" t="str">
        <f t="shared" si="139"/>
        <v xml:space="preserve"> </v>
      </c>
      <c r="M115" s="42" t="str">
        <f t="shared" si="140"/>
        <v xml:space="preserve"> </v>
      </c>
      <c r="N115" s="24"/>
      <c r="O115" s="24">
        <f t="shared" si="141"/>
        <v>0</v>
      </c>
      <c r="P115" s="24">
        <f t="shared" si="142"/>
        <v>0</v>
      </c>
      <c r="Q115" s="24"/>
      <c r="S115">
        <f>Kontenplan!R117</f>
        <v>6</v>
      </c>
      <c r="T115">
        <f>Kontenplan!S117</f>
        <v>2</v>
      </c>
      <c r="U115">
        <f>Kontenplan!T117</f>
        <v>2</v>
      </c>
      <c r="V115" s="30">
        <f>Kontenplan!U117</f>
        <v>3</v>
      </c>
      <c r="Z115">
        <f t="shared" si="121"/>
        <v>51.003500000000116</v>
      </c>
      <c r="AA115" t="str">
        <f>IF(OR(Kontenplan!T127-1=Kontenplan!T126,Kontenplan!U127-1=Kontenplan!U126),"T_ER","")</f>
        <v/>
      </c>
      <c r="AB115" t="str">
        <f>CONCATENATE(Kontenplan!D117,Kontenplan!E117," ",Kontenplan!F117)</f>
        <v xml:space="preserve"> </v>
      </c>
      <c r="AC115" s="70" t="str">
        <f t="shared" si="143"/>
        <v/>
      </c>
      <c r="AD115" s="70">
        <f t="shared" si="144"/>
        <v>0</v>
      </c>
      <c r="AE115" s="70">
        <f t="shared" si="145"/>
        <v>0</v>
      </c>
      <c r="AG115" t="str">
        <f t="shared" si="147"/>
        <v/>
      </c>
      <c r="AI115">
        <f t="shared" si="119"/>
        <v>109</v>
      </c>
      <c r="AJ115" s="27">
        <f t="shared" si="126"/>
        <v>51.004000000000133</v>
      </c>
      <c r="AK115" t="str">
        <f t="shared" si="127"/>
        <v/>
      </c>
      <c r="AL115" t="str">
        <f t="shared" si="128"/>
        <v/>
      </c>
      <c r="AM115" s="70" t="str">
        <f t="shared" si="129"/>
        <v/>
      </c>
      <c r="AN115">
        <f t="shared" si="146"/>
        <v>0</v>
      </c>
    </row>
    <row r="116" spans="1:40" x14ac:dyDescent="0.25">
      <c r="A116" s="3">
        <f>Kontenplan!C118</f>
        <v>0</v>
      </c>
      <c r="B116" s="74">
        <f>Kontenplan!E118</f>
        <v>0</v>
      </c>
      <c r="C116" s="71">
        <f>Kontenplan!F118</f>
        <v>0</v>
      </c>
      <c r="D116" s="27">
        <f>IF(B116=0,0,SUMIF(Journal!$F$7:$F$84,Calc!B116,Journal!$I$7:$I$84))</f>
        <v>0</v>
      </c>
      <c r="E116" s="17">
        <f>IF(B116=0,0,SUMIF(Journal!$G$7:$G$84,Calc!B116,Journal!$I$7:$I$84))</f>
        <v>0</v>
      </c>
      <c r="F116" s="40">
        <f t="shared" si="133"/>
        <v>0</v>
      </c>
      <c r="G116" s="17">
        <f t="shared" si="134"/>
        <v>0</v>
      </c>
      <c r="H116" s="16" t="str">
        <f t="shared" si="135"/>
        <v xml:space="preserve"> </v>
      </c>
      <c r="I116" s="27" t="str">
        <f t="shared" si="136"/>
        <v xml:space="preserve"> </v>
      </c>
      <c r="J116" s="41" t="str">
        <f t="shared" si="137"/>
        <v xml:space="preserve"> </v>
      </c>
      <c r="K116" s="42" t="str">
        <f t="shared" si="138"/>
        <v xml:space="preserve"> </v>
      </c>
      <c r="L116" s="41" t="str">
        <f t="shared" si="139"/>
        <v xml:space="preserve"> </v>
      </c>
      <c r="M116" s="42" t="str">
        <f t="shared" si="140"/>
        <v xml:space="preserve"> </v>
      </c>
      <c r="N116" s="24"/>
      <c r="O116" s="24">
        <f t="shared" si="141"/>
        <v>0</v>
      </c>
      <c r="P116" s="24">
        <f t="shared" si="142"/>
        <v>0</v>
      </c>
      <c r="Q116" s="24"/>
      <c r="S116">
        <f>Kontenplan!R118</f>
        <v>6</v>
      </c>
      <c r="T116">
        <f>Kontenplan!S118</f>
        <v>2</v>
      </c>
      <c r="U116">
        <f>Kontenplan!T118</f>
        <v>2</v>
      </c>
      <c r="V116" s="30">
        <f>Kontenplan!U118</f>
        <v>3</v>
      </c>
      <c r="Z116">
        <f>IF(AND(OR(A115="Passivkonto",A115="Aktivkonto"),OR(A116="Ertragskonto",A116="Aufwandskonto")),1,IF(AND(A116=0,A117=0,A118=0,A119=0,A120=0,A121=0),Z115+0.0001,IF(AND(Z115&lt;1,AA116="T_ER"),1,IF(AND(AA116="T_ER",AA115&lt;&gt;"T_ER"),ROUND(Z115,0)+3,IF(AND(Z115&gt;=1,OR(AB116&lt;&gt;"",AB116&lt;&gt;0)),ROUND(Z115+1,0),Z115+0.0001)))))</f>
        <v>51.00360000000012</v>
      </c>
      <c r="AA116" t="str">
        <f>IF(OR(Kontenplan!T128-1=Kontenplan!T127,Kontenplan!U128-1=Kontenplan!U127),"T_ER","")</f>
        <v/>
      </c>
      <c r="AB116" t="str">
        <f>CONCATENATE(Kontenplan!D118,Kontenplan!E118," ",Kontenplan!F118)</f>
        <v xml:space="preserve"> </v>
      </c>
      <c r="AC116" s="70" t="str">
        <f t="shared" si="143"/>
        <v/>
      </c>
      <c r="AD116" s="70">
        <f t="shared" si="144"/>
        <v>0</v>
      </c>
      <c r="AE116" s="70">
        <f t="shared" si="145"/>
        <v>0</v>
      </c>
      <c r="AG116" t="str">
        <f t="shared" si="147"/>
        <v/>
      </c>
      <c r="AI116">
        <f t="shared" si="119"/>
        <v>110</v>
      </c>
      <c r="AJ116" s="27">
        <f t="shared" si="126"/>
        <v>51.004000000000133</v>
      </c>
      <c r="AK116" t="str">
        <f t="shared" si="127"/>
        <v/>
      </c>
      <c r="AL116" t="str">
        <f t="shared" si="128"/>
        <v/>
      </c>
      <c r="AM116" s="70" t="str">
        <f t="shared" si="129"/>
        <v/>
      </c>
      <c r="AN116">
        <f t="shared" si="146"/>
        <v>0</v>
      </c>
    </row>
    <row r="117" spans="1:40" x14ac:dyDescent="0.25">
      <c r="A117" s="3">
        <f>Kontenplan!C119</f>
        <v>0</v>
      </c>
      <c r="B117" s="74">
        <f>Kontenplan!E119</f>
        <v>0</v>
      </c>
      <c r="C117" s="71">
        <f>Kontenplan!F119</f>
        <v>0</v>
      </c>
      <c r="D117" s="27">
        <f>IF(B117=0,0,SUMIF(Journal!$F$7:$F$84,Calc!B117,Journal!$I$7:$I$84))</f>
        <v>0</v>
      </c>
      <c r="E117" s="17">
        <f>IF(B117=0,0,SUMIF(Journal!$G$7:$G$84,Calc!B117,Journal!$I$7:$I$84))</f>
        <v>0</v>
      </c>
      <c r="F117" s="40">
        <f t="shared" si="133"/>
        <v>0</v>
      </c>
      <c r="G117" s="17">
        <f t="shared" si="134"/>
        <v>0</v>
      </c>
      <c r="H117" s="16" t="str">
        <f t="shared" si="135"/>
        <v xml:space="preserve"> </v>
      </c>
      <c r="I117" s="27" t="str">
        <f t="shared" si="136"/>
        <v xml:space="preserve"> </v>
      </c>
      <c r="J117" s="41" t="str">
        <f t="shared" si="137"/>
        <v xml:space="preserve"> </v>
      </c>
      <c r="K117" s="42" t="str">
        <f t="shared" si="138"/>
        <v xml:space="preserve"> </v>
      </c>
      <c r="L117" s="41" t="str">
        <f t="shared" si="139"/>
        <v xml:space="preserve"> </v>
      </c>
      <c r="M117" s="42" t="str">
        <f t="shared" si="140"/>
        <v xml:space="preserve"> </v>
      </c>
      <c r="N117" s="24"/>
      <c r="O117" s="24">
        <f t="shared" si="141"/>
        <v>0</v>
      </c>
      <c r="P117" s="24">
        <f t="shared" si="142"/>
        <v>0</v>
      </c>
      <c r="Q117" s="24"/>
      <c r="S117">
        <f>Kontenplan!R119</f>
        <v>6</v>
      </c>
      <c r="T117">
        <f>Kontenplan!S119</f>
        <v>2</v>
      </c>
      <c r="U117">
        <f>Kontenplan!T119</f>
        <v>2</v>
      </c>
      <c r="V117" s="30">
        <f>Kontenplan!U119</f>
        <v>3</v>
      </c>
      <c r="Z117">
        <f t="shared" si="121"/>
        <v>51.003700000000123</v>
      </c>
      <c r="AA117" t="str">
        <f>IF(OR(Kontenplan!T129-1=Kontenplan!T128,Kontenplan!U129-1=Kontenplan!U128),"T_ER","")</f>
        <v/>
      </c>
      <c r="AB117" t="str">
        <f>CONCATENATE(Kontenplan!D119,Kontenplan!E119," ",Kontenplan!F119)</f>
        <v xml:space="preserve"> </v>
      </c>
      <c r="AC117" s="70" t="str">
        <f t="shared" si="143"/>
        <v/>
      </c>
      <c r="AD117" s="70">
        <f t="shared" si="144"/>
        <v>0</v>
      </c>
      <c r="AE117" s="70">
        <f t="shared" si="145"/>
        <v>0</v>
      </c>
      <c r="AG117" t="str">
        <f t="shared" si="147"/>
        <v/>
      </c>
      <c r="AI117">
        <f t="shared" si="119"/>
        <v>111</v>
      </c>
      <c r="AJ117" s="27">
        <f t="shared" si="126"/>
        <v>51.004000000000133</v>
      </c>
      <c r="AK117" t="str">
        <f t="shared" si="127"/>
        <v/>
      </c>
      <c r="AL117" t="str">
        <f t="shared" si="128"/>
        <v/>
      </c>
      <c r="AM117" s="70" t="str">
        <f t="shared" si="129"/>
        <v/>
      </c>
      <c r="AN117">
        <f t="shared" si="146"/>
        <v>0</v>
      </c>
    </row>
    <row r="118" spans="1:40" x14ac:dyDescent="0.25">
      <c r="A118" s="3">
        <f>Kontenplan!C120</f>
        <v>0</v>
      </c>
      <c r="B118" s="74">
        <f>Kontenplan!E120</f>
        <v>0</v>
      </c>
      <c r="C118" s="71">
        <f>Kontenplan!F120</f>
        <v>0</v>
      </c>
      <c r="D118" s="27">
        <f>IF(B118=0,0,SUMIF(Journal!$F$7:$F$84,Calc!B118,Journal!$I$7:$I$84))</f>
        <v>0</v>
      </c>
      <c r="E118" s="17">
        <f>IF(B118=0,0,SUMIF(Journal!$G$7:$G$84,Calc!B118,Journal!$I$7:$I$84))</f>
        <v>0</v>
      </c>
      <c r="F118" s="40">
        <f t="shared" ref="F118:F125" si="148">IF(D118-E118&gt;0,D118-E118,0)</f>
        <v>0</v>
      </c>
      <c r="G118" s="17">
        <f t="shared" ref="G118:G125" si="149">IF(E118&gt;D118,E118-D118,0)</f>
        <v>0</v>
      </c>
      <c r="H118" s="16" t="str">
        <f t="shared" ref="H118:H125" si="150">IF(AND(OR(A118="Aktivkonto",A118="Passivkonto"),F118&gt;0),F118," ")</f>
        <v xml:space="preserve"> </v>
      </c>
      <c r="I118" s="27" t="str">
        <f t="shared" ref="I118:I125" si="151">IF(AND(OR(A118="Aktivkonto",A118="Passivkonto"),G118&gt;0),G118," ")</f>
        <v xml:space="preserve"> </v>
      </c>
      <c r="J118" s="41" t="str">
        <f t="shared" ref="J118:J125" si="152">IF(AND(OR(A118="Aufwandskonto",A118="Ertragskonto",A118="Ertragsminderung",A118="a.o.Erfolgskonto"),F118&gt;0),F118," ")</f>
        <v xml:space="preserve"> </v>
      </c>
      <c r="K118" s="42" t="str">
        <f t="shared" ref="K118:K125" si="153">IF(AND(OR(A118="Aufwandskonto",A118="Ertragskonto",A118="Ertragsminderung",A118="a.o.Erfolgskonto"),G118&gt;0),G118," ")</f>
        <v xml:space="preserve"> </v>
      </c>
      <c r="L118" s="41" t="str">
        <f t="shared" ref="L118:L125" si="154">H118</f>
        <v xml:space="preserve"> </v>
      </c>
      <c r="M118" s="42" t="str">
        <f t="shared" ref="M118:M125" si="155">I118</f>
        <v xml:space="preserve"> </v>
      </c>
      <c r="N118" s="24"/>
      <c r="O118" s="24">
        <f t="shared" si="141"/>
        <v>0</v>
      </c>
      <c r="P118" s="24">
        <f t="shared" si="142"/>
        <v>0</v>
      </c>
      <c r="Q118" s="24"/>
      <c r="S118">
        <f>Kontenplan!R120</f>
        <v>6</v>
      </c>
      <c r="T118">
        <f>Kontenplan!S120</f>
        <v>2</v>
      </c>
      <c r="U118">
        <f>Kontenplan!T120</f>
        <v>2</v>
      </c>
      <c r="V118" s="30">
        <f>Kontenplan!U120</f>
        <v>3</v>
      </c>
      <c r="Z118">
        <f t="shared" si="121"/>
        <v>51.003800000000126</v>
      </c>
      <c r="AA118" t="str">
        <f>IF(OR(Kontenplan!T130-1=Kontenplan!T129,Kontenplan!U130-1=Kontenplan!U129),"T_ER","")</f>
        <v/>
      </c>
      <c r="AB118" t="str">
        <f>CONCATENATE(Kontenplan!D120,Kontenplan!E120," ",Kontenplan!F120)</f>
        <v xml:space="preserve"> </v>
      </c>
      <c r="AC118" s="70" t="str">
        <f t="shared" si="143"/>
        <v/>
      </c>
      <c r="AD118" s="70">
        <f t="shared" si="144"/>
        <v>0</v>
      </c>
      <c r="AE118" s="70">
        <f t="shared" si="145"/>
        <v>0</v>
      </c>
      <c r="AG118" t="str">
        <f t="shared" si="147"/>
        <v/>
      </c>
      <c r="AI118">
        <f t="shared" si="119"/>
        <v>112</v>
      </c>
      <c r="AJ118" s="27">
        <f t="shared" si="126"/>
        <v>51.004000000000133</v>
      </c>
      <c r="AK118" t="str">
        <f t="shared" si="127"/>
        <v/>
      </c>
      <c r="AL118" t="str">
        <f t="shared" si="128"/>
        <v/>
      </c>
      <c r="AM118" s="70" t="str">
        <f t="shared" si="129"/>
        <v/>
      </c>
      <c r="AN118">
        <f t="shared" si="146"/>
        <v>0</v>
      </c>
    </row>
    <row r="119" spans="1:40" x14ac:dyDescent="0.25">
      <c r="A119" s="3">
        <f>Kontenplan!C121</f>
        <v>0</v>
      </c>
      <c r="B119" s="74">
        <f>Kontenplan!E121</f>
        <v>0</v>
      </c>
      <c r="C119" s="71">
        <f>Kontenplan!F121</f>
        <v>0</v>
      </c>
      <c r="D119" s="27">
        <f>IF(B119=0,0,SUMIF(Journal!$F$7:$F$84,Calc!B119,Journal!$I$7:$I$84))</f>
        <v>0</v>
      </c>
      <c r="E119" s="17">
        <f>IF(B119=0,0,SUMIF(Journal!$G$7:$G$84,Calc!B119,Journal!$I$7:$I$84))</f>
        <v>0</v>
      </c>
      <c r="F119" s="40">
        <f t="shared" si="148"/>
        <v>0</v>
      </c>
      <c r="G119" s="17">
        <f t="shared" si="149"/>
        <v>0</v>
      </c>
      <c r="H119" s="16" t="str">
        <f t="shared" si="150"/>
        <v xml:space="preserve"> </v>
      </c>
      <c r="I119" s="27" t="str">
        <f t="shared" si="151"/>
        <v xml:space="preserve"> </v>
      </c>
      <c r="J119" s="41" t="str">
        <f t="shared" si="152"/>
        <v xml:space="preserve"> </v>
      </c>
      <c r="K119" s="42" t="str">
        <f t="shared" si="153"/>
        <v xml:space="preserve"> </v>
      </c>
      <c r="L119" s="41" t="str">
        <f t="shared" si="154"/>
        <v xml:space="preserve"> </v>
      </c>
      <c r="M119" s="42" t="str">
        <f t="shared" si="155"/>
        <v xml:space="preserve"> </v>
      </c>
      <c r="N119" s="24"/>
      <c r="O119" s="24">
        <f t="shared" si="141"/>
        <v>0</v>
      </c>
      <c r="P119" s="24">
        <f t="shared" si="142"/>
        <v>0</v>
      </c>
      <c r="Q119" s="24"/>
      <c r="S119">
        <f>Kontenplan!R121</f>
        <v>6</v>
      </c>
      <c r="T119">
        <f>Kontenplan!S121</f>
        <v>2</v>
      </c>
      <c r="U119">
        <f>Kontenplan!T121</f>
        <v>2</v>
      </c>
      <c r="V119" s="30">
        <f>Kontenplan!U121</f>
        <v>3</v>
      </c>
      <c r="Z119">
        <f t="shared" si="121"/>
        <v>51.003900000000129</v>
      </c>
      <c r="AA119" t="str">
        <f>IF(OR(Kontenplan!T131-1=Kontenplan!T130,Kontenplan!U131-1=Kontenplan!U130),"T_ER","")</f>
        <v/>
      </c>
      <c r="AB119" t="str">
        <f>CONCATENATE(Kontenplan!D121,Kontenplan!E121," ",Kontenplan!F121)</f>
        <v xml:space="preserve"> </v>
      </c>
      <c r="AC119" s="70" t="str">
        <f t="shared" si="143"/>
        <v/>
      </c>
      <c r="AD119" s="70">
        <f t="shared" si="144"/>
        <v>0</v>
      </c>
      <c r="AE119" s="70">
        <f t="shared" si="145"/>
        <v>0</v>
      </c>
      <c r="AG119" t="str">
        <f t="shared" si="147"/>
        <v/>
      </c>
      <c r="AI119">
        <f t="shared" si="119"/>
        <v>113</v>
      </c>
      <c r="AJ119" s="27">
        <f t="shared" si="126"/>
        <v>51.004000000000133</v>
      </c>
      <c r="AK119" t="str">
        <f t="shared" si="127"/>
        <v/>
      </c>
      <c r="AL119" t="str">
        <f t="shared" si="128"/>
        <v/>
      </c>
      <c r="AM119" s="70" t="str">
        <f t="shared" si="129"/>
        <v/>
      </c>
      <c r="AN119">
        <f t="shared" si="146"/>
        <v>0</v>
      </c>
    </row>
    <row r="120" spans="1:40" x14ac:dyDescent="0.25">
      <c r="A120" s="3">
        <f>Kontenplan!C122</f>
        <v>0</v>
      </c>
      <c r="B120" s="74">
        <f>Kontenplan!E122</f>
        <v>0</v>
      </c>
      <c r="C120" s="71">
        <f>Kontenplan!F122</f>
        <v>0</v>
      </c>
      <c r="D120" s="27">
        <f>IF(B120=0,0,SUMIF(Journal!$F$7:$F$84,Calc!B120,Journal!$I$7:$I$84))</f>
        <v>0</v>
      </c>
      <c r="E120" s="17">
        <f>IF(B120=0,0,SUMIF(Journal!$G$7:$G$84,Calc!B120,Journal!$I$7:$I$84))</f>
        <v>0</v>
      </c>
      <c r="F120" s="40">
        <f t="shared" si="148"/>
        <v>0</v>
      </c>
      <c r="G120" s="17">
        <f t="shared" si="149"/>
        <v>0</v>
      </c>
      <c r="H120" s="16" t="str">
        <f t="shared" si="150"/>
        <v xml:space="preserve"> </v>
      </c>
      <c r="I120" s="27" t="str">
        <f t="shared" si="151"/>
        <v xml:space="preserve"> </v>
      </c>
      <c r="J120" s="41" t="str">
        <f t="shared" si="152"/>
        <v xml:space="preserve"> </v>
      </c>
      <c r="K120" s="42" t="str">
        <f t="shared" si="153"/>
        <v xml:space="preserve"> </v>
      </c>
      <c r="L120" s="41" t="str">
        <f t="shared" si="154"/>
        <v xml:space="preserve"> </v>
      </c>
      <c r="M120" s="42" t="str">
        <f t="shared" si="155"/>
        <v xml:space="preserve"> </v>
      </c>
      <c r="N120" s="24"/>
      <c r="O120" s="24">
        <f t="shared" si="141"/>
        <v>0</v>
      </c>
      <c r="P120" s="24">
        <f t="shared" si="142"/>
        <v>0</v>
      </c>
      <c r="Q120" s="24"/>
      <c r="S120">
        <f>Kontenplan!R122</f>
        <v>6</v>
      </c>
      <c r="T120">
        <f>Kontenplan!S122</f>
        <v>2</v>
      </c>
      <c r="U120">
        <f>Kontenplan!T122</f>
        <v>2</v>
      </c>
      <c r="V120" s="30">
        <f>Kontenplan!U122</f>
        <v>3</v>
      </c>
      <c r="Z120">
        <f t="shared" si="121"/>
        <v>51.004000000000133</v>
      </c>
      <c r="AA120" t="str">
        <f>IF(OR(Kontenplan!T132-1=Kontenplan!T131,Kontenplan!U132-1=Kontenplan!U131),"T_ER","")</f>
        <v/>
      </c>
      <c r="AB120" t="str">
        <f>CONCATENATE(Kontenplan!D122,Kontenplan!E122," ",Kontenplan!F122)</f>
        <v xml:space="preserve"> </v>
      </c>
      <c r="AC120" s="70" t="str">
        <f t="shared" si="143"/>
        <v/>
      </c>
      <c r="AD120" s="70">
        <f t="shared" si="144"/>
        <v>0</v>
      </c>
      <c r="AE120" s="70">
        <f t="shared" si="145"/>
        <v>0</v>
      </c>
      <c r="AG120" t="str">
        <f t="shared" si="147"/>
        <v/>
      </c>
      <c r="AI120">
        <f t="shared" si="119"/>
        <v>114</v>
      </c>
      <c r="AJ120" s="27">
        <f t="shared" si="126"/>
        <v>51.004000000000133</v>
      </c>
      <c r="AK120" t="str">
        <f t="shared" si="127"/>
        <v/>
      </c>
      <c r="AL120" t="str">
        <f t="shared" si="128"/>
        <v/>
      </c>
      <c r="AM120" s="70" t="str">
        <f t="shared" si="129"/>
        <v/>
      </c>
      <c r="AN120">
        <f t="shared" si="146"/>
        <v>0</v>
      </c>
    </row>
    <row r="121" spans="1:40" x14ac:dyDescent="0.25">
      <c r="A121" s="3">
        <f>Kontenplan!C123</f>
        <v>0</v>
      </c>
      <c r="B121" s="74">
        <f>Kontenplan!E123</f>
        <v>0</v>
      </c>
      <c r="C121" s="71">
        <f>Kontenplan!F123</f>
        <v>0</v>
      </c>
      <c r="D121" s="27">
        <f>IF(B121=0,0,SUMIF(Journal!$F$7:$F$84,Calc!B121,Journal!$I$7:$I$84))</f>
        <v>0</v>
      </c>
      <c r="E121" s="17">
        <f>IF(B121=0,0,SUMIF(Journal!$G$7:$G$84,Calc!B121,Journal!$I$7:$I$84))</f>
        <v>0</v>
      </c>
      <c r="F121" s="40">
        <f t="shared" si="148"/>
        <v>0</v>
      </c>
      <c r="G121" s="17">
        <f t="shared" si="149"/>
        <v>0</v>
      </c>
      <c r="H121" s="16" t="str">
        <f t="shared" si="150"/>
        <v xml:space="preserve"> </v>
      </c>
      <c r="I121" s="27" t="str">
        <f t="shared" si="151"/>
        <v xml:space="preserve"> </v>
      </c>
      <c r="J121" s="41" t="str">
        <f t="shared" si="152"/>
        <v xml:space="preserve"> </v>
      </c>
      <c r="K121" s="42" t="str">
        <f t="shared" si="153"/>
        <v xml:space="preserve"> </v>
      </c>
      <c r="L121" s="41" t="str">
        <f t="shared" si="154"/>
        <v xml:space="preserve"> </v>
      </c>
      <c r="M121" s="42" t="str">
        <f t="shared" si="155"/>
        <v xml:space="preserve"> </v>
      </c>
      <c r="N121" s="24"/>
      <c r="O121" s="24">
        <f t="shared" si="141"/>
        <v>0</v>
      </c>
      <c r="P121" s="24">
        <f t="shared" si="142"/>
        <v>0</v>
      </c>
      <c r="Q121" s="24"/>
      <c r="S121">
        <f>Kontenplan!R123</f>
        <v>6</v>
      </c>
      <c r="T121">
        <f>Kontenplan!S123</f>
        <v>2</v>
      </c>
      <c r="U121">
        <f>Kontenplan!T123</f>
        <v>2</v>
      </c>
      <c r="V121" s="30">
        <f>Kontenplan!U123</f>
        <v>3</v>
      </c>
      <c r="Z121" s="260">
        <f>IF(AND(OR(A120="Passivkonto",A120="Aktivkonto"),OR(A121="Ertragskonto",A121="Aufwandskonto")),1,IF(AND(A121=0,A122=0,A123=0,A124=0,A125=0,A126=0),Z120+0.0001,IF(AND(Z120&lt;1,AA121="T_ER"),1,IF(AND(AA121="T_ER",AA120&lt;&gt;"T_ER"),ROUND(Z120,0)+3,IF(AND(Z120&gt;=1,OR(AB121&lt;&gt;"",AB121&lt;&gt;0)),ROUND(Z120+1,0),Z120+0.0001)))))</f>
        <v>52</v>
      </c>
      <c r="AA121" t="str">
        <f>IF(OR(Kontenplan!T133-1=Kontenplan!T132,Kontenplan!U133-1=Kontenplan!U132),"T_ER","")</f>
        <v/>
      </c>
      <c r="AB121" t="str">
        <f>CONCATENATE(Kontenplan!D123,Kontenplan!E123," ",Kontenplan!F123)</f>
        <v xml:space="preserve"> </v>
      </c>
      <c r="AC121" s="70" t="str">
        <f t="shared" si="143"/>
        <v/>
      </c>
      <c r="AD121" s="70">
        <f t="shared" si="144"/>
        <v>0</v>
      </c>
      <c r="AE121" s="70">
        <f t="shared" si="145"/>
        <v>0</v>
      </c>
      <c r="AG121" t="str">
        <f t="shared" si="147"/>
        <v/>
      </c>
      <c r="AI121">
        <f t="shared" si="119"/>
        <v>115</v>
      </c>
      <c r="AJ121" s="27">
        <f t="shared" si="126"/>
        <v>51.004000000000133</v>
      </c>
      <c r="AK121" t="str">
        <f t="shared" si="127"/>
        <v/>
      </c>
      <c r="AL121" t="str">
        <f t="shared" si="128"/>
        <v/>
      </c>
      <c r="AM121" s="70" t="str">
        <f t="shared" si="129"/>
        <v/>
      </c>
      <c r="AN121">
        <f t="shared" si="146"/>
        <v>0</v>
      </c>
    </row>
    <row r="122" spans="1:40" x14ac:dyDescent="0.25">
      <c r="A122" s="3">
        <f>Kontenplan!C124</f>
        <v>0</v>
      </c>
      <c r="B122" s="74">
        <f>Kontenplan!E124</f>
        <v>0</v>
      </c>
      <c r="C122" s="71">
        <f>Kontenplan!F124</f>
        <v>0</v>
      </c>
      <c r="D122" s="27">
        <f>IF(B122=0,0,SUMIF(Journal!$F$7:$F$84,Calc!B122,Journal!$I$7:$I$84))</f>
        <v>0</v>
      </c>
      <c r="E122" s="17">
        <f>IF(B122=0,0,SUMIF(Journal!$G$7:$G$84,Calc!B122,Journal!$I$7:$I$84))</f>
        <v>0</v>
      </c>
      <c r="F122" s="40">
        <f t="shared" si="148"/>
        <v>0</v>
      </c>
      <c r="G122" s="17">
        <f t="shared" si="149"/>
        <v>0</v>
      </c>
      <c r="H122" s="16" t="str">
        <f t="shared" si="150"/>
        <v xml:space="preserve"> </v>
      </c>
      <c r="I122" s="27" t="str">
        <f t="shared" si="151"/>
        <v xml:space="preserve"> </v>
      </c>
      <c r="J122" s="41" t="str">
        <f t="shared" si="152"/>
        <v xml:space="preserve"> </v>
      </c>
      <c r="K122" s="42" t="str">
        <f t="shared" si="153"/>
        <v xml:space="preserve"> </v>
      </c>
      <c r="L122" s="41" t="str">
        <f t="shared" si="154"/>
        <v xml:space="preserve"> </v>
      </c>
      <c r="M122" s="42" t="str">
        <f t="shared" si="155"/>
        <v xml:space="preserve"> </v>
      </c>
      <c r="N122" s="24"/>
      <c r="O122" s="24">
        <f t="shared" si="141"/>
        <v>0</v>
      </c>
      <c r="P122" s="24">
        <f t="shared" si="142"/>
        <v>0</v>
      </c>
      <c r="Q122" s="24"/>
      <c r="S122">
        <f>Kontenplan!R124</f>
        <v>6</v>
      </c>
      <c r="T122">
        <f>Kontenplan!S124</f>
        <v>2</v>
      </c>
      <c r="U122">
        <f>Kontenplan!T124</f>
        <v>2</v>
      </c>
      <c r="V122" s="30">
        <f>Kontenplan!U124</f>
        <v>3</v>
      </c>
      <c r="Z122" s="260">
        <f t="shared" si="121"/>
        <v>53</v>
      </c>
      <c r="AA122" t="str">
        <f>IF(OR(Kontenplan!T134-1=Kontenplan!T133,Kontenplan!U134-1=Kontenplan!U133),"T_ER","")</f>
        <v/>
      </c>
      <c r="AB122" t="str">
        <f>CONCATENATE(Kontenplan!D124,Kontenplan!E124," ",Kontenplan!F124)</f>
        <v xml:space="preserve"> </v>
      </c>
      <c r="AC122" s="70" t="str">
        <f t="shared" si="143"/>
        <v/>
      </c>
      <c r="AD122" s="70">
        <f t="shared" si="144"/>
        <v>0</v>
      </c>
      <c r="AE122" s="70">
        <f t="shared" si="145"/>
        <v>0</v>
      </c>
      <c r="AG122" t="str">
        <f t="shared" si="147"/>
        <v/>
      </c>
      <c r="AI122">
        <f t="shared" si="119"/>
        <v>116</v>
      </c>
      <c r="AJ122" s="27">
        <f t="shared" si="126"/>
        <v>51.004000000000133</v>
      </c>
      <c r="AK122" t="str">
        <f t="shared" si="127"/>
        <v/>
      </c>
      <c r="AL122" t="str">
        <f t="shared" si="128"/>
        <v/>
      </c>
      <c r="AM122" s="70" t="str">
        <f t="shared" si="129"/>
        <v/>
      </c>
      <c r="AN122">
        <f t="shared" si="146"/>
        <v>0</v>
      </c>
    </row>
    <row r="123" spans="1:40" x14ac:dyDescent="0.25">
      <c r="A123" s="3">
        <f>Kontenplan!C125</f>
        <v>0</v>
      </c>
      <c r="B123" s="74">
        <f>Kontenplan!E125</f>
        <v>0</v>
      </c>
      <c r="C123" s="71">
        <f>Kontenplan!F124</f>
        <v>0</v>
      </c>
      <c r="D123" s="27">
        <f>IF(B123=0,0,SUMIF(Journal!$F$7:$F$84,Calc!B123,Journal!$I$7:$I$84))</f>
        <v>0</v>
      </c>
      <c r="E123" s="17">
        <f>IF(B123=0,0,SUMIF(Journal!$G$7:$G$84,Calc!B123,Journal!$I$7:$I$84))</f>
        <v>0</v>
      </c>
      <c r="F123" s="40">
        <f t="shared" si="148"/>
        <v>0</v>
      </c>
      <c r="G123" s="17">
        <f t="shared" si="149"/>
        <v>0</v>
      </c>
      <c r="H123" s="16" t="str">
        <f t="shared" si="150"/>
        <v xml:space="preserve"> </v>
      </c>
      <c r="I123" s="27" t="str">
        <f t="shared" si="151"/>
        <v xml:space="preserve"> </v>
      </c>
      <c r="J123" s="41" t="str">
        <f t="shared" si="152"/>
        <v xml:space="preserve"> </v>
      </c>
      <c r="K123" s="42" t="str">
        <f t="shared" si="153"/>
        <v xml:space="preserve"> </v>
      </c>
      <c r="L123" s="41" t="str">
        <f t="shared" si="154"/>
        <v xml:space="preserve"> </v>
      </c>
      <c r="M123" s="42" t="str">
        <f t="shared" si="155"/>
        <v xml:space="preserve"> </v>
      </c>
      <c r="N123" s="24"/>
      <c r="O123" s="24">
        <f t="shared" si="141"/>
        <v>0</v>
      </c>
      <c r="P123" s="24">
        <f t="shared" si="142"/>
        <v>0</v>
      </c>
      <c r="Q123" s="24"/>
      <c r="S123">
        <f>Kontenplan!R125</f>
        <v>6</v>
      </c>
      <c r="T123">
        <f>Kontenplan!S125</f>
        <v>2</v>
      </c>
      <c r="U123">
        <f>Kontenplan!T125</f>
        <v>2</v>
      </c>
      <c r="V123" s="30">
        <f>Kontenplan!U125</f>
        <v>3</v>
      </c>
      <c r="Z123" s="260">
        <f t="shared" si="121"/>
        <v>54</v>
      </c>
      <c r="AA123" t="str">
        <f>IF(OR(Kontenplan!T135-1=Kontenplan!T134,Kontenplan!U135-1=Kontenplan!U134),"T_ER","")</f>
        <v/>
      </c>
      <c r="AB123" t="str">
        <f>CONCATENATE(Kontenplan!D125,Kontenplan!E125," ",Kontenplan!F125)</f>
        <v xml:space="preserve"> </v>
      </c>
      <c r="AC123" s="70" t="str">
        <f t="shared" si="143"/>
        <v/>
      </c>
      <c r="AD123" s="70">
        <f t="shared" si="144"/>
        <v>0</v>
      </c>
      <c r="AE123" s="70">
        <f t="shared" si="145"/>
        <v>0</v>
      </c>
      <c r="AG123" t="str">
        <f t="shared" si="147"/>
        <v/>
      </c>
      <c r="AI123">
        <f t="shared" si="119"/>
        <v>117</v>
      </c>
      <c r="AJ123" s="27">
        <f t="shared" si="126"/>
        <v>51.004000000000133</v>
      </c>
      <c r="AK123" t="str">
        <f t="shared" si="127"/>
        <v/>
      </c>
      <c r="AL123" t="str">
        <f t="shared" si="128"/>
        <v/>
      </c>
      <c r="AM123" s="70" t="str">
        <f t="shared" si="129"/>
        <v/>
      </c>
      <c r="AN123">
        <f t="shared" si="146"/>
        <v>0</v>
      </c>
    </row>
    <row r="124" spans="1:40" x14ac:dyDescent="0.25">
      <c r="A124" s="3">
        <f>Kontenplan!C126</f>
        <v>0</v>
      </c>
      <c r="B124" s="74">
        <f>Kontenplan!E126</f>
        <v>0</v>
      </c>
      <c r="C124" s="71">
        <f>Kontenplan!F125</f>
        <v>0</v>
      </c>
      <c r="D124" s="27">
        <f>IF(B124=0,0,SUMIF(Journal!$F$7:$F$84,Calc!B124,Journal!$I$7:$I$84))</f>
        <v>0</v>
      </c>
      <c r="E124" s="17">
        <f>IF(B124=0,0,SUMIF(Journal!$G$7:$G$84,Calc!B124,Journal!$I$7:$I$84))</f>
        <v>0</v>
      </c>
      <c r="F124" s="40">
        <f t="shared" si="148"/>
        <v>0</v>
      </c>
      <c r="G124" s="17">
        <f t="shared" si="149"/>
        <v>0</v>
      </c>
      <c r="H124" s="16" t="str">
        <f t="shared" si="150"/>
        <v xml:space="preserve"> </v>
      </c>
      <c r="I124" s="27" t="str">
        <f t="shared" si="151"/>
        <v xml:space="preserve"> </v>
      </c>
      <c r="J124" s="41" t="str">
        <f t="shared" si="152"/>
        <v xml:space="preserve"> </v>
      </c>
      <c r="K124" s="42" t="str">
        <f t="shared" si="153"/>
        <v xml:space="preserve"> </v>
      </c>
      <c r="L124" s="41" t="str">
        <f t="shared" si="154"/>
        <v xml:space="preserve"> </v>
      </c>
      <c r="M124" s="42" t="str">
        <f t="shared" si="155"/>
        <v xml:space="preserve"> </v>
      </c>
      <c r="N124" s="24"/>
      <c r="O124" s="24">
        <f t="shared" si="141"/>
        <v>0</v>
      </c>
      <c r="P124" s="24">
        <f t="shared" si="142"/>
        <v>0</v>
      </c>
      <c r="Q124" s="24"/>
      <c r="S124">
        <f>Kontenplan!R126</f>
        <v>6</v>
      </c>
      <c r="T124">
        <f>Kontenplan!S126</f>
        <v>2</v>
      </c>
      <c r="U124">
        <f>Kontenplan!T126</f>
        <v>2</v>
      </c>
      <c r="V124" s="30">
        <f>Kontenplan!U126</f>
        <v>3</v>
      </c>
      <c r="AA124" t="str">
        <f>IF(OR(Kontenplan!T136-1=Kontenplan!T135,Kontenplan!U136-1=Kontenplan!U135),"T_ER","")</f>
        <v/>
      </c>
      <c r="AB124" t="str">
        <f>CONCATENATE(Kontenplan!D126,Kontenplan!E126," ",Kontenplan!F126)</f>
        <v xml:space="preserve"> </v>
      </c>
      <c r="AC124" s="70" t="str">
        <f t="shared" si="143"/>
        <v/>
      </c>
      <c r="AD124" s="70">
        <f t="shared" si="144"/>
        <v>0</v>
      </c>
      <c r="AE124" s="70">
        <f t="shared" si="145"/>
        <v>0</v>
      </c>
      <c r="AG124" t="str">
        <f t="shared" si="147"/>
        <v/>
      </c>
      <c r="AI124">
        <f t="shared" si="119"/>
        <v>118</v>
      </c>
      <c r="AJ124" s="27">
        <f t="shared" si="126"/>
        <v>51.004000000000133</v>
      </c>
      <c r="AK124" t="str">
        <f t="shared" si="127"/>
        <v/>
      </c>
      <c r="AL124" t="str">
        <f t="shared" si="128"/>
        <v/>
      </c>
      <c r="AM124" s="70" t="str">
        <f t="shared" si="129"/>
        <v/>
      </c>
      <c r="AN124">
        <f t="shared" si="146"/>
        <v>0</v>
      </c>
    </row>
    <row r="125" spans="1:40" x14ac:dyDescent="0.25">
      <c r="A125" s="3">
        <f>Kontenplan!C127</f>
        <v>0</v>
      </c>
      <c r="B125" s="74">
        <f>Kontenplan!E127</f>
        <v>0</v>
      </c>
      <c r="C125" s="71">
        <f>Kontenplan!F126</f>
        <v>0</v>
      </c>
      <c r="D125" s="27">
        <f>IF(B125=0,0,SUMIF(Journal!$F$7:$F$84,Calc!B125,Journal!$I$7:$I$84))</f>
        <v>0</v>
      </c>
      <c r="E125" s="17">
        <f>IF(B125=0,0,SUMIF(Journal!$G$7:$G$84,Calc!B125,Journal!$I$7:$I$84))</f>
        <v>0</v>
      </c>
      <c r="F125" s="40">
        <f t="shared" si="148"/>
        <v>0</v>
      </c>
      <c r="G125" s="17">
        <f t="shared" si="149"/>
        <v>0</v>
      </c>
      <c r="H125" s="16" t="str">
        <f t="shared" si="150"/>
        <v xml:space="preserve"> </v>
      </c>
      <c r="I125" s="27" t="str">
        <f t="shared" si="151"/>
        <v xml:space="preserve"> </v>
      </c>
      <c r="J125" s="41" t="str">
        <f t="shared" si="152"/>
        <v xml:space="preserve"> </v>
      </c>
      <c r="K125" s="42" t="str">
        <f t="shared" si="153"/>
        <v xml:space="preserve"> </v>
      </c>
      <c r="L125" s="41" t="str">
        <f t="shared" si="154"/>
        <v xml:space="preserve"> </v>
      </c>
      <c r="M125" s="42" t="str">
        <f t="shared" si="155"/>
        <v xml:space="preserve"> </v>
      </c>
      <c r="N125" s="24"/>
      <c r="O125" s="24">
        <f t="shared" si="141"/>
        <v>0</v>
      </c>
      <c r="P125" s="24">
        <f t="shared" si="142"/>
        <v>0</v>
      </c>
      <c r="Q125" s="24"/>
      <c r="S125">
        <f>Kontenplan!R127</f>
        <v>6</v>
      </c>
      <c r="T125">
        <f>Kontenplan!S127</f>
        <v>2</v>
      </c>
      <c r="U125">
        <f>Kontenplan!T127</f>
        <v>2</v>
      </c>
      <c r="V125" s="30">
        <f>Kontenplan!U127</f>
        <v>3</v>
      </c>
      <c r="AA125" t="str">
        <f>IF(OR(Kontenplan!T137-1=Kontenplan!T136,Kontenplan!U137-1=Kontenplan!U136),"T_ER","")</f>
        <v/>
      </c>
      <c r="AB125" t="str">
        <f>CONCATENATE(Kontenplan!D127,Kontenplan!E127," ",Kontenplan!F127)</f>
        <v xml:space="preserve"> </v>
      </c>
      <c r="AC125" s="70" t="str">
        <f t="shared" si="143"/>
        <v/>
      </c>
      <c r="AD125" s="70">
        <f t="shared" si="144"/>
        <v>0</v>
      </c>
      <c r="AE125" s="70">
        <f t="shared" si="145"/>
        <v>0</v>
      </c>
      <c r="AG125" t="str">
        <f t="shared" si="147"/>
        <v/>
      </c>
      <c r="AI125">
        <f t="shared" si="119"/>
        <v>119</v>
      </c>
      <c r="AJ125" s="27">
        <f t="shared" si="126"/>
        <v>51.004000000000133</v>
      </c>
      <c r="AK125" t="str">
        <f t="shared" si="127"/>
        <v/>
      </c>
      <c r="AL125" t="str">
        <f t="shared" si="128"/>
        <v/>
      </c>
      <c r="AM125" s="70" t="str">
        <f t="shared" si="129"/>
        <v/>
      </c>
      <c r="AN125">
        <f t="shared" si="146"/>
        <v>0</v>
      </c>
    </row>
    <row r="126" spans="1:40" x14ac:dyDescent="0.25">
      <c r="A126" s="3" t="str">
        <f>Kontenplan!C128</f>
        <v>Sollten Sie noch mehr Konten/ Zeilen benötigen, schreiben Sie eine E-Mail an vereinsbuchhaltung@bluemail.ch. Sie werden gegen ein kleines Entgelt eine grössere Version erhalten. Bitte nennen Sie die Kundennr., welche Sie im Register Calc in der Druckansicht finden. Zur Druckansicht kommen Sie, indem Sie im Register Calc  Strg.+P / Ctrl.+P betätigen.</v>
      </c>
      <c r="B126" s="74">
        <f>Kontenplan!E128</f>
        <v>0</v>
      </c>
      <c r="C126" s="71">
        <f>Kontenplan!F127</f>
        <v>0</v>
      </c>
      <c r="D126" s="27">
        <f>IF(B126=0,0,SUMIF(Journal!$F$7:$F$84,Calc!B126,Journal!$I$7:$I$84))</f>
        <v>0</v>
      </c>
      <c r="E126" s="17">
        <f>IF(B126=0,0,SUMIF(Journal!$G$7:$G$84,Calc!B126,Journal!$I$7:$I$84))</f>
        <v>0</v>
      </c>
      <c r="F126" s="40">
        <f>IF(D126-E126&gt;0,D126-E126,0)</f>
        <v>0</v>
      </c>
      <c r="G126" s="17">
        <f>IF(E126&gt;D126,E126-D126,0)</f>
        <v>0</v>
      </c>
      <c r="H126" s="16" t="str">
        <f>IF(AND(OR(A126="Aktivkonto",A126="Passivkonto"),F126&gt;0),F126," ")</f>
        <v xml:space="preserve"> </v>
      </c>
      <c r="I126" s="27" t="str">
        <f>IF(AND(OR(A126="Aktivkonto",A126="Passivkonto"),G126&gt;0),G126," ")</f>
        <v xml:space="preserve"> </v>
      </c>
      <c r="J126" s="41" t="str">
        <f>IF(AND(OR(A126="Aufwandskonto",A126="Ertragskonto",A126="Ertragsminderung",A126="a.o.Erfolgskonto"),F126&gt;0),F126," ")</f>
        <v xml:space="preserve"> </v>
      </c>
      <c r="K126" s="42" t="str">
        <f>IF(AND(OR(A126="Aufwandskonto",A126="Ertragskonto",A126="Ertragsminderung",A126="a.o.Erfolgskonto"),G126&gt;0),G126," ")</f>
        <v xml:space="preserve"> </v>
      </c>
      <c r="L126" s="41" t="str">
        <f>H126</f>
        <v xml:space="preserve"> </v>
      </c>
      <c r="M126" s="42" t="str">
        <f>I126</f>
        <v xml:space="preserve"> </v>
      </c>
      <c r="N126" s="24"/>
      <c r="O126" s="24">
        <f t="shared" si="141"/>
        <v>0</v>
      </c>
      <c r="P126" s="24">
        <f t="shared" si="142"/>
        <v>0</v>
      </c>
      <c r="Q126" s="24"/>
      <c r="S126">
        <f>Kontenplan!R128</f>
        <v>6</v>
      </c>
      <c r="T126">
        <f>Kontenplan!S127</f>
        <v>2</v>
      </c>
      <c r="U126">
        <f>Kontenplan!T127</f>
        <v>2</v>
      </c>
      <c r="V126" s="30">
        <f>Kontenplan!U127</f>
        <v>3</v>
      </c>
      <c r="Z126" s="175" t="s">
        <v>153</v>
      </c>
    </row>
    <row r="127" spans="1:40" x14ac:dyDescent="0.25">
      <c r="A127" s="3"/>
      <c r="B127" s="74"/>
      <c r="C127" s="71"/>
      <c r="D127" s="27"/>
      <c r="E127" s="17"/>
      <c r="F127" s="40"/>
      <c r="G127" s="17"/>
      <c r="H127" s="16"/>
      <c r="I127" s="27"/>
      <c r="J127" s="41"/>
      <c r="K127" s="42"/>
      <c r="L127" s="41"/>
      <c r="M127" s="42"/>
      <c r="N127" s="24"/>
      <c r="O127" s="24"/>
      <c r="P127" s="24"/>
      <c r="Q127" s="24"/>
    </row>
    <row r="128" spans="1:40" x14ac:dyDescent="0.25">
      <c r="A128" s="3"/>
      <c r="B128" s="13"/>
      <c r="C128" s="13"/>
      <c r="D128" s="27"/>
      <c r="E128" s="17"/>
      <c r="F128" s="40"/>
      <c r="G128" s="17"/>
      <c r="H128" s="16"/>
      <c r="I128" s="27"/>
      <c r="J128" s="41" t="str">
        <f t="shared" ref="J128:M129" si="156">IF(AND(OR(A128="Aufwandskonto",A128="Ertragskonto",A128="Ertragsminderung",A128="a. o. Erfolgskonto"),F128&gt;0),F128," ")</f>
        <v xml:space="preserve"> </v>
      </c>
      <c r="K128" s="42" t="str">
        <f t="shared" si="156"/>
        <v xml:space="preserve"> </v>
      </c>
      <c r="L128" s="41" t="str">
        <f t="shared" si="156"/>
        <v xml:space="preserve"> </v>
      </c>
      <c r="M128" s="42" t="str">
        <f t="shared" si="156"/>
        <v xml:space="preserve"> </v>
      </c>
      <c r="N128" s="24"/>
      <c r="O128" s="24"/>
      <c r="P128" s="24"/>
      <c r="Q128" s="24"/>
    </row>
    <row r="129" spans="1:17" x14ac:dyDescent="0.25">
      <c r="A129" s="43"/>
      <c r="B129" s="43"/>
      <c r="D129" s="44"/>
      <c r="E129" s="45"/>
      <c r="F129" s="46" t="str">
        <f>IF(D129-E129&gt;0,D129-E129," ")</f>
        <v xml:space="preserve"> </v>
      </c>
      <c r="G129" s="45" t="str">
        <f>IF(E129&gt;D129,E129-D129," ")</f>
        <v xml:space="preserve"> </v>
      </c>
      <c r="H129" s="47"/>
      <c r="I129" s="44"/>
      <c r="J129" s="48" t="str">
        <f t="shared" si="156"/>
        <v xml:space="preserve"> </v>
      </c>
      <c r="K129" s="49" t="str">
        <f t="shared" si="156"/>
        <v xml:space="preserve"> </v>
      </c>
      <c r="L129" s="48" t="str">
        <f t="shared" si="156"/>
        <v xml:space="preserve"> </v>
      </c>
      <c r="M129" s="49" t="str">
        <f t="shared" si="156"/>
        <v xml:space="preserve"> </v>
      </c>
      <c r="N129" s="24"/>
      <c r="O129" s="24"/>
      <c r="P129" s="24"/>
      <c r="Q129" s="24"/>
    </row>
    <row r="130" spans="1:17" ht="13" thickBot="1" x14ac:dyDescent="0.3">
      <c r="D130" s="50">
        <f>SUM(D7:D98)</f>
        <v>40</v>
      </c>
      <c r="E130" s="51">
        <f>SUM(E7:E98)</f>
        <v>40</v>
      </c>
      <c r="F130" s="52">
        <f t="shared" ref="F130:L130" si="157">SUM(F7:F129)</f>
        <v>40</v>
      </c>
      <c r="G130" s="51">
        <f t="shared" si="157"/>
        <v>40</v>
      </c>
      <c r="H130" s="47">
        <f t="shared" si="157"/>
        <v>40</v>
      </c>
      <c r="I130" s="44">
        <f t="shared" si="157"/>
        <v>40</v>
      </c>
      <c r="J130" s="53">
        <f t="shared" si="157"/>
        <v>0</v>
      </c>
      <c r="K130" s="54">
        <f t="shared" si="157"/>
        <v>0</v>
      </c>
      <c r="L130" s="55">
        <f t="shared" si="157"/>
        <v>40</v>
      </c>
      <c r="M130" s="56">
        <f>SUM(M7:M129)-K131</f>
        <v>40</v>
      </c>
    </row>
    <row r="131" spans="1:17" ht="13" thickTop="1" x14ac:dyDescent="0.25">
      <c r="C131" t="str">
        <f>IF(K131&gt;0,"Verlust","Gewinn")</f>
        <v>Gewinn</v>
      </c>
      <c r="F131" s="27"/>
      <c r="G131" s="27"/>
      <c r="H131" s="57">
        <f>IF(I130-H130&gt;(-1),I130-H130,0)</f>
        <v>0</v>
      </c>
      <c r="I131" s="27">
        <f>IF(H130-I130&gt;(-1),H130-I130,0)</f>
        <v>0</v>
      </c>
      <c r="J131" s="58">
        <f>IF(J130-K130&lt;1,K130-J130,0)</f>
        <v>0</v>
      </c>
      <c r="K131" s="24">
        <f>IF(K130-J130&lt;1,J130-K130,0)</f>
        <v>0</v>
      </c>
      <c r="L131" s="24"/>
      <c r="M131" s="24"/>
    </row>
    <row r="132" spans="1:17" ht="13" thickBot="1" x14ac:dyDescent="0.3">
      <c r="F132" s="27"/>
      <c r="G132" s="27"/>
      <c r="H132" s="59">
        <f>SUM(H130:H131)</f>
        <v>40</v>
      </c>
      <c r="I132" s="60">
        <f>SUM(I130:I131)</f>
        <v>40</v>
      </c>
      <c r="J132" s="55">
        <f>SUM(J130:J131)</f>
        <v>0</v>
      </c>
      <c r="K132" s="56">
        <f>SUM(K130:K131)</f>
        <v>0</v>
      </c>
      <c r="L132" s="24"/>
      <c r="M132" s="24"/>
    </row>
    <row r="133" spans="1:17" ht="13" thickTop="1" x14ac:dyDescent="0.25">
      <c r="F133" s="27"/>
      <c r="G133" s="27"/>
      <c r="H133" s="27"/>
      <c r="I133" s="27"/>
      <c r="J133" s="24"/>
      <c r="K133" s="24"/>
      <c r="L133" s="24"/>
      <c r="M133" s="24"/>
    </row>
    <row r="134" spans="1:17" x14ac:dyDescent="0.25">
      <c r="F134" s="27"/>
      <c r="G134" s="27"/>
      <c r="H134" s="27"/>
      <c r="I134" s="27"/>
      <c r="J134" s="24"/>
      <c r="K134" s="24"/>
      <c r="L134" s="24"/>
      <c r="M134" s="24"/>
    </row>
    <row r="135" spans="1:17" x14ac:dyDescent="0.25">
      <c r="G135" s="166" t="s">
        <v>142</v>
      </c>
      <c r="H135" s="160"/>
      <c r="M135" t="s">
        <v>39</v>
      </c>
      <c r="N135" t="s">
        <v>31</v>
      </c>
      <c r="P135" s="13" t="s">
        <v>43</v>
      </c>
    </row>
    <row r="136" spans="1:17" x14ac:dyDescent="0.25">
      <c r="B136" s="166" t="s">
        <v>144</v>
      </c>
      <c r="G136" s="67" t="s">
        <v>88</v>
      </c>
      <c r="H136" s="173" t="s">
        <v>143</v>
      </c>
      <c r="I136" s="67">
        <f>LEN(H136)</f>
        <v>12</v>
      </c>
      <c r="J136" s="135" t="s">
        <v>89</v>
      </c>
      <c r="K136" s="135">
        <f>IF(AND(N136=46.3,OR(H$136=P136,M136=1)),1,0)</f>
        <v>1</v>
      </c>
      <c r="L136" s="135"/>
      <c r="M136" s="135">
        <f>IF(OR(Bilanz!C3=Bilanz!K7,Bilanz!C3=Bilanz!K8),1,0)</f>
        <v>1</v>
      </c>
      <c r="N136" s="135">
        <f>HLOOKUP(46,Bilanz!Z3:AA48,46)</f>
        <v>46.3</v>
      </c>
      <c r="O136" s="232"/>
      <c r="P136" s="135" t="str">
        <f>LEFT(Q136,I$136)</f>
        <v>Bitte Verein</v>
      </c>
      <c r="Q136" s="136" t="str">
        <f>Bilanz!C3</f>
        <v>Bitte Vereins-/Firmennamen im Register Journal eingeben</v>
      </c>
    </row>
    <row r="137" spans="1:17" ht="13" x14ac:dyDescent="0.3">
      <c r="B137" s="13" t="s">
        <v>122</v>
      </c>
      <c r="G137" s="13" t="s">
        <v>90</v>
      </c>
      <c r="H137" s="149">
        <f>IF(N138=3016,1,0)</f>
        <v>1</v>
      </c>
      <c r="I137" s="13"/>
      <c r="J137" s="186" t="s">
        <v>201</v>
      </c>
      <c r="K137" s="135">
        <f>IF(AND(N137=33.2,OR(H$136=P137,M137=1)),1,0)</f>
        <v>1</v>
      </c>
      <c r="L137" s="135"/>
      <c r="M137" s="135" cm="1">
        <f t="array" ref="M137">IF(OR('Budget und ER'!C3:I3='Budget und ER'!R7,'Budget und ER'!C3:I3='Budget und ER'!R8),1,0)</f>
        <v>1</v>
      </c>
      <c r="N137" s="135">
        <f>HLOOKUP(33,'Budget und ER'!M2:N34,33)</f>
        <v>33.200000000000003</v>
      </c>
      <c r="O137" s="232"/>
      <c r="P137" s="135" t="str">
        <f>LEFT(Q137,I$136)</f>
        <v>Bitte Verein</v>
      </c>
      <c r="Q137" s="135" t="str">
        <f>'Budget und ER'!C3</f>
        <v>Bitte Vereins-/Firmennamen im Register Journal eingeben</v>
      </c>
    </row>
    <row r="138" spans="1:17" x14ac:dyDescent="0.25">
      <c r="G138" s="13" t="s">
        <v>91</v>
      </c>
      <c r="H138" s="13">
        <v>0</v>
      </c>
      <c r="I138" s="13"/>
      <c r="J138" s="228" t="s">
        <v>202</v>
      </c>
      <c r="K138" s="229">
        <v>1</v>
      </c>
      <c r="L138" s="229"/>
      <c r="M138" s="229"/>
      <c r="N138" s="229">
        <f>HLOOKUP(3000,Journal!P4:P89,86)</f>
        <v>3016</v>
      </c>
      <c r="O138" s="229"/>
      <c r="P138" s="229" t="str">
        <f>Journal!D1</f>
        <v>Hier Vereins-/ oder Firmennamen eingeben</v>
      </c>
      <c r="Q138" s="229"/>
    </row>
    <row r="139" spans="1:17" x14ac:dyDescent="0.25">
      <c r="B139" s="166" t="s">
        <v>222</v>
      </c>
      <c r="G139" s="13"/>
      <c r="H139" s="13" t="str">
        <f ca="1">IF(H137=0,H141,IF(I144-90&lt;I145,H142,""))</f>
        <v/>
      </c>
      <c r="I139" s="13"/>
      <c r="J139" s="13"/>
      <c r="K139" s="13"/>
      <c r="L139" s="13"/>
      <c r="M139" s="13"/>
      <c r="N139" s="13"/>
      <c r="O139" s="13"/>
      <c r="P139" s="13"/>
      <c r="Q139" s="13"/>
    </row>
    <row r="140" spans="1:17" x14ac:dyDescent="0.25">
      <c r="B140" t="str">
        <f>H144</f>
        <v>Lizenz gilt bis:</v>
      </c>
      <c r="C140" s="120">
        <f>I144</f>
        <v>46811</v>
      </c>
      <c r="J140" s="67"/>
      <c r="K140" s="67"/>
      <c r="L140" s="67"/>
      <c r="M140" s="67"/>
    </row>
    <row r="141" spans="1:17" x14ac:dyDescent="0.25">
      <c r="B141" s="166" t="s">
        <v>141</v>
      </c>
      <c r="H141" s="150" t="s">
        <v>93</v>
      </c>
      <c r="I141" s="151"/>
    </row>
    <row r="142" spans="1:17" ht="13" x14ac:dyDescent="0.3">
      <c r="B142" s="11" t="s">
        <v>225</v>
      </c>
      <c r="C142" s="11" t="s">
        <v>250</v>
      </c>
      <c r="H142" s="150" t="s">
        <v>123</v>
      </c>
      <c r="I142" s="151"/>
    </row>
    <row r="143" spans="1:17" x14ac:dyDescent="0.25">
      <c r="H143" s="151"/>
      <c r="I143" s="151"/>
    </row>
    <row r="144" spans="1:17" x14ac:dyDescent="0.25">
      <c r="H144" s="150" t="s">
        <v>124</v>
      </c>
      <c r="I144" s="152">
        <v>46811</v>
      </c>
    </row>
    <row r="145" spans="2:9" x14ac:dyDescent="0.25">
      <c r="H145" s="151"/>
      <c r="I145" s="153">
        <f ca="1">TODAY()</f>
        <v>46072</v>
      </c>
    </row>
    <row r="147" spans="2:9" x14ac:dyDescent="0.25">
      <c r="B147" t="s">
        <v>29</v>
      </c>
    </row>
    <row r="148" spans="2:9" x14ac:dyDescent="0.25">
      <c r="C148" t="s">
        <v>30</v>
      </c>
    </row>
    <row r="149" spans="2:9" x14ac:dyDescent="0.25">
      <c r="C149" t="s">
        <v>24</v>
      </c>
    </row>
    <row r="150" spans="2:9" x14ac:dyDescent="0.25">
      <c r="C150" t="s">
        <v>25</v>
      </c>
    </row>
    <row r="151" spans="2:9" x14ac:dyDescent="0.25">
      <c r="B151" t="s">
        <v>23</v>
      </c>
    </row>
    <row r="152" spans="2:9" x14ac:dyDescent="0.25">
      <c r="C152" t="s">
        <v>19</v>
      </c>
    </row>
    <row r="153" spans="2:9" x14ac:dyDescent="0.25">
      <c r="C153" t="s">
        <v>20</v>
      </c>
    </row>
    <row r="154" spans="2:9" x14ac:dyDescent="0.25">
      <c r="C154" t="s">
        <v>21</v>
      </c>
    </row>
    <row r="155" spans="2:9" x14ac:dyDescent="0.25">
      <c r="C155" t="s">
        <v>22</v>
      </c>
    </row>
    <row r="156" spans="2:9" x14ac:dyDescent="0.25">
      <c r="C156" t="s">
        <v>125</v>
      </c>
    </row>
    <row r="157" spans="2:9" x14ac:dyDescent="0.25">
      <c r="C157" t="s">
        <v>26</v>
      </c>
    </row>
    <row r="158" spans="2:9" x14ac:dyDescent="0.25">
      <c r="C158" t="s">
        <v>32</v>
      </c>
    </row>
    <row r="159" spans="2:9" x14ac:dyDescent="0.25">
      <c r="B159" s="13" t="s">
        <v>126</v>
      </c>
    </row>
    <row r="160" spans="2:9" x14ac:dyDescent="0.25">
      <c r="C160" s="150" t="s">
        <v>127</v>
      </c>
      <c r="D160" s="151"/>
      <c r="E160" s="151"/>
      <c r="F160" s="151"/>
      <c r="G160" s="151"/>
    </row>
    <row r="162" spans="2:3" x14ac:dyDescent="0.25">
      <c r="B162" s="160" t="s">
        <v>131</v>
      </c>
      <c r="C162" s="160"/>
    </row>
    <row r="163" spans="2:3" ht="13" x14ac:dyDescent="0.3">
      <c r="C163" s="11" t="s">
        <v>198</v>
      </c>
    </row>
    <row r="164" spans="2:3" x14ac:dyDescent="0.25">
      <c r="C164" s="166" t="s">
        <v>132</v>
      </c>
    </row>
    <row r="165" spans="2:3" x14ac:dyDescent="0.25">
      <c r="C165" t="s">
        <v>133</v>
      </c>
    </row>
    <row r="166" spans="2:3" x14ac:dyDescent="0.25">
      <c r="C166" s="166" t="s">
        <v>139</v>
      </c>
    </row>
    <row r="167" spans="2:3" x14ac:dyDescent="0.25">
      <c r="C167" s="166" t="s">
        <v>140</v>
      </c>
    </row>
    <row r="168" spans="2:3" x14ac:dyDescent="0.25">
      <c r="C168" s="166" t="s">
        <v>146</v>
      </c>
    </row>
    <row r="169" spans="2:3" x14ac:dyDescent="0.25">
      <c r="C169" s="166" t="s">
        <v>147</v>
      </c>
    </row>
    <row r="170" spans="2:3" x14ac:dyDescent="0.25">
      <c r="C170" s="166" t="s">
        <v>148</v>
      </c>
    </row>
    <row r="171" spans="2:3" x14ac:dyDescent="0.25">
      <c r="C171" s="166" t="s">
        <v>175</v>
      </c>
    </row>
    <row r="172" spans="2:3" x14ac:dyDescent="0.25">
      <c r="C172" s="166" t="s">
        <v>197</v>
      </c>
    </row>
    <row r="174" spans="2:3" x14ac:dyDescent="0.25">
      <c r="B174" t="s">
        <v>128</v>
      </c>
    </row>
    <row r="176" spans="2:3" x14ac:dyDescent="0.25">
      <c r="B176" t="s">
        <v>129</v>
      </c>
    </row>
    <row r="177" spans="2:3" x14ac:dyDescent="0.25">
      <c r="C177" t="s">
        <v>130</v>
      </c>
    </row>
    <row r="178" spans="2:3" x14ac:dyDescent="0.25">
      <c r="C178" s="166" t="s">
        <v>176</v>
      </c>
    </row>
    <row r="179" spans="2:3" x14ac:dyDescent="0.25">
      <c r="C179" s="166" t="s">
        <v>138</v>
      </c>
    </row>
    <row r="180" spans="2:3" x14ac:dyDescent="0.25">
      <c r="C180" s="166" t="s">
        <v>204</v>
      </c>
    </row>
    <row r="181" spans="2:3" x14ac:dyDescent="0.25">
      <c r="C181" s="166" t="s">
        <v>205</v>
      </c>
    </row>
    <row r="182" spans="2:3" x14ac:dyDescent="0.25">
      <c r="C182" s="166" t="s">
        <v>206</v>
      </c>
    </row>
    <row r="192" spans="2:3" x14ac:dyDescent="0.25">
      <c r="B192" t="s">
        <v>27</v>
      </c>
    </row>
    <row r="193" spans="3:3" x14ac:dyDescent="0.25">
      <c r="C193" t="s">
        <v>28</v>
      </c>
    </row>
  </sheetData>
  <sheetProtection algorithmName="SHA-512" hashValue="8ezCxI8/WEVXFgRXm+2xZ0sHmKw7f9S9QW0ZOLf0CLX6QjfZifrLAPaTWWnoKPUPU7l5gKS6+x+/DJsNE4LfMQ==" saltValue="YLoqf+kWp+iF5A4WVtuV5w==" spinCount="100000" sheet="1" selectLockedCells="1" selectUnlockedCells="1"/>
  <mergeCells count="6">
    <mergeCell ref="D1:H2"/>
    <mergeCell ref="L5:M5"/>
    <mergeCell ref="D5:E5"/>
    <mergeCell ref="F5:G5"/>
    <mergeCell ref="H5:I5"/>
    <mergeCell ref="J5:K5"/>
  </mergeCells>
  <phoneticPr fontId="6" type="noConversion"/>
  <pageMargins left="0.78740157499999996" right="0.78740157499999996" top="0.984251969" bottom="0.984251969" header="0.4921259845" footer="0.492125984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418A8-863E-4259-B90F-D173E997B79F}">
  <sheetPr>
    <pageSetUpPr fitToPage="1"/>
  </sheetPr>
  <dimension ref="A1:AK155"/>
  <sheetViews>
    <sheetView topLeftCell="C1" zoomScale="85" zoomScaleNormal="85" workbookViewId="0">
      <pane ySplit="5" topLeftCell="A6" activePane="bottomLeft" state="frozen"/>
      <selection pane="bottomLeft" activeCell="F1" sqref="F1"/>
    </sheetView>
  </sheetViews>
  <sheetFormatPr baseColWidth="10" defaultRowHeight="12.5" x14ac:dyDescent="0.25"/>
  <cols>
    <col min="1" max="2" width="7.7265625" hidden="1" customWidth="1"/>
    <col min="3" max="3" width="71.6328125" customWidth="1"/>
    <col min="4" max="6" width="14.90625" customWidth="1"/>
    <col min="7" max="7" width="58.7265625" customWidth="1"/>
    <col min="8" max="8" width="5.08984375" hidden="1" customWidth="1"/>
    <col min="9" max="9" width="12.1796875" hidden="1" customWidth="1"/>
    <col min="10" max="10" width="17.453125" hidden="1" customWidth="1"/>
    <col min="11" max="11" width="11.453125" hidden="1" customWidth="1"/>
    <col min="12" max="12" width="6.6328125" hidden="1" customWidth="1"/>
    <col min="13" max="19" width="11.453125" hidden="1" customWidth="1"/>
    <col min="20" max="20" width="5.26953125" hidden="1" customWidth="1"/>
    <col min="21" max="21" width="11.453125" hidden="1" customWidth="1"/>
    <col min="22" max="23" width="6.54296875" hidden="1" customWidth="1"/>
    <col min="24" max="24" width="11.453125" hidden="1" customWidth="1"/>
    <col min="25" max="25" width="19.26953125" hidden="1" customWidth="1"/>
    <col min="26" max="26" width="11.453125" hidden="1" customWidth="1"/>
    <col min="27" max="27" width="14.7265625" hidden="1" customWidth="1"/>
    <col min="28" max="28" width="7.36328125" hidden="1" customWidth="1"/>
    <col min="29" max="29" width="8.453125" customWidth="1"/>
    <col min="30" max="30" width="11.453125" customWidth="1"/>
    <col min="31" max="32" width="7.81640625" customWidth="1"/>
    <col min="33" max="33" width="11.453125" customWidth="1"/>
    <col min="34" max="34" width="12.26953125" customWidth="1"/>
    <col min="35" max="35" width="47.26953125" customWidth="1"/>
    <col min="36" max="36" width="4.08984375" style="195" customWidth="1"/>
    <col min="37" max="37" width="65.08984375" customWidth="1"/>
  </cols>
  <sheetData>
    <row r="1" spans="1:37" ht="131.5" customHeight="1" x14ac:dyDescent="0.25">
      <c r="C1" s="294" t="s">
        <v>168</v>
      </c>
      <c r="D1" s="295"/>
      <c r="E1" s="250" t="s">
        <v>223</v>
      </c>
      <c r="F1" s="206"/>
      <c r="J1" s="216" t="str">
        <f>CONCATENATE("in Calc berechneter ",Q4)</f>
        <v>in Calc berechneter Gewinn</v>
      </c>
      <c r="K1" s="218">
        <f>R4</f>
        <v>0</v>
      </c>
      <c r="AC1" s="298" t="str">
        <f>IF(Journal!L1="Status ok",Bilanz!K11,Bilanz!K10)</f>
        <v>Eröffnungsbuchungen für Folgegeschäftsjahr
- Auf Feld AC6 können Sie die Belegnr. für alle verändern (Beleg ist ausgedruckte Bilanz dieser Seite). In Feld AD6 können Sie das Datum verändern. Buchungssätze wenn nötig, erst nach Übertrag in neues Geschäftsjahr verändern.
- Folgejahr eröffnen: Legen Sie zunächst  eine Kopie dieses Excel-Files an und benennen Sie es nach dem Folgejahr. Löschen Sie alle Buchungssätze in der angefertigen Folgejahres-Kopie und kehren Sie in diese Datei zurück. Die Buchungssätze ab Zeile 6 können mittels Copy und 'Werte einfügen' (Start, Dreieck unterhalb Schaltfläche 'Einfügen' wählen und dann Schaltfläche mit Zahlen 123 wählen) ins Journal des folgenden Geschäftsjahr übertragen werden. Voraussetzung dafür ist, dass derselbe Kontenplan wie dieser Datei verwendet wird.</v>
      </c>
      <c r="AD1" s="295"/>
      <c r="AE1" s="295"/>
      <c r="AF1" s="295"/>
      <c r="AG1" s="295"/>
      <c r="AH1" s="295"/>
      <c r="AI1" s="295"/>
    </row>
    <row r="2" spans="1:37" ht="25" customHeight="1" x14ac:dyDescent="0.25">
      <c r="J2" s="216" t="s">
        <v>170</v>
      </c>
      <c r="K2" s="218">
        <f>SUM(I9:I101)</f>
        <v>0</v>
      </c>
      <c r="AC2" s="299" t="s">
        <v>12</v>
      </c>
      <c r="AD2" s="300"/>
      <c r="AE2" s="161">
        <v>9999</v>
      </c>
      <c r="AF2" s="162"/>
      <c r="AG2" s="301" t="s">
        <v>137</v>
      </c>
      <c r="AH2" s="300"/>
      <c r="AI2" s="161">
        <v>2990</v>
      </c>
      <c r="AK2" s="163" t="str">
        <f>IF(AND(Kontenplan!E13="",Kontenplan!E14="",Kontenplan!E15="",Kontenplan!E16=""),"",IF(AI2="","&lt;== Bitte eine passende Passivkontonummer eingeben",IF(VLOOKUP(AI2,Kontenplan!E9:E100,1)&lt;&gt;AI2,"&lt;== Bitte Passivkontonummer eingeben, die in Kontenplan aufgeführt ist.","")))</f>
        <v/>
      </c>
    </row>
    <row r="3" spans="1:37" ht="31.5" customHeight="1" x14ac:dyDescent="0.3">
      <c r="C3" s="61" t="str">
        <f>IF(K4&lt;&gt;"Status ok",K8,IF(Calc!J2="",K7,CONCATENATE(Journal!D1,": Bilanz per")))</f>
        <v>Bitte Vereins-/Firmennamen im Register Journal eingeben</v>
      </c>
      <c r="D3" s="251">
        <f ca="1">IF(K4&lt;&gt;"Status ok","",IF(F1="",TODAY(),F1))</f>
        <v>46072</v>
      </c>
      <c r="E3" s="61"/>
      <c r="F3" s="61"/>
      <c r="J3" s="219" t="s">
        <v>172</v>
      </c>
      <c r="K3" s="217" t="str">
        <f>IF(K1=ABS(K2),"Status ok","Fehler")</f>
        <v>Status ok</v>
      </c>
      <c r="M3" s="214" t="s">
        <v>11</v>
      </c>
      <c r="N3" s="207"/>
      <c r="O3" s="207"/>
      <c r="P3" s="207"/>
      <c r="Q3" s="207"/>
      <c r="R3" s="207"/>
      <c r="S3" s="207"/>
      <c r="T3" s="207"/>
      <c r="U3" s="207"/>
      <c r="V3" s="207"/>
      <c r="W3" s="207"/>
      <c r="X3" s="207"/>
      <c r="Y3" s="207"/>
      <c r="Z3">
        <v>1</v>
      </c>
      <c r="AA3">
        <v>1.3</v>
      </c>
      <c r="AC3" s="282" t="s">
        <v>86</v>
      </c>
      <c r="AD3" s="292" t="s">
        <v>62</v>
      </c>
      <c r="AE3" s="286" t="s">
        <v>63</v>
      </c>
      <c r="AF3" s="286"/>
      <c r="AG3" s="158" t="s">
        <v>94</v>
      </c>
      <c r="AH3" s="292" t="s">
        <v>64</v>
      </c>
      <c r="AI3" s="292" t="s">
        <v>65</v>
      </c>
    </row>
    <row r="4" spans="1:37" ht="14" x14ac:dyDescent="0.25">
      <c r="C4" s="205"/>
      <c r="D4" s="205"/>
      <c r="E4" s="205"/>
      <c r="F4" s="205"/>
      <c r="J4" s="215" t="s">
        <v>171</v>
      </c>
      <c r="K4" s="215" t="str">
        <f>Calc!M1</f>
        <v>Status ok</v>
      </c>
      <c r="M4" s="13" t="s">
        <v>13</v>
      </c>
      <c r="O4">
        <f>ROUND(U101,0)</f>
        <v>23</v>
      </c>
      <c r="Q4" t="str">
        <f>IF(Calc!H131&lt;&gt;0,"Verlust","Gewinn")</f>
        <v>Gewinn</v>
      </c>
      <c r="R4">
        <f>IF(Q4="Verlust",Calc!H131,Calc!I131)</f>
        <v>0</v>
      </c>
      <c r="Z4">
        <v>2</v>
      </c>
      <c r="AA4">
        <v>2.2999999999999998</v>
      </c>
      <c r="AC4" s="283"/>
      <c r="AD4" s="293"/>
      <c r="AE4" s="78" t="s">
        <v>66</v>
      </c>
      <c r="AF4" s="78" t="s">
        <v>67</v>
      </c>
      <c r="AG4" s="158" t="s">
        <v>38</v>
      </c>
      <c r="AH4" s="293"/>
      <c r="AI4" s="293"/>
      <c r="AK4" s="166" t="s">
        <v>227</v>
      </c>
    </row>
    <row r="5" spans="1:37" ht="24.5" customHeight="1" x14ac:dyDescent="0.25">
      <c r="A5" s="174" t="s">
        <v>157</v>
      </c>
      <c r="B5" s="174" t="s">
        <v>158</v>
      </c>
      <c r="C5" s="174"/>
      <c r="D5" s="174" t="str">
        <f>CONCATENATE("Ist ",Journal!D2)</f>
        <v>Ist 20XX</v>
      </c>
      <c r="E5" s="190" t="s">
        <v>83</v>
      </c>
      <c r="F5" s="190" t="s">
        <v>159</v>
      </c>
      <c r="J5" t="str">
        <f>CONCATENATE("Subtotal ",E5)</f>
        <v>Subtotal Ist Vorjahr</v>
      </c>
      <c r="K5" t="s">
        <v>15</v>
      </c>
      <c r="M5" s="211" t="s">
        <v>169</v>
      </c>
      <c r="N5" s="212"/>
      <c r="O5" s="212"/>
      <c r="P5" s="212"/>
      <c r="Q5" s="212"/>
      <c r="R5" s="212"/>
      <c r="S5" s="212"/>
      <c r="U5" s="166" t="s">
        <v>167</v>
      </c>
      <c r="V5" s="166" t="s">
        <v>66</v>
      </c>
      <c r="W5" s="166" t="s">
        <v>67</v>
      </c>
      <c r="X5" s="166" t="s">
        <v>64</v>
      </c>
      <c r="Y5" s="166" t="s">
        <v>65</v>
      </c>
      <c r="Z5">
        <v>3</v>
      </c>
      <c r="AA5">
        <v>3.3</v>
      </c>
    </row>
    <row r="6" spans="1:37" ht="16.5" customHeight="1" x14ac:dyDescent="0.3">
      <c r="A6" s="198"/>
      <c r="B6" s="199"/>
      <c r="C6" s="62"/>
      <c r="D6" s="64"/>
      <c r="E6" s="63"/>
      <c r="F6" s="63"/>
      <c r="K6" s="11"/>
      <c r="M6" s="212"/>
      <c r="N6" s="212"/>
      <c r="O6" s="213" t="s">
        <v>72</v>
      </c>
      <c r="P6" s="296" t="s">
        <v>73</v>
      </c>
      <c r="Q6" s="297"/>
      <c r="R6" s="296" t="s">
        <v>74</v>
      </c>
      <c r="S6" s="297"/>
      <c r="X6" s="70"/>
      <c r="Z6" s="1">
        <v>4</v>
      </c>
      <c r="AA6" s="1">
        <v>4.3</v>
      </c>
      <c r="AB6">
        <v>0</v>
      </c>
      <c r="AC6" s="223">
        <v>1</v>
      </c>
      <c r="AD6" s="222">
        <v>46023</v>
      </c>
      <c r="AE6" s="208">
        <f>IF(Q4="Verlust",AI2,AE2)</f>
        <v>9999</v>
      </c>
      <c r="AF6" s="208">
        <f>IF(Q4="Verlust",AE2,AI2)</f>
        <v>2990</v>
      </c>
      <c r="AG6" s="208"/>
      <c r="AH6" s="209">
        <f>R4</f>
        <v>0</v>
      </c>
      <c r="AI6" s="210" t="str">
        <f>CONCATENATE("Verbuchung ",Q4," Vorjahr")</f>
        <v>Verbuchung Gewinn Vorjahr</v>
      </c>
    </row>
    <row r="7" spans="1:37" ht="16.5" customHeight="1" x14ac:dyDescent="0.3">
      <c r="A7" s="198"/>
      <c r="B7" s="199"/>
      <c r="C7" s="202" t="s">
        <v>149</v>
      </c>
      <c r="D7" s="203"/>
      <c r="E7" s="204"/>
      <c r="F7" s="204"/>
      <c r="J7">
        <f>IF(OR(C7="Bilanzsumme",B7="Sub"),0,J6+E7)</f>
        <v>0</v>
      </c>
      <c r="K7" s="166" t="s">
        <v>42</v>
      </c>
      <c r="M7">
        <f>Calc!A7</f>
        <v>0</v>
      </c>
      <c r="N7">
        <f>Calc!B7</f>
        <v>0</v>
      </c>
      <c r="O7">
        <f>Calc!C7</f>
        <v>0</v>
      </c>
      <c r="P7">
        <f>Calc!D7</f>
        <v>0</v>
      </c>
      <c r="Q7">
        <f>Calc!E7</f>
        <v>0</v>
      </c>
      <c r="R7">
        <f>Calc!F7</f>
        <v>0</v>
      </c>
      <c r="S7">
        <f>Calc!G7</f>
        <v>0</v>
      </c>
      <c r="U7">
        <f>IF(V7="",U6+0.0001,ROUND(U6+1,0))</f>
        <v>1E-4</v>
      </c>
      <c r="V7" t="str">
        <f t="shared" ref="V7:V38" si="0">IF(M7="Passivkonto",$AE$2,IF(M7="Aktivkonto",N7,""))</f>
        <v/>
      </c>
      <c r="W7" t="str">
        <f t="shared" ref="W7:W20" si="1">IF(M7="Passivkonto",N7,IF(V7="","",$AE$2))</f>
        <v/>
      </c>
      <c r="X7" s="70" t="str">
        <f>IF(V7="","",IF(M7="Aktivkonto",P7-Q7,IF(M7="Passivkonto",Q7-P7)))</f>
        <v/>
      </c>
      <c r="Y7" t="str">
        <f>IF(V7="","",CONCATENATE("Eröffnung ",O7))</f>
        <v/>
      </c>
      <c r="Z7">
        <v>5</v>
      </c>
      <c r="AA7">
        <v>5.3</v>
      </c>
      <c r="AB7">
        <v>1</v>
      </c>
      <c r="AC7" s="169">
        <f t="shared" ref="AC7:AC38" si="2">IF(AB7&gt;$O$4,"",AC6)</f>
        <v>1</v>
      </c>
      <c r="AD7" s="170">
        <f t="shared" ref="AD7:AD38" si="3">IF(AB7&gt;$O$4,"",AD6)</f>
        <v>46023</v>
      </c>
      <c r="AE7" s="168">
        <f t="shared" ref="AE7:AE38" si="4">VLOOKUP($AB7,$U$7:$Y$119,2)</f>
        <v>1000</v>
      </c>
      <c r="AF7" s="168">
        <f t="shared" ref="AF7:AF38" si="5">VLOOKUP($AB7,$U$7:$Y$119,3)</f>
        <v>9999</v>
      </c>
      <c r="AG7" s="168"/>
      <c r="AH7" s="171">
        <f t="shared" ref="AH7:AH38" si="6">VLOOKUP($AB7,$U$7:$Y$119,4)</f>
        <v>40</v>
      </c>
      <c r="AI7" s="168" t="str">
        <f t="shared" ref="AI7:AI38" si="7">VLOOKUP($AB7,$U$7:$Y$119,5)</f>
        <v>Eröffnung Kasse</v>
      </c>
      <c r="AK7" t="str">
        <f>IF(AH7=0,"Falls dieses Konto nicht mehr genutzt wird, kann es im Folgejahr aus dem Kontenplan gelöscht werden. Beachten Sie dazu die Hilfelinks","")</f>
        <v/>
      </c>
    </row>
    <row r="8" spans="1:37" ht="16.5" customHeight="1" x14ac:dyDescent="0.3">
      <c r="A8" s="198"/>
      <c r="B8" s="199"/>
      <c r="C8" s="200"/>
      <c r="D8" s="201"/>
      <c r="E8" s="200"/>
      <c r="F8" s="200"/>
      <c r="J8">
        <f t="shared" ref="J8:J71" si="8">IF(OR(C8="Bilanzsumme",B8="Sub"),0,J7+E8)</f>
        <v>0</v>
      </c>
      <c r="K8" s="13" t="s">
        <v>209</v>
      </c>
      <c r="M8">
        <f>Calc!A8</f>
        <v>0</v>
      </c>
      <c r="N8">
        <f>Calc!B8</f>
        <v>0</v>
      </c>
      <c r="O8">
        <f>Calc!C8</f>
        <v>0</v>
      </c>
      <c r="P8">
        <f>Calc!D8</f>
        <v>0</v>
      </c>
      <c r="Q8">
        <f>Calc!E8</f>
        <v>0</v>
      </c>
      <c r="R8">
        <f>Calc!F8</f>
        <v>0</v>
      </c>
      <c r="S8">
        <f>Calc!G8</f>
        <v>0</v>
      </c>
      <c r="U8">
        <f>IF(V8="",U7+0.0001,ROUND(U7+1,0))</f>
        <v>2.0000000000000001E-4</v>
      </c>
      <c r="V8" t="str">
        <f t="shared" si="0"/>
        <v/>
      </c>
      <c r="W8" t="str">
        <f t="shared" si="1"/>
        <v/>
      </c>
      <c r="X8" s="70" t="str">
        <f>IF(V8="","",IF(M8="Aktivkonto",P8-Q8,IF(M8="Passivkonto",Q8-P8)))</f>
        <v/>
      </c>
      <c r="Y8" t="str">
        <f>IF(V8="","",CONCATENATE("Eröffnung ",O8))</f>
        <v/>
      </c>
      <c r="Z8">
        <v>6</v>
      </c>
      <c r="AA8">
        <v>6.3</v>
      </c>
      <c r="AB8">
        <f t="shared" ref="AB8:AB71" si="9">AB7+1</f>
        <v>2</v>
      </c>
      <c r="AC8" s="169">
        <f t="shared" si="2"/>
        <v>1</v>
      </c>
      <c r="AD8" s="170">
        <f t="shared" si="3"/>
        <v>46023</v>
      </c>
      <c r="AE8" s="168">
        <f t="shared" si="4"/>
        <v>1010</v>
      </c>
      <c r="AF8" s="168">
        <f t="shared" si="5"/>
        <v>9999</v>
      </c>
      <c r="AG8" s="168"/>
      <c r="AH8" s="171">
        <f t="shared" si="6"/>
        <v>-40</v>
      </c>
      <c r="AI8" s="168" t="str">
        <f t="shared" si="7"/>
        <v>Eröffnung Postkonto</v>
      </c>
      <c r="AK8" t="str">
        <f t="shared" ref="AK8:AK71" si="10">IF(AH8=0,"Falls dieses Konto nicht mehr genutzt wird, kann es im Folgejahr aus dem Kontenplan gelöscht werden. Beachten Sie dazu die Hilfelinks","")</f>
        <v/>
      </c>
    </row>
    <row r="9" spans="1:37" ht="16.5" customHeight="1" x14ac:dyDescent="0.3">
      <c r="A9" s="198">
        <f>Calc!AZ7</f>
        <v>1</v>
      </c>
      <c r="B9" s="199" t="str">
        <f>Calc!BA7</f>
        <v>T_B</v>
      </c>
      <c r="C9" s="63" t="str">
        <f>Calc!BB7</f>
        <v xml:space="preserve">Umlaufvermögen </v>
      </c>
      <c r="D9" s="64" t="str">
        <f>Calc!BC7</f>
        <v/>
      </c>
      <c r="E9" s="164">
        <f t="shared" ref="E9:E72" si="11">IF(B9="Sub",J8,0)</f>
        <v>0</v>
      </c>
      <c r="F9" s="64" t="str">
        <f>IF(D9="","",D9-E9)</f>
        <v/>
      </c>
      <c r="I9">
        <f t="shared" ref="I9:I72" si="12">IF(OR(C9="Gewinn",C9="Verlust"),D9,0)</f>
        <v>0</v>
      </c>
      <c r="J9">
        <f t="shared" si="8"/>
        <v>0</v>
      </c>
      <c r="K9" s="13"/>
      <c r="L9" s="126"/>
      <c r="M9" t="str">
        <f>Calc!A9</f>
        <v>Aktivkonto</v>
      </c>
      <c r="N9">
        <f>Calc!B9</f>
        <v>1000</v>
      </c>
      <c r="O9" t="str">
        <f>Calc!C9</f>
        <v>Kasse</v>
      </c>
      <c r="P9">
        <f>Calc!D9</f>
        <v>40</v>
      </c>
      <c r="Q9">
        <f>Calc!E9</f>
        <v>0</v>
      </c>
      <c r="R9">
        <f>Calc!F9</f>
        <v>40</v>
      </c>
      <c r="S9">
        <f>Calc!G9</f>
        <v>0</v>
      </c>
      <c r="U9">
        <f>IF(V9="",U8+0.0001,ROUND(U8+1,0))</f>
        <v>1</v>
      </c>
      <c r="V9">
        <f t="shared" si="0"/>
        <v>1000</v>
      </c>
      <c r="W9">
        <f t="shared" si="1"/>
        <v>9999</v>
      </c>
      <c r="X9" s="70">
        <f>IF(V9="","",IF(M9="Aktivkonto",P9-Q9,IF(M9="Passivkonto",Q9-P9)))</f>
        <v>40</v>
      </c>
      <c r="Y9" t="str">
        <f>IF(V9="","",CONCATENATE("Eröffnung ",O9))</f>
        <v>Eröffnung Kasse</v>
      </c>
      <c r="Z9">
        <v>7</v>
      </c>
      <c r="AA9">
        <v>7.3</v>
      </c>
      <c r="AB9">
        <f t="shared" si="9"/>
        <v>3</v>
      </c>
      <c r="AC9" s="169">
        <f t="shared" si="2"/>
        <v>1</v>
      </c>
      <c r="AD9" s="170">
        <f t="shared" si="3"/>
        <v>46023</v>
      </c>
      <c r="AE9" s="168">
        <f t="shared" si="4"/>
        <v>1020</v>
      </c>
      <c r="AF9" s="168">
        <f t="shared" si="5"/>
        <v>9999</v>
      </c>
      <c r="AG9" s="168"/>
      <c r="AH9" s="171">
        <f t="shared" si="6"/>
        <v>0</v>
      </c>
      <c r="AI9" s="168" t="str">
        <f t="shared" si="7"/>
        <v>Eröffnung Bankkonto</v>
      </c>
      <c r="AK9" t="str">
        <f t="shared" si="10"/>
        <v>Falls dieses Konto nicht mehr genutzt wird, kann es im Folgejahr aus dem Kontenplan gelöscht werden. Beachten Sie dazu die Hilfelinks</v>
      </c>
    </row>
    <row r="10" spans="1:37" ht="16.5" customHeight="1" x14ac:dyDescent="0.3">
      <c r="A10" s="198">
        <f>Calc!AZ8</f>
        <v>2</v>
      </c>
      <c r="B10" s="199" t="str">
        <f>Calc!BA8</f>
        <v>T_B</v>
      </c>
      <c r="C10" s="63" t="str">
        <f>Calc!BB8</f>
        <v xml:space="preserve">liquide Mittel </v>
      </c>
      <c r="D10" s="64" t="str">
        <f>Calc!BC8</f>
        <v/>
      </c>
      <c r="E10" s="164">
        <f t="shared" si="11"/>
        <v>0</v>
      </c>
      <c r="F10" s="64" t="str">
        <f t="shared" ref="F10:F73" si="13">IF(D10="","",D10-E10)</f>
        <v/>
      </c>
      <c r="I10">
        <f t="shared" si="12"/>
        <v>0</v>
      </c>
      <c r="J10">
        <f t="shared" si="8"/>
        <v>0</v>
      </c>
      <c r="K10" s="13" t="s">
        <v>14</v>
      </c>
      <c r="M10" t="str">
        <f>Calc!A10</f>
        <v>Aktivkonto</v>
      </c>
      <c r="N10">
        <f>Calc!B10</f>
        <v>1010</v>
      </c>
      <c r="O10" t="str">
        <f>Calc!C10</f>
        <v>Postkonto</v>
      </c>
      <c r="P10">
        <f>Calc!D10</f>
        <v>0</v>
      </c>
      <c r="Q10">
        <f>Calc!E10</f>
        <v>40</v>
      </c>
      <c r="R10">
        <f>Calc!F10</f>
        <v>0</v>
      </c>
      <c r="S10">
        <f>Calc!G10</f>
        <v>40</v>
      </c>
      <c r="U10">
        <f t="shared" ref="U10:U71" si="14">IF(V10="",U9+0.0001,ROUND(U9+1,0))</f>
        <v>2</v>
      </c>
      <c r="V10">
        <f t="shared" si="0"/>
        <v>1010</v>
      </c>
      <c r="W10">
        <f t="shared" si="1"/>
        <v>9999</v>
      </c>
      <c r="X10" s="70">
        <f t="shared" ref="X10:X19" si="15">IF(V10="","",IF(M10="Aktivkonto",P10-Q10,IF(M10="Passivkonto",Q10-P10)))</f>
        <v>-40</v>
      </c>
      <c r="Y10" t="str">
        <f t="shared" ref="Y10:Y73" si="16">IF(V10="","",CONCATENATE("Eröffnung ",O10))</f>
        <v>Eröffnung Postkonto</v>
      </c>
      <c r="Z10">
        <v>8</v>
      </c>
      <c r="AA10" s="1">
        <v>8.3000000000000007</v>
      </c>
      <c r="AB10">
        <f t="shared" si="9"/>
        <v>4</v>
      </c>
      <c r="AC10" s="169">
        <f t="shared" si="2"/>
        <v>1</v>
      </c>
      <c r="AD10" s="170">
        <f t="shared" si="3"/>
        <v>46023</v>
      </c>
      <c r="AE10" s="168">
        <f t="shared" si="4"/>
        <v>1021</v>
      </c>
      <c r="AF10" s="168">
        <f t="shared" si="5"/>
        <v>9999</v>
      </c>
      <c r="AG10" s="168"/>
      <c r="AH10" s="171">
        <f t="shared" si="6"/>
        <v>0</v>
      </c>
      <c r="AI10" s="168" t="str">
        <f t="shared" si="7"/>
        <v>Eröffnung Bankkonto 2</v>
      </c>
      <c r="AK10" t="str">
        <f t="shared" si="10"/>
        <v>Falls dieses Konto nicht mehr genutzt wird, kann es im Folgejahr aus dem Kontenplan gelöscht werden. Beachten Sie dazu die Hilfelinks</v>
      </c>
    </row>
    <row r="11" spans="1:37" ht="16.5" customHeight="1" x14ac:dyDescent="0.3">
      <c r="A11" s="198">
        <f>Calc!AZ9</f>
        <v>3</v>
      </c>
      <c r="B11" s="199" t="str">
        <f>Calc!BA9</f>
        <v/>
      </c>
      <c r="C11" s="63" t="str">
        <f>Calc!BB9</f>
        <v>1000 Kasse</v>
      </c>
      <c r="D11" s="64">
        <f>Calc!BC9</f>
        <v>40</v>
      </c>
      <c r="E11" s="164">
        <f t="shared" si="11"/>
        <v>0</v>
      </c>
      <c r="F11" s="64">
        <f t="shared" si="13"/>
        <v>40</v>
      </c>
      <c r="I11">
        <f t="shared" si="12"/>
        <v>0</v>
      </c>
      <c r="J11">
        <f t="shared" si="8"/>
        <v>0</v>
      </c>
      <c r="K11" s="108" t="s">
        <v>224</v>
      </c>
      <c r="M11" t="str">
        <f>Calc!A11</f>
        <v>Aktivkonto</v>
      </c>
      <c r="N11">
        <f>Calc!B11</f>
        <v>1020</v>
      </c>
      <c r="O11" t="str">
        <f>Calc!C11</f>
        <v>Bankkonto</v>
      </c>
      <c r="P11">
        <f>Calc!D11</f>
        <v>0</v>
      </c>
      <c r="Q11">
        <f>Calc!E11</f>
        <v>0</v>
      </c>
      <c r="R11">
        <f>Calc!F11</f>
        <v>0</v>
      </c>
      <c r="S11">
        <f>Calc!G11</f>
        <v>0</v>
      </c>
      <c r="U11">
        <f t="shared" si="14"/>
        <v>3</v>
      </c>
      <c r="V11">
        <f t="shared" si="0"/>
        <v>1020</v>
      </c>
      <c r="W11">
        <f t="shared" si="1"/>
        <v>9999</v>
      </c>
      <c r="X11" s="70">
        <f t="shared" si="15"/>
        <v>0</v>
      </c>
      <c r="Y11" t="str">
        <f t="shared" si="16"/>
        <v>Eröffnung Bankkonto</v>
      </c>
      <c r="Z11">
        <v>9</v>
      </c>
      <c r="AA11">
        <v>9.3000000000000007</v>
      </c>
      <c r="AB11">
        <f t="shared" si="9"/>
        <v>5</v>
      </c>
      <c r="AC11" s="169">
        <f t="shared" si="2"/>
        <v>1</v>
      </c>
      <c r="AD11" s="170">
        <f t="shared" si="3"/>
        <v>46023</v>
      </c>
      <c r="AE11" s="168">
        <f t="shared" si="4"/>
        <v>1040</v>
      </c>
      <c r="AF11" s="168">
        <f t="shared" si="5"/>
        <v>9999</v>
      </c>
      <c r="AG11" s="168"/>
      <c r="AH11" s="171">
        <f t="shared" si="6"/>
        <v>0</v>
      </c>
      <c r="AI11" s="168" t="str">
        <f t="shared" si="7"/>
        <v>Eröffnung Kontokorrent mit Verband</v>
      </c>
      <c r="AK11" t="str">
        <f t="shared" si="10"/>
        <v>Falls dieses Konto nicht mehr genutzt wird, kann es im Folgejahr aus dem Kontenplan gelöscht werden. Beachten Sie dazu die Hilfelinks</v>
      </c>
    </row>
    <row r="12" spans="1:37" ht="16.5" customHeight="1" x14ac:dyDescent="0.3">
      <c r="A12" s="198">
        <f>Calc!AZ10</f>
        <v>4</v>
      </c>
      <c r="B12" s="199" t="str">
        <f>Calc!BA10</f>
        <v/>
      </c>
      <c r="C12" s="63" t="str">
        <f>Calc!BB10</f>
        <v>1010 Postkonto</v>
      </c>
      <c r="D12" s="64">
        <f>Calc!BC10</f>
        <v>-40</v>
      </c>
      <c r="E12" s="164">
        <f t="shared" si="11"/>
        <v>0</v>
      </c>
      <c r="F12" s="64">
        <f t="shared" si="13"/>
        <v>-40</v>
      </c>
      <c r="I12">
        <f t="shared" si="12"/>
        <v>0</v>
      </c>
      <c r="J12">
        <f t="shared" si="8"/>
        <v>0</v>
      </c>
      <c r="K12" s="65"/>
      <c r="M12" t="str">
        <f>Calc!A12</f>
        <v>Aktivkonto</v>
      </c>
      <c r="N12">
        <f>Calc!B12</f>
        <v>1021</v>
      </c>
      <c r="O12" t="str">
        <f>Calc!C12</f>
        <v>Bankkonto 2</v>
      </c>
      <c r="P12">
        <f>Calc!D12</f>
        <v>0</v>
      </c>
      <c r="Q12">
        <f>Calc!E12</f>
        <v>0</v>
      </c>
      <c r="R12">
        <f>Calc!F12</f>
        <v>0</v>
      </c>
      <c r="S12">
        <f>Calc!G12</f>
        <v>0</v>
      </c>
      <c r="U12">
        <f t="shared" si="14"/>
        <v>4</v>
      </c>
      <c r="V12">
        <f t="shared" si="0"/>
        <v>1021</v>
      </c>
      <c r="W12">
        <f t="shared" si="1"/>
        <v>9999</v>
      </c>
      <c r="X12" s="70">
        <f t="shared" si="15"/>
        <v>0</v>
      </c>
      <c r="Y12" t="str">
        <f t="shared" si="16"/>
        <v>Eröffnung Bankkonto 2</v>
      </c>
      <c r="Z12" s="1">
        <v>10</v>
      </c>
      <c r="AA12">
        <v>10.3</v>
      </c>
      <c r="AB12">
        <f t="shared" si="9"/>
        <v>6</v>
      </c>
      <c r="AC12" s="169">
        <f t="shared" si="2"/>
        <v>1</v>
      </c>
      <c r="AD12" s="170">
        <f t="shared" si="3"/>
        <v>46023</v>
      </c>
      <c r="AE12" s="168">
        <f t="shared" si="4"/>
        <v>1100</v>
      </c>
      <c r="AF12" s="168">
        <f t="shared" si="5"/>
        <v>9999</v>
      </c>
      <c r="AG12" s="168"/>
      <c r="AH12" s="171">
        <f t="shared" si="6"/>
        <v>0</v>
      </c>
      <c r="AI12" s="168" t="str">
        <f t="shared" si="7"/>
        <v>Eröffnung Debitoren allgemein</v>
      </c>
      <c r="AK12" t="str">
        <f t="shared" si="10"/>
        <v>Falls dieses Konto nicht mehr genutzt wird, kann es im Folgejahr aus dem Kontenplan gelöscht werden. Beachten Sie dazu die Hilfelinks</v>
      </c>
    </row>
    <row r="13" spans="1:37" ht="16.5" customHeight="1" x14ac:dyDescent="0.3">
      <c r="A13" s="198">
        <f>Calc!AZ11</f>
        <v>5</v>
      </c>
      <c r="B13" s="199" t="str">
        <f>Calc!BA11</f>
        <v/>
      </c>
      <c r="C13" s="63" t="str">
        <f>Calc!BB11</f>
        <v>1020 Bankkonto</v>
      </c>
      <c r="D13" s="64">
        <f>Calc!BC11</f>
        <v>0</v>
      </c>
      <c r="E13" s="164">
        <f t="shared" si="11"/>
        <v>0</v>
      </c>
      <c r="F13" s="64">
        <f t="shared" si="13"/>
        <v>0</v>
      </c>
      <c r="I13">
        <f t="shared" si="12"/>
        <v>0</v>
      </c>
      <c r="J13">
        <f t="shared" si="8"/>
        <v>0</v>
      </c>
      <c r="K13" s="65"/>
      <c r="M13" t="str">
        <f>Calc!A13</f>
        <v>Aktivkonto</v>
      </c>
      <c r="N13">
        <f>Calc!B13</f>
        <v>1040</v>
      </c>
      <c r="O13" t="str">
        <f>Calc!C13</f>
        <v>Kontokorrent mit Verband</v>
      </c>
      <c r="P13">
        <f>Calc!D13</f>
        <v>0</v>
      </c>
      <c r="Q13">
        <f>Calc!E13</f>
        <v>0</v>
      </c>
      <c r="R13">
        <f>Calc!F13</f>
        <v>0</v>
      </c>
      <c r="S13">
        <f>Calc!G13</f>
        <v>0</v>
      </c>
      <c r="U13">
        <f t="shared" si="14"/>
        <v>5</v>
      </c>
      <c r="V13">
        <f t="shared" si="0"/>
        <v>1040</v>
      </c>
      <c r="W13">
        <f t="shared" si="1"/>
        <v>9999</v>
      </c>
      <c r="X13" s="70">
        <f t="shared" si="15"/>
        <v>0</v>
      </c>
      <c r="Y13" t="str">
        <f t="shared" si="16"/>
        <v>Eröffnung Kontokorrent mit Verband</v>
      </c>
      <c r="Z13">
        <v>11</v>
      </c>
      <c r="AA13">
        <v>11.3</v>
      </c>
      <c r="AB13">
        <f t="shared" si="9"/>
        <v>7</v>
      </c>
      <c r="AC13" s="169">
        <f t="shared" si="2"/>
        <v>1</v>
      </c>
      <c r="AD13" s="170">
        <f t="shared" si="3"/>
        <v>46023</v>
      </c>
      <c r="AE13" s="168">
        <f t="shared" si="4"/>
        <v>1101</v>
      </c>
      <c r="AF13" s="168">
        <f t="shared" si="5"/>
        <v>9999</v>
      </c>
      <c r="AG13" s="168"/>
      <c r="AH13" s="171">
        <f t="shared" si="6"/>
        <v>0</v>
      </c>
      <c r="AI13" s="168" t="str">
        <f t="shared" si="7"/>
        <v>Eröffnung Debitoren Mitglieder</v>
      </c>
      <c r="AK13" t="str">
        <f t="shared" si="10"/>
        <v>Falls dieses Konto nicht mehr genutzt wird, kann es im Folgejahr aus dem Kontenplan gelöscht werden. Beachten Sie dazu die Hilfelinks</v>
      </c>
    </row>
    <row r="14" spans="1:37" ht="16.5" customHeight="1" x14ac:dyDescent="0.3">
      <c r="A14" s="198">
        <f>Calc!AZ12</f>
        <v>6</v>
      </c>
      <c r="B14" s="199" t="str">
        <f>Calc!BA12</f>
        <v/>
      </c>
      <c r="C14" s="63" t="str">
        <f>Calc!BB12</f>
        <v>1021 Bankkonto 2</v>
      </c>
      <c r="D14" s="64">
        <f>Calc!BC12</f>
        <v>0</v>
      </c>
      <c r="E14" s="164">
        <f t="shared" si="11"/>
        <v>0</v>
      </c>
      <c r="F14" s="64">
        <f t="shared" si="13"/>
        <v>0</v>
      </c>
      <c r="I14">
        <f t="shared" si="12"/>
        <v>0</v>
      </c>
      <c r="J14">
        <f t="shared" si="8"/>
        <v>0</v>
      </c>
      <c r="K14" s="65"/>
      <c r="M14">
        <f>Calc!A14</f>
        <v>0</v>
      </c>
      <c r="N14">
        <f>Calc!B14</f>
        <v>0</v>
      </c>
      <c r="O14">
        <f>Calc!C14</f>
        <v>0</v>
      </c>
      <c r="P14">
        <f>Calc!D14</f>
        <v>0</v>
      </c>
      <c r="Q14">
        <f>Calc!E14</f>
        <v>0</v>
      </c>
      <c r="R14">
        <f>Calc!F14</f>
        <v>0</v>
      </c>
      <c r="S14">
        <f>Calc!G14</f>
        <v>0</v>
      </c>
      <c r="U14">
        <f t="shared" si="14"/>
        <v>5.0000999999999998</v>
      </c>
      <c r="V14" t="str">
        <f t="shared" si="0"/>
        <v/>
      </c>
      <c r="W14" t="str">
        <f t="shared" si="1"/>
        <v/>
      </c>
      <c r="X14" s="70" t="str">
        <f t="shared" si="15"/>
        <v/>
      </c>
      <c r="Y14" t="str">
        <f t="shared" si="16"/>
        <v/>
      </c>
      <c r="Z14">
        <v>12</v>
      </c>
      <c r="AA14" s="1">
        <v>12.3</v>
      </c>
      <c r="AB14">
        <f t="shared" si="9"/>
        <v>8</v>
      </c>
      <c r="AC14" s="169">
        <f t="shared" si="2"/>
        <v>1</v>
      </c>
      <c r="AD14" s="170">
        <f t="shared" si="3"/>
        <v>46023</v>
      </c>
      <c r="AE14" s="168">
        <f t="shared" si="4"/>
        <v>1300</v>
      </c>
      <c r="AF14" s="168">
        <f t="shared" si="5"/>
        <v>9999</v>
      </c>
      <c r="AG14" s="168"/>
      <c r="AH14" s="171">
        <f t="shared" si="6"/>
        <v>0</v>
      </c>
      <c r="AI14" s="168" t="str">
        <f t="shared" si="7"/>
        <v>Eröffnung Transitorische Aktiven</v>
      </c>
      <c r="AK14" t="str">
        <f t="shared" si="10"/>
        <v>Falls dieses Konto nicht mehr genutzt wird, kann es im Folgejahr aus dem Kontenplan gelöscht werden. Beachten Sie dazu die Hilfelinks</v>
      </c>
    </row>
    <row r="15" spans="1:37" ht="16.5" customHeight="1" x14ac:dyDescent="0.3">
      <c r="A15" s="198">
        <f>Calc!AZ13</f>
        <v>7</v>
      </c>
      <c r="B15" s="199" t="str">
        <f>Calc!BA13</f>
        <v/>
      </c>
      <c r="C15" s="63" t="str">
        <f>Calc!BB13</f>
        <v>1040 Kontokorrent mit Verband</v>
      </c>
      <c r="D15" s="64">
        <f>Calc!BC13</f>
        <v>0</v>
      </c>
      <c r="E15" s="164">
        <f t="shared" si="11"/>
        <v>0</v>
      </c>
      <c r="F15" s="64">
        <f t="shared" si="13"/>
        <v>0</v>
      </c>
      <c r="I15">
        <f t="shared" si="12"/>
        <v>0</v>
      </c>
      <c r="J15">
        <f t="shared" si="8"/>
        <v>0</v>
      </c>
      <c r="K15" s="65"/>
      <c r="M15" t="str">
        <f>Calc!A15</f>
        <v>Aktivkonto</v>
      </c>
      <c r="N15">
        <f>Calc!B15</f>
        <v>1100</v>
      </c>
      <c r="O15" t="str">
        <f>Calc!C15</f>
        <v>Debitoren allgemein</v>
      </c>
      <c r="P15">
        <f>Calc!D15</f>
        <v>0</v>
      </c>
      <c r="Q15">
        <f>Calc!E15</f>
        <v>0</v>
      </c>
      <c r="R15">
        <f>Calc!F15</f>
        <v>0</v>
      </c>
      <c r="S15">
        <f>Calc!G15</f>
        <v>0</v>
      </c>
      <c r="U15">
        <f t="shared" si="14"/>
        <v>6</v>
      </c>
      <c r="V15">
        <f t="shared" si="0"/>
        <v>1100</v>
      </c>
      <c r="W15">
        <f t="shared" si="1"/>
        <v>9999</v>
      </c>
      <c r="X15" s="70">
        <f t="shared" si="15"/>
        <v>0</v>
      </c>
      <c r="Y15" t="str">
        <f t="shared" si="16"/>
        <v>Eröffnung Debitoren allgemein</v>
      </c>
      <c r="Z15">
        <v>13</v>
      </c>
      <c r="AA15">
        <v>13.3</v>
      </c>
      <c r="AB15">
        <f t="shared" si="9"/>
        <v>9</v>
      </c>
      <c r="AC15" s="169">
        <f t="shared" si="2"/>
        <v>1</v>
      </c>
      <c r="AD15" s="170">
        <f t="shared" si="3"/>
        <v>46023</v>
      </c>
      <c r="AE15" s="168">
        <f t="shared" si="4"/>
        <v>1400</v>
      </c>
      <c r="AF15" s="168">
        <f t="shared" si="5"/>
        <v>9999</v>
      </c>
      <c r="AG15" s="168"/>
      <c r="AH15" s="171">
        <f t="shared" si="6"/>
        <v>0</v>
      </c>
      <c r="AI15" s="168" t="str">
        <f t="shared" si="7"/>
        <v>Eröffnung Material (Noten, Uniformen etc.)</v>
      </c>
      <c r="AK15" t="str">
        <f t="shared" si="10"/>
        <v>Falls dieses Konto nicht mehr genutzt wird, kann es im Folgejahr aus dem Kontenplan gelöscht werden. Beachten Sie dazu die Hilfelinks</v>
      </c>
    </row>
    <row r="16" spans="1:37" ht="16.5" customHeight="1" x14ac:dyDescent="0.3">
      <c r="A16" s="198">
        <f>Calc!AZ14</f>
        <v>7</v>
      </c>
      <c r="B16" s="199" t="str">
        <f>Calc!BA14</f>
        <v>Sub</v>
      </c>
      <c r="C16" s="63" t="str">
        <f>Calc!BB14</f>
        <v/>
      </c>
      <c r="D16" s="64">
        <f>Calc!BC14</f>
        <v>0</v>
      </c>
      <c r="E16" s="164">
        <f t="shared" si="11"/>
        <v>0</v>
      </c>
      <c r="F16" s="64">
        <f t="shared" si="13"/>
        <v>0</v>
      </c>
      <c r="I16">
        <f t="shared" si="12"/>
        <v>0</v>
      </c>
      <c r="J16">
        <f t="shared" si="8"/>
        <v>0</v>
      </c>
      <c r="K16" s="65"/>
      <c r="M16" t="str">
        <f>Calc!A16</f>
        <v>Aktivkonto</v>
      </c>
      <c r="N16">
        <f>Calc!B16</f>
        <v>1101</v>
      </c>
      <c r="O16" t="str">
        <f>Calc!C16</f>
        <v>Debitoren Mitglieder</v>
      </c>
      <c r="P16">
        <f>Calc!D16</f>
        <v>0</v>
      </c>
      <c r="Q16">
        <f>Calc!E16</f>
        <v>0</v>
      </c>
      <c r="R16">
        <f>Calc!F16</f>
        <v>0</v>
      </c>
      <c r="S16">
        <f>Calc!G16</f>
        <v>0</v>
      </c>
      <c r="U16">
        <f t="shared" si="14"/>
        <v>7</v>
      </c>
      <c r="V16">
        <f t="shared" si="0"/>
        <v>1101</v>
      </c>
      <c r="W16">
        <f t="shared" si="1"/>
        <v>9999</v>
      </c>
      <c r="X16" s="70">
        <f t="shared" si="15"/>
        <v>0</v>
      </c>
      <c r="Y16" t="str">
        <f t="shared" si="16"/>
        <v>Eröffnung Debitoren Mitglieder</v>
      </c>
      <c r="Z16">
        <v>14</v>
      </c>
      <c r="AA16">
        <v>14.3</v>
      </c>
      <c r="AB16">
        <f t="shared" si="9"/>
        <v>10</v>
      </c>
      <c r="AC16" s="169">
        <f t="shared" si="2"/>
        <v>1</v>
      </c>
      <c r="AD16" s="170">
        <f t="shared" si="3"/>
        <v>46023</v>
      </c>
      <c r="AE16" s="168">
        <f t="shared" si="4"/>
        <v>1410</v>
      </c>
      <c r="AF16" s="168">
        <f t="shared" si="5"/>
        <v>9999</v>
      </c>
      <c r="AG16" s="168"/>
      <c r="AH16" s="171">
        <f t="shared" si="6"/>
        <v>0</v>
      </c>
      <c r="AI16" s="168" t="str">
        <f t="shared" si="7"/>
        <v>Eröffnung Instrumente</v>
      </c>
      <c r="AK16" t="str">
        <f t="shared" si="10"/>
        <v>Falls dieses Konto nicht mehr genutzt wird, kann es im Folgejahr aus dem Kontenplan gelöscht werden. Beachten Sie dazu die Hilfelinks</v>
      </c>
    </row>
    <row r="17" spans="1:37" ht="16.5" customHeight="1" x14ac:dyDescent="0.3">
      <c r="A17" s="198">
        <f>Calc!AZ15</f>
        <v>7</v>
      </c>
      <c r="B17" s="199" t="str">
        <f>Calc!BA15</f>
        <v/>
      </c>
      <c r="C17" s="63" t="str">
        <f>Calc!BB15</f>
        <v/>
      </c>
      <c r="D17" s="64" t="str">
        <f>Calc!BC15</f>
        <v/>
      </c>
      <c r="E17" s="164">
        <f t="shared" si="11"/>
        <v>0</v>
      </c>
      <c r="F17" s="64" t="str">
        <f t="shared" si="13"/>
        <v/>
      </c>
      <c r="I17">
        <f t="shared" si="12"/>
        <v>0</v>
      </c>
      <c r="J17">
        <f t="shared" si="8"/>
        <v>0</v>
      </c>
      <c r="K17" s="65"/>
      <c r="M17" t="str">
        <f>Calc!A17</f>
        <v>Aktivkonto</v>
      </c>
      <c r="N17">
        <f>Calc!B17</f>
        <v>1300</v>
      </c>
      <c r="O17" t="str">
        <f>Calc!C17</f>
        <v>Transitorische Aktiven</v>
      </c>
      <c r="P17">
        <f>Calc!D17</f>
        <v>0</v>
      </c>
      <c r="Q17">
        <f>Calc!E17</f>
        <v>0</v>
      </c>
      <c r="R17">
        <f>Calc!F17</f>
        <v>0</v>
      </c>
      <c r="S17">
        <f>Calc!G17</f>
        <v>0</v>
      </c>
      <c r="U17">
        <f t="shared" si="14"/>
        <v>8</v>
      </c>
      <c r="V17">
        <f t="shared" si="0"/>
        <v>1300</v>
      </c>
      <c r="W17">
        <f t="shared" si="1"/>
        <v>9999</v>
      </c>
      <c r="X17" s="70">
        <f t="shared" si="15"/>
        <v>0</v>
      </c>
      <c r="Y17" t="str">
        <f t="shared" si="16"/>
        <v>Eröffnung Transitorische Aktiven</v>
      </c>
      <c r="Z17">
        <v>15</v>
      </c>
      <c r="AA17">
        <v>15.3</v>
      </c>
      <c r="AB17">
        <f t="shared" si="9"/>
        <v>11</v>
      </c>
      <c r="AC17" s="169">
        <f t="shared" si="2"/>
        <v>1</v>
      </c>
      <c r="AD17" s="170">
        <f t="shared" si="3"/>
        <v>46023</v>
      </c>
      <c r="AE17" s="168">
        <f t="shared" si="4"/>
        <v>1420</v>
      </c>
      <c r="AF17" s="168">
        <f t="shared" si="5"/>
        <v>9999</v>
      </c>
      <c r="AG17" s="168"/>
      <c r="AH17" s="171">
        <f t="shared" si="6"/>
        <v>0</v>
      </c>
      <c r="AI17" s="168" t="str">
        <f t="shared" si="7"/>
        <v>Eröffnung Diverses Material</v>
      </c>
      <c r="AK17" t="str">
        <f t="shared" si="10"/>
        <v>Falls dieses Konto nicht mehr genutzt wird, kann es im Folgejahr aus dem Kontenplan gelöscht werden. Beachten Sie dazu die Hilfelinks</v>
      </c>
    </row>
    <row r="18" spans="1:37" ht="16.5" customHeight="1" x14ac:dyDescent="0.3">
      <c r="A18" s="198">
        <f>Calc!AZ16</f>
        <v>10</v>
      </c>
      <c r="B18" s="199" t="str">
        <f>Calc!BA16</f>
        <v>T_B</v>
      </c>
      <c r="C18" s="63" t="str">
        <f>Calc!BB16</f>
        <v xml:space="preserve">Forderungen </v>
      </c>
      <c r="D18" s="64" t="str">
        <f>Calc!BC16</f>
        <v/>
      </c>
      <c r="E18" s="164">
        <f t="shared" si="11"/>
        <v>0</v>
      </c>
      <c r="F18" s="64" t="str">
        <f t="shared" si="13"/>
        <v/>
      </c>
      <c r="I18">
        <f t="shared" si="12"/>
        <v>0</v>
      </c>
      <c r="J18">
        <f t="shared" si="8"/>
        <v>0</v>
      </c>
      <c r="K18" s="65"/>
      <c r="M18">
        <f>Calc!A18</f>
        <v>0</v>
      </c>
      <c r="N18">
        <f>Calc!B18</f>
        <v>0</v>
      </c>
      <c r="O18">
        <f>Calc!C18</f>
        <v>0</v>
      </c>
      <c r="P18">
        <f>Calc!D18</f>
        <v>0</v>
      </c>
      <c r="Q18">
        <f>Calc!E18</f>
        <v>0</v>
      </c>
      <c r="R18">
        <f>Calc!F18</f>
        <v>0</v>
      </c>
      <c r="S18">
        <f>Calc!G18</f>
        <v>0</v>
      </c>
      <c r="U18">
        <f t="shared" si="14"/>
        <v>8.0000999999999998</v>
      </c>
      <c r="V18" t="str">
        <f t="shared" si="0"/>
        <v/>
      </c>
      <c r="W18" t="str">
        <f t="shared" si="1"/>
        <v/>
      </c>
      <c r="X18" s="70" t="str">
        <f t="shared" si="15"/>
        <v/>
      </c>
      <c r="Y18" t="str">
        <f t="shared" si="16"/>
        <v/>
      </c>
      <c r="Z18">
        <v>16</v>
      </c>
      <c r="AA18">
        <v>16.3</v>
      </c>
      <c r="AB18">
        <f t="shared" si="9"/>
        <v>12</v>
      </c>
      <c r="AC18" s="169">
        <f t="shared" si="2"/>
        <v>1</v>
      </c>
      <c r="AD18" s="170">
        <f t="shared" si="3"/>
        <v>46023</v>
      </c>
      <c r="AE18" s="168">
        <f t="shared" si="4"/>
        <v>1500</v>
      </c>
      <c r="AF18" s="168">
        <f t="shared" si="5"/>
        <v>9999</v>
      </c>
      <c r="AG18" s="168"/>
      <c r="AH18" s="171">
        <f t="shared" si="6"/>
        <v>0</v>
      </c>
      <c r="AI18" s="168" t="str">
        <f t="shared" si="7"/>
        <v>Eröffnung Mobiliar Auftritte (Fahne etc.)</v>
      </c>
      <c r="AK18" t="str">
        <f t="shared" si="10"/>
        <v>Falls dieses Konto nicht mehr genutzt wird, kann es im Folgejahr aus dem Kontenplan gelöscht werden. Beachten Sie dazu die Hilfelinks</v>
      </c>
    </row>
    <row r="19" spans="1:37" ht="16.5" customHeight="1" x14ac:dyDescent="0.3">
      <c r="A19" s="198">
        <f>Calc!AZ17</f>
        <v>11</v>
      </c>
      <c r="B19" s="199" t="str">
        <f>Calc!BA17</f>
        <v/>
      </c>
      <c r="C19" s="63" t="str">
        <f>Calc!BB17</f>
        <v>1100 Debitoren allgemein</v>
      </c>
      <c r="D19" s="64">
        <f>Calc!BC17</f>
        <v>0</v>
      </c>
      <c r="E19" s="164">
        <f t="shared" ref="E19" si="17">IF(B19="Sub",J18,0)</f>
        <v>0</v>
      </c>
      <c r="F19" s="64">
        <f t="shared" si="13"/>
        <v>0</v>
      </c>
      <c r="I19">
        <f t="shared" si="12"/>
        <v>0</v>
      </c>
      <c r="J19">
        <f t="shared" si="8"/>
        <v>0</v>
      </c>
      <c r="K19" s="65"/>
      <c r="M19" t="str">
        <f>Calc!A19</f>
        <v>Aktivkonto</v>
      </c>
      <c r="N19">
        <f>Calc!B19</f>
        <v>1400</v>
      </c>
      <c r="O19" t="str">
        <f>Calc!C19</f>
        <v>Material (Noten, Uniformen etc.)</v>
      </c>
      <c r="P19">
        <f>Calc!D19</f>
        <v>0</v>
      </c>
      <c r="Q19">
        <f>Calc!E19</f>
        <v>0</v>
      </c>
      <c r="R19">
        <f>Calc!F19</f>
        <v>0</v>
      </c>
      <c r="S19">
        <f>Calc!G19</f>
        <v>0</v>
      </c>
      <c r="U19">
        <f t="shared" si="14"/>
        <v>9</v>
      </c>
      <c r="V19">
        <f t="shared" si="0"/>
        <v>1400</v>
      </c>
      <c r="W19">
        <f t="shared" si="1"/>
        <v>9999</v>
      </c>
      <c r="X19" s="70">
        <f t="shared" si="15"/>
        <v>0</v>
      </c>
      <c r="Y19" t="str">
        <f t="shared" si="16"/>
        <v>Eröffnung Material (Noten, Uniformen etc.)</v>
      </c>
      <c r="Z19" s="1">
        <v>17</v>
      </c>
      <c r="AA19" s="1">
        <v>17.3</v>
      </c>
      <c r="AB19">
        <f t="shared" si="9"/>
        <v>13</v>
      </c>
      <c r="AC19" s="169">
        <f t="shared" si="2"/>
        <v>1</v>
      </c>
      <c r="AD19" s="170">
        <f t="shared" si="3"/>
        <v>46023</v>
      </c>
      <c r="AE19" s="168">
        <f t="shared" si="4"/>
        <v>1530</v>
      </c>
      <c r="AF19" s="168">
        <f t="shared" si="5"/>
        <v>9999</v>
      </c>
      <c r="AG19" s="168"/>
      <c r="AH19" s="171">
        <f t="shared" si="6"/>
        <v>0</v>
      </c>
      <c r="AI19" s="168" t="str">
        <f t="shared" si="7"/>
        <v>Eröffnung Fahrzeuge</v>
      </c>
      <c r="AK19" t="str">
        <f t="shared" si="10"/>
        <v>Falls dieses Konto nicht mehr genutzt wird, kann es im Folgejahr aus dem Kontenplan gelöscht werden. Beachten Sie dazu die Hilfelinks</v>
      </c>
    </row>
    <row r="20" spans="1:37" ht="16.5" customHeight="1" x14ac:dyDescent="0.3">
      <c r="A20" s="198">
        <f>Calc!AZ18</f>
        <v>12</v>
      </c>
      <c r="B20" s="199" t="str">
        <f>Calc!BA18</f>
        <v/>
      </c>
      <c r="C20" s="63" t="str">
        <f>Calc!BB18</f>
        <v>1101 Debitoren Mitglieder</v>
      </c>
      <c r="D20" s="64">
        <f>Calc!BC18</f>
        <v>0</v>
      </c>
      <c r="E20" s="164">
        <f t="shared" si="11"/>
        <v>0</v>
      </c>
      <c r="F20" s="64">
        <f t="shared" si="13"/>
        <v>0</v>
      </c>
      <c r="I20">
        <f t="shared" si="12"/>
        <v>0</v>
      </c>
      <c r="J20">
        <f t="shared" si="8"/>
        <v>0</v>
      </c>
      <c r="K20" s="65"/>
      <c r="M20" t="str">
        <f>Calc!A20</f>
        <v>Aktivkonto</v>
      </c>
      <c r="N20">
        <f>Calc!B20</f>
        <v>1410</v>
      </c>
      <c r="O20" t="str">
        <f>Calc!C20</f>
        <v>Instrumente</v>
      </c>
      <c r="P20">
        <f>Calc!D20</f>
        <v>0</v>
      </c>
      <c r="Q20">
        <f>Calc!E20</f>
        <v>0</v>
      </c>
      <c r="R20">
        <f>Calc!F20</f>
        <v>0</v>
      </c>
      <c r="S20">
        <f>Calc!G20</f>
        <v>0</v>
      </c>
      <c r="U20">
        <f t="shared" si="14"/>
        <v>10</v>
      </c>
      <c r="V20">
        <f t="shared" si="0"/>
        <v>1410</v>
      </c>
      <c r="W20">
        <f t="shared" si="1"/>
        <v>9999</v>
      </c>
      <c r="X20" s="70">
        <f t="shared" ref="X20:X45" si="18">IF(V20="","",IF(M20="Aktivkonto",P20-Q20,IF(M20="Passivkonto",Q20-P20)))</f>
        <v>0</v>
      </c>
      <c r="Y20" t="str">
        <f t="shared" si="16"/>
        <v>Eröffnung Instrumente</v>
      </c>
      <c r="Z20">
        <v>18</v>
      </c>
      <c r="AA20">
        <v>18.3</v>
      </c>
      <c r="AB20">
        <f t="shared" si="9"/>
        <v>14</v>
      </c>
      <c r="AC20" s="169">
        <f t="shared" si="2"/>
        <v>1</v>
      </c>
      <c r="AD20" s="170">
        <f t="shared" si="3"/>
        <v>46023</v>
      </c>
      <c r="AE20" s="168">
        <f t="shared" si="4"/>
        <v>9999</v>
      </c>
      <c r="AF20" s="168">
        <f t="shared" si="5"/>
        <v>2000</v>
      </c>
      <c r="AG20" s="168"/>
      <c r="AH20" s="171">
        <f t="shared" si="6"/>
        <v>0</v>
      </c>
      <c r="AI20" s="168" t="str">
        <f t="shared" si="7"/>
        <v>Eröffnung Kreditoren CHF</v>
      </c>
      <c r="AK20" t="str">
        <f t="shared" si="10"/>
        <v>Falls dieses Konto nicht mehr genutzt wird, kann es im Folgejahr aus dem Kontenplan gelöscht werden. Beachten Sie dazu die Hilfelinks</v>
      </c>
    </row>
    <row r="21" spans="1:37" ht="16.5" customHeight="1" x14ac:dyDescent="0.3">
      <c r="A21" s="198">
        <f>Calc!AZ19</f>
        <v>13</v>
      </c>
      <c r="B21" s="199" t="str">
        <f>Calc!BA19</f>
        <v/>
      </c>
      <c r="C21" s="63" t="str">
        <f>Calc!BB19</f>
        <v>1300 Transitorische Aktiven</v>
      </c>
      <c r="D21" s="64">
        <f>Calc!BC19</f>
        <v>0</v>
      </c>
      <c r="E21" s="164">
        <f t="shared" si="11"/>
        <v>0</v>
      </c>
      <c r="F21" s="64">
        <f t="shared" si="13"/>
        <v>0</v>
      </c>
      <c r="I21">
        <f t="shared" si="12"/>
        <v>0</v>
      </c>
      <c r="J21">
        <f t="shared" si="8"/>
        <v>0</v>
      </c>
      <c r="K21" s="65"/>
      <c r="M21" t="str">
        <f>Calc!A21</f>
        <v>Aktivkonto</v>
      </c>
      <c r="N21">
        <f>Calc!B21</f>
        <v>1420</v>
      </c>
      <c r="O21" t="str">
        <f>Calc!C21</f>
        <v>Diverses Material</v>
      </c>
      <c r="P21">
        <f>Calc!D21</f>
        <v>0</v>
      </c>
      <c r="Q21">
        <f>Calc!E21</f>
        <v>0</v>
      </c>
      <c r="R21">
        <f>Calc!F21</f>
        <v>0</v>
      </c>
      <c r="S21">
        <f>Calc!G21</f>
        <v>0</v>
      </c>
      <c r="U21">
        <f t="shared" si="14"/>
        <v>11</v>
      </c>
      <c r="V21">
        <f>IF(M21="Passivkonto",$AE$2,IF(M21="Aktivkonto",N21,""))</f>
        <v>1420</v>
      </c>
      <c r="W21">
        <f>IF(M21="Passivkonto",N21,IF(V21="","",$AE$2))</f>
        <v>9999</v>
      </c>
      <c r="X21" s="70">
        <f t="shared" si="18"/>
        <v>0</v>
      </c>
      <c r="Y21" t="str">
        <f t="shared" si="16"/>
        <v>Eröffnung Diverses Material</v>
      </c>
      <c r="Z21">
        <v>19</v>
      </c>
      <c r="AA21">
        <v>19.3</v>
      </c>
      <c r="AB21">
        <f t="shared" si="9"/>
        <v>15</v>
      </c>
      <c r="AC21" s="169">
        <f t="shared" si="2"/>
        <v>1</v>
      </c>
      <c r="AD21" s="170">
        <f t="shared" si="3"/>
        <v>46023</v>
      </c>
      <c r="AE21" s="168">
        <f t="shared" si="4"/>
        <v>9999</v>
      </c>
      <c r="AF21" s="168">
        <f t="shared" si="5"/>
        <v>2010</v>
      </c>
      <c r="AG21" s="168"/>
      <c r="AH21" s="171">
        <f t="shared" si="6"/>
        <v>0</v>
      </c>
      <c r="AI21" s="168" t="str">
        <f t="shared" si="7"/>
        <v>Eröffnung weitere Kreditoren</v>
      </c>
      <c r="AK21" t="str">
        <f t="shared" si="10"/>
        <v>Falls dieses Konto nicht mehr genutzt wird, kann es im Folgejahr aus dem Kontenplan gelöscht werden. Beachten Sie dazu die Hilfelinks</v>
      </c>
    </row>
    <row r="22" spans="1:37" ht="16.5" customHeight="1" x14ac:dyDescent="0.3">
      <c r="A22" s="198">
        <f>Calc!AZ20</f>
        <v>13</v>
      </c>
      <c r="B22" s="199" t="str">
        <f>Calc!BA20</f>
        <v>Sub</v>
      </c>
      <c r="C22" s="63" t="str">
        <f>Calc!BB20</f>
        <v/>
      </c>
      <c r="D22" s="64">
        <f>Calc!BC20</f>
        <v>0</v>
      </c>
      <c r="E22" s="164">
        <f t="shared" si="11"/>
        <v>0</v>
      </c>
      <c r="F22" s="64">
        <f t="shared" si="13"/>
        <v>0</v>
      </c>
      <c r="I22">
        <f t="shared" si="12"/>
        <v>0</v>
      </c>
      <c r="J22">
        <f t="shared" si="8"/>
        <v>0</v>
      </c>
      <c r="K22" s="65"/>
      <c r="M22">
        <f>Calc!A22</f>
        <v>0</v>
      </c>
      <c r="N22">
        <f>Calc!B22</f>
        <v>0</v>
      </c>
      <c r="O22">
        <f>Calc!C22</f>
        <v>0</v>
      </c>
      <c r="P22">
        <f>Calc!D22</f>
        <v>0</v>
      </c>
      <c r="Q22">
        <f>Calc!E22</f>
        <v>0</v>
      </c>
      <c r="R22">
        <f>Calc!F22</f>
        <v>0</v>
      </c>
      <c r="S22">
        <f>Calc!G22</f>
        <v>0</v>
      </c>
      <c r="U22">
        <f t="shared" si="14"/>
        <v>11.0001</v>
      </c>
      <c r="V22" t="str">
        <f t="shared" si="0"/>
        <v/>
      </c>
      <c r="W22" t="str">
        <f t="shared" ref="W22:W85" si="19">IF(M22="Passivkonto",N22,IF(V22="","",$AE$2))</f>
        <v/>
      </c>
      <c r="X22" s="70" t="str">
        <f t="shared" si="18"/>
        <v/>
      </c>
      <c r="Y22" t="str">
        <f t="shared" si="16"/>
        <v/>
      </c>
      <c r="Z22">
        <v>20</v>
      </c>
      <c r="AA22">
        <v>20.3</v>
      </c>
      <c r="AB22">
        <f t="shared" si="9"/>
        <v>16</v>
      </c>
      <c r="AC22" s="169">
        <f t="shared" si="2"/>
        <v>1</v>
      </c>
      <c r="AD22" s="170">
        <f t="shared" si="3"/>
        <v>46023</v>
      </c>
      <c r="AE22" s="168">
        <f t="shared" si="4"/>
        <v>9999</v>
      </c>
      <c r="AF22" s="168">
        <f t="shared" si="5"/>
        <v>2100</v>
      </c>
      <c r="AG22" s="168"/>
      <c r="AH22" s="171">
        <f t="shared" si="6"/>
        <v>0</v>
      </c>
      <c r="AI22" s="168" t="str">
        <f t="shared" si="7"/>
        <v>Eröffnung Depot Uniformen</v>
      </c>
      <c r="AK22" t="str">
        <f t="shared" si="10"/>
        <v>Falls dieses Konto nicht mehr genutzt wird, kann es im Folgejahr aus dem Kontenplan gelöscht werden. Beachten Sie dazu die Hilfelinks</v>
      </c>
    </row>
    <row r="23" spans="1:37" ht="16.5" customHeight="1" x14ac:dyDescent="0.3">
      <c r="A23" s="198">
        <f>Calc!AZ21</f>
        <v>13</v>
      </c>
      <c r="B23" s="199" t="str">
        <f>Calc!BA21</f>
        <v/>
      </c>
      <c r="C23" s="63" t="str">
        <f>Calc!BB21</f>
        <v/>
      </c>
      <c r="D23" s="64" t="str">
        <f>Calc!BC21</f>
        <v/>
      </c>
      <c r="E23" s="164">
        <f t="shared" si="11"/>
        <v>0</v>
      </c>
      <c r="F23" s="64" t="str">
        <f>IF(D23="","",D23-E23)</f>
        <v/>
      </c>
      <c r="I23">
        <f t="shared" si="12"/>
        <v>0</v>
      </c>
      <c r="J23">
        <f t="shared" si="8"/>
        <v>0</v>
      </c>
      <c r="K23" s="65"/>
      <c r="M23">
        <f>Calc!A23</f>
        <v>0</v>
      </c>
      <c r="N23">
        <f>Calc!B23</f>
        <v>0</v>
      </c>
      <c r="O23">
        <f>Calc!C23</f>
        <v>0</v>
      </c>
      <c r="P23">
        <f>Calc!D23</f>
        <v>0</v>
      </c>
      <c r="Q23">
        <f>Calc!E23</f>
        <v>0</v>
      </c>
      <c r="R23">
        <f>Calc!F23</f>
        <v>0</v>
      </c>
      <c r="S23">
        <f>Calc!G23</f>
        <v>0</v>
      </c>
      <c r="U23">
        <f t="shared" si="14"/>
        <v>11.0002</v>
      </c>
      <c r="V23" t="str">
        <f t="shared" si="0"/>
        <v/>
      </c>
      <c r="W23" t="str">
        <f t="shared" si="19"/>
        <v/>
      </c>
      <c r="X23" s="70" t="str">
        <f t="shared" si="18"/>
        <v/>
      </c>
      <c r="Y23" t="str">
        <f t="shared" si="16"/>
        <v/>
      </c>
      <c r="Z23">
        <v>21</v>
      </c>
      <c r="AA23" s="1">
        <v>21.3</v>
      </c>
      <c r="AB23">
        <f t="shared" si="9"/>
        <v>17</v>
      </c>
      <c r="AC23" s="169">
        <f t="shared" si="2"/>
        <v>1</v>
      </c>
      <c r="AD23" s="170">
        <f t="shared" si="3"/>
        <v>46023</v>
      </c>
      <c r="AE23" s="168">
        <f t="shared" si="4"/>
        <v>9999</v>
      </c>
      <c r="AF23" s="168">
        <f t="shared" si="5"/>
        <v>2200</v>
      </c>
      <c r="AG23" s="168"/>
      <c r="AH23" s="171">
        <f t="shared" si="6"/>
        <v>0</v>
      </c>
      <c r="AI23" s="168" t="str">
        <f t="shared" si="7"/>
        <v>Eröffnung Depot Instrumente</v>
      </c>
      <c r="AK23" t="str">
        <f t="shared" si="10"/>
        <v>Falls dieses Konto nicht mehr genutzt wird, kann es im Folgejahr aus dem Kontenplan gelöscht werden. Beachten Sie dazu die Hilfelinks</v>
      </c>
    </row>
    <row r="24" spans="1:37" ht="16.5" customHeight="1" x14ac:dyDescent="0.3">
      <c r="A24" s="198">
        <f>Calc!AZ22</f>
        <v>16</v>
      </c>
      <c r="B24" s="199" t="str">
        <f>Calc!BA22</f>
        <v>T_B</v>
      </c>
      <c r="C24" s="63" t="str">
        <f>Calc!BB22</f>
        <v xml:space="preserve">Lager </v>
      </c>
      <c r="D24" s="64" t="str">
        <f>Calc!BC22</f>
        <v/>
      </c>
      <c r="E24" s="164">
        <f t="shared" si="11"/>
        <v>0</v>
      </c>
      <c r="F24" s="64" t="str">
        <f t="shared" si="13"/>
        <v/>
      </c>
      <c r="I24">
        <f t="shared" si="12"/>
        <v>0</v>
      </c>
      <c r="J24">
        <f t="shared" si="8"/>
        <v>0</v>
      </c>
      <c r="K24" s="65"/>
      <c r="M24" t="str">
        <f>Calc!A24</f>
        <v>Aktivkonto</v>
      </c>
      <c r="N24">
        <f>Calc!B24</f>
        <v>1500</v>
      </c>
      <c r="O24" t="str">
        <f>Calc!C24</f>
        <v>Mobiliar Auftritte (Fahne etc.)</v>
      </c>
      <c r="P24">
        <f>Calc!D24</f>
        <v>0</v>
      </c>
      <c r="Q24">
        <f>Calc!E24</f>
        <v>0</v>
      </c>
      <c r="R24">
        <f>Calc!F24</f>
        <v>0</v>
      </c>
      <c r="S24">
        <f>Calc!G24</f>
        <v>0</v>
      </c>
      <c r="U24">
        <f t="shared" si="14"/>
        <v>12</v>
      </c>
      <c r="V24">
        <f t="shared" si="0"/>
        <v>1500</v>
      </c>
      <c r="W24">
        <f t="shared" si="19"/>
        <v>9999</v>
      </c>
      <c r="X24" s="70">
        <f t="shared" si="18"/>
        <v>0</v>
      </c>
      <c r="Y24" t="str">
        <f t="shared" si="16"/>
        <v>Eröffnung Mobiliar Auftritte (Fahne etc.)</v>
      </c>
      <c r="Z24">
        <v>22</v>
      </c>
      <c r="AA24">
        <v>22.3</v>
      </c>
      <c r="AB24">
        <f t="shared" si="9"/>
        <v>18</v>
      </c>
      <c r="AC24" s="169">
        <f t="shared" si="2"/>
        <v>1</v>
      </c>
      <c r="AD24" s="170">
        <f t="shared" si="3"/>
        <v>46023</v>
      </c>
      <c r="AE24" s="168">
        <f t="shared" si="4"/>
        <v>9999</v>
      </c>
      <c r="AF24" s="168">
        <f t="shared" si="5"/>
        <v>2300</v>
      </c>
      <c r="AG24" s="168"/>
      <c r="AH24" s="171">
        <f t="shared" si="6"/>
        <v>0</v>
      </c>
      <c r="AI24" s="168" t="str">
        <f t="shared" si="7"/>
        <v>Eröffnung Transitorische Passiven</v>
      </c>
      <c r="AK24" t="str">
        <f t="shared" si="10"/>
        <v>Falls dieses Konto nicht mehr genutzt wird, kann es im Folgejahr aus dem Kontenplan gelöscht werden. Beachten Sie dazu die Hilfelinks</v>
      </c>
    </row>
    <row r="25" spans="1:37" ht="16.5" customHeight="1" x14ac:dyDescent="0.3">
      <c r="A25" s="198">
        <f>Calc!AZ23</f>
        <v>17</v>
      </c>
      <c r="B25" s="199" t="str">
        <f>Calc!BA23</f>
        <v/>
      </c>
      <c r="C25" s="63" t="str">
        <f>Calc!BB23</f>
        <v>1400 Material (Noten, Uniformen etc.)</v>
      </c>
      <c r="D25" s="64">
        <f>Calc!BC23</f>
        <v>0</v>
      </c>
      <c r="E25" s="164">
        <f t="shared" si="11"/>
        <v>0</v>
      </c>
      <c r="F25" s="64">
        <f t="shared" si="13"/>
        <v>0</v>
      </c>
      <c r="I25">
        <f t="shared" si="12"/>
        <v>0</v>
      </c>
      <c r="J25">
        <f t="shared" si="8"/>
        <v>0</v>
      </c>
      <c r="K25" s="65"/>
      <c r="M25" t="str">
        <f>Calc!A25</f>
        <v>Aktivkonto</v>
      </c>
      <c r="N25">
        <f>Calc!B25</f>
        <v>1530</v>
      </c>
      <c r="O25" t="str">
        <f>Calc!C25</f>
        <v>Fahrzeuge</v>
      </c>
      <c r="P25">
        <f>Calc!D25</f>
        <v>0</v>
      </c>
      <c r="Q25">
        <f>Calc!E25</f>
        <v>0</v>
      </c>
      <c r="R25">
        <f>Calc!F25</f>
        <v>0</v>
      </c>
      <c r="S25">
        <f>Calc!G25</f>
        <v>0</v>
      </c>
      <c r="U25">
        <f t="shared" si="14"/>
        <v>13</v>
      </c>
      <c r="V25">
        <f t="shared" si="0"/>
        <v>1530</v>
      </c>
      <c r="W25">
        <f t="shared" si="19"/>
        <v>9999</v>
      </c>
      <c r="X25" s="70">
        <f t="shared" si="18"/>
        <v>0</v>
      </c>
      <c r="Y25" t="str">
        <f t="shared" si="16"/>
        <v>Eröffnung Fahrzeuge</v>
      </c>
      <c r="Z25" s="1">
        <v>23</v>
      </c>
      <c r="AA25">
        <v>23.3</v>
      </c>
      <c r="AB25">
        <f t="shared" si="9"/>
        <v>19</v>
      </c>
      <c r="AC25" s="169">
        <f t="shared" si="2"/>
        <v>1</v>
      </c>
      <c r="AD25" s="170">
        <f t="shared" si="3"/>
        <v>46023</v>
      </c>
      <c r="AE25" s="168">
        <f t="shared" si="4"/>
        <v>9999</v>
      </c>
      <c r="AF25" s="168">
        <f t="shared" si="5"/>
        <v>2520</v>
      </c>
      <c r="AG25" s="168"/>
      <c r="AH25" s="171">
        <f t="shared" si="6"/>
        <v>0</v>
      </c>
      <c r="AI25" s="168" t="str">
        <f t="shared" si="7"/>
        <v>Eröffnung Darlehen</v>
      </c>
      <c r="AK25" t="str">
        <f t="shared" si="10"/>
        <v>Falls dieses Konto nicht mehr genutzt wird, kann es im Folgejahr aus dem Kontenplan gelöscht werden. Beachten Sie dazu die Hilfelinks</v>
      </c>
    </row>
    <row r="26" spans="1:37" ht="16.5" customHeight="1" x14ac:dyDescent="0.3">
      <c r="A26" s="198">
        <f>Calc!AZ24</f>
        <v>18</v>
      </c>
      <c r="B26" s="199" t="str">
        <f>Calc!BA24</f>
        <v/>
      </c>
      <c r="C26" s="63" t="str">
        <f>Calc!BB24</f>
        <v>1410 Instrumente</v>
      </c>
      <c r="D26" s="64">
        <f>Calc!BC24</f>
        <v>0</v>
      </c>
      <c r="E26" s="164">
        <f t="shared" si="11"/>
        <v>0</v>
      </c>
      <c r="F26" s="64">
        <f t="shared" si="13"/>
        <v>0</v>
      </c>
      <c r="I26">
        <f t="shared" si="12"/>
        <v>0</v>
      </c>
      <c r="J26">
        <f t="shared" si="8"/>
        <v>0</v>
      </c>
      <c r="K26" s="65"/>
      <c r="M26">
        <f>Calc!A26</f>
        <v>0</v>
      </c>
      <c r="N26">
        <f>Calc!B26</f>
        <v>0</v>
      </c>
      <c r="O26">
        <f>Calc!C26</f>
        <v>0</v>
      </c>
      <c r="P26">
        <f>Calc!D26</f>
        <v>0</v>
      </c>
      <c r="Q26">
        <f>Calc!E26</f>
        <v>0</v>
      </c>
      <c r="R26">
        <f>Calc!F26</f>
        <v>0</v>
      </c>
      <c r="S26">
        <f>Calc!G26</f>
        <v>0</v>
      </c>
      <c r="U26">
        <f t="shared" si="14"/>
        <v>13.0001</v>
      </c>
      <c r="V26" t="str">
        <f t="shared" si="0"/>
        <v/>
      </c>
      <c r="W26" t="str">
        <f t="shared" si="19"/>
        <v/>
      </c>
      <c r="X26" s="70" t="str">
        <f t="shared" si="18"/>
        <v/>
      </c>
      <c r="Y26" t="str">
        <f t="shared" si="16"/>
        <v/>
      </c>
      <c r="Z26">
        <v>24</v>
      </c>
      <c r="AA26">
        <v>24.3</v>
      </c>
      <c r="AB26">
        <f t="shared" si="9"/>
        <v>20</v>
      </c>
      <c r="AC26" s="169">
        <f t="shared" si="2"/>
        <v>1</v>
      </c>
      <c r="AD26" s="170">
        <f t="shared" si="3"/>
        <v>46023</v>
      </c>
      <c r="AE26" s="168">
        <f t="shared" si="4"/>
        <v>9999</v>
      </c>
      <c r="AF26" s="168">
        <f t="shared" si="5"/>
        <v>2600</v>
      </c>
      <c r="AG26" s="168"/>
      <c r="AH26" s="171">
        <f t="shared" si="6"/>
        <v>0</v>
      </c>
      <c r="AI26" s="168" t="str">
        <f t="shared" si="7"/>
        <v>Eröffnung Rückstellungen</v>
      </c>
      <c r="AK26" t="str">
        <f t="shared" si="10"/>
        <v>Falls dieses Konto nicht mehr genutzt wird, kann es im Folgejahr aus dem Kontenplan gelöscht werden. Beachten Sie dazu die Hilfelinks</v>
      </c>
    </row>
    <row r="27" spans="1:37" ht="16.5" customHeight="1" x14ac:dyDescent="0.3">
      <c r="A27" s="198">
        <f>Calc!AZ25</f>
        <v>19</v>
      </c>
      <c r="B27" s="199" t="str">
        <f>Calc!BA25</f>
        <v/>
      </c>
      <c r="C27" s="63" t="str">
        <f>Calc!BB25</f>
        <v>1420 Diverses Material</v>
      </c>
      <c r="D27" s="64">
        <f>Calc!BC25</f>
        <v>0</v>
      </c>
      <c r="E27" s="164">
        <f t="shared" si="11"/>
        <v>0</v>
      </c>
      <c r="F27" s="64">
        <f t="shared" si="13"/>
        <v>0</v>
      </c>
      <c r="I27">
        <f t="shared" si="12"/>
        <v>0</v>
      </c>
      <c r="J27">
        <f t="shared" si="8"/>
        <v>0</v>
      </c>
      <c r="K27" s="65"/>
      <c r="M27" t="str">
        <f>Calc!A27</f>
        <v>Passivkonto</v>
      </c>
      <c r="N27">
        <f>Calc!B27</f>
        <v>2000</v>
      </c>
      <c r="O27" t="str">
        <f>Calc!C27</f>
        <v>Kreditoren CHF</v>
      </c>
      <c r="P27">
        <f>Calc!D27</f>
        <v>0</v>
      </c>
      <c r="Q27">
        <f>Calc!E27</f>
        <v>0</v>
      </c>
      <c r="R27">
        <f>Calc!F27</f>
        <v>0</v>
      </c>
      <c r="S27">
        <f>Calc!G27</f>
        <v>0</v>
      </c>
      <c r="U27">
        <f t="shared" si="14"/>
        <v>14</v>
      </c>
      <c r="V27">
        <f t="shared" si="0"/>
        <v>9999</v>
      </c>
      <c r="W27">
        <f t="shared" si="19"/>
        <v>2000</v>
      </c>
      <c r="X27" s="70">
        <f t="shared" si="18"/>
        <v>0</v>
      </c>
      <c r="Y27" t="str">
        <f t="shared" si="16"/>
        <v>Eröffnung Kreditoren CHF</v>
      </c>
      <c r="Z27">
        <v>25</v>
      </c>
      <c r="AA27" s="1">
        <v>25.3</v>
      </c>
      <c r="AB27">
        <f t="shared" si="9"/>
        <v>21</v>
      </c>
      <c r="AC27" s="169">
        <f t="shared" si="2"/>
        <v>1</v>
      </c>
      <c r="AD27" s="170">
        <f t="shared" si="3"/>
        <v>46023</v>
      </c>
      <c r="AE27" s="168">
        <f t="shared" si="4"/>
        <v>9999</v>
      </c>
      <c r="AF27" s="168">
        <f t="shared" si="5"/>
        <v>2800</v>
      </c>
      <c r="AG27" s="168"/>
      <c r="AH27" s="171">
        <f t="shared" si="6"/>
        <v>0</v>
      </c>
      <c r="AI27" s="168" t="str">
        <f t="shared" si="7"/>
        <v>Eröffnung Vereinskapital</v>
      </c>
      <c r="AK27" t="str">
        <f t="shared" si="10"/>
        <v>Falls dieses Konto nicht mehr genutzt wird, kann es im Folgejahr aus dem Kontenplan gelöscht werden. Beachten Sie dazu die Hilfelinks</v>
      </c>
    </row>
    <row r="28" spans="1:37" ht="16.5" customHeight="1" x14ac:dyDescent="0.3">
      <c r="A28" s="198">
        <f>Calc!AZ26</f>
        <v>19</v>
      </c>
      <c r="B28" s="199" t="str">
        <f>Calc!BA26</f>
        <v>Sub</v>
      </c>
      <c r="C28" s="63" t="str">
        <f>Calc!BB26</f>
        <v/>
      </c>
      <c r="D28" s="64">
        <f>Calc!BC26</f>
        <v>0</v>
      </c>
      <c r="E28" s="164">
        <f t="shared" si="11"/>
        <v>0</v>
      </c>
      <c r="F28" s="64">
        <f t="shared" si="13"/>
        <v>0</v>
      </c>
      <c r="I28">
        <f t="shared" si="12"/>
        <v>0</v>
      </c>
      <c r="J28">
        <f t="shared" si="8"/>
        <v>0</v>
      </c>
      <c r="K28" s="65"/>
      <c r="M28" t="str">
        <f>Calc!A28</f>
        <v>Passivkonto</v>
      </c>
      <c r="N28">
        <f>Calc!B28</f>
        <v>2010</v>
      </c>
      <c r="O28" t="str">
        <f>Calc!C28</f>
        <v>weitere Kreditoren</v>
      </c>
      <c r="P28">
        <f>Calc!D28</f>
        <v>0</v>
      </c>
      <c r="Q28">
        <f>Calc!E28</f>
        <v>0</v>
      </c>
      <c r="R28">
        <f>Calc!F28</f>
        <v>0</v>
      </c>
      <c r="S28">
        <f>Calc!G28</f>
        <v>0</v>
      </c>
      <c r="U28">
        <f t="shared" si="14"/>
        <v>15</v>
      </c>
      <c r="V28">
        <f t="shared" si="0"/>
        <v>9999</v>
      </c>
      <c r="W28">
        <f t="shared" si="19"/>
        <v>2010</v>
      </c>
      <c r="X28" s="70">
        <f t="shared" si="18"/>
        <v>0</v>
      </c>
      <c r="Y28" t="str">
        <f t="shared" si="16"/>
        <v>Eröffnung weitere Kreditoren</v>
      </c>
      <c r="Z28">
        <v>26</v>
      </c>
      <c r="AA28">
        <v>26.3</v>
      </c>
      <c r="AB28">
        <f t="shared" si="9"/>
        <v>22</v>
      </c>
      <c r="AC28" s="169">
        <f t="shared" si="2"/>
        <v>1</v>
      </c>
      <c r="AD28" s="170">
        <f t="shared" si="3"/>
        <v>46023</v>
      </c>
      <c r="AE28" s="168">
        <f t="shared" si="4"/>
        <v>9999</v>
      </c>
      <c r="AF28" s="168">
        <f t="shared" si="5"/>
        <v>2900</v>
      </c>
      <c r="AG28" s="168"/>
      <c r="AH28" s="171">
        <f t="shared" si="6"/>
        <v>0</v>
      </c>
      <c r="AI28" s="168" t="str">
        <f t="shared" si="7"/>
        <v>Eröffnung Reserven</v>
      </c>
      <c r="AK28" t="str">
        <f t="shared" si="10"/>
        <v>Falls dieses Konto nicht mehr genutzt wird, kann es im Folgejahr aus dem Kontenplan gelöscht werden. Beachten Sie dazu die Hilfelinks</v>
      </c>
    </row>
    <row r="29" spans="1:37" ht="16.5" customHeight="1" x14ac:dyDescent="0.3">
      <c r="A29" s="198">
        <f>Calc!AZ27</f>
        <v>19</v>
      </c>
      <c r="B29" s="199" t="str">
        <f>Calc!BA27</f>
        <v/>
      </c>
      <c r="C29" s="63" t="str">
        <f>Calc!BB27</f>
        <v/>
      </c>
      <c r="D29" s="64" t="str">
        <f>Calc!BC27</f>
        <v/>
      </c>
      <c r="E29" s="164">
        <f t="shared" si="11"/>
        <v>0</v>
      </c>
      <c r="F29" s="64" t="str">
        <f t="shared" si="13"/>
        <v/>
      </c>
      <c r="I29">
        <f t="shared" si="12"/>
        <v>0</v>
      </c>
      <c r="J29">
        <f t="shared" si="8"/>
        <v>0</v>
      </c>
      <c r="K29" s="65"/>
      <c r="M29" t="str">
        <f>Calc!A29</f>
        <v>Passivkonto</v>
      </c>
      <c r="N29">
        <f>Calc!B29</f>
        <v>2100</v>
      </c>
      <c r="O29" t="str">
        <f>Calc!C29</f>
        <v>Depot Uniformen</v>
      </c>
      <c r="P29">
        <f>Calc!D29</f>
        <v>0</v>
      </c>
      <c r="Q29">
        <f>Calc!E29</f>
        <v>0</v>
      </c>
      <c r="R29">
        <f>Calc!F29</f>
        <v>0</v>
      </c>
      <c r="S29">
        <f>Calc!G29</f>
        <v>0</v>
      </c>
      <c r="U29">
        <f t="shared" si="14"/>
        <v>16</v>
      </c>
      <c r="V29">
        <f t="shared" si="0"/>
        <v>9999</v>
      </c>
      <c r="W29">
        <f t="shared" si="19"/>
        <v>2100</v>
      </c>
      <c r="X29" s="70">
        <f t="shared" si="18"/>
        <v>0</v>
      </c>
      <c r="Y29" t="str">
        <f t="shared" si="16"/>
        <v>Eröffnung Depot Uniformen</v>
      </c>
      <c r="Z29">
        <v>27</v>
      </c>
      <c r="AA29">
        <v>27.3</v>
      </c>
      <c r="AB29">
        <f t="shared" si="9"/>
        <v>23</v>
      </c>
      <c r="AC29" s="169">
        <f t="shared" si="2"/>
        <v>1</v>
      </c>
      <c r="AD29" s="170">
        <f t="shared" si="3"/>
        <v>46023</v>
      </c>
      <c r="AE29" s="168">
        <f t="shared" si="4"/>
        <v>9999</v>
      </c>
      <c r="AF29" s="168">
        <f t="shared" si="5"/>
        <v>2990</v>
      </c>
      <c r="AG29" s="168"/>
      <c r="AH29" s="171">
        <f t="shared" si="6"/>
        <v>0</v>
      </c>
      <c r="AI29" s="168" t="str">
        <f t="shared" si="7"/>
        <v>Eröffnung Gewinnvortrag / Verlustvortrag</v>
      </c>
      <c r="AK29" t="str">
        <f t="shared" si="10"/>
        <v>Falls dieses Konto nicht mehr genutzt wird, kann es im Folgejahr aus dem Kontenplan gelöscht werden. Beachten Sie dazu die Hilfelinks</v>
      </c>
    </row>
    <row r="30" spans="1:37" ht="16.5" customHeight="1" x14ac:dyDescent="0.3">
      <c r="A30" s="198">
        <f>Calc!AZ28</f>
        <v>22</v>
      </c>
      <c r="B30" s="199" t="str">
        <f>Calc!BA28</f>
        <v>T_B</v>
      </c>
      <c r="C30" s="63" t="str">
        <f>Calc!BB28</f>
        <v xml:space="preserve">Anlagevermögen </v>
      </c>
      <c r="D30" s="64" t="str">
        <f>Calc!BC28</f>
        <v/>
      </c>
      <c r="E30" s="164">
        <f t="shared" si="11"/>
        <v>0</v>
      </c>
      <c r="F30" s="64" t="str">
        <f t="shared" si="13"/>
        <v/>
      </c>
      <c r="I30">
        <f t="shared" si="12"/>
        <v>0</v>
      </c>
      <c r="J30">
        <f t="shared" si="8"/>
        <v>0</v>
      </c>
      <c r="K30" s="65"/>
      <c r="M30" t="str">
        <f>Calc!A30</f>
        <v>Passivkonto</v>
      </c>
      <c r="N30">
        <f>Calc!B30</f>
        <v>2200</v>
      </c>
      <c r="O30" t="str">
        <f>Calc!C30</f>
        <v>Depot Instrumente</v>
      </c>
      <c r="P30">
        <f>Calc!D30</f>
        <v>0</v>
      </c>
      <c r="Q30">
        <f>Calc!E30</f>
        <v>0</v>
      </c>
      <c r="R30">
        <f>Calc!F30</f>
        <v>0</v>
      </c>
      <c r="S30">
        <f>Calc!G30</f>
        <v>0</v>
      </c>
      <c r="U30">
        <f t="shared" si="14"/>
        <v>17</v>
      </c>
      <c r="V30">
        <f t="shared" si="0"/>
        <v>9999</v>
      </c>
      <c r="W30">
        <f t="shared" si="19"/>
        <v>2200</v>
      </c>
      <c r="X30" s="70">
        <f t="shared" si="18"/>
        <v>0</v>
      </c>
      <c r="Y30" t="str">
        <f t="shared" si="16"/>
        <v>Eröffnung Depot Instrumente</v>
      </c>
      <c r="Z30">
        <v>28</v>
      </c>
      <c r="AA30">
        <v>28.3</v>
      </c>
      <c r="AB30">
        <f t="shared" si="9"/>
        <v>24</v>
      </c>
      <c r="AC30" s="169" t="str">
        <f t="shared" si="2"/>
        <v/>
      </c>
      <c r="AD30" s="170" t="str">
        <f t="shared" si="3"/>
        <v/>
      </c>
      <c r="AE30" s="168" t="str">
        <f t="shared" si="4"/>
        <v/>
      </c>
      <c r="AF30" s="168" t="str">
        <f t="shared" si="5"/>
        <v/>
      </c>
      <c r="AG30" s="168"/>
      <c r="AH30" s="171" t="str">
        <f t="shared" si="6"/>
        <v/>
      </c>
      <c r="AI30" s="168" t="str">
        <f t="shared" si="7"/>
        <v/>
      </c>
      <c r="AK30" t="str">
        <f t="shared" si="10"/>
        <v/>
      </c>
    </row>
    <row r="31" spans="1:37" ht="16.5" customHeight="1" x14ac:dyDescent="0.3">
      <c r="A31" s="198">
        <f>Calc!AZ29</f>
        <v>23</v>
      </c>
      <c r="B31" s="199" t="str">
        <f>Calc!BA29</f>
        <v>T_B</v>
      </c>
      <c r="C31" s="63" t="str">
        <f>Calc!BB29</f>
        <v xml:space="preserve">Mobiliar </v>
      </c>
      <c r="D31" s="64" t="str">
        <f>Calc!BC29</f>
        <v/>
      </c>
      <c r="E31" s="164">
        <f t="shared" si="11"/>
        <v>0</v>
      </c>
      <c r="F31" s="64" t="str">
        <f t="shared" si="13"/>
        <v/>
      </c>
      <c r="I31">
        <f t="shared" si="12"/>
        <v>0</v>
      </c>
      <c r="J31">
        <f t="shared" si="8"/>
        <v>0</v>
      </c>
      <c r="K31" s="65"/>
      <c r="M31" t="str">
        <f>Calc!A31</f>
        <v>Passivkonto</v>
      </c>
      <c r="N31">
        <f>Calc!B31</f>
        <v>2300</v>
      </c>
      <c r="O31" t="str">
        <f>Calc!C31</f>
        <v>Transitorische Passiven</v>
      </c>
      <c r="P31">
        <f>Calc!D31</f>
        <v>0</v>
      </c>
      <c r="Q31">
        <f>Calc!E31</f>
        <v>0</v>
      </c>
      <c r="R31">
        <f>Calc!F31</f>
        <v>0</v>
      </c>
      <c r="S31">
        <f>Calc!G31</f>
        <v>0</v>
      </c>
      <c r="U31">
        <f t="shared" si="14"/>
        <v>18</v>
      </c>
      <c r="V31">
        <f t="shared" si="0"/>
        <v>9999</v>
      </c>
      <c r="W31">
        <f t="shared" si="19"/>
        <v>2300</v>
      </c>
      <c r="X31" s="70">
        <f t="shared" si="18"/>
        <v>0</v>
      </c>
      <c r="Y31" t="str">
        <f t="shared" si="16"/>
        <v>Eröffnung Transitorische Passiven</v>
      </c>
      <c r="Z31">
        <v>29</v>
      </c>
      <c r="AA31">
        <v>29.3</v>
      </c>
      <c r="AB31">
        <f t="shared" si="9"/>
        <v>25</v>
      </c>
      <c r="AC31" s="169" t="str">
        <f t="shared" si="2"/>
        <v/>
      </c>
      <c r="AD31" s="170" t="str">
        <f t="shared" si="3"/>
        <v/>
      </c>
      <c r="AE31" s="168" t="str">
        <f t="shared" si="4"/>
        <v/>
      </c>
      <c r="AF31" s="168" t="str">
        <f t="shared" si="5"/>
        <v/>
      </c>
      <c r="AG31" s="168"/>
      <c r="AH31" s="171" t="str">
        <f t="shared" si="6"/>
        <v/>
      </c>
      <c r="AI31" s="168" t="str">
        <f t="shared" si="7"/>
        <v/>
      </c>
      <c r="AK31" t="str">
        <f t="shared" si="10"/>
        <v/>
      </c>
    </row>
    <row r="32" spans="1:37" ht="16.5" customHeight="1" x14ac:dyDescent="0.3">
      <c r="A32" s="198">
        <f>Calc!AZ30</f>
        <v>24</v>
      </c>
      <c r="B32" s="199" t="str">
        <f>Calc!BA30</f>
        <v/>
      </c>
      <c r="C32" s="63" t="str">
        <f>Calc!BB30</f>
        <v>1500 Mobiliar Auftritte (Fahne etc.)</v>
      </c>
      <c r="D32" s="64">
        <f>Calc!BC30</f>
        <v>0</v>
      </c>
      <c r="E32" s="164">
        <f t="shared" si="11"/>
        <v>0</v>
      </c>
      <c r="F32" s="64">
        <f t="shared" si="13"/>
        <v>0</v>
      </c>
      <c r="I32">
        <f t="shared" si="12"/>
        <v>0</v>
      </c>
      <c r="J32">
        <f t="shared" si="8"/>
        <v>0</v>
      </c>
      <c r="K32" s="65"/>
      <c r="M32" t="str">
        <f>Calc!A32</f>
        <v>Passivkonto</v>
      </c>
      <c r="N32">
        <f>Calc!B32</f>
        <v>2520</v>
      </c>
      <c r="O32" t="str">
        <f>Calc!C32</f>
        <v>Darlehen</v>
      </c>
      <c r="P32">
        <f>Calc!D32</f>
        <v>0</v>
      </c>
      <c r="Q32">
        <f>Calc!E32</f>
        <v>0</v>
      </c>
      <c r="R32">
        <f>Calc!F32</f>
        <v>0</v>
      </c>
      <c r="S32">
        <f>Calc!G32</f>
        <v>0</v>
      </c>
      <c r="U32">
        <f t="shared" si="14"/>
        <v>19</v>
      </c>
      <c r="V32">
        <f t="shared" si="0"/>
        <v>9999</v>
      </c>
      <c r="W32">
        <f t="shared" si="19"/>
        <v>2520</v>
      </c>
      <c r="X32" s="70">
        <f t="shared" si="18"/>
        <v>0</v>
      </c>
      <c r="Y32" t="str">
        <f t="shared" si="16"/>
        <v>Eröffnung Darlehen</v>
      </c>
      <c r="Z32" s="1">
        <v>30</v>
      </c>
      <c r="AA32" s="1">
        <v>30.3</v>
      </c>
      <c r="AB32">
        <f t="shared" si="9"/>
        <v>26</v>
      </c>
      <c r="AC32" s="169" t="str">
        <f t="shared" si="2"/>
        <v/>
      </c>
      <c r="AD32" s="170" t="str">
        <f t="shared" si="3"/>
        <v/>
      </c>
      <c r="AE32" s="168" t="str">
        <f t="shared" si="4"/>
        <v/>
      </c>
      <c r="AF32" s="168" t="str">
        <f t="shared" si="5"/>
        <v/>
      </c>
      <c r="AG32" s="168"/>
      <c r="AH32" s="171" t="str">
        <f t="shared" si="6"/>
        <v/>
      </c>
      <c r="AI32" s="168" t="str">
        <f t="shared" si="7"/>
        <v/>
      </c>
      <c r="AK32" t="str">
        <f t="shared" si="10"/>
        <v/>
      </c>
    </row>
    <row r="33" spans="1:37" ht="16.5" customHeight="1" x14ac:dyDescent="0.3">
      <c r="A33" s="198">
        <f>Calc!AZ31</f>
        <v>25</v>
      </c>
      <c r="B33" s="199" t="str">
        <f>Calc!BA31</f>
        <v/>
      </c>
      <c r="C33" s="63" t="str">
        <f>Calc!BB31</f>
        <v>1530 Fahrzeuge</v>
      </c>
      <c r="D33" s="64">
        <f>Calc!BC31</f>
        <v>0</v>
      </c>
      <c r="E33" s="164">
        <f t="shared" si="11"/>
        <v>0</v>
      </c>
      <c r="F33" s="64">
        <f t="shared" si="13"/>
        <v>0</v>
      </c>
      <c r="I33">
        <f t="shared" si="12"/>
        <v>0</v>
      </c>
      <c r="J33">
        <f t="shared" si="8"/>
        <v>0</v>
      </c>
      <c r="K33" s="65"/>
      <c r="M33" t="str">
        <f>Calc!A33</f>
        <v>Passivkonto</v>
      </c>
      <c r="N33">
        <f>Calc!B33</f>
        <v>2600</v>
      </c>
      <c r="O33" t="str">
        <f>Calc!C33</f>
        <v>Rückstellungen</v>
      </c>
      <c r="P33">
        <f>Calc!D33</f>
        <v>0</v>
      </c>
      <c r="Q33">
        <f>Calc!E33</f>
        <v>0</v>
      </c>
      <c r="R33">
        <f>Calc!F33</f>
        <v>0</v>
      </c>
      <c r="S33">
        <f>Calc!G33</f>
        <v>0</v>
      </c>
      <c r="U33">
        <f t="shared" si="14"/>
        <v>20</v>
      </c>
      <c r="V33">
        <f t="shared" si="0"/>
        <v>9999</v>
      </c>
      <c r="W33">
        <f t="shared" si="19"/>
        <v>2600</v>
      </c>
      <c r="X33" s="70">
        <f t="shared" si="18"/>
        <v>0</v>
      </c>
      <c r="Y33" t="str">
        <f t="shared" si="16"/>
        <v>Eröffnung Rückstellungen</v>
      </c>
      <c r="Z33">
        <v>31</v>
      </c>
      <c r="AA33">
        <v>31.3</v>
      </c>
      <c r="AB33">
        <f t="shared" si="9"/>
        <v>27</v>
      </c>
      <c r="AC33" s="169" t="str">
        <f t="shared" si="2"/>
        <v/>
      </c>
      <c r="AD33" s="170" t="str">
        <f t="shared" si="3"/>
        <v/>
      </c>
      <c r="AE33" s="168" t="str">
        <f t="shared" si="4"/>
        <v/>
      </c>
      <c r="AF33" s="168" t="str">
        <f t="shared" si="5"/>
        <v/>
      </c>
      <c r="AG33" s="168"/>
      <c r="AH33" s="171" t="str">
        <f t="shared" si="6"/>
        <v/>
      </c>
      <c r="AI33" s="168" t="str">
        <f t="shared" si="7"/>
        <v/>
      </c>
      <c r="AK33" t="str">
        <f t="shared" si="10"/>
        <v/>
      </c>
    </row>
    <row r="34" spans="1:37" ht="16.5" customHeight="1" x14ac:dyDescent="0.3">
      <c r="A34" s="198">
        <f>Calc!AZ32</f>
        <v>25</v>
      </c>
      <c r="B34" s="199" t="str">
        <f>Calc!BA32</f>
        <v>Sub</v>
      </c>
      <c r="C34" s="63" t="str">
        <f>Calc!BB32</f>
        <v/>
      </c>
      <c r="D34" s="64">
        <f>Calc!BC32</f>
        <v>0</v>
      </c>
      <c r="E34" s="164">
        <f t="shared" si="11"/>
        <v>0</v>
      </c>
      <c r="F34" s="64">
        <f t="shared" si="13"/>
        <v>0</v>
      </c>
      <c r="I34">
        <f t="shared" si="12"/>
        <v>0</v>
      </c>
      <c r="J34">
        <f t="shared" si="8"/>
        <v>0</v>
      </c>
      <c r="K34" s="65"/>
      <c r="M34">
        <f>Calc!A34</f>
        <v>0</v>
      </c>
      <c r="N34">
        <f>Calc!B34</f>
        <v>0</v>
      </c>
      <c r="O34">
        <f>Calc!C34</f>
        <v>0</v>
      </c>
      <c r="P34">
        <f>Calc!D34</f>
        <v>0</v>
      </c>
      <c r="Q34">
        <f>Calc!E34</f>
        <v>0</v>
      </c>
      <c r="R34">
        <f>Calc!F34</f>
        <v>0</v>
      </c>
      <c r="S34">
        <f>Calc!G34</f>
        <v>0</v>
      </c>
      <c r="U34">
        <f t="shared" si="14"/>
        <v>20.0001</v>
      </c>
      <c r="V34" t="str">
        <f t="shared" si="0"/>
        <v/>
      </c>
      <c r="W34" t="str">
        <f t="shared" si="19"/>
        <v/>
      </c>
      <c r="X34" s="70" t="str">
        <f t="shared" si="18"/>
        <v/>
      </c>
      <c r="Y34" t="str">
        <f t="shared" si="16"/>
        <v/>
      </c>
      <c r="Z34">
        <v>32</v>
      </c>
      <c r="AA34">
        <v>32.299999999999997</v>
      </c>
      <c r="AB34">
        <f t="shared" si="9"/>
        <v>28</v>
      </c>
      <c r="AC34" s="169" t="str">
        <f t="shared" si="2"/>
        <v/>
      </c>
      <c r="AD34" s="170" t="str">
        <f t="shared" si="3"/>
        <v/>
      </c>
      <c r="AE34" s="168" t="str">
        <f t="shared" si="4"/>
        <v/>
      </c>
      <c r="AF34" s="168" t="str">
        <f t="shared" si="5"/>
        <v/>
      </c>
      <c r="AG34" s="168"/>
      <c r="AH34" s="171" t="str">
        <f t="shared" si="6"/>
        <v/>
      </c>
      <c r="AI34" s="168" t="str">
        <f t="shared" si="7"/>
        <v/>
      </c>
      <c r="AK34" t="str">
        <f t="shared" si="10"/>
        <v/>
      </c>
    </row>
    <row r="35" spans="1:37" ht="16.5" customHeight="1" x14ac:dyDescent="0.3">
      <c r="A35" s="198">
        <f>Calc!AZ33</f>
        <v>25</v>
      </c>
      <c r="B35" s="199" t="str">
        <f>Calc!BA33</f>
        <v/>
      </c>
      <c r="C35" s="63" t="str">
        <f>Calc!BB33</f>
        <v/>
      </c>
      <c r="D35" s="64" t="str">
        <f>Calc!BC33</f>
        <v/>
      </c>
      <c r="E35" s="164">
        <f t="shared" si="11"/>
        <v>0</v>
      </c>
      <c r="F35" s="64" t="str">
        <f t="shared" si="13"/>
        <v/>
      </c>
      <c r="I35">
        <f t="shared" si="12"/>
        <v>0</v>
      </c>
      <c r="J35">
        <f t="shared" si="8"/>
        <v>0</v>
      </c>
      <c r="K35" s="65"/>
      <c r="M35" t="str">
        <f>Calc!A35</f>
        <v>Passivkonto</v>
      </c>
      <c r="N35">
        <f>Calc!B35</f>
        <v>2800</v>
      </c>
      <c r="O35" t="str">
        <f>Calc!C35</f>
        <v>Vereinskapital</v>
      </c>
      <c r="P35">
        <f>Calc!D35</f>
        <v>0</v>
      </c>
      <c r="Q35">
        <f>Calc!E35</f>
        <v>0</v>
      </c>
      <c r="R35">
        <f>Calc!F35</f>
        <v>0</v>
      </c>
      <c r="S35">
        <f>Calc!G35</f>
        <v>0</v>
      </c>
      <c r="U35">
        <f t="shared" si="14"/>
        <v>21</v>
      </c>
      <c r="V35">
        <f t="shared" si="0"/>
        <v>9999</v>
      </c>
      <c r="W35">
        <f t="shared" si="19"/>
        <v>2800</v>
      </c>
      <c r="X35" s="70">
        <f t="shared" si="18"/>
        <v>0</v>
      </c>
      <c r="Y35" t="str">
        <f t="shared" si="16"/>
        <v>Eröffnung Vereinskapital</v>
      </c>
      <c r="Z35">
        <v>33</v>
      </c>
      <c r="AA35">
        <v>33.299999999999997</v>
      </c>
      <c r="AB35">
        <f t="shared" si="9"/>
        <v>29</v>
      </c>
      <c r="AC35" s="169" t="str">
        <f t="shared" si="2"/>
        <v/>
      </c>
      <c r="AD35" s="170" t="str">
        <f t="shared" si="3"/>
        <v/>
      </c>
      <c r="AE35" s="168" t="str">
        <f t="shared" si="4"/>
        <v/>
      </c>
      <c r="AF35" s="168" t="str">
        <f t="shared" si="5"/>
        <v/>
      </c>
      <c r="AG35" s="168"/>
      <c r="AH35" s="171" t="str">
        <f t="shared" si="6"/>
        <v/>
      </c>
      <c r="AI35" s="168" t="str">
        <f t="shared" si="7"/>
        <v/>
      </c>
      <c r="AK35" t="str">
        <f t="shared" si="10"/>
        <v/>
      </c>
    </row>
    <row r="36" spans="1:37" ht="16.5" customHeight="1" x14ac:dyDescent="0.3">
      <c r="A36" s="198">
        <f>Calc!AZ34</f>
        <v>25</v>
      </c>
      <c r="B36" s="199" t="str">
        <f>Calc!BA34</f>
        <v/>
      </c>
      <c r="C36" s="63" t="str">
        <f>Calc!BB34</f>
        <v>Bilanzsumme</v>
      </c>
      <c r="D36" s="64">
        <f>Calc!BC34</f>
        <v>0</v>
      </c>
      <c r="E36" s="164">
        <f t="shared" si="11"/>
        <v>0</v>
      </c>
      <c r="F36" s="64">
        <f t="shared" si="13"/>
        <v>0</v>
      </c>
      <c r="I36">
        <f t="shared" si="12"/>
        <v>0</v>
      </c>
      <c r="J36">
        <f t="shared" si="8"/>
        <v>0</v>
      </c>
      <c r="K36" s="65"/>
      <c r="M36" t="str">
        <f>Calc!A36</f>
        <v>Passivkonto</v>
      </c>
      <c r="N36">
        <f>Calc!B36</f>
        <v>2900</v>
      </c>
      <c r="O36" t="str">
        <f>Calc!C36</f>
        <v>Reserven</v>
      </c>
      <c r="P36">
        <f>Calc!D36</f>
        <v>0</v>
      </c>
      <c r="Q36">
        <f>Calc!E36</f>
        <v>0</v>
      </c>
      <c r="R36">
        <f>Calc!F36</f>
        <v>0</v>
      </c>
      <c r="S36">
        <f>Calc!G36</f>
        <v>0</v>
      </c>
      <c r="U36">
        <f t="shared" si="14"/>
        <v>22</v>
      </c>
      <c r="V36">
        <f t="shared" si="0"/>
        <v>9999</v>
      </c>
      <c r="W36">
        <f t="shared" si="19"/>
        <v>2900</v>
      </c>
      <c r="X36" s="70">
        <f t="shared" si="18"/>
        <v>0</v>
      </c>
      <c r="Y36" t="str">
        <f t="shared" si="16"/>
        <v>Eröffnung Reserven</v>
      </c>
      <c r="Z36">
        <v>34</v>
      </c>
      <c r="AA36" s="1">
        <v>34.299999999999997</v>
      </c>
      <c r="AB36">
        <f t="shared" si="9"/>
        <v>30</v>
      </c>
      <c r="AC36" s="169" t="str">
        <f t="shared" si="2"/>
        <v/>
      </c>
      <c r="AD36" s="170" t="str">
        <f t="shared" si="3"/>
        <v/>
      </c>
      <c r="AE36" s="168" t="str">
        <f t="shared" si="4"/>
        <v/>
      </c>
      <c r="AF36" s="168" t="str">
        <f t="shared" si="5"/>
        <v/>
      </c>
      <c r="AG36" s="168"/>
      <c r="AH36" s="171" t="str">
        <f t="shared" si="6"/>
        <v/>
      </c>
      <c r="AI36" s="168" t="str">
        <f t="shared" si="7"/>
        <v/>
      </c>
      <c r="AK36" t="str">
        <f t="shared" si="10"/>
        <v/>
      </c>
    </row>
    <row r="37" spans="1:37" ht="16.5" customHeight="1" x14ac:dyDescent="0.3">
      <c r="A37" s="198">
        <f>Calc!AZ35</f>
        <v>25</v>
      </c>
      <c r="B37" s="199" t="str">
        <f>Calc!BA35</f>
        <v/>
      </c>
      <c r="C37" s="63" t="str">
        <f>Calc!BB35</f>
        <v/>
      </c>
      <c r="D37" s="64" t="str">
        <f>Calc!BC35</f>
        <v/>
      </c>
      <c r="E37" s="164">
        <f t="shared" si="11"/>
        <v>0</v>
      </c>
      <c r="F37" s="64" t="str">
        <f t="shared" si="13"/>
        <v/>
      </c>
      <c r="I37">
        <f t="shared" si="12"/>
        <v>0</v>
      </c>
      <c r="J37">
        <f t="shared" si="8"/>
        <v>0</v>
      </c>
      <c r="K37" s="15"/>
      <c r="M37" t="str">
        <f>Calc!A37</f>
        <v>Passivkonto</v>
      </c>
      <c r="N37">
        <f>Calc!B37</f>
        <v>2990</v>
      </c>
      <c r="O37" t="str">
        <f>Calc!C37</f>
        <v>Gewinnvortrag / Verlustvortrag</v>
      </c>
      <c r="P37">
        <f>Calc!D37</f>
        <v>0</v>
      </c>
      <c r="Q37">
        <f>Calc!E37</f>
        <v>0</v>
      </c>
      <c r="R37">
        <f>Calc!F37</f>
        <v>0</v>
      </c>
      <c r="S37">
        <f>Calc!G37</f>
        <v>0</v>
      </c>
      <c r="U37">
        <f t="shared" si="14"/>
        <v>23</v>
      </c>
      <c r="V37">
        <f t="shared" si="0"/>
        <v>9999</v>
      </c>
      <c r="W37">
        <f t="shared" si="19"/>
        <v>2990</v>
      </c>
      <c r="X37" s="70">
        <f t="shared" si="18"/>
        <v>0</v>
      </c>
      <c r="Y37" t="str">
        <f t="shared" si="16"/>
        <v>Eröffnung Gewinnvortrag / Verlustvortrag</v>
      </c>
      <c r="Z37">
        <v>35</v>
      </c>
      <c r="AA37">
        <v>35.299999999999997</v>
      </c>
      <c r="AB37">
        <f t="shared" si="9"/>
        <v>31</v>
      </c>
      <c r="AC37" s="169" t="str">
        <f t="shared" si="2"/>
        <v/>
      </c>
      <c r="AD37" s="170" t="str">
        <f t="shared" si="3"/>
        <v/>
      </c>
      <c r="AE37" s="168" t="str">
        <f t="shared" si="4"/>
        <v/>
      </c>
      <c r="AF37" s="168" t="str">
        <f t="shared" si="5"/>
        <v/>
      </c>
      <c r="AG37" s="168"/>
      <c r="AH37" s="171" t="str">
        <f t="shared" si="6"/>
        <v/>
      </c>
      <c r="AI37" s="168" t="str">
        <f t="shared" si="7"/>
        <v/>
      </c>
      <c r="AK37" t="str">
        <f t="shared" si="10"/>
        <v/>
      </c>
    </row>
    <row r="38" spans="1:37" ht="16.5" customHeight="1" x14ac:dyDescent="0.3">
      <c r="A38" s="198">
        <f>Calc!AZ36</f>
        <v>25</v>
      </c>
      <c r="B38" s="199" t="str">
        <f>Calc!BA36</f>
        <v/>
      </c>
      <c r="C38" s="63" t="str">
        <f>Calc!BB36</f>
        <v>PASSIVEN</v>
      </c>
      <c r="D38" s="64" t="str">
        <f>Calc!BC36</f>
        <v/>
      </c>
      <c r="E38" s="164">
        <f t="shared" si="11"/>
        <v>0</v>
      </c>
      <c r="F38" s="64" t="str">
        <f t="shared" si="13"/>
        <v/>
      </c>
      <c r="I38">
        <f t="shared" si="12"/>
        <v>0</v>
      </c>
      <c r="J38">
        <f t="shared" si="8"/>
        <v>0</v>
      </c>
      <c r="K38" s="15"/>
      <c r="M38">
        <f>Calc!A38</f>
        <v>0</v>
      </c>
      <c r="N38">
        <f>Calc!B38</f>
        <v>0</v>
      </c>
      <c r="O38">
        <f>Calc!C38</f>
        <v>0</v>
      </c>
      <c r="P38">
        <f>Calc!D38</f>
        <v>0</v>
      </c>
      <c r="Q38">
        <f>Calc!E38</f>
        <v>0</v>
      </c>
      <c r="R38">
        <f>Calc!F38</f>
        <v>0</v>
      </c>
      <c r="S38">
        <f>Calc!G38</f>
        <v>0</v>
      </c>
      <c r="U38">
        <f t="shared" si="14"/>
        <v>23.0001</v>
      </c>
      <c r="V38" t="str">
        <f t="shared" si="0"/>
        <v/>
      </c>
      <c r="W38" t="str">
        <f t="shared" si="19"/>
        <v/>
      </c>
      <c r="X38" s="70" t="str">
        <f t="shared" si="18"/>
        <v/>
      </c>
      <c r="Y38" t="str">
        <f t="shared" si="16"/>
        <v/>
      </c>
      <c r="Z38" s="1">
        <v>36</v>
      </c>
      <c r="AA38">
        <v>36.299999999999997</v>
      </c>
      <c r="AB38">
        <f t="shared" si="9"/>
        <v>32</v>
      </c>
      <c r="AC38" s="169" t="str">
        <f t="shared" si="2"/>
        <v/>
      </c>
      <c r="AD38" s="170" t="str">
        <f t="shared" si="3"/>
        <v/>
      </c>
      <c r="AE38" s="168" t="str">
        <f t="shared" si="4"/>
        <v/>
      </c>
      <c r="AF38" s="168" t="str">
        <f t="shared" si="5"/>
        <v/>
      </c>
      <c r="AG38" s="168"/>
      <c r="AH38" s="171" t="str">
        <f t="shared" si="6"/>
        <v/>
      </c>
      <c r="AI38" s="168" t="str">
        <f t="shared" si="7"/>
        <v/>
      </c>
      <c r="AK38" t="str">
        <f t="shared" si="10"/>
        <v/>
      </c>
    </row>
    <row r="39" spans="1:37" ht="16.5" customHeight="1" x14ac:dyDescent="0.3">
      <c r="A39" s="198">
        <f>Calc!AZ37</f>
        <v>25</v>
      </c>
      <c r="B39" s="199" t="str">
        <f>Calc!BA37</f>
        <v/>
      </c>
      <c r="C39" s="63" t="str">
        <f>Calc!BB37</f>
        <v/>
      </c>
      <c r="D39" s="64" t="str">
        <f>Calc!BC37</f>
        <v/>
      </c>
      <c r="E39" s="164">
        <f t="shared" si="11"/>
        <v>0</v>
      </c>
      <c r="F39" s="64" t="str">
        <f t="shared" si="13"/>
        <v/>
      </c>
      <c r="I39">
        <f t="shared" si="12"/>
        <v>0</v>
      </c>
      <c r="J39">
        <f t="shared" si="8"/>
        <v>0</v>
      </c>
      <c r="K39" s="15"/>
      <c r="M39" t="str">
        <f>Calc!A39</f>
        <v>Aufwandskonto</v>
      </c>
      <c r="N39">
        <f>Calc!B39</f>
        <v>3000</v>
      </c>
      <c r="O39" t="str">
        <f>Calc!C39</f>
        <v>Aufwände für Zuzüger</v>
      </c>
      <c r="P39">
        <f>Calc!D39</f>
        <v>0</v>
      </c>
      <c r="Q39">
        <f>Calc!E39</f>
        <v>0</v>
      </c>
      <c r="R39">
        <f>Calc!F39</f>
        <v>0</v>
      </c>
      <c r="S39">
        <f>Calc!G39</f>
        <v>0</v>
      </c>
      <c r="U39">
        <f t="shared" si="14"/>
        <v>23.0002</v>
      </c>
      <c r="V39" t="str">
        <f t="shared" ref="V39:V70" si="20">IF(M39="Passivkonto",$AE$2,IF(M39="Aktivkonto",N39,""))</f>
        <v/>
      </c>
      <c r="W39" t="str">
        <f t="shared" si="19"/>
        <v/>
      </c>
      <c r="X39" s="70" t="str">
        <f t="shared" si="18"/>
        <v/>
      </c>
      <c r="Y39" t="str">
        <f t="shared" si="16"/>
        <v/>
      </c>
      <c r="Z39">
        <v>37</v>
      </c>
      <c r="AA39">
        <v>37.299999999999997</v>
      </c>
      <c r="AB39">
        <f t="shared" si="9"/>
        <v>33</v>
      </c>
      <c r="AC39" s="169" t="str">
        <f t="shared" ref="AC39:AC70" si="21">IF(AB39&gt;$O$4,"",AC38)</f>
        <v/>
      </c>
      <c r="AD39" s="170" t="str">
        <f t="shared" ref="AD39:AD70" si="22">IF(AB39&gt;$O$4,"",AD38)</f>
        <v/>
      </c>
      <c r="AE39" s="168" t="str">
        <f t="shared" ref="AE39:AE70" si="23">VLOOKUP($AB39,$U$7:$Y$119,2)</f>
        <v/>
      </c>
      <c r="AF39" s="168" t="str">
        <f t="shared" ref="AF39:AF70" si="24">VLOOKUP($AB39,$U$7:$Y$119,3)</f>
        <v/>
      </c>
      <c r="AG39" s="168"/>
      <c r="AH39" s="171" t="str">
        <f t="shared" ref="AH39:AH70" si="25">VLOOKUP($AB39,$U$7:$Y$119,4)</f>
        <v/>
      </c>
      <c r="AI39" s="168" t="str">
        <f t="shared" ref="AI39:AI70" si="26">VLOOKUP($AB39,$U$7:$Y$119,5)</f>
        <v/>
      </c>
      <c r="AK39" t="str">
        <f t="shared" si="10"/>
        <v/>
      </c>
    </row>
    <row r="40" spans="1:37" ht="16.5" customHeight="1" x14ac:dyDescent="0.3">
      <c r="A40" s="198">
        <f>Calc!AZ38</f>
        <v>32</v>
      </c>
      <c r="B40" s="199" t="str">
        <f>Calc!BA38</f>
        <v>T_B</v>
      </c>
      <c r="C40" s="63" t="str">
        <f>Calc!BB38</f>
        <v xml:space="preserve">Fremdkapital </v>
      </c>
      <c r="D40" s="64" t="str">
        <f>Calc!BC38</f>
        <v/>
      </c>
      <c r="E40" s="164">
        <f t="shared" si="11"/>
        <v>0</v>
      </c>
      <c r="F40" s="64" t="str">
        <f t="shared" si="13"/>
        <v/>
      </c>
      <c r="I40">
        <f t="shared" si="12"/>
        <v>0</v>
      </c>
      <c r="J40">
        <f t="shared" si="8"/>
        <v>0</v>
      </c>
      <c r="K40" s="15"/>
      <c r="M40" t="str">
        <f>Calc!A40</f>
        <v>Aufwandskonto</v>
      </c>
      <c r="N40">
        <f>Calc!B40</f>
        <v>3100</v>
      </c>
      <c r="O40" t="str">
        <f>Calc!C40</f>
        <v>Werbeaufwand Auftritte</v>
      </c>
      <c r="P40">
        <f>Calc!D40</f>
        <v>0</v>
      </c>
      <c r="Q40">
        <f>Calc!E40</f>
        <v>0</v>
      </c>
      <c r="R40">
        <f>Calc!F40</f>
        <v>0</v>
      </c>
      <c r="S40">
        <f>Calc!G40</f>
        <v>0</v>
      </c>
      <c r="U40">
        <f t="shared" si="14"/>
        <v>23.000299999999999</v>
      </c>
      <c r="V40" t="str">
        <f t="shared" si="20"/>
        <v/>
      </c>
      <c r="W40" t="str">
        <f t="shared" si="19"/>
        <v/>
      </c>
      <c r="X40" s="70" t="str">
        <f t="shared" si="18"/>
        <v/>
      </c>
      <c r="Y40" t="str">
        <f t="shared" si="16"/>
        <v/>
      </c>
      <c r="Z40">
        <v>38</v>
      </c>
      <c r="AA40" s="1">
        <v>38.299999999999997</v>
      </c>
      <c r="AB40">
        <f t="shared" si="9"/>
        <v>34</v>
      </c>
      <c r="AC40" s="169" t="str">
        <f t="shared" si="21"/>
        <v/>
      </c>
      <c r="AD40" s="170" t="str">
        <f t="shared" si="22"/>
        <v/>
      </c>
      <c r="AE40" s="168" t="str">
        <f t="shared" si="23"/>
        <v/>
      </c>
      <c r="AF40" s="168" t="str">
        <f t="shared" si="24"/>
        <v/>
      </c>
      <c r="AG40" s="168"/>
      <c r="AH40" s="171" t="str">
        <f t="shared" si="25"/>
        <v/>
      </c>
      <c r="AI40" s="168" t="str">
        <f t="shared" si="26"/>
        <v/>
      </c>
      <c r="AK40" t="str">
        <f t="shared" si="10"/>
        <v/>
      </c>
    </row>
    <row r="41" spans="1:37" ht="16.5" customHeight="1" x14ac:dyDescent="0.3">
      <c r="A41" s="198">
        <f>Calc!AZ39</f>
        <v>33</v>
      </c>
      <c r="B41" s="199" t="str">
        <f>Calc!BA39</f>
        <v/>
      </c>
      <c r="C41" s="63" t="str">
        <f>Calc!BB39</f>
        <v>2000 Kreditoren CHF</v>
      </c>
      <c r="D41" s="64">
        <f>Calc!BC39</f>
        <v>0</v>
      </c>
      <c r="E41" s="164">
        <f t="shared" si="11"/>
        <v>0</v>
      </c>
      <c r="F41" s="64">
        <f t="shared" si="13"/>
        <v>0</v>
      </c>
      <c r="I41">
        <f t="shared" si="12"/>
        <v>0</v>
      </c>
      <c r="J41">
        <f t="shared" si="8"/>
        <v>0</v>
      </c>
      <c r="K41" s="15"/>
      <c r="M41" t="str">
        <f>Calc!A41</f>
        <v>Aufwandskonto</v>
      </c>
      <c r="N41">
        <f>Calc!B41</f>
        <v>3200</v>
      </c>
      <c r="O41" t="str">
        <f>Calc!C41</f>
        <v>Einkauf für Auftritt</v>
      </c>
      <c r="P41">
        <f>Calc!D41</f>
        <v>0</v>
      </c>
      <c r="Q41">
        <f>Calc!E41</f>
        <v>0</v>
      </c>
      <c r="R41">
        <f>Calc!F41</f>
        <v>0</v>
      </c>
      <c r="S41">
        <f>Calc!G41</f>
        <v>0</v>
      </c>
      <c r="U41">
        <f t="shared" si="14"/>
        <v>23.000399999999999</v>
      </c>
      <c r="V41" t="str">
        <f t="shared" si="20"/>
        <v/>
      </c>
      <c r="W41" t="str">
        <f t="shared" si="19"/>
        <v/>
      </c>
      <c r="X41" s="70" t="str">
        <f t="shared" si="18"/>
        <v/>
      </c>
      <c r="Y41" t="str">
        <f t="shared" si="16"/>
        <v/>
      </c>
      <c r="Z41">
        <v>39</v>
      </c>
      <c r="AA41">
        <v>39.299999999999997</v>
      </c>
      <c r="AB41">
        <f t="shared" si="9"/>
        <v>35</v>
      </c>
      <c r="AC41" s="169" t="str">
        <f t="shared" si="21"/>
        <v/>
      </c>
      <c r="AD41" s="170" t="str">
        <f t="shared" si="22"/>
        <v/>
      </c>
      <c r="AE41" s="168" t="str">
        <f t="shared" si="23"/>
        <v/>
      </c>
      <c r="AF41" s="168" t="str">
        <f t="shared" si="24"/>
        <v/>
      </c>
      <c r="AG41" s="168"/>
      <c r="AH41" s="171" t="str">
        <f t="shared" si="25"/>
        <v/>
      </c>
      <c r="AI41" s="168" t="str">
        <f t="shared" si="26"/>
        <v/>
      </c>
      <c r="AK41" t="str">
        <f t="shared" si="10"/>
        <v/>
      </c>
    </row>
    <row r="42" spans="1:37" ht="16.5" customHeight="1" x14ac:dyDescent="0.3">
      <c r="A42" s="198">
        <f>Calc!AZ40</f>
        <v>34</v>
      </c>
      <c r="B42" s="199" t="str">
        <f>Calc!BA40</f>
        <v/>
      </c>
      <c r="C42" s="63" t="str">
        <f>Calc!BB40</f>
        <v>2010 weitere Kreditoren</v>
      </c>
      <c r="D42" s="64">
        <f>Calc!BC40</f>
        <v>0</v>
      </c>
      <c r="E42" s="164">
        <f t="shared" si="11"/>
        <v>0</v>
      </c>
      <c r="F42" s="64">
        <f t="shared" si="13"/>
        <v>0</v>
      </c>
      <c r="I42">
        <f t="shared" si="12"/>
        <v>0</v>
      </c>
      <c r="J42">
        <f t="shared" si="8"/>
        <v>0</v>
      </c>
      <c r="K42" s="15"/>
      <c r="M42" t="str">
        <f>Calc!A42</f>
        <v>Aufwandskonto</v>
      </c>
      <c r="N42">
        <f>Calc!B42</f>
        <v>3300</v>
      </c>
      <c r="O42" t="str">
        <f>Calc!C42</f>
        <v>Spesen für Auftritt</v>
      </c>
      <c r="P42">
        <f>Calc!D42</f>
        <v>0</v>
      </c>
      <c r="Q42">
        <f>Calc!E42</f>
        <v>0</v>
      </c>
      <c r="R42">
        <f>Calc!F42</f>
        <v>0</v>
      </c>
      <c r="S42">
        <f>Calc!G42</f>
        <v>0</v>
      </c>
      <c r="U42">
        <f t="shared" si="14"/>
        <v>23.000499999999999</v>
      </c>
      <c r="V42" t="str">
        <f t="shared" si="20"/>
        <v/>
      </c>
      <c r="W42" t="str">
        <f t="shared" si="19"/>
        <v/>
      </c>
      <c r="X42" s="70" t="str">
        <f t="shared" si="18"/>
        <v/>
      </c>
      <c r="Y42" t="str">
        <f t="shared" si="16"/>
        <v/>
      </c>
      <c r="Z42">
        <v>40</v>
      </c>
      <c r="AA42">
        <v>40.299999999999997</v>
      </c>
      <c r="AB42">
        <f t="shared" si="9"/>
        <v>36</v>
      </c>
      <c r="AC42" s="169" t="str">
        <f t="shared" si="21"/>
        <v/>
      </c>
      <c r="AD42" s="170" t="str">
        <f t="shared" si="22"/>
        <v/>
      </c>
      <c r="AE42" s="168" t="str">
        <f t="shared" si="23"/>
        <v/>
      </c>
      <c r="AF42" s="168" t="str">
        <f t="shared" si="24"/>
        <v/>
      </c>
      <c r="AG42" s="168"/>
      <c r="AH42" s="171" t="str">
        <f t="shared" si="25"/>
        <v/>
      </c>
      <c r="AI42" s="168" t="str">
        <f t="shared" si="26"/>
        <v/>
      </c>
      <c r="AK42" t="str">
        <f t="shared" si="10"/>
        <v/>
      </c>
    </row>
    <row r="43" spans="1:37" ht="16.5" customHeight="1" x14ac:dyDescent="0.3">
      <c r="A43" s="198">
        <f>Calc!AZ41</f>
        <v>35</v>
      </c>
      <c r="B43" s="199" t="str">
        <f>Calc!BA41</f>
        <v/>
      </c>
      <c r="C43" s="63" t="str">
        <f>Calc!BB41</f>
        <v>2100 Depot Uniformen</v>
      </c>
      <c r="D43" s="64">
        <f>Calc!BC41</f>
        <v>0</v>
      </c>
      <c r="E43" s="164">
        <f t="shared" si="11"/>
        <v>0</v>
      </c>
      <c r="F43" s="64">
        <f t="shared" si="13"/>
        <v>0</v>
      </c>
      <c r="I43">
        <f t="shared" si="12"/>
        <v>0</v>
      </c>
      <c r="J43">
        <f t="shared" si="8"/>
        <v>0</v>
      </c>
      <c r="K43" s="15"/>
      <c r="M43" t="str">
        <f>Calc!A43</f>
        <v>Aufwandskonto</v>
      </c>
      <c r="N43">
        <f>Calc!B43</f>
        <v>3400</v>
      </c>
      <c r="O43" t="str">
        <f>Calc!C43</f>
        <v>div. Aufwände Konzerte</v>
      </c>
      <c r="P43">
        <f>Calc!D43</f>
        <v>0</v>
      </c>
      <c r="Q43">
        <f>Calc!E43</f>
        <v>0</v>
      </c>
      <c r="R43">
        <f>Calc!F43</f>
        <v>0</v>
      </c>
      <c r="S43">
        <f>Calc!G43</f>
        <v>0</v>
      </c>
      <c r="U43">
        <f t="shared" si="14"/>
        <v>23.000599999999999</v>
      </c>
      <c r="V43" t="str">
        <f t="shared" si="20"/>
        <v/>
      </c>
      <c r="W43" t="str">
        <f t="shared" si="19"/>
        <v/>
      </c>
      <c r="X43" s="70" t="str">
        <f t="shared" si="18"/>
        <v/>
      </c>
      <c r="Y43" t="str">
        <f t="shared" si="16"/>
        <v/>
      </c>
      <c r="Z43">
        <v>41</v>
      </c>
      <c r="AA43">
        <v>41.3</v>
      </c>
      <c r="AB43">
        <f t="shared" si="9"/>
        <v>37</v>
      </c>
      <c r="AC43" s="169" t="str">
        <f t="shared" si="21"/>
        <v/>
      </c>
      <c r="AD43" s="170" t="str">
        <f t="shared" si="22"/>
        <v/>
      </c>
      <c r="AE43" s="168" t="str">
        <f t="shared" si="23"/>
        <v/>
      </c>
      <c r="AF43" s="168" t="str">
        <f t="shared" si="24"/>
        <v/>
      </c>
      <c r="AG43" s="168"/>
      <c r="AH43" s="171" t="str">
        <f t="shared" si="25"/>
        <v/>
      </c>
      <c r="AI43" s="168" t="str">
        <f t="shared" si="26"/>
        <v/>
      </c>
      <c r="AK43" t="str">
        <f t="shared" si="10"/>
        <v/>
      </c>
    </row>
    <row r="44" spans="1:37" ht="16.5" customHeight="1" x14ac:dyDescent="0.3">
      <c r="A44" s="198">
        <f>Calc!AZ42</f>
        <v>36</v>
      </c>
      <c r="B44" s="199" t="str">
        <f>Calc!BA42</f>
        <v/>
      </c>
      <c r="C44" s="63" t="str">
        <f>Calc!BB42</f>
        <v>2200 Depot Instrumente</v>
      </c>
      <c r="D44" s="64">
        <f>Calc!BC42</f>
        <v>0</v>
      </c>
      <c r="E44" s="164">
        <f t="shared" si="11"/>
        <v>0</v>
      </c>
      <c r="F44" s="64">
        <f t="shared" si="13"/>
        <v>0</v>
      </c>
      <c r="I44">
        <f t="shared" si="12"/>
        <v>0</v>
      </c>
      <c r="J44">
        <f t="shared" si="8"/>
        <v>0</v>
      </c>
      <c r="K44" s="15"/>
      <c r="M44">
        <f>Calc!A44</f>
        <v>0</v>
      </c>
      <c r="N44">
        <f>Calc!B44</f>
        <v>0</v>
      </c>
      <c r="O44">
        <f>Calc!C44</f>
        <v>0</v>
      </c>
      <c r="P44">
        <f>Calc!D44</f>
        <v>0</v>
      </c>
      <c r="Q44">
        <f>Calc!E44</f>
        <v>0</v>
      </c>
      <c r="R44">
        <f>Calc!F44</f>
        <v>0</v>
      </c>
      <c r="S44">
        <f>Calc!G44</f>
        <v>0</v>
      </c>
      <c r="U44">
        <f t="shared" si="14"/>
        <v>23.000699999999998</v>
      </c>
      <c r="V44" t="str">
        <f t="shared" si="20"/>
        <v/>
      </c>
      <c r="W44" t="str">
        <f t="shared" si="19"/>
        <v/>
      </c>
      <c r="X44" s="70" t="str">
        <f t="shared" si="18"/>
        <v/>
      </c>
      <c r="Y44" t="str">
        <f t="shared" si="16"/>
        <v/>
      </c>
      <c r="Z44">
        <v>42</v>
      </c>
      <c r="AA44">
        <v>42.3</v>
      </c>
      <c r="AB44">
        <f t="shared" si="9"/>
        <v>38</v>
      </c>
      <c r="AC44" s="169" t="str">
        <f t="shared" si="21"/>
        <v/>
      </c>
      <c r="AD44" s="170" t="str">
        <f t="shared" si="22"/>
        <v/>
      </c>
      <c r="AE44" s="168" t="str">
        <f t="shared" si="23"/>
        <v/>
      </c>
      <c r="AF44" s="168" t="str">
        <f t="shared" si="24"/>
        <v/>
      </c>
      <c r="AG44" s="168"/>
      <c r="AH44" s="171" t="str">
        <f t="shared" si="25"/>
        <v/>
      </c>
      <c r="AI44" s="168" t="str">
        <f t="shared" si="26"/>
        <v/>
      </c>
      <c r="AK44" t="str">
        <f t="shared" si="10"/>
        <v/>
      </c>
    </row>
    <row r="45" spans="1:37" ht="16.5" customHeight="1" x14ac:dyDescent="0.3">
      <c r="A45" s="198">
        <f>Calc!AZ43</f>
        <v>37</v>
      </c>
      <c r="B45" s="199" t="str">
        <f>Calc!BA43</f>
        <v/>
      </c>
      <c r="C45" s="63" t="str">
        <f>Calc!BB43</f>
        <v>2300 Transitorische Passiven</v>
      </c>
      <c r="D45" s="64">
        <f>Calc!BC43</f>
        <v>0</v>
      </c>
      <c r="E45" s="164">
        <f t="shared" si="11"/>
        <v>0</v>
      </c>
      <c r="F45" s="64">
        <f t="shared" si="13"/>
        <v>0</v>
      </c>
      <c r="I45">
        <f t="shared" si="12"/>
        <v>0</v>
      </c>
      <c r="J45">
        <f t="shared" si="8"/>
        <v>0</v>
      </c>
      <c r="K45" s="15"/>
      <c r="M45" t="str">
        <f>Calc!A45</f>
        <v>Ertragskonto</v>
      </c>
      <c r="N45">
        <f>Calc!B45</f>
        <v>4000</v>
      </c>
      <c r="O45" t="str">
        <f>Calc!C45</f>
        <v>Ertrag aus Ticketverkauf/ Kollekte</v>
      </c>
      <c r="P45">
        <f>Calc!D45</f>
        <v>0</v>
      </c>
      <c r="Q45">
        <f>Calc!E45</f>
        <v>0</v>
      </c>
      <c r="R45">
        <f>Calc!F45</f>
        <v>0</v>
      </c>
      <c r="S45">
        <f>Calc!G45</f>
        <v>0</v>
      </c>
      <c r="U45">
        <f t="shared" si="14"/>
        <v>23.000799999999998</v>
      </c>
      <c r="V45" t="str">
        <f t="shared" si="20"/>
        <v/>
      </c>
      <c r="W45" t="str">
        <f t="shared" si="19"/>
        <v/>
      </c>
      <c r="X45" s="70" t="str">
        <f t="shared" si="18"/>
        <v/>
      </c>
      <c r="Y45" t="str">
        <f t="shared" si="16"/>
        <v/>
      </c>
      <c r="Z45" s="1">
        <v>43</v>
      </c>
      <c r="AA45" s="1">
        <v>43.3</v>
      </c>
      <c r="AB45">
        <f t="shared" si="9"/>
        <v>39</v>
      </c>
      <c r="AC45" s="169" t="str">
        <f t="shared" si="21"/>
        <v/>
      </c>
      <c r="AD45" s="170" t="str">
        <f t="shared" si="22"/>
        <v/>
      </c>
      <c r="AE45" s="168" t="str">
        <f t="shared" si="23"/>
        <v/>
      </c>
      <c r="AF45" s="168" t="str">
        <f t="shared" si="24"/>
        <v/>
      </c>
      <c r="AG45" s="168"/>
      <c r="AH45" s="171" t="str">
        <f t="shared" si="25"/>
        <v/>
      </c>
      <c r="AI45" s="168" t="str">
        <f t="shared" si="26"/>
        <v/>
      </c>
      <c r="AK45" t="str">
        <f t="shared" si="10"/>
        <v/>
      </c>
    </row>
    <row r="46" spans="1:37" ht="16.5" customHeight="1" x14ac:dyDescent="0.3">
      <c r="A46" s="198">
        <f>Calc!AZ44</f>
        <v>38</v>
      </c>
      <c r="B46" s="199" t="str">
        <f>Calc!BA44</f>
        <v/>
      </c>
      <c r="C46" s="63" t="str">
        <f>Calc!BB44</f>
        <v>2520 Darlehen</v>
      </c>
      <c r="D46" s="64">
        <f>Calc!BC44</f>
        <v>0</v>
      </c>
      <c r="E46" s="164">
        <f t="shared" si="11"/>
        <v>0</v>
      </c>
      <c r="F46" s="64">
        <f t="shared" si="13"/>
        <v>0</v>
      </c>
      <c r="I46">
        <f t="shared" si="12"/>
        <v>0</v>
      </c>
      <c r="J46">
        <f t="shared" si="8"/>
        <v>0</v>
      </c>
      <c r="K46" s="15"/>
      <c r="M46" t="str">
        <f>Calc!A46</f>
        <v>Ertragskonto</v>
      </c>
      <c r="N46">
        <f>Calc!B46</f>
        <v>4100</v>
      </c>
      <c r="O46" t="str">
        <f>Calc!C46</f>
        <v>Vergütung Auftritt</v>
      </c>
      <c r="P46">
        <f>Calc!D46</f>
        <v>0</v>
      </c>
      <c r="Q46">
        <f>Calc!E46</f>
        <v>0</v>
      </c>
      <c r="R46">
        <f>Calc!F46</f>
        <v>0</v>
      </c>
      <c r="S46">
        <f>Calc!G46</f>
        <v>0</v>
      </c>
      <c r="U46">
        <f t="shared" si="14"/>
        <v>23.000899999999998</v>
      </c>
      <c r="V46" t="str">
        <f t="shared" si="20"/>
        <v/>
      </c>
      <c r="W46" t="str">
        <f t="shared" si="19"/>
        <v/>
      </c>
      <c r="X46" s="70" t="str">
        <f t="shared" ref="X46:X101" si="27">IF(V46="","",IF(M46="Aktivkonto",P46-Q46,IF(M46="Passivkonto",Q46-P46)))</f>
        <v/>
      </c>
      <c r="Y46" t="str">
        <f t="shared" si="16"/>
        <v/>
      </c>
      <c r="Z46">
        <v>44</v>
      </c>
      <c r="AA46">
        <v>44.3</v>
      </c>
      <c r="AB46">
        <f t="shared" si="9"/>
        <v>40</v>
      </c>
      <c r="AC46" s="169" t="str">
        <f t="shared" si="21"/>
        <v/>
      </c>
      <c r="AD46" s="170" t="str">
        <f t="shared" si="22"/>
        <v/>
      </c>
      <c r="AE46" s="168" t="str">
        <f t="shared" si="23"/>
        <v/>
      </c>
      <c r="AF46" s="168" t="str">
        <f t="shared" si="24"/>
        <v/>
      </c>
      <c r="AG46" s="168"/>
      <c r="AH46" s="171" t="str">
        <f t="shared" si="25"/>
        <v/>
      </c>
      <c r="AI46" s="168" t="str">
        <f t="shared" si="26"/>
        <v/>
      </c>
      <c r="AK46" t="str">
        <f t="shared" si="10"/>
        <v/>
      </c>
    </row>
    <row r="47" spans="1:37" ht="16.5" customHeight="1" x14ac:dyDescent="0.3">
      <c r="A47" s="198">
        <f>Calc!AZ45</f>
        <v>39</v>
      </c>
      <c r="B47" s="199" t="str">
        <f>Calc!BA45</f>
        <v/>
      </c>
      <c r="C47" s="63" t="str">
        <f>Calc!BB45</f>
        <v>2600 Rückstellungen</v>
      </c>
      <c r="D47" s="64">
        <f>Calc!BC45</f>
        <v>0</v>
      </c>
      <c r="E47" s="164">
        <f t="shared" si="11"/>
        <v>0</v>
      </c>
      <c r="F47" s="64">
        <f t="shared" si="13"/>
        <v>0</v>
      </c>
      <c r="I47">
        <f t="shared" si="12"/>
        <v>0</v>
      </c>
      <c r="J47">
        <f t="shared" si="8"/>
        <v>0</v>
      </c>
      <c r="K47" s="15"/>
      <c r="M47" t="str">
        <f>Calc!A47</f>
        <v>Ertragskonto</v>
      </c>
      <c r="N47">
        <f>Calc!B47</f>
        <v>4200</v>
      </c>
      <c r="O47" t="str">
        <f>Calc!C47</f>
        <v>Nettoertrag Cafeteria/Bar etc.</v>
      </c>
      <c r="P47">
        <f>Calc!D47</f>
        <v>0</v>
      </c>
      <c r="Q47">
        <f>Calc!E47</f>
        <v>0</v>
      </c>
      <c r="R47">
        <f>Calc!F47</f>
        <v>0</v>
      </c>
      <c r="S47">
        <f>Calc!G47</f>
        <v>0</v>
      </c>
      <c r="U47">
        <f t="shared" si="14"/>
        <v>23.000999999999998</v>
      </c>
      <c r="V47" t="str">
        <f t="shared" si="20"/>
        <v/>
      </c>
      <c r="W47" t="str">
        <f t="shared" si="19"/>
        <v/>
      </c>
      <c r="X47" s="70" t="str">
        <f t="shared" si="27"/>
        <v/>
      </c>
      <c r="Y47" t="str">
        <f t="shared" si="16"/>
        <v/>
      </c>
      <c r="Z47">
        <v>45</v>
      </c>
      <c r="AA47">
        <v>45.3</v>
      </c>
      <c r="AB47">
        <f t="shared" si="9"/>
        <v>41</v>
      </c>
      <c r="AC47" s="169" t="str">
        <f t="shared" si="21"/>
        <v/>
      </c>
      <c r="AD47" s="170" t="str">
        <f t="shared" si="22"/>
        <v/>
      </c>
      <c r="AE47" s="168" t="str">
        <f t="shared" si="23"/>
        <v/>
      </c>
      <c r="AF47" s="168" t="str">
        <f t="shared" si="24"/>
        <v/>
      </c>
      <c r="AG47" s="168"/>
      <c r="AH47" s="171" t="str">
        <f t="shared" si="25"/>
        <v/>
      </c>
      <c r="AI47" s="168" t="str">
        <f t="shared" si="26"/>
        <v/>
      </c>
      <c r="AK47" t="str">
        <f t="shared" si="10"/>
        <v/>
      </c>
    </row>
    <row r="48" spans="1:37" ht="16.5" customHeight="1" x14ac:dyDescent="0.3">
      <c r="A48" s="198">
        <f>Calc!AZ46</f>
        <v>39</v>
      </c>
      <c r="B48" s="199" t="str">
        <f>Calc!BA46</f>
        <v>Sub</v>
      </c>
      <c r="C48" s="63" t="str">
        <f>Calc!BB46</f>
        <v/>
      </c>
      <c r="D48" s="64">
        <f>Calc!BC46</f>
        <v>0</v>
      </c>
      <c r="E48" s="164">
        <f t="shared" si="11"/>
        <v>0</v>
      </c>
      <c r="F48" s="64">
        <f t="shared" si="13"/>
        <v>0</v>
      </c>
      <c r="I48">
        <f t="shared" si="12"/>
        <v>0</v>
      </c>
      <c r="J48">
        <f t="shared" si="8"/>
        <v>0</v>
      </c>
      <c r="K48" s="15"/>
      <c r="M48" t="str">
        <f>Calc!A48</f>
        <v>Ertragskonto</v>
      </c>
      <c r="N48">
        <f>Calc!B48</f>
        <v>4300</v>
      </c>
      <c r="O48" t="str">
        <f>Calc!C48</f>
        <v>diverse Erträge Auftritt</v>
      </c>
      <c r="P48">
        <f>Calc!D48</f>
        <v>0</v>
      </c>
      <c r="Q48">
        <f>Calc!E48</f>
        <v>0</v>
      </c>
      <c r="R48">
        <f>Calc!F48</f>
        <v>0</v>
      </c>
      <c r="S48">
        <f>Calc!G48</f>
        <v>0</v>
      </c>
      <c r="U48">
        <f t="shared" si="14"/>
        <v>23.001099999999997</v>
      </c>
      <c r="V48" t="str">
        <f t="shared" si="20"/>
        <v/>
      </c>
      <c r="W48" t="str">
        <f t="shared" si="19"/>
        <v/>
      </c>
      <c r="X48" s="70" t="str">
        <f t="shared" si="27"/>
        <v/>
      </c>
      <c r="Y48" t="str">
        <f t="shared" si="16"/>
        <v/>
      </c>
      <c r="Z48">
        <v>46</v>
      </c>
      <c r="AA48">
        <v>46.3</v>
      </c>
      <c r="AB48">
        <f t="shared" si="9"/>
        <v>42</v>
      </c>
      <c r="AC48" s="169" t="str">
        <f t="shared" si="21"/>
        <v/>
      </c>
      <c r="AD48" s="170" t="str">
        <f t="shared" si="22"/>
        <v/>
      </c>
      <c r="AE48" s="168" t="str">
        <f t="shared" si="23"/>
        <v/>
      </c>
      <c r="AF48" s="168" t="str">
        <f t="shared" si="24"/>
        <v/>
      </c>
      <c r="AG48" s="168"/>
      <c r="AH48" s="171" t="str">
        <f t="shared" si="25"/>
        <v/>
      </c>
      <c r="AI48" s="168" t="str">
        <f t="shared" si="26"/>
        <v/>
      </c>
      <c r="AK48" t="str">
        <f t="shared" si="10"/>
        <v/>
      </c>
    </row>
    <row r="49" spans="1:37" ht="16.5" customHeight="1" x14ac:dyDescent="0.3">
      <c r="A49" s="198">
        <f>Calc!AZ47</f>
        <v>39</v>
      </c>
      <c r="B49" s="199" t="str">
        <f>Calc!BA47</f>
        <v/>
      </c>
      <c r="C49" s="63" t="str">
        <f>Calc!BB47</f>
        <v/>
      </c>
      <c r="D49" s="64" t="str">
        <f>Calc!BC47</f>
        <v/>
      </c>
      <c r="E49" s="164">
        <f t="shared" si="11"/>
        <v>0</v>
      </c>
      <c r="F49" s="64" t="str">
        <f t="shared" si="13"/>
        <v/>
      </c>
      <c r="I49">
        <f t="shared" si="12"/>
        <v>0</v>
      </c>
      <c r="J49">
        <f t="shared" si="8"/>
        <v>0</v>
      </c>
      <c r="K49" s="15"/>
      <c r="M49">
        <f>Calc!A49</f>
        <v>0</v>
      </c>
      <c r="N49">
        <f>Calc!B49</f>
        <v>0</v>
      </c>
      <c r="O49">
        <f>Calc!C49</f>
        <v>0</v>
      </c>
      <c r="P49">
        <f>Calc!D49</f>
        <v>0</v>
      </c>
      <c r="Q49">
        <f>Calc!E49</f>
        <v>0</v>
      </c>
      <c r="R49">
        <f>Calc!F49</f>
        <v>0</v>
      </c>
      <c r="S49">
        <f>Calc!G49</f>
        <v>0</v>
      </c>
      <c r="U49">
        <f t="shared" si="14"/>
        <v>23.001199999999997</v>
      </c>
      <c r="V49" t="str">
        <f t="shared" si="20"/>
        <v/>
      </c>
      <c r="W49" t="str">
        <f t="shared" si="19"/>
        <v/>
      </c>
      <c r="X49" s="70" t="str">
        <f t="shared" si="27"/>
        <v/>
      </c>
      <c r="Y49" t="str">
        <f t="shared" si="16"/>
        <v/>
      </c>
      <c r="AB49">
        <f t="shared" si="9"/>
        <v>43</v>
      </c>
      <c r="AC49" s="169" t="str">
        <f t="shared" si="21"/>
        <v/>
      </c>
      <c r="AD49" s="170" t="str">
        <f t="shared" si="22"/>
        <v/>
      </c>
      <c r="AE49" s="168" t="str">
        <f t="shared" si="23"/>
        <v/>
      </c>
      <c r="AF49" s="168" t="str">
        <f t="shared" si="24"/>
        <v/>
      </c>
      <c r="AG49" s="168"/>
      <c r="AH49" s="171" t="str">
        <f t="shared" si="25"/>
        <v/>
      </c>
      <c r="AI49" s="168" t="str">
        <f t="shared" si="26"/>
        <v/>
      </c>
      <c r="AK49" t="str">
        <f t="shared" si="10"/>
        <v/>
      </c>
    </row>
    <row r="50" spans="1:37" ht="16.5" customHeight="1" x14ac:dyDescent="0.3">
      <c r="A50" s="198">
        <f>Calc!AZ48</f>
        <v>42</v>
      </c>
      <c r="B50" s="199" t="str">
        <f>Calc!BA48</f>
        <v>T_B</v>
      </c>
      <c r="C50" s="63" t="str">
        <f>Calc!BB48</f>
        <v xml:space="preserve">Eigenkapital </v>
      </c>
      <c r="D50" s="64" t="str">
        <f>Calc!BC48</f>
        <v/>
      </c>
      <c r="E50" s="164">
        <f t="shared" si="11"/>
        <v>0</v>
      </c>
      <c r="F50" s="64" t="str">
        <f t="shared" si="13"/>
        <v/>
      </c>
      <c r="I50">
        <f t="shared" si="12"/>
        <v>0</v>
      </c>
      <c r="J50">
        <f t="shared" si="8"/>
        <v>0</v>
      </c>
      <c r="K50" s="15"/>
      <c r="M50" t="str">
        <f>Calc!A50</f>
        <v>Aufwandskonto</v>
      </c>
      <c r="N50">
        <f>Calc!B50</f>
        <v>5000</v>
      </c>
      <c r="O50" t="str">
        <f>Calc!C50</f>
        <v>Verbandsbeiträge</v>
      </c>
      <c r="P50">
        <f>Calc!D50</f>
        <v>0</v>
      </c>
      <c r="Q50">
        <f>Calc!E50</f>
        <v>0</v>
      </c>
      <c r="R50">
        <f>Calc!F50</f>
        <v>0</v>
      </c>
      <c r="S50">
        <f>Calc!G50</f>
        <v>0</v>
      </c>
      <c r="U50">
        <f t="shared" si="14"/>
        <v>23.001299999999997</v>
      </c>
      <c r="V50" t="str">
        <f t="shared" si="20"/>
        <v/>
      </c>
      <c r="W50" t="str">
        <f t="shared" si="19"/>
        <v/>
      </c>
      <c r="X50" s="70" t="str">
        <f t="shared" si="27"/>
        <v/>
      </c>
      <c r="Y50" t="str">
        <f t="shared" si="16"/>
        <v/>
      </c>
      <c r="AB50">
        <f t="shared" si="9"/>
        <v>44</v>
      </c>
      <c r="AC50" s="169" t="str">
        <f t="shared" si="21"/>
        <v/>
      </c>
      <c r="AD50" s="170" t="str">
        <f t="shared" si="22"/>
        <v/>
      </c>
      <c r="AE50" s="168" t="str">
        <f t="shared" si="23"/>
        <v/>
      </c>
      <c r="AF50" s="168" t="str">
        <f t="shared" si="24"/>
        <v/>
      </c>
      <c r="AG50" s="168"/>
      <c r="AH50" s="171" t="str">
        <f t="shared" si="25"/>
        <v/>
      </c>
      <c r="AI50" s="168" t="str">
        <f t="shared" si="26"/>
        <v/>
      </c>
      <c r="AK50" t="str">
        <f t="shared" si="10"/>
        <v/>
      </c>
    </row>
    <row r="51" spans="1:37" ht="16.5" customHeight="1" x14ac:dyDescent="0.3">
      <c r="A51" s="198">
        <f>Calc!AZ49</f>
        <v>43</v>
      </c>
      <c r="B51" s="199" t="str">
        <f>Calc!BA49</f>
        <v/>
      </c>
      <c r="C51" s="63" t="str">
        <f>Calc!BB49</f>
        <v>2800 Vereinskapital</v>
      </c>
      <c r="D51" s="64">
        <f>Calc!BC49</f>
        <v>0</v>
      </c>
      <c r="E51" s="164">
        <f t="shared" si="11"/>
        <v>0</v>
      </c>
      <c r="F51" s="64">
        <f t="shared" si="13"/>
        <v>0</v>
      </c>
      <c r="I51">
        <f t="shared" si="12"/>
        <v>0</v>
      </c>
      <c r="J51">
        <f t="shared" si="8"/>
        <v>0</v>
      </c>
      <c r="K51" s="15"/>
      <c r="M51" t="str">
        <f>Calc!A51</f>
        <v>Aufwandskonto</v>
      </c>
      <c r="N51">
        <f>Calc!B51</f>
        <v>5100</v>
      </c>
      <c r="O51" t="str">
        <f>Calc!C51</f>
        <v>Mietzinsaufwand (Probelokal etc.)</v>
      </c>
      <c r="P51">
        <f>Calc!D51</f>
        <v>0</v>
      </c>
      <c r="Q51">
        <f>Calc!E51</f>
        <v>0</v>
      </c>
      <c r="R51">
        <f>Calc!F51</f>
        <v>0</v>
      </c>
      <c r="S51">
        <f>Calc!G51</f>
        <v>0</v>
      </c>
      <c r="U51">
        <f t="shared" si="14"/>
        <v>23.001399999999997</v>
      </c>
      <c r="V51" t="str">
        <f t="shared" si="20"/>
        <v/>
      </c>
      <c r="W51" t="str">
        <f t="shared" si="19"/>
        <v/>
      </c>
      <c r="X51" s="70" t="str">
        <f t="shared" si="27"/>
        <v/>
      </c>
      <c r="Y51" t="str">
        <f t="shared" si="16"/>
        <v/>
      </c>
      <c r="AB51">
        <f t="shared" si="9"/>
        <v>45</v>
      </c>
      <c r="AC51" s="169" t="str">
        <f t="shared" si="21"/>
        <v/>
      </c>
      <c r="AD51" s="170" t="str">
        <f t="shared" si="22"/>
        <v/>
      </c>
      <c r="AE51" s="168" t="str">
        <f t="shared" si="23"/>
        <v/>
      </c>
      <c r="AF51" s="168" t="str">
        <f t="shared" si="24"/>
        <v/>
      </c>
      <c r="AG51" s="168"/>
      <c r="AH51" s="171" t="str">
        <f t="shared" si="25"/>
        <v/>
      </c>
      <c r="AI51" s="168" t="str">
        <f t="shared" si="26"/>
        <v/>
      </c>
      <c r="AK51" t="str">
        <f t="shared" si="10"/>
        <v/>
      </c>
    </row>
    <row r="52" spans="1:37" ht="16.5" customHeight="1" x14ac:dyDescent="0.3">
      <c r="A52" s="198">
        <f>Calc!AZ50</f>
        <v>44</v>
      </c>
      <c r="B52" s="199" t="str">
        <f>Calc!BA50</f>
        <v/>
      </c>
      <c r="C52" s="63" t="str">
        <f>Calc!BB50</f>
        <v>2900 Reserven</v>
      </c>
      <c r="D52" s="64">
        <f>Calc!BC50</f>
        <v>0</v>
      </c>
      <c r="E52" s="164">
        <f t="shared" si="11"/>
        <v>0</v>
      </c>
      <c r="F52" s="64">
        <f t="shared" si="13"/>
        <v>0</v>
      </c>
      <c r="I52">
        <f t="shared" si="12"/>
        <v>0</v>
      </c>
      <c r="J52">
        <f t="shared" si="8"/>
        <v>0</v>
      </c>
      <c r="K52" s="15"/>
      <c r="M52" t="str">
        <f>Calc!A52</f>
        <v>Aufwandskonto</v>
      </c>
      <c r="N52">
        <f>Calc!B52</f>
        <v>5200</v>
      </c>
      <c r="O52" t="str">
        <f>Calc!C52</f>
        <v>Versicherungen</v>
      </c>
      <c r="P52">
        <f>Calc!D52</f>
        <v>0</v>
      </c>
      <c r="Q52">
        <f>Calc!E52</f>
        <v>0</v>
      </c>
      <c r="R52">
        <f>Calc!F52</f>
        <v>0</v>
      </c>
      <c r="S52">
        <f>Calc!G52</f>
        <v>0</v>
      </c>
      <c r="U52">
        <f t="shared" si="14"/>
        <v>23.001499999999997</v>
      </c>
      <c r="V52" t="str">
        <f t="shared" si="20"/>
        <v/>
      </c>
      <c r="W52" t="str">
        <f t="shared" si="19"/>
        <v/>
      </c>
      <c r="X52" s="70" t="str">
        <f t="shared" si="27"/>
        <v/>
      </c>
      <c r="Y52" t="str">
        <f t="shared" si="16"/>
        <v/>
      </c>
      <c r="AB52">
        <f t="shared" si="9"/>
        <v>46</v>
      </c>
      <c r="AC52" s="169" t="str">
        <f t="shared" si="21"/>
        <v/>
      </c>
      <c r="AD52" s="170" t="str">
        <f t="shared" si="22"/>
        <v/>
      </c>
      <c r="AE52" s="168" t="str">
        <f t="shared" si="23"/>
        <v/>
      </c>
      <c r="AF52" s="168" t="str">
        <f t="shared" si="24"/>
        <v/>
      </c>
      <c r="AG52" s="168"/>
      <c r="AH52" s="171" t="str">
        <f t="shared" si="25"/>
        <v/>
      </c>
      <c r="AI52" s="168" t="str">
        <f t="shared" si="26"/>
        <v/>
      </c>
      <c r="AK52" t="str">
        <f t="shared" si="10"/>
        <v/>
      </c>
    </row>
    <row r="53" spans="1:37" ht="16.5" customHeight="1" x14ac:dyDescent="0.3">
      <c r="A53" s="198">
        <f>Calc!AZ51</f>
        <v>45</v>
      </c>
      <c r="B53" s="199" t="str">
        <f>Calc!BA51</f>
        <v/>
      </c>
      <c r="C53" s="63" t="str">
        <f>Calc!BB51</f>
        <v>2990 Gewinnvortrag / Verlustvortrag</v>
      </c>
      <c r="D53" s="64">
        <f>Calc!BC51</f>
        <v>0</v>
      </c>
      <c r="E53" s="164">
        <f t="shared" si="11"/>
        <v>0</v>
      </c>
      <c r="F53" s="64">
        <f t="shared" si="13"/>
        <v>0</v>
      </c>
      <c r="I53">
        <f t="shared" si="12"/>
        <v>0</v>
      </c>
      <c r="J53">
        <f t="shared" si="8"/>
        <v>0</v>
      </c>
      <c r="K53" s="15"/>
      <c r="M53" t="str">
        <f>Calc!A53</f>
        <v>Aufwandskonto</v>
      </c>
      <c r="N53">
        <f>Calc!B53</f>
        <v>5300</v>
      </c>
      <c r="O53" t="str">
        <f>Calc!C53</f>
        <v>Aufwand für Dirigent</v>
      </c>
      <c r="P53">
        <f>Calc!D53</f>
        <v>0</v>
      </c>
      <c r="Q53">
        <f>Calc!E53</f>
        <v>0</v>
      </c>
      <c r="R53">
        <f>Calc!F53</f>
        <v>0</v>
      </c>
      <c r="S53">
        <f>Calc!G53</f>
        <v>0</v>
      </c>
      <c r="U53">
        <f t="shared" si="14"/>
        <v>23.001599999999996</v>
      </c>
      <c r="V53" t="str">
        <f t="shared" si="20"/>
        <v/>
      </c>
      <c r="W53" t="str">
        <f t="shared" si="19"/>
        <v/>
      </c>
      <c r="X53" s="70" t="str">
        <f t="shared" si="27"/>
        <v/>
      </c>
      <c r="Y53" t="str">
        <f t="shared" si="16"/>
        <v/>
      </c>
      <c r="AB53">
        <f t="shared" si="9"/>
        <v>47</v>
      </c>
      <c r="AC53" s="169" t="str">
        <f t="shared" si="21"/>
        <v/>
      </c>
      <c r="AD53" s="170" t="str">
        <f t="shared" si="22"/>
        <v/>
      </c>
      <c r="AE53" s="168" t="str">
        <f t="shared" si="23"/>
        <v/>
      </c>
      <c r="AF53" s="168" t="str">
        <f t="shared" si="24"/>
        <v/>
      </c>
      <c r="AG53" s="168"/>
      <c r="AH53" s="171" t="str">
        <f t="shared" si="25"/>
        <v/>
      </c>
      <c r="AI53" s="168" t="str">
        <f t="shared" si="26"/>
        <v/>
      </c>
      <c r="AK53" t="str">
        <f t="shared" si="10"/>
        <v/>
      </c>
    </row>
    <row r="54" spans="1:37" ht="16.5" customHeight="1" x14ac:dyDescent="0.3">
      <c r="A54" s="198">
        <f>Calc!AZ52</f>
        <v>45.006100000000202</v>
      </c>
      <c r="B54" s="199" t="str">
        <f>Calc!BA52</f>
        <v>Sub</v>
      </c>
      <c r="C54" s="63" t="str">
        <f>Calc!BB52</f>
        <v/>
      </c>
      <c r="D54" s="64">
        <f>Calc!BC52</f>
        <v>0</v>
      </c>
      <c r="E54" s="164">
        <f t="shared" si="11"/>
        <v>0</v>
      </c>
      <c r="F54" s="64">
        <f t="shared" si="13"/>
        <v>0</v>
      </c>
      <c r="I54">
        <f t="shared" si="12"/>
        <v>0</v>
      </c>
      <c r="J54">
        <f t="shared" si="8"/>
        <v>0</v>
      </c>
      <c r="K54" s="15"/>
      <c r="M54" t="str">
        <f>Calc!A54</f>
        <v>Aufwandskonto</v>
      </c>
      <c r="N54">
        <f>Calc!B54</f>
        <v>5350</v>
      </c>
      <c r="O54" t="str">
        <f>Calc!C54</f>
        <v>Aufwand für Noten</v>
      </c>
      <c r="P54">
        <f>Calc!D54</f>
        <v>0</v>
      </c>
      <c r="Q54">
        <f>Calc!E54</f>
        <v>0</v>
      </c>
      <c r="R54">
        <f>Calc!F54</f>
        <v>0</v>
      </c>
      <c r="S54">
        <f>Calc!G54</f>
        <v>0</v>
      </c>
      <c r="U54">
        <f t="shared" si="14"/>
        <v>23.001699999999996</v>
      </c>
      <c r="V54" t="str">
        <f t="shared" si="20"/>
        <v/>
      </c>
      <c r="W54" t="str">
        <f t="shared" si="19"/>
        <v/>
      </c>
      <c r="X54" s="70" t="str">
        <f t="shared" si="27"/>
        <v/>
      </c>
      <c r="Y54" t="str">
        <f t="shared" si="16"/>
        <v/>
      </c>
      <c r="AB54">
        <f t="shared" si="9"/>
        <v>48</v>
      </c>
      <c r="AC54" s="169" t="str">
        <f t="shared" si="21"/>
        <v/>
      </c>
      <c r="AD54" s="170" t="str">
        <f t="shared" si="22"/>
        <v/>
      </c>
      <c r="AE54" s="168" t="str">
        <f t="shared" si="23"/>
        <v/>
      </c>
      <c r="AF54" s="168" t="str">
        <f t="shared" si="24"/>
        <v/>
      </c>
      <c r="AG54" s="168"/>
      <c r="AH54" s="171" t="str">
        <f t="shared" si="25"/>
        <v/>
      </c>
      <c r="AI54" s="168" t="str">
        <f t="shared" si="26"/>
        <v/>
      </c>
      <c r="AK54" t="str">
        <f t="shared" si="10"/>
        <v/>
      </c>
    </row>
    <row r="55" spans="1:37" ht="16.5" customHeight="1" x14ac:dyDescent="0.3">
      <c r="A55" s="198">
        <f>Calc!AZ53</f>
        <v>45.006100000000202</v>
      </c>
      <c r="B55" s="199" t="str">
        <f>Calc!BA53</f>
        <v/>
      </c>
      <c r="C55" s="63" t="str">
        <f>Calc!BB53</f>
        <v/>
      </c>
      <c r="D55" s="64" t="str">
        <f>Calc!BC53</f>
        <v/>
      </c>
      <c r="E55" s="164">
        <f t="shared" si="11"/>
        <v>0</v>
      </c>
      <c r="F55" s="64" t="str">
        <f t="shared" si="13"/>
        <v/>
      </c>
      <c r="I55">
        <f t="shared" si="12"/>
        <v>0</v>
      </c>
      <c r="J55">
        <f t="shared" si="8"/>
        <v>0</v>
      </c>
      <c r="K55" s="15"/>
      <c r="M55" t="str">
        <f>Calc!A55</f>
        <v>Aufwandskonto</v>
      </c>
      <c r="N55">
        <f>Calc!B55</f>
        <v>5400</v>
      </c>
      <c r="O55" t="str">
        <f>Calc!C55</f>
        <v>Aufwand für Vereinsinstrumente</v>
      </c>
      <c r="P55">
        <f>Calc!D55</f>
        <v>0</v>
      </c>
      <c r="Q55">
        <f>Calc!E55</f>
        <v>0</v>
      </c>
      <c r="R55">
        <f>Calc!F55</f>
        <v>0</v>
      </c>
      <c r="S55">
        <f>Calc!G55</f>
        <v>0</v>
      </c>
      <c r="U55">
        <f t="shared" si="14"/>
        <v>23.001799999999996</v>
      </c>
      <c r="V55" t="str">
        <f t="shared" si="20"/>
        <v/>
      </c>
      <c r="W55" t="str">
        <f t="shared" si="19"/>
        <v/>
      </c>
      <c r="X55" s="70" t="str">
        <f t="shared" si="27"/>
        <v/>
      </c>
      <c r="Y55" t="str">
        <f t="shared" si="16"/>
        <v/>
      </c>
      <c r="AB55">
        <f t="shared" si="9"/>
        <v>49</v>
      </c>
      <c r="AC55" s="169" t="str">
        <f t="shared" si="21"/>
        <v/>
      </c>
      <c r="AD55" s="170" t="str">
        <f t="shared" si="22"/>
        <v/>
      </c>
      <c r="AE55" s="168" t="str">
        <f t="shared" si="23"/>
        <v/>
      </c>
      <c r="AF55" s="168" t="str">
        <f t="shared" si="24"/>
        <v/>
      </c>
      <c r="AG55" s="168"/>
      <c r="AH55" s="171" t="str">
        <f t="shared" si="25"/>
        <v/>
      </c>
      <c r="AI55" s="168" t="str">
        <f t="shared" si="26"/>
        <v/>
      </c>
      <c r="AK55" t="str">
        <f t="shared" si="10"/>
        <v/>
      </c>
    </row>
    <row r="56" spans="1:37" ht="16.5" customHeight="1" x14ac:dyDescent="0.3">
      <c r="A56" s="198">
        <f>Calc!AZ54</f>
        <v>45.006100000000202</v>
      </c>
      <c r="B56" s="199" t="str">
        <f>Calc!BA54</f>
        <v/>
      </c>
      <c r="C56" s="63" t="str">
        <f>Calc!BB54</f>
        <v>Gewinn</v>
      </c>
      <c r="D56" s="64">
        <f>Calc!BC54</f>
        <v>0</v>
      </c>
      <c r="E56" s="164">
        <f t="shared" si="11"/>
        <v>0</v>
      </c>
      <c r="F56" s="64">
        <f t="shared" si="13"/>
        <v>0</v>
      </c>
      <c r="I56">
        <f t="shared" si="12"/>
        <v>0</v>
      </c>
      <c r="J56">
        <f t="shared" si="8"/>
        <v>0</v>
      </c>
      <c r="K56" s="15"/>
      <c r="M56" t="str">
        <f>Calc!A56</f>
        <v>Aufwandskonto</v>
      </c>
      <c r="N56">
        <f>Calc!B56</f>
        <v>5500</v>
      </c>
      <c r="O56" t="str">
        <f>Calc!C56</f>
        <v>Probewochenende</v>
      </c>
      <c r="P56">
        <f>Calc!D56</f>
        <v>0</v>
      </c>
      <c r="Q56">
        <f>Calc!E56</f>
        <v>0</v>
      </c>
      <c r="R56">
        <f>Calc!F56</f>
        <v>0</v>
      </c>
      <c r="S56">
        <f>Calc!G56</f>
        <v>0</v>
      </c>
      <c r="U56">
        <f t="shared" si="14"/>
        <v>23.001899999999996</v>
      </c>
      <c r="V56" t="str">
        <f t="shared" si="20"/>
        <v/>
      </c>
      <c r="W56" t="str">
        <f t="shared" si="19"/>
        <v/>
      </c>
      <c r="X56" s="70" t="str">
        <f t="shared" si="27"/>
        <v/>
      </c>
      <c r="Y56" t="str">
        <f t="shared" si="16"/>
        <v/>
      </c>
      <c r="AB56">
        <f t="shared" si="9"/>
        <v>50</v>
      </c>
      <c r="AC56" s="169" t="str">
        <f t="shared" si="21"/>
        <v/>
      </c>
      <c r="AD56" s="170" t="str">
        <f t="shared" si="22"/>
        <v/>
      </c>
      <c r="AE56" s="168" t="str">
        <f t="shared" si="23"/>
        <v/>
      </c>
      <c r="AF56" s="168" t="str">
        <f t="shared" si="24"/>
        <v/>
      </c>
      <c r="AG56" s="168"/>
      <c r="AH56" s="171" t="str">
        <f t="shared" si="25"/>
        <v/>
      </c>
      <c r="AI56" s="168" t="str">
        <f t="shared" si="26"/>
        <v/>
      </c>
      <c r="AK56" t="str">
        <f t="shared" si="10"/>
        <v/>
      </c>
    </row>
    <row r="57" spans="1:37" ht="16.5" customHeight="1" x14ac:dyDescent="0.3">
      <c r="A57" s="198">
        <f>Calc!AZ55</f>
        <v>45.006100000000202</v>
      </c>
      <c r="B57" s="199" t="str">
        <f>Calc!BA55</f>
        <v/>
      </c>
      <c r="C57" s="63" t="str">
        <f>Calc!BB55</f>
        <v/>
      </c>
      <c r="D57" s="64" t="str">
        <f>Calc!BC55</f>
        <v/>
      </c>
      <c r="E57" s="164">
        <f t="shared" si="11"/>
        <v>0</v>
      </c>
      <c r="F57" s="64" t="str">
        <f t="shared" si="13"/>
        <v/>
      </c>
      <c r="I57">
        <f t="shared" si="12"/>
        <v>0</v>
      </c>
      <c r="J57">
        <f t="shared" si="8"/>
        <v>0</v>
      </c>
      <c r="K57" s="15"/>
      <c r="M57" t="str">
        <f>Calc!A57</f>
        <v>Aufwandskonto</v>
      </c>
      <c r="N57">
        <f>Calc!B57</f>
        <v>5520</v>
      </c>
      <c r="O57" t="str">
        <f>Calc!C57</f>
        <v>Vereinsreise</v>
      </c>
      <c r="P57">
        <f>Calc!D57</f>
        <v>0</v>
      </c>
      <c r="Q57">
        <f>Calc!E57</f>
        <v>0</v>
      </c>
      <c r="R57">
        <f>Calc!F57</f>
        <v>0</v>
      </c>
      <c r="S57">
        <f>Calc!G57</f>
        <v>0</v>
      </c>
      <c r="U57">
        <f t="shared" si="14"/>
        <v>23.001999999999995</v>
      </c>
      <c r="V57" t="str">
        <f t="shared" si="20"/>
        <v/>
      </c>
      <c r="W57" t="str">
        <f t="shared" si="19"/>
        <v/>
      </c>
      <c r="X57" s="70" t="str">
        <f t="shared" si="27"/>
        <v/>
      </c>
      <c r="Y57" t="str">
        <f t="shared" si="16"/>
        <v/>
      </c>
      <c r="AB57">
        <f t="shared" si="9"/>
        <v>51</v>
      </c>
      <c r="AC57" s="169" t="str">
        <f t="shared" si="21"/>
        <v/>
      </c>
      <c r="AD57" s="170" t="str">
        <f t="shared" si="22"/>
        <v/>
      </c>
      <c r="AE57" s="168" t="str">
        <f t="shared" si="23"/>
        <v/>
      </c>
      <c r="AF57" s="168" t="str">
        <f t="shared" si="24"/>
        <v/>
      </c>
      <c r="AG57" s="168"/>
      <c r="AH57" s="171" t="str">
        <f t="shared" si="25"/>
        <v/>
      </c>
      <c r="AI57" s="168" t="str">
        <f t="shared" si="26"/>
        <v/>
      </c>
      <c r="AK57" t="str">
        <f t="shared" si="10"/>
        <v/>
      </c>
    </row>
    <row r="58" spans="1:37" ht="16.5" customHeight="1" x14ac:dyDescent="0.3">
      <c r="A58" s="198">
        <f>Calc!AZ56</f>
        <v>45.006100000000202</v>
      </c>
      <c r="B58" s="199" t="str">
        <f>Calc!BA56</f>
        <v/>
      </c>
      <c r="C58" s="63" t="str">
        <f>Calc!BB56</f>
        <v>Bilanzsumme</v>
      </c>
      <c r="D58" s="64">
        <f>Calc!BC56</f>
        <v>0</v>
      </c>
      <c r="E58" s="164">
        <f t="shared" si="11"/>
        <v>0</v>
      </c>
      <c r="F58" s="64">
        <f t="shared" si="13"/>
        <v>0</v>
      </c>
      <c r="I58">
        <f t="shared" si="12"/>
        <v>0</v>
      </c>
      <c r="J58">
        <f t="shared" si="8"/>
        <v>0</v>
      </c>
      <c r="K58" s="15"/>
      <c r="M58" t="str">
        <f>Calc!A58</f>
        <v>Aufwandskonto</v>
      </c>
      <c r="N58">
        <f>Calc!B58</f>
        <v>5600</v>
      </c>
      <c r="O58" t="str">
        <f>Calc!C58</f>
        <v>Heft des Vereins</v>
      </c>
      <c r="P58">
        <f>Calc!D58</f>
        <v>0</v>
      </c>
      <c r="Q58">
        <f>Calc!E58</f>
        <v>0</v>
      </c>
      <c r="R58">
        <f>Calc!F58</f>
        <v>0</v>
      </c>
      <c r="S58">
        <f>Calc!G58</f>
        <v>0</v>
      </c>
      <c r="U58">
        <f t="shared" si="14"/>
        <v>23.002099999999995</v>
      </c>
      <c r="V58" t="str">
        <f t="shared" si="20"/>
        <v/>
      </c>
      <c r="W58" t="str">
        <f t="shared" si="19"/>
        <v/>
      </c>
      <c r="X58" s="70" t="str">
        <f t="shared" si="27"/>
        <v/>
      </c>
      <c r="Y58" t="str">
        <f t="shared" si="16"/>
        <v/>
      </c>
      <c r="AB58">
        <f t="shared" si="9"/>
        <v>52</v>
      </c>
      <c r="AC58" s="169" t="str">
        <f t="shared" si="21"/>
        <v/>
      </c>
      <c r="AD58" s="170" t="str">
        <f t="shared" si="22"/>
        <v/>
      </c>
      <c r="AE58" s="168" t="str">
        <f t="shared" si="23"/>
        <v/>
      </c>
      <c r="AF58" s="168" t="str">
        <f t="shared" si="24"/>
        <v/>
      </c>
      <c r="AG58" s="168"/>
      <c r="AH58" s="171" t="str">
        <f t="shared" si="25"/>
        <v/>
      </c>
      <c r="AI58" s="168" t="str">
        <f t="shared" si="26"/>
        <v/>
      </c>
      <c r="AK58" t="str">
        <f t="shared" si="10"/>
        <v/>
      </c>
    </row>
    <row r="59" spans="1:37" ht="16.5" customHeight="1" x14ac:dyDescent="0.3">
      <c r="A59" s="198">
        <f>Calc!AZ57</f>
        <v>45.006100000000202</v>
      </c>
      <c r="B59" s="199" t="str">
        <f>Calc!BA57</f>
        <v/>
      </c>
      <c r="C59" s="63" t="str">
        <f>Calc!BB57</f>
        <v/>
      </c>
      <c r="D59" s="64" t="str">
        <f>Calc!BC57</f>
        <v/>
      </c>
      <c r="E59" s="164">
        <f t="shared" si="11"/>
        <v>0</v>
      </c>
      <c r="F59" s="64" t="str">
        <f t="shared" si="13"/>
        <v/>
      </c>
      <c r="I59">
        <f t="shared" si="12"/>
        <v>0</v>
      </c>
      <c r="J59">
        <f t="shared" si="8"/>
        <v>0</v>
      </c>
      <c r="K59" s="15"/>
      <c r="M59" t="str">
        <f>Calc!A59</f>
        <v>Aufwandskonto</v>
      </c>
      <c r="N59">
        <f>Calc!B59</f>
        <v>5700</v>
      </c>
      <c r="O59" t="str">
        <f>Calc!C59</f>
        <v>Spesen Dirigent</v>
      </c>
      <c r="P59">
        <f>Calc!D59</f>
        <v>0</v>
      </c>
      <c r="Q59">
        <f>Calc!E59</f>
        <v>0</v>
      </c>
      <c r="R59">
        <f>Calc!F59</f>
        <v>0</v>
      </c>
      <c r="S59">
        <f>Calc!G59</f>
        <v>0</v>
      </c>
      <c r="U59">
        <f t="shared" si="14"/>
        <v>23.002199999999995</v>
      </c>
      <c r="V59" t="str">
        <f t="shared" si="20"/>
        <v/>
      </c>
      <c r="W59" t="str">
        <f t="shared" si="19"/>
        <v/>
      </c>
      <c r="X59" s="70" t="str">
        <f t="shared" si="27"/>
        <v/>
      </c>
      <c r="Y59" t="str">
        <f t="shared" si="16"/>
        <v/>
      </c>
      <c r="AB59">
        <f t="shared" si="9"/>
        <v>53</v>
      </c>
      <c r="AC59" s="169" t="str">
        <f t="shared" si="21"/>
        <v/>
      </c>
      <c r="AD59" s="170" t="str">
        <f t="shared" si="22"/>
        <v/>
      </c>
      <c r="AE59" s="168" t="str">
        <f t="shared" si="23"/>
        <v/>
      </c>
      <c r="AF59" s="168" t="str">
        <f t="shared" si="24"/>
        <v/>
      </c>
      <c r="AG59" s="168"/>
      <c r="AH59" s="171" t="str">
        <f t="shared" si="25"/>
        <v/>
      </c>
      <c r="AI59" s="168" t="str">
        <f t="shared" si="26"/>
        <v/>
      </c>
      <c r="AK59" t="str">
        <f t="shared" si="10"/>
        <v/>
      </c>
    </row>
    <row r="60" spans="1:37" ht="16.5" customHeight="1" x14ac:dyDescent="0.3">
      <c r="A60" s="198">
        <f>Calc!AZ58</f>
        <v>45.006100000000202</v>
      </c>
      <c r="B60" s="199" t="str">
        <f>Calc!BA58</f>
        <v/>
      </c>
      <c r="C60" s="63" t="str">
        <f>Calc!BB58</f>
        <v/>
      </c>
      <c r="D60" s="64" t="str">
        <f>Calc!BC58</f>
        <v/>
      </c>
      <c r="E60" s="164">
        <f t="shared" si="11"/>
        <v>0</v>
      </c>
      <c r="F60" s="64" t="str">
        <f t="shared" si="13"/>
        <v/>
      </c>
      <c r="I60">
        <f t="shared" si="12"/>
        <v>0</v>
      </c>
      <c r="J60">
        <f t="shared" si="8"/>
        <v>0</v>
      </c>
      <c r="K60" s="15"/>
      <c r="M60" t="str">
        <f>Calc!A60</f>
        <v>Aufwandskonto</v>
      </c>
      <c r="N60">
        <f>Calc!B60</f>
        <v>5720</v>
      </c>
      <c r="O60" t="str">
        <f>Calc!C60</f>
        <v>Spesen Vorstand</v>
      </c>
      <c r="P60">
        <f>Calc!D60</f>
        <v>0</v>
      </c>
      <c r="Q60">
        <f>Calc!E60</f>
        <v>0</v>
      </c>
      <c r="R60">
        <f>Calc!F60</f>
        <v>0</v>
      </c>
      <c r="S60">
        <f>Calc!G60</f>
        <v>0</v>
      </c>
      <c r="U60">
        <f t="shared" si="14"/>
        <v>23.002299999999995</v>
      </c>
      <c r="V60" t="str">
        <f t="shared" si="20"/>
        <v/>
      </c>
      <c r="W60" t="str">
        <f t="shared" si="19"/>
        <v/>
      </c>
      <c r="X60" s="70" t="str">
        <f t="shared" si="27"/>
        <v/>
      </c>
      <c r="Y60" t="str">
        <f t="shared" si="16"/>
        <v/>
      </c>
      <c r="AB60">
        <f t="shared" si="9"/>
        <v>54</v>
      </c>
      <c r="AC60" s="169" t="str">
        <f t="shared" si="21"/>
        <v/>
      </c>
      <c r="AD60" s="170" t="str">
        <f t="shared" si="22"/>
        <v/>
      </c>
      <c r="AE60" s="168" t="str">
        <f t="shared" si="23"/>
        <v/>
      </c>
      <c r="AF60" s="168" t="str">
        <f t="shared" si="24"/>
        <v/>
      </c>
      <c r="AG60" s="168"/>
      <c r="AH60" s="171" t="str">
        <f t="shared" si="25"/>
        <v/>
      </c>
      <c r="AI60" s="168" t="str">
        <f t="shared" si="26"/>
        <v/>
      </c>
      <c r="AK60" t="str">
        <f t="shared" si="10"/>
        <v/>
      </c>
    </row>
    <row r="61" spans="1:37" ht="16.5" customHeight="1" x14ac:dyDescent="0.3">
      <c r="A61" s="198">
        <f>Calc!AZ59</f>
        <v>45.006100000000202</v>
      </c>
      <c r="B61" s="199" t="str">
        <f>Calc!BA59</f>
        <v/>
      </c>
      <c r="C61" s="63" t="str">
        <f>Calc!BB59</f>
        <v/>
      </c>
      <c r="D61" s="64" t="str">
        <f>Calc!BC59</f>
        <v/>
      </c>
      <c r="E61" s="164">
        <f t="shared" si="11"/>
        <v>0</v>
      </c>
      <c r="F61" s="64" t="str">
        <f t="shared" si="13"/>
        <v/>
      </c>
      <c r="I61">
        <f t="shared" si="12"/>
        <v>0</v>
      </c>
      <c r="J61">
        <f t="shared" si="8"/>
        <v>0</v>
      </c>
      <c r="M61" t="str">
        <f>Calc!A61</f>
        <v>Aufwandskonto</v>
      </c>
      <c r="N61">
        <f>Calc!B61</f>
        <v>5740</v>
      </c>
      <c r="O61" t="str">
        <f>Calc!C61</f>
        <v>Spesen Mitglieder</v>
      </c>
      <c r="P61">
        <f>Calc!D61</f>
        <v>0</v>
      </c>
      <c r="Q61">
        <f>Calc!E61</f>
        <v>0</v>
      </c>
      <c r="R61">
        <f>Calc!F61</f>
        <v>0</v>
      </c>
      <c r="S61">
        <f>Calc!G61</f>
        <v>0</v>
      </c>
      <c r="U61">
        <f t="shared" si="14"/>
        <v>23.002399999999994</v>
      </c>
      <c r="V61" t="str">
        <f t="shared" si="20"/>
        <v/>
      </c>
      <c r="W61" t="str">
        <f t="shared" si="19"/>
        <v/>
      </c>
      <c r="X61" s="70" t="str">
        <f t="shared" si="27"/>
        <v/>
      </c>
      <c r="Y61" t="str">
        <f t="shared" si="16"/>
        <v/>
      </c>
      <c r="AB61">
        <f t="shared" si="9"/>
        <v>55</v>
      </c>
      <c r="AC61" s="169" t="str">
        <f t="shared" si="21"/>
        <v/>
      </c>
      <c r="AD61" s="170" t="str">
        <f t="shared" si="22"/>
        <v/>
      </c>
      <c r="AE61" s="168" t="str">
        <f t="shared" si="23"/>
        <v/>
      </c>
      <c r="AF61" s="168" t="str">
        <f t="shared" si="24"/>
        <v/>
      </c>
      <c r="AG61" s="168"/>
      <c r="AH61" s="171" t="str">
        <f t="shared" si="25"/>
        <v/>
      </c>
      <c r="AI61" s="168" t="str">
        <f t="shared" si="26"/>
        <v/>
      </c>
      <c r="AK61" t="str">
        <f t="shared" si="10"/>
        <v/>
      </c>
    </row>
    <row r="62" spans="1:37" ht="16.5" customHeight="1" x14ac:dyDescent="0.3">
      <c r="A62" s="198">
        <f>Calc!AZ60</f>
        <v>45.006100000000202</v>
      </c>
      <c r="B62" s="199" t="str">
        <f>Calc!BA60</f>
        <v/>
      </c>
      <c r="C62" s="63" t="str">
        <f>Calc!BB60</f>
        <v/>
      </c>
      <c r="D62" s="64" t="str">
        <f>Calc!BC60</f>
        <v/>
      </c>
      <c r="E62" s="164">
        <f t="shared" si="11"/>
        <v>0</v>
      </c>
      <c r="F62" s="64" t="str">
        <f t="shared" si="13"/>
        <v/>
      </c>
      <c r="I62">
        <f t="shared" si="12"/>
        <v>0</v>
      </c>
      <c r="J62">
        <f t="shared" si="8"/>
        <v>0</v>
      </c>
      <c r="M62" t="str">
        <f>Calc!A62</f>
        <v>Aufwandskonto</v>
      </c>
      <c r="N62">
        <f>Calc!B62</f>
        <v>5760</v>
      </c>
      <c r="O62" t="str">
        <f>Calc!C62</f>
        <v>sonstige Spesen</v>
      </c>
      <c r="P62">
        <f>Calc!D62</f>
        <v>0</v>
      </c>
      <c r="Q62">
        <f>Calc!E62</f>
        <v>0</v>
      </c>
      <c r="R62">
        <f>Calc!F62</f>
        <v>0</v>
      </c>
      <c r="S62">
        <f>Calc!G62</f>
        <v>0</v>
      </c>
      <c r="U62">
        <f t="shared" si="14"/>
        <v>23.002499999999994</v>
      </c>
      <c r="V62" t="str">
        <f t="shared" si="20"/>
        <v/>
      </c>
      <c r="W62" t="str">
        <f t="shared" si="19"/>
        <v/>
      </c>
      <c r="X62" s="70" t="str">
        <f t="shared" si="27"/>
        <v/>
      </c>
      <c r="Y62" t="str">
        <f t="shared" si="16"/>
        <v/>
      </c>
      <c r="AB62">
        <f t="shared" si="9"/>
        <v>56</v>
      </c>
      <c r="AC62" s="169" t="str">
        <f t="shared" si="21"/>
        <v/>
      </c>
      <c r="AD62" s="170" t="str">
        <f t="shared" si="22"/>
        <v/>
      </c>
      <c r="AE62" s="168" t="str">
        <f t="shared" si="23"/>
        <v/>
      </c>
      <c r="AF62" s="168" t="str">
        <f t="shared" si="24"/>
        <v/>
      </c>
      <c r="AG62" s="168"/>
      <c r="AH62" s="171" t="str">
        <f t="shared" si="25"/>
        <v/>
      </c>
      <c r="AI62" s="168" t="str">
        <f t="shared" si="26"/>
        <v/>
      </c>
      <c r="AK62" t="str">
        <f t="shared" si="10"/>
        <v/>
      </c>
    </row>
    <row r="63" spans="1:37" ht="16.5" customHeight="1" x14ac:dyDescent="0.3">
      <c r="A63" s="198">
        <f>Calc!AZ61</f>
        <v>45.006100000000202</v>
      </c>
      <c r="B63" s="199" t="str">
        <f>Calc!BA61</f>
        <v/>
      </c>
      <c r="C63" s="63" t="str">
        <f>Calc!BB61</f>
        <v/>
      </c>
      <c r="D63" s="64" t="str">
        <f>Calc!BC61</f>
        <v/>
      </c>
      <c r="E63" s="164">
        <f t="shared" si="11"/>
        <v>0</v>
      </c>
      <c r="F63" s="64" t="str">
        <f t="shared" si="13"/>
        <v/>
      </c>
      <c r="I63">
        <f t="shared" si="12"/>
        <v>0</v>
      </c>
      <c r="J63">
        <f t="shared" si="8"/>
        <v>0</v>
      </c>
      <c r="M63" t="str">
        <f>Calc!A63</f>
        <v>Aufwandskonto</v>
      </c>
      <c r="N63">
        <f>Calc!B63</f>
        <v>5780</v>
      </c>
      <c r="O63" t="str">
        <f>Calc!C63</f>
        <v>Bank-, Post-Spesen</v>
      </c>
      <c r="P63">
        <f>Calc!D63</f>
        <v>0</v>
      </c>
      <c r="Q63">
        <f>Calc!E63</f>
        <v>0</v>
      </c>
      <c r="R63">
        <f>Calc!F63</f>
        <v>0</v>
      </c>
      <c r="S63">
        <f>Calc!G63</f>
        <v>0</v>
      </c>
      <c r="U63">
        <f t="shared" si="14"/>
        <v>23.002599999999994</v>
      </c>
      <c r="V63" t="str">
        <f t="shared" si="20"/>
        <v/>
      </c>
      <c r="W63" t="str">
        <f t="shared" si="19"/>
        <v/>
      </c>
      <c r="X63" s="70" t="str">
        <f t="shared" si="27"/>
        <v/>
      </c>
      <c r="Y63" t="str">
        <f t="shared" si="16"/>
        <v/>
      </c>
      <c r="AB63">
        <f t="shared" si="9"/>
        <v>57</v>
      </c>
      <c r="AC63" s="169" t="str">
        <f t="shared" si="21"/>
        <v/>
      </c>
      <c r="AD63" s="170" t="str">
        <f t="shared" si="22"/>
        <v/>
      </c>
      <c r="AE63" s="168" t="str">
        <f t="shared" si="23"/>
        <v/>
      </c>
      <c r="AF63" s="168" t="str">
        <f t="shared" si="24"/>
        <v/>
      </c>
      <c r="AG63" s="168"/>
      <c r="AH63" s="171" t="str">
        <f t="shared" si="25"/>
        <v/>
      </c>
      <c r="AI63" s="168" t="str">
        <f t="shared" si="26"/>
        <v/>
      </c>
      <c r="AK63" t="str">
        <f t="shared" si="10"/>
        <v/>
      </c>
    </row>
    <row r="64" spans="1:37" ht="16.5" customHeight="1" x14ac:dyDescent="0.3">
      <c r="A64" s="198">
        <f>Calc!AZ62</f>
        <v>45.006100000000202</v>
      </c>
      <c r="B64" s="199" t="str">
        <f>Calc!BA62</f>
        <v/>
      </c>
      <c r="C64" s="63" t="str">
        <f>Calc!BB62</f>
        <v/>
      </c>
      <c r="D64" s="64" t="str">
        <f>Calc!BC62</f>
        <v/>
      </c>
      <c r="E64" s="164">
        <f t="shared" si="11"/>
        <v>0</v>
      </c>
      <c r="F64" s="64" t="str">
        <f t="shared" si="13"/>
        <v/>
      </c>
      <c r="I64">
        <f t="shared" si="12"/>
        <v>0</v>
      </c>
      <c r="J64">
        <f t="shared" si="8"/>
        <v>0</v>
      </c>
      <c r="M64" t="str">
        <f>Calc!A64</f>
        <v>Aufwandskonto</v>
      </c>
      <c r="N64">
        <f>Calc!B64</f>
        <v>5800</v>
      </c>
      <c r="O64" t="str">
        <f>Calc!C64</f>
        <v>Aufwand GV und Dankeschön</v>
      </c>
      <c r="P64">
        <f>Calc!D64</f>
        <v>0</v>
      </c>
      <c r="Q64">
        <f>Calc!E64</f>
        <v>0</v>
      </c>
      <c r="R64">
        <f>Calc!F64</f>
        <v>0</v>
      </c>
      <c r="S64">
        <f>Calc!G64</f>
        <v>0</v>
      </c>
      <c r="U64">
        <f t="shared" si="14"/>
        <v>23.002699999999994</v>
      </c>
      <c r="V64" t="str">
        <f t="shared" si="20"/>
        <v/>
      </c>
      <c r="W64" t="str">
        <f t="shared" si="19"/>
        <v/>
      </c>
      <c r="X64" s="70" t="str">
        <f t="shared" si="27"/>
        <v/>
      </c>
      <c r="Y64" t="str">
        <f t="shared" si="16"/>
        <v/>
      </c>
      <c r="AB64">
        <f t="shared" si="9"/>
        <v>58</v>
      </c>
      <c r="AC64" s="169" t="str">
        <f t="shared" si="21"/>
        <v/>
      </c>
      <c r="AD64" s="170" t="str">
        <f t="shared" si="22"/>
        <v/>
      </c>
      <c r="AE64" s="168" t="str">
        <f t="shared" si="23"/>
        <v/>
      </c>
      <c r="AF64" s="168" t="str">
        <f t="shared" si="24"/>
        <v/>
      </c>
      <c r="AG64" s="168"/>
      <c r="AH64" s="171" t="str">
        <f t="shared" si="25"/>
        <v/>
      </c>
      <c r="AI64" s="168" t="str">
        <f t="shared" si="26"/>
        <v/>
      </c>
      <c r="AK64" t="str">
        <f t="shared" si="10"/>
        <v/>
      </c>
    </row>
    <row r="65" spans="1:37" ht="16.5" customHeight="1" x14ac:dyDescent="0.3">
      <c r="A65" s="198">
        <f>Calc!AZ63</f>
        <v>45.006100000000202</v>
      </c>
      <c r="B65" s="199" t="str">
        <f>Calc!BA63</f>
        <v/>
      </c>
      <c r="C65" s="63" t="str">
        <f>Calc!BB63</f>
        <v/>
      </c>
      <c r="D65" s="64" t="str">
        <f>Calc!BC63</f>
        <v/>
      </c>
      <c r="E65" s="164">
        <f t="shared" si="11"/>
        <v>0</v>
      </c>
      <c r="F65" s="64" t="str">
        <f t="shared" si="13"/>
        <v/>
      </c>
      <c r="I65">
        <f t="shared" si="12"/>
        <v>0</v>
      </c>
      <c r="J65">
        <f t="shared" si="8"/>
        <v>0</v>
      </c>
      <c r="M65" t="str">
        <f>Calc!A65</f>
        <v>Aufwandskonto</v>
      </c>
      <c r="N65">
        <f>Calc!B65</f>
        <v>5820</v>
      </c>
      <c r="O65" t="str">
        <f>Calc!C65</f>
        <v>diverse wiederkehrende Aufwände</v>
      </c>
      <c r="P65">
        <f>Calc!D65</f>
        <v>0</v>
      </c>
      <c r="Q65">
        <f>Calc!E65</f>
        <v>0</v>
      </c>
      <c r="R65">
        <f>Calc!F65</f>
        <v>0</v>
      </c>
      <c r="S65">
        <f>Calc!G65</f>
        <v>0</v>
      </c>
      <c r="U65">
        <f t="shared" si="14"/>
        <v>23.002799999999993</v>
      </c>
      <c r="V65" t="str">
        <f t="shared" si="20"/>
        <v/>
      </c>
      <c r="W65" t="str">
        <f t="shared" si="19"/>
        <v/>
      </c>
      <c r="X65" s="70" t="str">
        <f t="shared" si="27"/>
        <v/>
      </c>
      <c r="Y65" t="str">
        <f t="shared" si="16"/>
        <v/>
      </c>
      <c r="AB65">
        <f t="shared" si="9"/>
        <v>59</v>
      </c>
      <c r="AC65" s="169" t="str">
        <f t="shared" si="21"/>
        <v/>
      </c>
      <c r="AD65" s="170" t="str">
        <f t="shared" si="22"/>
        <v/>
      </c>
      <c r="AE65" s="168" t="str">
        <f t="shared" si="23"/>
        <v/>
      </c>
      <c r="AF65" s="168" t="str">
        <f t="shared" si="24"/>
        <v/>
      </c>
      <c r="AG65" s="168"/>
      <c r="AH65" s="171" t="str">
        <f t="shared" si="25"/>
        <v/>
      </c>
      <c r="AI65" s="168" t="str">
        <f t="shared" si="26"/>
        <v/>
      </c>
      <c r="AK65" t="str">
        <f t="shared" si="10"/>
        <v/>
      </c>
    </row>
    <row r="66" spans="1:37" ht="16.5" customHeight="1" x14ac:dyDescent="0.3">
      <c r="A66" s="198">
        <f>Calc!AZ64</f>
        <v>45.006100000000202</v>
      </c>
      <c r="B66" s="199" t="str">
        <f>Calc!BA64</f>
        <v/>
      </c>
      <c r="C66" s="63" t="str">
        <f>Calc!BB64</f>
        <v/>
      </c>
      <c r="D66" s="64" t="str">
        <f>Calc!BC64</f>
        <v/>
      </c>
      <c r="E66" s="164">
        <f t="shared" si="11"/>
        <v>0</v>
      </c>
      <c r="F66" s="64" t="str">
        <f t="shared" si="13"/>
        <v/>
      </c>
      <c r="I66">
        <f t="shared" si="12"/>
        <v>0</v>
      </c>
      <c r="J66">
        <f t="shared" si="8"/>
        <v>0</v>
      </c>
      <c r="M66" t="str">
        <f>Calc!A66</f>
        <v>Aufwandskonto</v>
      </c>
      <c r="N66">
        <f>Calc!B66</f>
        <v>5840</v>
      </c>
      <c r="O66" t="str">
        <f>Calc!C66</f>
        <v>Zinsaufwand</v>
      </c>
      <c r="P66">
        <f>Calc!D66</f>
        <v>0</v>
      </c>
      <c r="Q66">
        <f>Calc!E66</f>
        <v>0</v>
      </c>
      <c r="R66">
        <f>Calc!F66</f>
        <v>0</v>
      </c>
      <c r="S66">
        <f>Calc!G66</f>
        <v>0</v>
      </c>
      <c r="U66">
        <f t="shared" si="14"/>
        <v>23.002899999999993</v>
      </c>
      <c r="V66" t="str">
        <f t="shared" si="20"/>
        <v/>
      </c>
      <c r="W66" t="str">
        <f t="shared" si="19"/>
        <v/>
      </c>
      <c r="X66" s="70" t="str">
        <f t="shared" si="27"/>
        <v/>
      </c>
      <c r="Y66" t="str">
        <f t="shared" si="16"/>
        <v/>
      </c>
      <c r="AB66">
        <f t="shared" si="9"/>
        <v>60</v>
      </c>
      <c r="AC66" s="169" t="str">
        <f t="shared" si="21"/>
        <v/>
      </c>
      <c r="AD66" s="170" t="str">
        <f t="shared" si="22"/>
        <v/>
      </c>
      <c r="AE66" s="168" t="str">
        <f t="shared" si="23"/>
        <v/>
      </c>
      <c r="AF66" s="168" t="str">
        <f t="shared" si="24"/>
        <v/>
      </c>
      <c r="AG66" s="168"/>
      <c r="AH66" s="171" t="str">
        <f t="shared" si="25"/>
        <v/>
      </c>
      <c r="AI66" s="168" t="str">
        <f t="shared" si="26"/>
        <v/>
      </c>
      <c r="AK66" t="str">
        <f t="shared" si="10"/>
        <v/>
      </c>
    </row>
    <row r="67" spans="1:37" ht="16.5" customHeight="1" x14ac:dyDescent="0.3">
      <c r="A67" s="198">
        <f>Calc!AZ65</f>
        <v>45.006100000000202</v>
      </c>
      <c r="B67" s="199" t="str">
        <f>Calc!BA65</f>
        <v/>
      </c>
      <c r="C67" s="63" t="str">
        <f>Calc!BB65</f>
        <v/>
      </c>
      <c r="D67" s="64" t="str">
        <f>Calc!BC65</f>
        <v/>
      </c>
      <c r="E67" s="164">
        <f t="shared" si="11"/>
        <v>0</v>
      </c>
      <c r="F67" s="64" t="str">
        <f t="shared" si="13"/>
        <v/>
      </c>
      <c r="I67">
        <f t="shared" si="12"/>
        <v>0</v>
      </c>
      <c r="J67">
        <f t="shared" si="8"/>
        <v>0</v>
      </c>
      <c r="M67" t="str">
        <f>Calc!A67</f>
        <v>Aufwandskonto</v>
      </c>
      <c r="N67">
        <f>Calc!B67</f>
        <v>5900</v>
      </c>
      <c r="O67" t="str">
        <f>Calc!C67</f>
        <v>Abschreibungen</v>
      </c>
      <c r="P67">
        <f>Calc!D67</f>
        <v>0</v>
      </c>
      <c r="Q67">
        <f>Calc!E67</f>
        <v>0</v>
      </c>
      <c r="R67">
        <f>Calc!F67</f>
        <v>0</v>
      </c>
      <c r="S67">
        <f>Calc!G67</f>
        <v>0</v>
      </c>
      <c r="U67">
        <f t="shared" si="14"/>
        <v>23.002999999999993</v>
      </c>
      <c r="V67" t="str">
        <f t="shared" si="20"/>
        <v/>
      </c>
      <c r="W67" t="str">
        <f t="shared" si="19"/>
        <v/>
      </c>
      <c r="X67" s="70" t="str">
        <f t="shared" si="27"/>
        <v/>
      </c>
      <c r="Y67" t="str">
        <f t="shared" si="16"/>
        <v/>
      </c>
      <c r="AB67">
        <f t="shared" si="9"/>
        <v>61</v>
      </c>
      <c r="AC67" s="169" t="str">
        <f t="shared" si="21"/>
        <v/>
      </c>
      <c r="AD67" s="170" t="str">
        <f t="shared" si="22"/>
        <v/>
      </c>
      <c r="AE67" s="168" t="str">
        <f t="shared" si="23"/>
        <v/>
      </c>
      <c r="AF67" s="168" t="str">
        <f t="shared" si="24"/>
        <v/>
      </c>
      <c r="AG67" s="168"/>
      <c r="AH67" s="171" t="str">
        <f t="shared" si="25"/>
        <v/>
      </c>
      <c r="AI67" s="168" t="str">
        <f t="shared" si="26"/>
        <v/>
      </c>
      <c r="AK67" t="str">
        <f t="shared" si="10"/>
        <v/>
      </c>
    </row>
    <row r="68" spans="1:37" ht="16.5" customHeight="1" x14ac:dyDescent="0.3">
      <c r="A68" s="198">
        <f>Calc!AZ66</f>
        <v>45.006100000000202</v>
      </c>
      <c r="B68" s="199" t="str">
        <f>Calc!BA66</f>
        <v/>
      </c>
      <c r="C68" s="63" t="str">
        <f>Calc!BB66</f>
        <v/>
      </c>
      <c r="D68" s="64" t="str">
        <f>Calc!BC66</f>
        <v/>
      </c>
      <c r="E68" s="164">
        <f t="shared" si="11"/>
        <v>0</v>
      </c>
      <c r="F68" s="64" t="str">
        <f t="shared" si="13"/>
        <v/>
      </c>
      <c r="I68">
        <f t="shared" si="12"/>
        <v>0</v>
      </c>
      <c r="J68">
        <f t="shared" si="8"/>
        <v>0</v>
      </c>
      <c r="M68">
        <f>Calc!A68</f>
        <v>0</v>
      </c>
      <c r="N68">
        <f>Calc!B68</f>
        <v>0</v>
      </c>
      <c r="O68">
        <f>Calc!C68</f>
        <v>0</v>
      </c>
      <c r="P68">
        <f>Calc!D68</f>
        <v>0</v>
      </c>
      <c r="Q68">
        <f>Calc!E68</f>
        <v>0</v>
      </c>
      <c r="R68">
        <f>Calc!F68</f>
        <v>0</v>
      </c>
      <c r="S68">
        <f>Calc!G68</f>
        <v>0</v>
      </c>
      <c r="U68">
        <f t="shared" si="14"/>
        <v>23.003099999999993</v>
      </c>
      <c r="V68" t="str">
        <f t="shared" si="20"/>
        <v/>
      </c>
      <c r="W68" t="str">
        <f t="shared" si="19"/>
        <v/>
      </c>
      <c r="X68" s="70" t="str">
        <f t="shared" si="27"/>
        <v/>
      </c>
      <c r="Y68" t="str">
        <f t="shared" si="16"/>
        <v/>
      </c>
      <c r="AB68">
        <f t="shared" si="9"/>
        <v>62</v>
      </c>
      <c r="AC68" s="169" t="str">
        <f t="shared" si="21"/>
        <v/>
      </c>
      <c r="AD68" s="170" t="str">
        <f t="shared" si="22"/>
        <v/>
      </c>
      <c r="AE68" s="168" t="str">
        <f t="shared" si="23"/>
        <v/>
      </c>
      <c r="AF68" s="168" t="str">
        <f t="shared" si="24"/>
        <v/>
      </c>
      <c r="AG68" s="168"/>
      <c r="AH68" s="171" t="str">
        <f t="shared" si="25"/>
        <v/>
      </c>
      <c r="AI68" s="168" t="str">
        <f t="shared" si="26"/>
        <v/>
      </c>
      <c r="AK68" t="str">
        <f t="shared" si="10"/>
        <v/>
      </c>
    </row>
    <row r="69" spans="1:37" ht="16.5" customHeight="1" x14ac:dyDescent="0.3">
      <c r="A69" s="198">
        <f>Calc!AZ67</f>
        <v>45.006100000000202</v>
      </c>
      <c r="B69" s="199" t="str">
        <f>Calc!BA67</f>
        <v/>
      </c>
      <c r="C69" s="63" t="str">
        <f>Calc!BB67</f>
        <v/>
      </c>
      <c r="D69" s="64" t="str">
        <f>Calc!BC67</f>
        <v/>
      </c>
      <c r="E69" s="164">
        <f t="shared" si="11"/>
        <v>0</v>
      </c>
      <c r="F69" s="64" t="str">
        <f t="shared" si="13"/>
        <v/>
      </c>
      <c r="I69">
        <f t="shared" si="12"/>
        <v>0</v>
      </c>
      <c r="J69">
        <f t="shared" si="8"/>
        <v>0</v>
      </c>
      <c r="M69" t="str">
        <f>Calc!A69</f>
        <v>Ertragskonto</v>
      </c>
      <c r="N69">
        <f>Calc!B69</f>
        <v>7000</v>
      </c>
      <c r="O69" t="str">
        <f>Calc!C69</f>
        <v>Beiträge Aktivmitglieder</v>
      </c>
      <c r="P69">
        <f>Calc!D69</f>
        <v>0</v>
      </c>
      <c r="Q69">
        <f>Calc!E69</f>
        <v>0</v>
      </c>
      <c r="R69">
        <f>Calc!F69</f>
        <v>0</v>
      </c>
      <c r="S69">
        <f>Calc!G69</f>
        <v>0</v>
      </c>
      <c r="U69">
        <f t="shared" si="14"/>
        <v>23.003199999999993</v>
      </c>
      <c r="V69" t="str">
        <f t="shared" si="20"/>
        <v/>
      </c>
      <c r="W69" t="str">
        <f t="shared" si="19"/>
        <v/>
      </c>
      <c r="X69" s="70" t="str">
        <f t="shared" si="27"/>
        <v/>
      </c>
      <c r="Y69" t="str">
        <f t="shared" si="16"/>
        <v/>
      </c>
      <c r="AB69">
        <f t="shared" si="9"/>
        <v>63</v>
      </c>
      <c r="AC69" s="169" t="str">
        <f t="shared" si="21"/>
        <v/>
      </c>
      <c r="AD69" s="170" t="str">
        <f t="shared" si="22"/>
        <v/>
      </c>
      <c r="AE69" s="168" t="str">
        <f t="shared" si="23"/>
        <v/>
      </c>
      <c r="AF69" s="168" t="str">
        <f t="shared" si="24"/>
        <v/>
      </c>
      <c r="AG69" s="168"/>
      <c r="AH69" s="171" t="str">
        <f t="shared" si="25"/>
        <v/>
      </c>
      <c r="AI69" s="168" t="str">
        <f t="shared" si="26"/>
        <v/>
      </c>
      <c r="AK69" t="str">
        <f t="shared" si="10"/>
        <v/>
      </c>
    </row>
    <row r="70" spans="1:37" ht="16.5" customHeight="1" x14ac:dyDescent="0.3">
      <c r="A70" s="198">
        <f>Calc!AZ68</f>
        <v>45.006100000000202</v>
      </c>
      <c r="B70" s="199" t="str">
        <f>Calc!BA68</f>
        <v/>
      </c>
      <c r="C70" s="63" t="str">
        <f>Calc!BB68</f>
        <v/>
      </c>
      <c r="D70" s="64" t="str">
        <f>Calc!BC68</f>
        <v/>
      </c>
      <c r="E70" s="164">
        <f t="shared" si="11"/>
        <v>0</v>
      </c>
      <c r="F70" s="64" t="str">
        <f t="shared" si="13"/>
        <v/>
      </c>
      <c r="I70">
        <f t="shared" si="12"/>
        <v>0</v>
      </c>
      <c r="J70">
        <f t="shared" si="8"/>
        <v>0</v>
      </c>
      <c r="M70" t="str">
        <f>Calc!A70</f>
        <v>Ertragskonto</v>
      </c>
      <c r="N70">
        <f>Calc!B70</f>
        <v>7100</v>
      </c>
      <c r="O70" t="str">
        <f>Calc!C70</f>
        <v>Beiträge Nachwuchs</v>
      </c>
      <c r="P70">
        <f>Calc!D70</f>
        <v>0</v>
      </c>
      <c r="Q70">
        <f>Calc!E70</f>
        <v>0</v>
      </c>
      <c r="R70">
        <f>Calc!F70</f>
        <v>0</v>
      </c>
      <c r="S70">
        <f>Calc!G70</f>
        <v>0</v>
      </c>
      <c r="U70">
        <f t="shared" si="14"/>
        <v>23.003299999999992</v>
      </c>
      <c r="V70" t="str">
        <f t="shared" si="20"/>
        <v/>
      </c>
      <c r="W70" t="str">
        <f t="shared" si="19"/>
        <v/>
      </c>
      <c r="X70" s="70" t="str">
        <f t="shared" si="27"/>
        <v/>
      </c>
      <c r="Y70" t="str">
        <f t="shared" si="16"/>
        <v/>
      </c>
      <c r="AB70">
        <f t="shared" si="9"/>
        <v>64</v>
      </c>
      <c r="AC70" s="169" t="str">
        <f t="shared" si="21"/>
        <v/>
      </c>
      <c r="AD70" s="170" t="str">
        <f t="shared" si="22"/>
        <v/>
      </c>
      <c r="AE70" s="168" t="str">
        <f t="shared" si="23"/>
        <v/>
      </c>
      <c r="AF70" s="168" t="str">
        <f t="shared" si="24"/>
        <v/>
      </c>
      <c r="AG70" s="168"/>
      <c r="AH70" s="171" t="str">
        <f t="shared" si="25"/>
        <v/>
      </c>
      <c r="AI70" s="168" t="str">
        <f t="shared" si="26"/>
        <v/>
      </c>
      <c r="AK70" t="str">
        <f t="shared" si="10"/>
        <v/>
      </c>
    </row>
    <row r="71" spans="1:37" ht="16.5" customHeight="1" x14ac:dyDescent="0.3">
      <c r="A71" s="198">
        <f>Calc!AZ69</f>
        <v>45.006100000000202</v>
      </c>
      <c r="B71" s="199" t="str">
        <f>Calc!BA69</f>
        <v/>
      </c>
      <c r="C71" s="63" t="str">
        <f>Calc!BB69</f>
        <v/>
      </c>
      <c r="D71" s="64" t="str">
        <f>Calc!BC69</f>
        <v/>
      </c>
      <c r="E71" s="164">
        <f t="shared" si="11"/>
        <v>0</v>
      </c>
      <c r="F71" s="64" t="str">
        <f t="shared" si="13"/>
        <v/>
      </c>
      <c r="I71">
        <f t="shared" si="12"/>
        <v>0</v>
      </c>
      <c r="J71">
        <f t="shared" si="8"/>
        <v>0</v>
      </c>
      <c r="M71" t="str">
        <f>Calc!A71</f>
        <v>Ertragskonto</v>
      </c>
      <c r="N71">
        <f>Calc!B71</f>
        <v>7200</v>
      </c>
      <c r="O71" t="str">
        <f>Calc!C71</f>
        <v>Beiräge Passivmitglieder</v>
      </c>
      <c r="P71">
        <f>Calc!D71</f>
        <v>0</v>
      </c>
      <c r="Q71">
        <f>Calc!E71</f>
        <v>0</v>
      </c>
      <c r="R71">
        <f>Calc!F71</f>
        <v>0</v>
      </c>
      <c r="S71">
        <f>Calc!G71</f>
        <v>0</v>
      </c>
      <c r="U71">
        <f t="shared" si="14"/>
        <v>23.003399999999992</v>
      </c>
      <c r="V71" t="str">
        <f t="shared" ref="V71:V95" si="28">IF(M71="Passivkonto",$AE$2,IF(M71="Aktivkonto",N71,""))</f>
        <v/>
      </c>
      <c r="W71" t="str">
        <f t="shared" si="19"/>
        <v/>
      </c>
      <c r="X71" s="70" t="str">
        <f t="shared" si="27"/>
        <v/>
      </c>
      <c r="Y71" t="str">
        <f t="shared" si="16"/>
        <v/>
      </c>
      <c r="AB71">
        <f t="shared" si="9"/>
        <v>65</v>
      </c>
      <c r="AC71" s="169" t="str">
        <f t="shared" ref="AC71:AC101" si="29">IF(AB71&gt;$O$4,"",AC70)</f>
        <v/>
      </c>
      <c r="AD71" s="170" t="str">
        <f t="shared" ref="AD71:AD101" si="30">IF(AB71&gt;$O$4,"",AD70)</f>
        <v/>
      </c>
      <c r="AE71" s="168" t="str">
        <f t="shared" ref="AE71:AE101" si="31">VLOOKUP($AB71,$U$7:$Y$119,2)</f>
        <v/>
      </c>
      <c r="AF71" s="168" t="str">
        <f t="shared" ref="AF71:AF101" si="32">VLOOKUP($AB71,$U$7:$Y$119,3)</f>
        <v/>
      </c>
      <c r="AG71" s="168"/>
      <c r="AH71" s="171" t="str">
        <f t="shared" ref="AH71:AH101" si="33">VLOOKUP($AB71,$U$7:$Y$119,4)</f>
        <v/>
      </c>
      <c r="AI71" s="168" t="str">
        <f t="shared" ref="AI71:AI101" si="34">VLOOKUP($AB71,$U$7:$Y$119,5)</f>
        <v/>
      </c>
      <c r="AK71" t="str">
        <f t="shared" si="10"/>
        <v/>
      </c>
    </row>
    <row r="72" spans="1:37" ht="16.5" customHeight="1" x14ac:dyDescent="0.3">
      <c r="A72" s="198">
        <f>Calc!AZ70</f>
        <v>45.006100000000202</v>
      </c>
      <c r="B72" s="199" t="str">
        <f>Calc!BA70</f>
        <v/>
      </c>
      <c r="C72" s="63" t="str">
        <f>Calc!BB70</f>
        <v/>
      </c>
      <c r="D72" s="64" t="str">
        <f>Calc!BC70</f>
        <v/>
      </c>
      <c r="E72" s="164">
        <f t="shared" si="11"/>
        <v>0</v>
      </c>
      <c r="F72" s="64" t="str">
        <f t="shared" si="13"/>
        <v/>
      </c>
      <c r="I72">
        <f t="shared" si="12"/>
        <v>0</v>
      </c>
      <c r="J72">
        <f t="shared" ref="J72:J95" si="35">IF(OR(C72="Bilanzsumme",B72="Sub"),0,J71+E72)</f>
        <v>0</v>
      </c>
      <c r="M72" t="str">
        <f>Calc!A72</f>
        <v>Ertragskonto</v>
      </c>
      <c r="N72">
        <f>Calc!B72</f>
        <v>7500</v>
      </c>
      <c r="O72" t="str">
        <f>Calc!C72</f>
        <v>Gönnerbeiträge</v>
      </c>
      <c r="P72">
        <f>Calc!D72</f>
        <v>0</v>
      </c>
      <c r="Q72">
        <f>Calc!E72</f>
        <v>0</v>
      </c>
      <c r="R72">
        <f>Calc!F72</f>
        <v>0</v>
      </c>
      <c r="S72">
        <f>Calc!G72</f>
        <v>0</v>
      </c>
      <c r="U72">
        <f t="shared" ref="U72:U95" si="36">IF(V72="",U71+0.0001,ROUND(U71+1,0))</f>
        <v>23.003499999999992</v>
      </c>
      <c r="V72" t="str">
        <f t="shared" si="28"/>
        <v/>
      </c>
      <c r="W72" t="str">
        <f t="shared" si="19"/>
        <v/>
      </c>
      <c r="X72" s="70" t="str">
        <f t="shared" si="27"/>
        <v/>
      </c>
      <c r="Y72" t="str">
        <f t="shared" si="16"/>
        <v/>
      </c>
      <c r="AB72">
        <f t="shared" ref="AB72:AB101" si="37">AB71+1</f>
        <v>66</v>
      </c>
      <c r="AC72" s="169" t="str">
        <f t="shared" si="29"/>
        <v/>
      </c>
      <c r="AD72" s="170" t="str">
        <f t="shared" si="30"/>
        <v/>
      </c>
      <c r="AE72" s="168" t="str">
        <f t="shared" si="31"/>
        <v/>
      </c>
      <c r="AF72" s="168" t="str">
        <f t="shared" si="32"/>
        <v/>
      </c>
      <c r="AG72" s="168"/>
      <c r="AH72" s="171" t="str">
        <f t="shared" si="33"/>
        <v/>
      </c>
      <c r="AI72" s="168" t="str">
        <f t="shared" si="34"/>
        <v/>
      </c>
      <c r="AK72" t="str">
        <f t="shared" ref="AK72:AK101" si="38">IF(AH72=0,"Falls dieses Konto nicht mehr genutzt wird, kann es im Folgejahr aus dem Kontenplan gelöscht werden. Beachten Sie dazu die Hilfelinks","")</f>
        <v/>
      </c>
    </row>
    <row r="73" spans="1:37" ht="16.5" customHeight="1" x14ac:dyDescent="0.3">
      <c r="A73" s="198">
        <f>Calc!AZ71</f>
        <v>45.006100000000202</v>
      </c>
      <c r="B73" s="199" t="str">
        <f>Calc!BA71</f>
        <v/>
      </c>
      <c r="C73" s="63" t="str">
        <f>Calc!BB71</f>
        <v/>
      </c>
      <c r="D73" s="64" t="str">
        <f>Calc!BC71</f>
        <v/>
      </c>
      <c r="E73" s="164">
        <f t="shared" ref="E73:E95" si="39">IF(B73="Sub",J72,0)</f>
        <v>0</v>
      </c>
      <c r="F73" s="64" t="str">
        <f t="shared" si="13"/>
        <v/>
      </c>
      <c r="I73">
        <f>IF(OR(C73="Gewinn",C73="Verlust"),D73,0)</f>
        <v>0</v>
      </c>
      <c r="J73">
        <f t="shared" si="35"/>
        <v>0</v>
      </c>
      <c r="M73" t="str">
        <f>Calc!A73</f>
        <v>Ertragskonto</v>
      </c>
      <c r="N73">
        <f>Calc!B73</f>
        <v>7600</v>
      </c>
      <c r="O73" t="str">
        <f>Calc!C73</f>
        <v>Beiträge Hauptsponsoren</v>
      </c>
      <c r="P73">
        <f>Calc!D73</f>
        <v>0</v>
      </c>
      <c r="Q73">
        <f>Calc!E73</f>
        <v>0</v>
      </c>
      <c r="R73">
        <f>Calc!F73</f>
        <v>0</v>
      </c>
      <c r="S73">
        <f>Calc!G73</f>
        <v>0</v>
      </c>
      <c r="U73">
        <f t="shared" si="36"/>
        <v>23.003599999999992</v>
      </c>
      <c r="V73" t="str">
        <f t="shared" si="28"/>
        <v/>
      </c>
      <c r="W73" t="str">
        <f t="shared" si="19"/>
        <v/>
      </c>
      <c r="X73" s="70" t="str">
        <f t="shared" si="27"/>
        <v/>
      </c>
      <c r="Y73" t="str">
        <f t="shared" si="16"/>
        <v/>
      </c>
      <c r="AB73">
        <f t="shared" si="37"/>
        <v>67</v>
      </c>
      <c r="AC73" s="169" t="str">
        <f t="shared" si="29"/>
        <v/>
      </c>
      <c r="AD73" s="170" t="str">
        <f t="shared" si="30"/>
        <v/>
      </c>
      <c r="AE73" s="168" t="str">
        <f t="shared" si="31"/>
        <v/>
      </c>
      <c r="AF73" s="168" t="str">
        <f t="shared" si="32"/>
        <v/>
      </c>
      <c r="AG73" s="168"/>
      <c r="AH73" s="171" t="str">
        <f t="shared" si="33"/>
        <v/>
      </c>
      <c r="AI73" s="168" t="str">
        <f t="shared" si="34"/>
        <v/>
      </c>
      <c r="AK73" t="str">
        <f t="shared" si="38"/>
        <v/>
      </c>
    </row>
    <row r="74" spans="1:37" ht="16.5" customHeight="1" x14ac:dyDescent="0.3">
      <c r="A74" s="198">
        <f>Calc!AZ72</f>
        <v>45.006100000000202</v>
      </c>
      <c r="B74" s="199" t="str">
        <f>Calc!BA72</f>
        <v/>
      </c>
      <c r="C74" s="63" t="str">
        <f>Calc!BB72</f>
        <v/>
      </c>
      <c r="D74" s="64" t="str">
        <f>Calc!BC72</f>
        <v/>
      </c>
      <c r="E74" s="164">
        <f t="shared" si="39"/>
        <v>0</v>
      </c>
      <c r="F74" s="64" t="str">
        <f t="shared" ref="F74:F95" si="40">IF(D74="","",D74-E74)</f>
        <v/>
      </c>
      <c r="I74">
        <f t="shared" ref="I74:I95" si="41">IF(OR(C74="Gewinn",C74="Verlust"),D74,0)</f>
        <v>0</v>
      </c>
      <c r="J74">
        <f t="shared" si="35"/>
        <v>0</v>
      </c>
      <c r="M74" t="str">
        <f>Calc!A74</f>
        <v>Ertragskonto</v>
      </c>
      <c r="N74">
        <f>Calc!B74</f>
        <v>7610</v>
      </c>
      <c r="O74" t="str">
        <f>Calc!C74</f>
        <v>Beiträge weitere Sponsoren</v>
      </c>
      <c r="P74">
        <f>Calc!D74</f>
        <v>0</v>
      </c>
      <c r="Q74">
        <f>Calc!E74</f>
        <v>0</v>
      </c>
      <c r="R74">
        <f>Calc!F74</f>
        <v>0</v>
      </c>
      <c r="S74">
        <f>Calc!G74</f>
        <v>0</v>
      </c>
      <c r="U74">
        <f t="shared" si="36"/>
        <v>23.003699999999991</v>
      </c>
      <c r="V74" t="str">
        <f t="shared" si="28"/>
        <v/>
      </c>
      <c r="W74" t="str">
        <f t="shared" si="19"/>
        <v/>
      </c>
      <c r="X74" s="70" t="str">
        <f t="shared" si="27"/>
        <v/>
      </c>
      <c r="Y74" t="str">
        <f t="shared" ref="Y74:Y101" si="42">IF(V74="","",CONCATENATE("Eröffnung ",O74))</f>
        <v/>
      </c>
      <c r="AB74">
        <f t="shared" si="37"/>
        <v>68</v>
      </c>
      <c r="AC74" s="169" t="str">
        <f t="shared" si="29"/>
        <v/>
      </c>
      <c r="AD74" s="170" t="str">
        <f t="shared" si="30"/>
        <v/>
      </c>
      <c r="AE74" s="168" t="str">
        <f t="shared" si="31"/>
        <v/>
      </c>
      <c r="AF74" s="168" t="str">
        <f t="shared" si="32"/>
        <v/>
      </c>
      <c r="AG74" s="168"/>
      <c r="AH74" s="171" t="str">
        <f t="shared" si="33"/>
        <v/>
      </c>
      <c r="AI74" s="168" t="str">
        <f t="shared" si="34"/>
        <v/>
      </c>
      <c r="AK74" t="str">
        <f t="shared" si="38"/>
        <v/>
      </c>
    </row>
    <row r="75" spans="1:37" ht="16.5" customHeight="1" x14ac:dyDescent="0.3">
      <c r="A75" s="198">
        <f>Calc!AZ73</f>
        <v>45.006100000000202</v>
      </c>
      <c r="B75" s="199" t="str">
        <f>Calc!BA73</f>
        <v/>
      </c>
      <c r="C75" s="63" t="str">
        <f>Calc!BB73</f>
        <v/>
      </c>
      <c r="D75" s="64" t="str">
        <f>Calc!BC73</f>
        <v/>
      </c>
      <c r="E75" s="164">
        <f t="shared" si="39"/>
        <v>0</v>
      </c>
      <c r="F75" s="64" t="str">
        <f t="shared" si="40"/>
        <v/>
      </c>
      <c r="I75">
        <f t="shared" si="41"/>
        <v>0</v>
      </c>
      <c r="J75">
        <f t="shared" si="35"/>
        <v>0</v>
      </c>
      <c r="M75" t="str">
        <f>Calc!A75</f>
        <v>Ertragskonto</v>
      </c>
      <c r="N75">
        <f>Calc!B75</f>
        <v>7700</v>
      </c>
      <c r="O75" t="str">
        <f>Calc!C75</f>
        <v>Inserate Vereinszeitschrift</v>
      </c>
      <c r="P75">
        <f>Calc!D75</f>
        <v>0</v>
      </c>
      <c r="Q75">
        <f>Calc!E75</f>
        <v>0</v>
      </c>
      <c r="R75">
        <f>Calc!F75</f>
        <v>0</v>
      </c>
      <c r="S75">
        <f>Calc!G75</f>
        <v>0</v>
      </c>
      <c r="U75">
        <f t="shared" si="36"/>
        <v>23.003799999999991</v>
      </c>
      <c r="V75" t="str">
        <f t="shared" si="28"/>
        <v/>
      </c>
      <c r="W75" t="str">
        <f t="shared" si="19"/>
        <v/>
      </c>
      <c r="X75" s="70" t="str">
        <f t="shared" si="27"/>
        <v/>
      </c>
      <c r="Y75" t="str">
        <f t="shared" si="42"/>
        <v/>
      </c>
      <c r="AB75">
        <f t="shared" si="37"/>
        <v>69</v>
      </c>
      <c r="AC75" s="169" t="str">
        <f t="shared" si="29"/>
        <v/>
      </c>
      <c r="AD75" s="170" t="str">
        <f t="shared" si="30"/>
        <v/>
      </c>
      <c r="AE75" s="168" t="str">
        <f t="shared" si="31"/>
        <v/>
      </c>
      <c r="AF75" s="168" t="str">
        <f t="shared" si="32"/>
        <v/>
      </c>
      <c r="AG75" s="168"/>
      <c r="AH75" s="171" t="str">
        <f t="shared" si="33"/>
        <v/>
      </c>
      <c r="AI75" s="168" t="str">
        <f t="shared" si="34"/>
        <v/>
      </c>
      <c r="AK75" t="str">
        <f t="shared" si="38"/>
        <v/>
      </c>
    </row>
    <row r="76" spans="1:37" ht="16.5" customHeight="1" x14ac:dyDescent="0.3">
      <c r="A76" s="198">
        <f>Calc!AZ74</f>
        <v>45.006100000000202</v>
      </c>
      <c r="B76" s="199" t="str">
        <f>Calc!BA74</f>
        <v/>
      </c>
      <c r="C76" s="63" t="str">
        <f>Calc!BB74</f>
        <v/>
      </c>
      <c r="D76" s="64" t="str">
        <f>Calc!BC74</f>
        <v/>
      </c>
      <c r="E76" s="164">
        <f t="shared" si="39"/>
        <v>0</v>
      </c>
      <c r="F76" s="64" t="str">
        <f t="shared" si="40"/>
        <v/>
      </c>
      <c r="I76">
        <f t="shared" si="41"/>
        <v>0</v>
      </c>
      <c r="J76">
        <f t="shared" si="35"/>
        <v>0</v>
      </c>
      <c r="M76">
        <f>Calc!A76</f>
        <v>0</v>
      </c>
      <c r="N76">
        <f>Calc!B76</f>
        <v>0</v>
      </c>
      <c r="O76">
        <f>Calc!C76</f>
        <v>0</v>
      </c>
      <c r="P76">
        <f>Calc!D76</f>
        <v>0</v>
      </c>
      <c r="Q76">
        <f>Calc!E76</f>
        <v>0</v>
      </c>
      <c r="R76">
        <f>Calc!F76</f>
        <v>0</v>
      </c>
      <c r="S76">
        <f>Calc!G76</f>
        <v>0</v>
      </c>
      <c r="U76">
        <f t="shared" si="36"/>
        <v>23.003899999999991</v>
      </c>
      <c r="V76" t="str">
        <f t="shared" si="28"/>
        <v/>
      </c>
      <c r="W76" t="str">
        <f t="shared" si="19"/>
        <v/>
      </c>
      <c r="X76" s="70" t="str">
        <f t="shared" si="27"/>
        <v/>
      </c>
      <c r="Y76" t="str">
        <f t="shared" si="42"/>
        <v/>
      </c>
      <c r="AB76">
        <f t="shared" si="37"/>
        <v>70</v>
      </c>
      <c r="AC76" s="169" t="str">
        <f t="shared" si="29"/>
        <v/>
      </c>
      <c r="AD76" s="170" t="str">
        <f t="shared" si="30"/>
        <v/>
      </c>
      <c r="AE76" s="168" t="str">
        <f t="shared" si="31"/>
        <v/>
      </c>
      <c r="AF76" s="168" t="str">
        <f t="shared" si="32"/>
        <v/>
      </c>
      <c r="AG76" s="168"/>
      <c r="AH76" s="171" t="str">
        <f t="shared" si="33"/>
        <v/>
      </c>
      <c r="AI76" s="168" t="str">
        <f t="shared" si="34"/>
        <v/>
      </c>
      <c r="AK76" t="str">
        <f t="shared" si="38"/>
        <v/>
      </c>
    </row>
    <row r="77" spans="1:37" ht="16.5" customHeight="1" x14ac:dyDescent="0.3">
      <c r="A77" s="198">
        <f>Calc!AZ75</f>
        <v>45.006100000000202</v>
      </c>
      <c r="B77" s="199" t="str">
        <f>Calc!BA75</f>
        <v/>
      </c>
      <c r="C77" s="63" t="str">
        <f>Calc!BB75</f>
        <v/>
      </c>
      <c r="D77" s="64" t="str">
        <f>Calc!BC75</f>
        <v/>
      </c>
      <c r="E77" s="164">
        <f t="shared" si="39"/>
        <v>0</v>
      </c>
      <c r="F77" s="64" t="str">
        <f t="shared" si="40"/>
        <v/>
      </c>
      <c r="I77">
        <f t="shared" si="41"/>
        <v>0</v>
      </c>
      <c r="J77">
        <f t="shared" si="35"/>
        <v>0</v>
      </c>
      <c r="M77" t="str">
        <f>Calc!A77</f>
        <v>Ertragskonto</v>
      </c>
      <c r="N77">
        <f>Calc!B77</f>
        <v>8000</v>
      </c>
      <c r="O77" t="str">
        <f>Calc!C77</f>
        <v>Subventionen</v>
      </c>
      <c r="P77">
        <f>Calc!D77</f>
        <v>0</v>
      </c>
      <c r="Q77">
        <f>Calc!E77</f>
        <v>0</v>
      </c>
      <c r="R77">
        <f>Calc!F77</f>
        <v>0</v>
      </c>
      <c r="S77">
        <f>Calc!G77</f>
        <v>0</v>
      </c>
      <c r="U77">
        <f t="shared" si="36"/>
        <v>23.003999999999991</v>
      </c>
      <c r="V77" t="str">
        <f t="shared" si="28"/>
        <v/>
      </c>
      <c r="W77" t="str">
        <f t="shared" si="19"/>
        <v/>
      </c>
      <c r="X77" s="70" t="str">
        <f t="shared" si="27"/>
        <v/>
      </c>
      <c r="Y77" t="str">
        <f t="shared" si="42"/>
        <v/>
      </c>
      <c r="AB77">
        <f t="shared" si="37"/>
        <v>71</v>
      </c>
      <c r="AC77" s="169" t="str">
        <f t="shared" si="29"/>
        <v/>
      </c>
      <c r="AD77" s="170" t="str">
        <f t="shared" si="30"/>
        <v/>
      </c>
      <c r="AE77" s="168" t="str">
        <f t="shared" si="31"/>
        <v/>
      </c>
      <c r="AF77" s="168" t="str">
        <f t="shared" si="32"/>
        <v/>
      </c>
      <c r="AG77" s="168"/>
      <c r="AH77" s="171" t="str">
        <f t="shared" si="33"/>
        <v/>
      </c>
      <c r="AI77" s="168" t="str">
        <f t="shared" si="34"/>
        <v/>
      </c>
      <c r="AK77" t="str">
        <f t="shared" si="38"/>
        <v/>
      </c>
    </row>
    <row r="78" spans="1:37" ht="16.5" customHeight="1" x14ac:dyDescent="0.3">
      <c r="A78" s="198">
        <f>Calc!AZ76</f>
        <v>45.006100000000202</v>
      </c>
      <c r="B78" s="199" t="str">
        <f>Calc!BA76</f>
        <v/>
      </c>
      <c r="C78" s="63" t="str">
        <f>Calc!BB76</f>
        <v/>
      </c>
      <c r="D78" s="64" t="str">
        <f>Calc!BC76</f>
        <v/>
      </c>
      <c r="E78" s="164">
        <f t="shared" si="39"/>
        <v>0</v>
      </c>
      <c r="F78" s="64" t="str">
        <f t="shared" si="40"/>
        <v/>
      </c>
      <c r="I78">
        <f t="shared" si="41"/>
        <v>0</v>
      </c>
      <c r="J78">
        <f t="shared" si="35"/>
        <v>0</v>
      </c>
      <c r="M78" t="str">
        <f>Calc!A78</f>
        <v>Ertragskonto</v>
      </c>
      <c r="N78">
        <f>Calc!B78</f>
        <v>8200</v>
      </c>
      <c r="O78" t="str">
        <f>Calc!C78</f>
        <v>Zinsertrag</v>
      </c>
      <c r="P78">
        <f>Calc!D78</f>
        <v>0</v>
      </c>
      <c r="Q78">
        <f>Calc!E78</f>
        <v>0</v>
      </c>
      <c r="R78">
        <f>Calc!F78</f>
        <v>0</v>
      </c>
      <c r="S78">
        <f>Calc!G78</f>
        <v>0</v>
      </c>
      <c r="U78">
        <f t="shared" si="36"/>
        <v>23.00409999999999</v>
      </c>
      <c r="V78" t="str">
        <f t="shared" si="28"/>
        <v/>
      </c>
      <c r="W78" t="str">
        <f t="shared" si="19"/>
        <v/>
      </c>
      <c r="X78" s="70" t="str">
        <f t="shared" si="27"/>
        <v/>
      </c>
      <c r="Y78" t="str">
        <f t="shared" si="42"/>
        <v/>
      </c>
      <c r="AB78">
        <f t="shared" si="37"/>
        <v>72</v>
      </c>
      <c r="AC78" s="169" t="str">
        <f t="shared" si="29"/>
        <v/>
      </c>
      <c r="AD78" s="170" t="str">
        <f t="shared" si="30"/>
        <v/>
      </c>
      <c r="AE78" s="168" t="str">
        <f t="shared" si="31"/>
        <v/>
      </c>
      <c r="AF78" s="168" t="str">
        <f t="shared" si="32"/>
        <v/>
      </c>
      <c r="AG78" s="168"/>
      <c r="AH78" s="171" t="str">
        <f t="shared" si="33"/>
        <v/>
      </c>
      <c r="AI78" s="168" t="str">
        <f t="shared" si="34"/>
        <v/>
      </c>
      <c r="AK78" t="str">
        <f t="shared" si="38"/>
        <v/>
      </c>
    </row>
    <row r="79" spans="1:37" ht="16.5" customHeight="1" x14ac:dyDescent="0.3">
      <c r="A79" s="198">
        <f>Calc!AZ77</f>
        <v>45.006100000000202</v>
      </c>
      <c r="B79" s="199" t="str">
        <f>Calc!BA77</f>
        <v/>
      </c>
      <c r="C79" s="63" t="str">
        <f>Calc!BB77</f>
        <v/>
      </c>
      <c r="D79" s="64" t="str">
        <f>Calc!BC77</f>
        <v/>
      </c>
      <c r="E79" s="164">
        <f t="shared" si="39"/>
        <v>0</v>
      </c>
      <c r="F79" s="64" t="str">
        <f t="shared" si="40"/>
        <v/>
      </c>
      <c r="I79">
        <f t="shared" si="41"/>
        <v>0</v>
      </c>
      <c r="J79">
        <f t="shared" si="35"/>
        <v>0</v>
      </c>
      <c r="M79" t="str">
        <f>Calc!A79</f>
        <v>Ertragskonto</v>
      </c>
      <c r="N79">
        <f>Calc!B79</f>
        <v>8300</v>
      </c>
      <c r="O79" t="str">
        <f>Calc!C79</f>
        <v>diverse Erträge</v>
      </c>
      <c r="P79">
        <f>Calc!D79</f>
        <v>0</v>
      </c>
      <c r="Q79">
        <f>Calc!E79</f>
        <v>0</v>
      </c>
      <c r="R79">
        <f>Calc!F79</f>
        <v>0</v>
      </c>
      <c r="S79">
        <f>Calc!G79</f>
        <v>0</v>
      </c>
      <c r="U79">
        <f t="shared" si="36"/>
        <v>23.00419999999999</v>
      </c>
      <c r="V79" t="str">
        <f t="shared" si="28"/>
        <v/>
      </c>
      <c r="W79" t="str">
        <f t="shared" si="19"/>
        <v/>
      </c>
      <c r="X79" s="70" t="str">
        <f t="shared" si="27"/>
        <v/>
      </c>
      <c r="Y79" t="str">
        <f t="shared" si="42"/>
        <v/>
      </c>
      <c r="AB79">
        <f t="shared" si="37"/>
        <v>73</v>
      </c>
      <c r="AC79" s="169" t="str">
        <f t="shared" si="29"/>
        <v/>
      </c>
      <c r="AD79" s="170" t="str">
        <f t="shared" si="30"/>
        <v/>
      </c>
      <c r="AE79" s="168" t="str">
        <f t="shared" si="31"/>
        <v/>
      </c>
      <c r="AF79" s="168" t="str">
        <f t="shared" si="32"/>
        <v/>
      </c>
      <c r="AG79" s="168"/>
      <c r="AH79" s="171" t="str">
        <f t="shared" si="33"/>
        <v/>
      </c>
      <c r="AI79" s="168" t="str">
        <f t="shared" si="34"/>
        <v/>
      </c>
      <c r="AK79" t="str">
        <f t="shared" si="38"/>
        <v/>
      </c>
    </row>
    <row r="80" spans="1:37" ht="16.5" customHeight="1" x14ac:dyDescent="0.3">
      <c r="A80" s="198">
        <f>Calc!AZ78</f>
        <v>45.006100000000202</v>
      </c>
      <c r="B80" s="199" t="str">
        <f>Calc!BA78</f>
        <v/>
      </c>
      <c r="C80" s="63" t="str">
        <f>Calc!BB78</f>
        <v/>
      </c>
      <c r="D80" s="64" t="str">
        <f>Calc!BC78</f>
        <v/>
      </c>
      <c r="E80" s="164">
        <f t="shared" si="39"/>
        <v>0</v>
      </c>
      <c r="F80" s="64" t="str">
        <f t="shared" si="40"/>
        <v/>
      </c>
      <c r="I80">
        <f t="shared" si="41"/>
        <v>0</v>
      </c>
      <c r="J80">
        <f t="shared" si="35"/>
        <v>0</v>
      </c>
      <c r="M80" t="str">
        <f>Calc!A80</f>
        <v>Ertragskonto</v>
      </c>
      <c r="N80">
        <f>Calc!B80</f>
        <v>9999</v>
      </c>
      <c r="O80" t="str">
        <f>Calc!C80</f>
        <v>Eröffnungskonto</v>
      </c>
      <c r="P80">
        <f>Calc!D80</f>
        <v>0</v>
      </c>
      <c r="Q80">
        <f>Calc!E80</f>
        <v>0</v>
      </c>
      <c r="R80">
        <f>Calc!F80</f>
        <v>0</v>
      </c>
      <c r="S80">
        <f>Calc!G80</f>
        <v>0</v>
      </c>
      <c r="U80">
        <f t="shared" si="36"/>
        <v>23.00429999999999</v>
      </c>
      <c r="V80" t="str">
        <f t="shared" si="28"/>
        <v/>
      </c>
      <c r="W80" t="str">
        <f t="shared" si="19"/>
        <v/>
      </c>
      <c r="X80" s="70" t="str">
        <f t="shared" si="27"/>
        <v/>
      </c>
      <c r="Y80" t="str">
        <f t="shared" si="42"/>
        <v/>
      </c>
      <c r="AB80">
        <f t="shared" si="37"/>
        <v>74</v>
      </c>
      <c r="AC80" s="169" t="str">
        <f t="shared" si="29"/>
        <v/>
      </c>
      <c r="AD80" s="170" t="str">
        <f t="shared" si="30"/>
        <v/>
      </c>
      <c r="AE80" s="168" t="str">
        <f t="shared" si="31"/>
        <v/>
      </c>
      <c r="AF80" s="168" t="str">
        <f t="shared" si="32"/>
        <v/>
      </c>
      <c r="AG80" s="168"/>
      <c r="AH80" s="171" t="str">
        <f t="shared" si="33"/>
        <v/>
      </c>
      <c r="AI80" s="168" t="str">
        <f t="shared" si="34"/>
        <v/>
      </c>
      <c r="AK80" t="str">
        <f t="shared" si="38"/>
        <v/>
      </c>
    </row>
    <row r="81" spans="1:37" ht="16.5" customHeight="1" x14ac:dyDescent="0.3">
      <c r="A81" s="198">
        <f>Calc!AZ79</f>
        <v>45.006100000000202</v>
      </c>
      <c r="B81" s="199" t="str">
        <f>Calc!BA79</f>
        <v/>
      </c>
      <c r="C81" s="63" t="str">
        <f>Calc!BB79</f>
        <v/>
      </c>
      <c r="D81" s="64" t="str">
        <f>Calc!BC79</f>
        <v/>
      </c>
      <c r="E81" s="164">
        <f t="shared" si="39"/>
        <v>0</v>
      </c>
      <c r="F81" s="64" t="str">
        <f t="shared" si="40"/>
        <v/>
      </c>
      <c r="I81">
        <f t="shared" si="41"/>
        <v>0</v>
      </c>
      <c r="J81">
        <f t="shared" si="35"/>
        <v>0</v>
      </c>
      <c r="M81">
        <f>Calc!A81</f>
        <v>0</v>
      </c>
      <c r="N81">
        <f>Calc!B81</f>
        <v>0</v>
      </c>
      <c r="O81">
        <f>Calc!C81</f>
        <v>0</v>
      </c>
      <c r="P81">
        <f>Calc!D81</f>
        <v>0</v>
      </c>
      <c r="Q81">
        <f>Calc!E81</f>
        <v>0</v>
      </c>
      <c r="R81">
        <f>Calc!F81</f>
        <v>0</v>
      </c>
      <c r="S81">
        <f>Calc!G81</f>
        <v>0</v>
      </c>
      <c r="U81">
        <f t="shared" si="36"/>
        <v>23.00439999999999</v>
      </c>
      <c r="V81" t="str">
        <f t="shared" si="28"/>
        <v/>
      </c>
      <c r="W81" t="str">
        <f t="shared" si="19"/>
        <v/>
      </c>
      <c r="X81" s="70" t="str">
        <f t="shared" si="27"/>
        <v/>
      </c>
      <c r="Y81" t="str">
        <f t="shared" si="42"/>
        <v/>
      </c>
      <c r="AB81">
        <f t="shared" si="37"/>
        <v>75</v>
      </c>
      <c r="AC81" s="169" t="str">
        <f t="shared" si="29"/>
        <v/>
      </c>
      <c r="AD81" s="170" t="str">
        <f t="shared" si="30"/>
        <v/>
      </c>
      <c r="AE81" s="168" t="str">
        <f t="shared" si="31"/>
        <v/>
      </c>
      <c r="AF81" s="168" t="str">
        <f t="shared" si="32"/>
        <v/>
      </c>
      <c r="AG81" s="168"/>
      <c r="AH81" s="171" t="str">
        <f t="shared" si="33"/>
        <v/>
      </c>
      <c r="AI81" s="168" t="str">
        <f t="shared" si="34"/>
        <v/>
      </c>
      <c r="AK81" t="str">
        <f t="shared" si="38"/>
        <v/>
      </c>
    </row>
    <row r="82" spans="1:37" ht="16.5" customHeight="1" x14ac:dyDescent="0.3">
      <c r="A82" s="198">
        <f>Calc!AZ80</f>
        <v>45.006100000000202</v>
      </c>
      <c r="B82" s="199" t="str">
        <f>Calc!BA80</f>
        <v/>
      </c>
      <c r="C82" s="63" t="str">
        <f>Calc!BB80</f>
        <v/>
      </c>
      <c r="D82" s="64" t="str">
        <f>Calc!BC80</f>
        <v/>
      </c>
      <c r="E82" s="164">
        <f t="shared" si="39"/>
        <v>0</v>
      </c>
      <c r="F82" s="64" t="str">
        <f t="shared" si="40"/>
        <v/>
      </c>
      <c r="I82">
        <f t="shared" si="41"/>
        <v>0</v>
      </c>
      <c r="J82">
        <f t="shared" si="35"/>
        <v>0</v>
      </c>
      <c r="M82">
        <f>Calc!A82</f>
        <v>0</v>
      </c>
      <c r="N82">
        <f>Calc!B82</f>
        <v>0</v>
      </c>
      <c r="O82">
        <f>Calc!C82</f>
        <v>0</v>
      </c>
      <c r="P82">
        <f>Calc!D82</f>
        <v>0</v>
      </c>
      <c r="Q82">
        <f>Calc!E82</f>
        <v>0</v>
      </c>
      <c r="R82">
        <f>Calc!F82</f>
        <v>0</v>
      </c>
      <c r="S82">
        <f>Calc!G82</f>
        <v>0</v>
      </c>
      <c r="U82">
        <f t="shared" si="36"/>
        <v>23.00449999999999</v>
      </c>
      <c r="V82" t="str">
        <f t="shared" si="28"/>
        <v/>
      </c>
      <c r="W82" t="str">
        <f t="shared" si="19"/>
        <v/>
      </c>
      <c r="X82" s="70" t="str">
        <f t="shared" si="27"/>
        <v/>
      </c>
      <c r="Y82" t="str">
        <f t="shared" si="42"/>
        <v/>
      </c>
      <c r="AB82">
        <f t="shared" si="37"/>
        <v>76</v>
      </c>
      <c r="AC82" s="169" t="str">
        <f t="shared" si="29"/>
        <v/>
      </c>
      <c r="AD82" s="170" t="str">
        <f t="shared" si="30"/>
        <v/>
      </c>
      <c r="AE82" s="168" t="str">
        <f t="shared" si="31"/>
        <v/>
      </c>
      <c r="AF82" s="168" t="str">
        <f t="shared" si="32"/>
        <v/>
      </c>
      <c r="AG82" s="168"/>
      <c r="AH82" s="171" t="str">
        <f t="shared" si="33"/>
        <v/>
      </c>
      <c r="AI82" s="168" t="str">
        <f t="shared" si="34"/>
        <v/>
      </c>
      <c r="AK82" t="str">
        <f t="shared" si="38"/>
        <v/>
      </c>
    </row>
    <row r="83" spans="1:37" ht="16.5" customHeight="1" x14ac:dyDescent="0.3">
      <c r="A83" s="198">
        <f>Calc!AZ81</f>
        <v>45.006100000000202</v>
      </c>
      <c r="B83" s="199" t="str">
        <f>Calc!BA81</f>
        <v/>
      </c>
      <c r="C83" s="63" t="str">
        <f>Calc!BB81</f>
        <v/>
      </c>
      <c r="D83" s="64" t="str">
        <f>Calc!BC81</f>
        <v/>
      </c>
      <c r="E83" s="164">
        <f t="shared" si="39"/>
        <v>0</v>
      </c>
      <c r="F83" s="64" t="str">
        <f t="shared" si="40"/>
        <v/>
      </c>
      <c r="I83">
        <f t="shared" si="41"/>
        <v>0</v>
      </c>
      <c r="J83">
        <f t="shared" si="35"/>
        <v>0</v>
      </c>
      <c r="M83">
        <f>Calc!A83</f>
        <v>0</v>
      </c>
      <c r="N83">
        <f>Calc!B83</f>
        <v>0</v>
      </c>
      <c r="O83">
        <f>Calc!C83</f>
        <v>0</v>
      </c>
      <c r="P83">
        <f>Calc!D83</f>
        <v>0</v>
      </c>
      <c r="Q83">
        <f>Calc!E83</f>
        <v>0</v>
      </c>
      <c r="R83">
        <f>Calc!F83</f>
        <v>0</v>
      </c>
      <c r="S83">
        <f>Calc!G83</f>
        <v>0</v>
      </c>
      <c r="U83">
        <f t="shared" si="36"/>
        <v>23.004599999999989</v>
      </c>
      <c r="V83" t="str">
        <f t="shared" si="28"/>
        <v/>
      </c>
      <c r="W83" t="str">
        <f t="shared" si="19"/>
        <v/>
      </c>
      <c r="X83" s="70" t="str">
        <f t="shared" si="27"/>
        <v/>
      </c>
      <c r="Y83" t="str">
        <f t="shared" si="42"/>
        <v/>
      </c>
      <c r="AB83">
        <f t="shared" si="37"/>
        <v>77</v>
      </c>
      <c r="AC83" s="169" t="str">
        <f t="shared" si="29"/>
        <v/>
      </c>
      <c r="AD83" s="170" t="str">
        <f t="shared" si="30"/>
        <v/>
      </c>
      <c r="AE83" s="168" t="str">
        <f t="shared" si="31"/>
        <v/>
      </c>
      <c r="AF83" s="168" t="str">
        <f t="shared" si="32"/>
        <v/>
      </c>
      <c r="AG83" s="168"/>
      <c r="AH83" s="171" t="str">
        <f t="shared" si="33"/>
        <v/>
      </c>
      <c r="AI83" s="168" t="str">
        <f t="shared" si="34"/>
        <v/>
      </c>
      <c r="AK83" t="str">
        <f t="shared" si="38"/>
        <v/>
      </c>
    </row>
    <row r="84" spans="1:37" ht="16.5" customHeight="1" x14ac:dyDescent="0.3">
      <c r="A84" s="198">
        <f>Calc!AZ82</f>
        <v>45.006100000000202</v>
      </c>
      <c r="B84" s="199" t="str">
        <f>Calc!BA82</f>
        <v/>
      </c>
      <c r="C84" s="63" t="str">
        <f>Calc!BB82</f>
        <v/>
      </c>
      <c r="D84" s="64" t="str">
        <f>Calc!BC82</f>
        <v/>
      </c>
      <c r="E84" s="164">
        <f t="shared" si="39"/>
        <v>0</v>
      </c>
      <c r="F84" s="64" t="str">
        <f t="shared" si="40"/>
        <v/>
      </c>
      <c r="I84">
        <f t="shared" si="41"/>
        <v>0</v>
      </c>
      <c r="J84">
        <f t="shared" si="35"/>
        <v>0</v>
      </c>
      <c r="M84">
        <f>Calc!A84</f>
        <v>0</v>
      </c>
      <c r="N84">
        <f>Calc!B84</f>
        <v>0</v>
      </c>
      <c r="O84">
        <f>Calc!C84</f>
        <v>0</v>
      </c>
      <c r="P84">
        <f>Calc!D84</f>
        <v>0</v>
      </c>
      <c r="Q84">
        <f>Calc!E84</f>
        <v>0</v>
      </c>
      <c r="R84">
        <f>Calc!F84</f>
        <v>0</v>
      </c>
      <c r="S84">
        <f>Calc!G84</f>
        <v>0</v>
      </c>
      <c r="U84">
        <f t="shared" si="36"/>
        <v>23.004699999999989</v>
      </c>
      <c r="V84" t="str">
        <f t="shared" si="28"/>
        <v/>
      </c>
      <c r="W84" t="str">
        <f t="shared" si="19"/>
        <v/>
      </c>
      <c r="X84" s="70" t="str">
        <f t="shared" si="27"/>
        <v/>
      </c>
      <c r="Y84" t="str">
        <f t="shared" si="42"/>
        <v/>
      </c>
      <c r="AB84">
        <f t="shared" si="37"/>
        <v>78</v>
      </c>
      <c r="AC84" s="169" t="str">
        <f t="shared" si="29"/>
        <v/>
      </c>
      <c r="AD84" s="170" t="str">
        <f t="shared" si="30"/>
        <v/>
      </c>
      <c r="AE84" s="168" t="str">
        <f t="shared" si="31"/>
        <v/>
      </c>
      <c r="AF84" s="168" t="str">
        <f t="shared" si="32"/>
        <v/>
      </c>
      <c r="AG84" s="168"/>
      <c r="AH84" s="171" t="str">
        <f t="shared" si="33"/>
        <v/>
      </c>
      <c r="AI84" s="168" t="str">
        <f t="shared" si="34"/>
        <v/>
      </c>
      <c r="AK84" t="str">
        <f t="shared" si="38"/>
        <v/>
      </c>
    </row>
    <row r="85" spans="1:37" ht="16.5" customHeight="1" x14ac:dyDescent="0.3">
      <c r="A85" s="198">
        <f>Calc!AZ83</f>
        <v>45.006100000000202</v>
      </c>
      <c r="B85" s="199" t="str">
        <f>Calc!BA83</f>
        <v/>
      </c>
      <c r="C85" s="63" t="str">
        <f>Calc!BB83</f>
        <v/>
      </c>
      <c r="D85" s="64" t="str">
        <f>Calc!BC83</f>
        <v/>
      </c>
      <c r="E85" s="164">
        <f t="shared" si="39"/>
        <v>0</v>
      </c>
      <c r="F85" s="64" t="str">
        <f t="shared" si="40"/>
        <v/>
      </c>
      <c r="I85">
        <f t="shared" si="41"/>
        <v>0</v>
      </c>
      <c r="J85">
        <f t="shared" si="35"/>
        <v>0</v>
      </c>
      <c r="M85">
        <f>Calc!A85</f>
        <v>0</v>
      </c>
      <c r="N85">
        <f>Calc!B85</f>
        <v>0</v>
      </c>
      <c r="O85">
        <f>Calc!C85</f>
        <v>0</v>
      </c>
      <c r="P85">
        <f>Calc!D85</f>
        <v>0</v>
      </c>
      <c r="Q85">
        <f>Calc!E85</f>
        <v>0</v>
      </c>
      <c r="R85">
        <f>Calc!F85</f>
        <v>0</v>
      </c>
      <c r="S85">
        <f>Calc!G85</f>
        <v>0</v>
      </c>
      <c r="U85">
        <f t="shared" si="36"/>
        <v>23.004799999999989</v>
      </c>
      <c r="V85" t="str">
        <f t="shared" si="28"/>
        <v/>
      </c>
      <c r="W85" t="str">
        <f t="shared" si="19"/>
        <v/>
      </c>
      <c r="X85" s="70" t="str">
        <f t="shared" si="27"/>
        <v/>
      </c>
      <c r="Y85" t="str">
        <f t="shared" si="42"/>
        <v/>
      </c>
      <c r="AB85">
        <f t="shared" si="37"/>
        <v>79</v>
      </c>
      <c r="AC85" s="169" t="str">
        <f t="shared" si="29"/>
        <v/>
      </c>
      <c r="AD85" s="170" t="str">
        <f t="shared" si="30"/>
        <v/>
      </c>
      <c r="AE85" s="168" t="str">
        <f t="shared" si="31"/>
        <v/>
      </c>
      <c r="AF85" s="168" t="str">
        <f t="shared" si="32"/>
        <v/>
      </c>
      <c r="AG85" s="168"/>
      <c r="AH85" s="171" t="str">
        <f t="shared" si="33"/>
        <v/>
      </c>
      <c r="AI85" s="168" t="str">
        <f t="shared" si="34"/>
        <v/>
      </c>
      <c r="AK85" t="str">
        <f t="shared" si="38"/>
        <v/>
      </c>
    </row>
    <row r="86" spans="1:37" ht="16.5" customHeight="1" x14ac:dyDescent="0.3">
      <c r="A86" s="198">
        <f>Calc!AZ84</f>
        <v>45.006100000000202</v>
      </c>
      <c r="B86" s="199" t="str">
        <f>Calc!BA84</f>
        <v/>
      </c>
      <c r="C86" s="63" t="str">
        <f>Calc!BB84</f>
        <v/>
      </c>
      <c r="D86" s="64" t="str">
        <f>Calc!BC84</f>
        <v/>
      </c>
      <c r="E86" s="164">
        <f t="shared" si="39"/>
        <v>0</v>
      </c>
      <c r="F86" s="64" t="str">
        <f t="shared" si="40"/>
        <v/>
      </c>
      <c r="I86">
        <f t="shared" si="41"/>
        <v>0</v>
      </c>
      <c r="J86">
        <f t="shared" si="35"/>
        <v>0</v>
      </c>
      <c r="M86">
        <f>Calc!A86</f>
        <v>0</v>
      </c>
      <c r="N86">
        <f>Calc!B86</f>
        <v>0</v>
      </c>
      <c r="O86">
        <f>Calc!C86</f>
        <v>0</v>
      </c>
      <c r="P86">
        <f>Calc!D86</f>
        <v>0</v>
      </c>
      <c r="Q86">
        <f>Calc!E86</f>
        <v>0</v>
      </c>
      <c r="R86">
        <f>Calc!F86</f>
        <v>0</v>
      </c>
      <c r="S86">
        <f>Calc!G86</f>
        <v>0</v>
      </c>
      <c r="U86">
        <f t="shared" si="36"/>
        <v>23.004899999999989</v>
      </c>
      <c r="V86" t="str">
        <f t="shared" si="28"/>
        <v/>
      </c>
      <c r="W86" t="str">
        <f t="shared" ref="W86:W101" si="43">IF(M86="Passivkonto",N86,IF(V86="","",$AE$2))</f>
        <v/>
      </c>
      <c r="X86" s="70" t="str">
        <f t="shared" si="27"/>
        <v/>
      </c>
      <c r="Y86" t="str">
        <f t="shared" si="42"/>
        <v/>
      </c>
      <c r="AB86">
        <f t="shared" si="37"/>
        <v>80</v>
      </c>
      <c r="AC86" s="169" t="str">
        <f t="shared" si="29"/>
        <v/>
      </c>
      <c r="AD86" s="170" t="str">
        <f t="shared" si="30"/>
        <v/>
      </c>
      <c r="AE86" s="168" t="str">
        <f t="shared" si="31"/>
        <v/>
      </c>
      <c r="AF86" s="168" t="str">
        <f t="shared" si="32"/>
        <v/>
      </c>
      <c r="AG86" s="168"/>
      <c r="AH86" s="171" t="str">
        <f t="shared" si="33"/>
        <v/>
      </c>
      <c r="AI86" s="168" t="str">
        <f t="shared" si="34"/>
        <v/>
      </c>
      <c r="AK86" t="str">
        <f t="shared" si="38"/>
        <v/>
      </c>
    </row>
    <row r="87" spans="1:37" ht="16.5" customHeight="1" x14ac:dyDescent="0.3">
      <c r="A87" s="198">
        <f>Calc!AZ85</f>
        <v>45.006100000000202</v>
      </c>
      <c r="B87" s="199" t="str">
        <f>Calc!BA85</f>
        <v/>
      </c>
      <c r="C87" s="63" t="str">
        <f>Calc!BB85</f>
        <v/>
      </c>
      <c r="D87" s="64" t="str">
        <f>Calc!BC85</f>
        <v/>
      </c>
      <c r="E87" s="164">
        <f t="shared" si="39"/>
        <v>0</v>
      </c>
      <c r="F87" s="64" t="str">
        <f t="shared" si="40"/>
        <v/>
      </c>
      <c r="I87">
        <f t="shared" si="41"/>
        <v>0</v>
      </c>
      <c r="J87">
        <f t="shared" si="35"/>
        <v>0</v>
      </c>
      <c r="M87">
        <f>Calc!A87</f>
        <v>0</v>
      </c>
      <c r="N87">
        <f>Calc!B87</f>
        <v>0</v>
      </c>
      <c r="O87">
        <f>Calc!C87</f>
        <v>0</v>
      </c>
      <c r="P87">
        <f>Calc!D87</f>
        <v>0</v>
      </c>
      <c r="Q87">
        <f>Calc!E87</f>
        <v>0</v>
      </c>
      <c r="R87">
        <f>Calc!F87</f>
        <v>0</v>
      </c>
      <c r="S87">
        <f>Calc!G87</f>
        <v>0</v>
      </c>
      <c r="U87">
        <f t="shared" si="36"/>
        <v>23.004999999999988</v>
      </c>
      <c r="V87" t="str">
        <f t="shared" si="28"/>
        <v/>
      </c>
      <c r="W87" t="str">
        <f t="shared" si="43"/>
        <v/>
      </c>
      <c r="X87" s="70" t="str">
        <f t="shared" si="27"/>
        <v/>
      </c>
      <c r="Y87" t="str">
        <f t="shared" si="42"/>
        <v/>
      </c>
      <c r="AB87">
        <f t="shared" si="37"/>
        <v>81</v>
      </c>
      <c r="AC87" s="169" t="str">
        <f t="shared" si="29"/>
        <v/>
      </c>
      <c r="AD87" s="170" t="str">
        <f t="shared" si="30"/>
        <v/>
      </c>
      <c r="AE87" s="168" t="str">
        <f t="shared" si="31"/>
        <v/>
      </c>
      <c r="AF87" s="168" t="str">
        <f t="shared" si="32"/>
        <v/>
      </c>
      <c r="AG87" s="168"/>
      <c r="AH87" s="171" t="str">
        <f t="shared" si="33"/>
        <v/>
      </c>
      <c r="AI87" s="168" t="str">
        <f t="shared" si="34"/>
        <v/>
      </c>
      <c r="AK87" t="str">
        <f t="shared" si="38"/>
        <v/>
      </c>
    </row>
    <row r="88" spans="1:37" ht="16.5" customHeight="1" x14ac:dyDescent="0.3">
      <c r="A88" s="198">
        <f>Calc!AZ86</f>
        <v>45.006100000000202</v>
      </c>
      <c r="B88" s="199" t="str">
        <f>Calc!BA86</f>
        <v/>
      </c>
      <c r="C88" s="63" t="str">
        <f>Calc!BB86</f>
        <v/>
      </c>
      <c r="D88" s="64" t="str">
        <f>Calc!BC86</f>
        <v/>
      </c>
      <c r="E88" s="164">
        <f t="shared" si="39"/>
        <v>0</v>
      </c>
      <c r="F88" s="64" t="str">
        <f t="shared" si="40"/>
        <v/>
      </c>
      <c r="I88">
        <f t="shared" si="41"/>
        <v>0</v>
      </c>
      <c r="J88">
        <f t="shared" si="35"/>
        <v>0</v>
      </c>
      <c r="M88">
        <f>Calc!A88</f>
        <v>0</v>
      </c>
      <c r="N88">
        <f>Calc!B88</f>
        <v>0</v>
      </c>
      <c r="O88">
        <f>Calc!C88</f>
        <v>0</v>
      </c>
      <c r="P88">
        <f>Calc!D88</f>
        <v>0</v>
      </c>
      <c r="Q88">
        <f>Calc!E88</f>
        <v>0</v>
      </c>
      <c r="R88">
        <f>Calc!F88</f>
        <v>0</v>
      </c>
      <c r="S88">
        <f>Calc!G88</f>
        <v>0</v>
      </c>
      <c r="U88">
        <f t="shared" si="36"/>
        <v>23.005099999999988</v>
      </c>
      <c r="V88" t="str">
        <f t="shared" si="28"/>
        <v/>
      </c>
      <c r="W88" t="str">
        <f t="shared" si="43"/>
        <v/>
      </c>
      <c r="X88" s="70" t="str">
        <f t="shared" si="27"/>
        <v/>
      </c>
      <c r="Y88" t="str">
        <f t="shared" si="42"/>
        <v/>
      </c>
      <c r="AB88">
        <f t="shared" si="37"/>
        <v>82</v>
      </c>
      <c r="AC88" s="169" t="str">
        <f t="shared" si="29"/>
        <v/>
      </c>
      <c r="AD88" s="170" t="str">
        <f t="shared" si="30"/>
        <v/>
      </c>
      <c r="AE88" s="168" t="str">
        <f t="shared" si="31"/>
        <v/>
      </c>
      <c r="AF88" s="168" t="str">
        <f t="shared" si="32"/>
        <v/>
      </c>
      <c r="AG88" s="168"/>
      <c r="AH88" s="171" t="str">
        <f t="shared" si="33"/>
        <v/>
      </c>
      <c r="AI88" s="168" t="str">
        <f t="shared" si="34"/>
        <v/>
      </c>
      <c r="AK88" t="str">
        <f t="shared" si="38"/>
        <v/>
      </c>
    </row>
    <row r="89" spans="1:37" ht="16.5" customHeight="1" x14ac:dyDescent="0.3">
      <c r="A89" s="198">
        <f>Calc!AZ87</f>
        <v>45.006100000000202</v>
      </c>
      <c r="B89" s="199" t="str">
        <f>Calc!BA87</f>
        <v/>
      </c>
      <c r="C89" s="63" t="str">
        <f>Calc!BB87</f>
        <v/>
      </c>
      <c r="D89" s="64" t="str">
        <f>Calc!BC87</f>
        <v/>
      </c>
      <c r="E89" s="164">
        <f t="shared" si="39"/>
        <v>0</v>
      </c>
      <c r="F89" s="64" t="str">
        <f t="shared" si="40"/>
        <v/>
      </c>
      <c r="I89">
        <f t="shared" si="41"/>
        <v>0</v>
      </c>
      <c r="J89">
        <f t="shared" si="35"/>
        <v>0</v>
      </c>
      <c r="M89">
        <f>Calc!A89</f>
        <v>0</v>
      </c>
      <c r="N89">
        <f>Calc!B89</f>
        <v>0</v>
      </c>
      <c r="O89">
        <f>Calc!C89</f>
        <v>0</v>
      </c>
      <c r="P89">
        <f>Calc!D89</f>
        <v>0</v>
      </c>
      <c r="Q89">
        <f>Calc!E89</f>
        <v>0</v>
      </c>
      <c r="R89">
        <f>Calc!F89</f>
        <v>0</v>
      </c>
      <c r="S89">
        <f>Calc!G89</f>
        <v>0</v>
      </c>
      <c r="U89">
        <f t="shared" si="36"/>
        <v>23.005199999999988</v>
      </c>
      <c r="V89" t="str">
        <f t="shared" si="28"/>
        <v/>
      </c>
      <c r="W89" t="str">
        <f t="shared" si="43"/>
        <v/>
      </c>
      <c r="X89" s="70" t="str">
        <f t="shared" si="27"/>
        <v/>
      </c>
      <c r="Y89" t="str">
        <f t="shared" si="42"/>
        <v/>
      </c>
      <c r="AB89">
        <f t="shared" si="37"/>
        <v>83</v>
      </c>
      <c r="AC89" s="169" t="str">
        <f t="shared" si="29"/>
        <v/>
      </c>
      <c r="AD89" s="170" t="str">
        <f t="shared" si="30"/>
        <v/>
      </c>
      <c r="AE89" s="168" t="str">
        <f t="shared" si="31"/>
        <v/>
      </c>
      <c r="AF89" s="168" t="str">
        <f t="shared" si="32"/>
        <v/>
      </c>
      <c r="AG89" s="168"/>
      <c r="AH89" s="171" t="str">
        <f t="shared" si="33"/>
        <v/>
      </c>
      <c r="AI89" s="168" t="str">
        <f t="shared" si="34"/>
        <v/>
      </c>
      <c r="AK89" t="str">
        <f t="shared" si="38"/>
        <v/>
      </c>
    </row>
    <row r="90" spans="1:37" ht="16.5" customHeight="1" x14ac:dyDescent="0.3">
      <c r="A90" s="198">
        <f>Calc!AZ88</f>
        <v>45.006100000000202</v>
      </c>
      <c r="B90" s="199" t="str">
        <f>Calc!BA88</f>
        <v/>
      </c>
      <c r="C90" s="63" t="str">
        <f>Calc!BB88</f>
        <v/>
      </c>
      <c r="D90" s="64" t="str">
        <f>Calc!BC88</f>
        <v/>
      </c>
      <c r="E90" s="164">
        <f t="shared" si="39"/>
        <v>0</v>
      </c>
      <c r="F90" s="64" t="str">
        <f t="shared" si="40"/>
        <v/>
      </c>
      <c r="I90">
        <f t="shared" si="41"/>
        <v>0</v>
      </c>
      <c r="J90">
        <f t="shared" si="35"/>
        <v>0</v>
      </c>
      <c r="M90">
        <f>Calc!A90</f>
        <v>0</v>
      </c>
      <c r="N90">
        <f>Calc!B90</f>
        <v>0</v>
      </c>
      <c r="O90">
        <f>Calc!C90</f>
        <v>0</v>
      </c>
      <c r="P90">
        <f>Calc!D90</f>
        <v>0</v>
      </c>
      <c r="Q90">
        <f>Calc!E90</f>
        <v>0</v>
      </c>
      <c r="R90">
        <f>Calc!F90</f>
        <v>0</v>
      </c>
      <c r="S90">
        <f>Calc!G90</f>
        <v>0</v>
      </c>
      <c r="U90">
        <f t="shared" si="36"/>
        <v>23.005299999999988</v>
      </c>
      <c r="V90" t="str">
        <f t="shared" si="28"/>
        <v/>
      </c>
      <c r="W90" t="str">
        <f t="shared" si="43"/>
        <v/>
      </c>
      <c r="X90" s="70" t="str">
        <f t="shared" si="27"/>
        <v/>
      </c>
      <c r="Y90" t="str">
        <f t="shared" si="42"/>
        <v/>
      </c>
      <c r="AB90">
        <f t="shared" si="37"/>
        <v>84</v>
      </c>
      <c r="AC90" s="169" t="str">
        <f t="shared" si="29"/>
        <v/>
      </c>
      <c r="AD90" s="170" t="str">
        <f t="shared" si="30"/>
        <v/>
      </c>
      <c r="AE90" s="168" t="str">
        <f t="shared" si="31"/>
        <v/>
      </c>
      <c r="AF90" s="168" t="str">
        <f t="shared" si="32"/>
        <v/>
      </c>
      <c r="AG90" s="168"/>
      <c r="AH90" s="171" t="str">
        <f t="shared" si="33"/>
        <v/>
      </c>
      <c r="AI90" s="168" t="str">
        <f t="shared" si="34"/>
        <v/>
      </c>
      <c r="AK90" t="str">
        <f t="shared" si="38"/>
        <v/>
      </c>
    </row>
    <row r="91" spans="1:37" ht="16.5" customHeight="1" x14ac:dyDescent="0.3">
      <c r="A91" s="198">
        <f>Calc!AZ89</f>
        <v>45.006100000000202</v>
      </c>
      <c r="B91" s="199" t="str">
        <f>Calc!BA89</f>
        <v/>
      </c>
      <c r="C91" s="63" t="str">
        <f>Calc!BB89</f>
        <v/>
      </c>
      <c r="D91" s="64" t="str">
        <f>Calc!BC89</f>
        <v/>
      </c>
      <c r="E91" s="164">
        <f t="shared" si="39"/>
        <v>0</v>
      </c>
      <c r="F91" s="64" t="str">
        <f t="shared" si="40"/>
        <v/>
      </c>
      <c r="I91">
        <f t="shared" si="41"/>
        <v>0</v>
      </c>
      <c r="J91">
        <f t="shared" si="35"/>
        <v>0</v>
      </c>
      <c r="M91">
        <f>Calc!A91</f>
        <v>0</v>
      </c>
      <c r="N91">
        <f>Calc!B91</f>
        <v>0</v>
      </c>
      <c r="O91">
        <f>Calc!C91</f>
        <v>0</v>
      </c>
      <c r="P91">
        <f>Calc!D91</f>
        <v>0</v>
      </c>
      <c r="Q91">
        <f>Calc!E91</f>
        <v>0</v>
      </c>
      <c r="R91">
        <f>Calc!F91</f>
        <v>0</v>
      </c>
      <c r="S91">
        <f>Calc!G91</f>
        <v>0</v>
      </c>
      <c r="U91">
        <f t="shared" si="36"/>
        <v>23.005399999999987</v>
      </c>
      <c r="V91" t="str">
        <f t="shared" si="28"/>
        <v/>
      </c>
      <c r="W91" t="str">
        <f t="shared" si="43"/>
        <v/>
      </c>
      <c r="X91" s="70" t="str">
        <f t="shared" si="27"/>
        <v/>
      </c>
      <c r="Y91" t="str">
        <f t="shared" si="42"/>
        <v/>
      </c>
      <c r="AB91">
        <f t="shared" si="37"/>
        <v>85</v>
      </c>
      <c r="AC91" s="169" t="str">
        <f t="shared" si="29"/>
        <v/>
      </c>
      <c r="AD91" s="170" t="str">
        <f t="shared" si="30"/>
        <v/>
      </c>
      <c r="AE91" s="168" t="str">
        <f t="shared" si="31"/>
        <v/>
      </c>
      <c r="AF91" s="168" t="str">
        <f t="shared" si="32"/>
        <v/>
      </c>
      <c r="AG91" s="168"/>
      <c r="AH91" s="171" t="str">
        <f t="shared" si="33"/>
        <v/>
      </c>
      <c r="AI91" s="168" t="str">
        <f t="shared" si="34"/>
        <v/>
      </c>
      <c r="AK91" t="str">
        <f t="shared" si="38"/>
        <v/>
      </c>
    </row>
    <row r="92" spans="1:37" ht="16.5" customHeight="1" x14ac:dyDescent="0.3">
      <c r="A92" s="198">
        <f>Calc!AZ90</f>
        <v>45.006100000000202</v>
      </c>
      <c r="B92" s="199" t="str">
        <f>Calc!BA90</f>
        <v/>
      </c>
      <c r="C92" s="63" t="str">
        <f>Calc!BB90</f>
        <v/>
      </c>
      <c r="D92" s="64" t="str">
        <f>Calc!BC90</f>
        <v/>
      </c>
      <c r="E92" s="164">
        <f t="shared" si="39"/>
        <v>0</v>
      </c>
      <c r="F92" s="64" t="str">
        <f t="shared" si="40"/>
        <v/>
      </c>
      <c r="I92">
        <f t="shared" si="41"/>
        <v>0</v>
      </c>
      <c r="J92">
        <f t="shared" si="35"/>
        <v>0</v>
      </c>
      <c r="M92">
        <f>Calc!A92</f>
        <v>0</v>
      </c>
      <c r="N92">
        <f>Calc!B92</f>
        <v>0</v>
      </c>
      <c r="O92">
        <f>Calc!C92</f>
        <v>0</v>
      </c>
      <c r="P92">
        <f>Calc!D92</f>
        <v>0</v>
      </c>
      <c r="Q92">
        <f>Calc!E92</f>
        <v>0</v>
      </c>
      <c r="R92">
        <f>Calc!F92</f>
        <v>0</v>
      </c>
      <c r="S92">
        <f>Calc!G92</f>
        <v>0</v>
      </c>
      <c r="U92">
        <f t="shared" si="36"/>
        <v>23.005499999999987</v>
      </c>
      <c r="V92" t="str">
        <f t="shared" si="28"/>
        <v/>
      </c>
      <c r="W92" t="str">
        <f t="shared" si="43"/>
        <v/>
      </c>
      <c r="X92" s="70" t="str">
        <f t="shared" si="27"/>
        <v/>
      </c>
      <c r="Y92" t="str">
        <f t="shared" si="42"/>
        <v/>
      </c>
      <c r="AB92">
        <f t="shared" si="37"/>
        <v>86</v>
      </c>
      <c r="AC92" s="169" t="str">
        <f t="shared" si="29"/>
        <v/>
      </c>
      <c r="AD92" s="170" t="str">
        <f t="shared" si="30"/>
        <v/>
      </c>
      <c r="AE92" s="168" t="str">
        <f t="shared" si="31"/>
        <v/>
      </c>
      <c r="AF92" s="168" t="str">
        <f t="shared" si="32"/>
        <v/>
      </c>
      <c r="AG92" s="168"/>
      <c r="AH92" s="171" t="str">
        <f t="shared" si="33"/>
        <v/>
      </c>
      <c r="AI92" s="168" t="str">
        <f t="shared" si="34"/>
        <v/>
      </c>
      <c r="AK92" t="str">
        <f t="shared" si="38"/>
        <v/>
      </c>
    </row>
    <row r="93" spans="1:37" ht="16.5" customHeight="1" x14ac:dyDescent="0.3">
      <c r="A93" s="198">
        <f>Calc!AZ91</f>
        <v>45.006100000000202</v>
      </c>
      <c r="B93" s="199" t="str">
        <f>Calc!BA91</f>
        <v/>
      </c>
      <c r="C93" s="63" t="str">
        <f>Calc!BB91</f>
        <v/>
      </c>
      <c r="D93" s="64" t="str">
        <f>Calc!BC91</f>
        <v/>
      </c>
      <c r="E93" s="164">
        <f t="shared" si="39"/>
        <v>0</v>
      </c>
      <c r="F93" s="64" t="str">
        <f t="shared" si="40"/>
        <v/>
      </c>
      <c r="I93">
        <f t="shared" si="41"/>
        <v>0</v>
      </c>
      <c r="J93">
        <f t="shared" si="35"/>
        <v>0</v>
      </c>
      <c r="M93">
        <f>Calc!A93</f>
        <v>0</v>
      </c>
      <c r="N93">
        <f>Calc!B93</f>
        <v>0</v>
      </c>
      <c r="O93">
        <f>Calc!C93</f>
        <v>0</v>
      </c>
      <c r="P93">
        <f>Calc!D93</f>
        <v>0</v>
      </c>
      <c r="Q93">
        <f>Calc!E93</f>
        <v>0</v>
      </c>
      <c r="R93">
        <f>Calc!F93</f>
        <v>0</v>
      </c>
      <c r="S93">
        <f>Calc!G93</f>
        <v>0</v>
      </c>
      <c r="U93">
        <f t="shared" si="36"/>
        <v>23.005599999999987</v>
      </c>
      <c r="V93" t="str">
        <f t="shared" si="28"/>
        <v/>
      </c>
      <c r="W93" t="str">
        <f t="shared" si="43"/>
        <v/>
      </c>
      <c r="X93" s="70" t="str">
        <f t="shared" si="27"/>
        <v/>
      </c>
      <c r="Y93" t="str">
        <f t="shared" si="42"/>
        <v/>
      </c>
      <c r="AB93">
        <f t="shared" si="37"/>
        <v>87</v>
      </c>
      <c r="AC93" s="169" t="str">
        <f t="shared" si="29"/>
        <v/>
      </c>
      <c r="AD93" s="170" t="str">
        <f t="shared" si="30"/>
        <v/>
      </c>
      <c r="AE93" s="168" t="str">
        <f t="shared" si="31"/>
        <v/>
      </c>
      <c r="AF93" s="168" t="str">
        <f t="shared" si="32"/>
        <v/>
      </c>
      <c r="AG93" s="168"/>
      <c r="AH93" s="171" t="str">
        <f t="shared" si="33"/>
        <v/>
      </c>
      <c r="AI93" s="168" t="str">
        <f t="shared" si="34"/>
        <v/>
      </c>
      <c r="AK93" t="str">
        <f t="shared" si="38"/>
        <v/>
      </c>
    </row>
    <row r="94" spans="1:37" ht="16.5" customHeight="1" x14ac:dyDescent="0.3">
      <c r="A94" s="198">
        <f>Calc!AZ92</f>
        <v>45.006100000000202</v>
      </c>
      <c r="B94" s="199" t="str">
        <f>Calc!BA92</f>
        <v/>
      </c>
      <c r="C94" s="63" t="str">
        <f>Calc!BB92</f>
        <v/>
      </c>
      <c r="D94" s="64" t="str">
        <f>Calc!BC92</f>
        <v/>
      </c>
      <c r="E94" s="164">
        <f t="shared" si="39"/>
        <v>0</v>
      </c>
      <c r="F94" s="64" t="str">
        <f t="shared" si="40"/>
        <v/>
      </c>
      <c r="I94">
        <f t="shared" si="41"/>
        <v>0</v>
      </c>
      <c r="J94">
        <f t="shared" si="35"/>
        <v>0</v>
      </c>
      <c r="M94">
        <f>Calc!A94</f>
        <v>0</v>
      </c>
      <c r="N94">
        <f>Calc!B94</f>
        <v>0</v>
      </c>
      <c r="O94">
        <f>Calc!C94</f>
        <v>0</v>
      </c>
      <c r="P94">
        <f>Calc!D94</f>
        <v>0</v>
      </c>
      <c r="Q94">
        <f>Calc!E94</f>
        <v>0</v>
      </c>
      <c r="R94">
        <f>Calc!F94</f>
        <v>0</v>
      </c>
      <c r="S94">
        <f>Calc!G94</f>
        <v>0</v>
      </c>
      <c r="U94">
        <f t="shared" si="36"/>
        <v>23.005699999999987</v>
      </c>
      <c r="V94" t="str">
        <f t="shared" si="28"/>
        <v/>
      </c>
      <c r="W94" t="str">
        <f t="shared" si="43"/>
        <v/>
      </c>
      <c r="X94" s="70" t="str">
        <f t="shared" si="27"/>
        <v/>
      </c>
      <c r="Y94" t="str">
        <f t="shared" si="42"/>
        <v/>
      </c>
      <c r="AB94">
        <f t="shared" si="37"/>
        <v>88</v>
      </c>
      <c r="AC94" s="169" t="str">
        <f t="shared" si="29"/>
        <v/>
      </c>
      <c r="AD94" s="170" t="str">
        <f t="shared" si="30"/>
        <v/>
      </c>
      <c r="AE94" s="168" t="str">
        <f t="shared" si="31"/>
        <v/>
      </c>
      <c r="AF94" s="168" t="str">
        <f t="shared" si="32"/>
        <v/>
      </c>
      <c r="AG94" s="168"/>
      <c r="AH94" s="171" t="str">
        <f t="shared" si="33"/>
        <v/>
      </c>
      <c r="AI94" s="168" t="str">
        <f t="shared" si="34"/>
        <v/>
      </c>
      <c r="AK94" t="str">
        <f t="shared" si="38"/>
        <v/>
      </c>
    </row>
    <row r="95" spans="1:37" ht="16.5" customHeight="1" x14ac:dyDescent="0.3">
      <c r="A95" s="198">
        <f>Calc!AZ93</f>
        <v>45.006100000000202</v>
      </c>
      <c r="B95" s="199" t="str">
        <f>Calc!BA93</f>
        <v/>
      </c>
      <c r="C95" s="63" t="str">
        <f>Calc!BB93</f>
        <v/>
      </c>
      <c r="D95" s="64" t="str">
        <f>Calc!BC93</f>
        <v/>
      </c>
      <c r="E95" s="164">
        <f t="shared" si="39"/>
        <v>0</v>
      </c>
      <c r="F95" s="64" t="str">
        <f t="shared" si="40"/>
        <v/>
      </c>
      <c r="I95">
        <f t="shared" si="41"/>
        <v>0</v>
      </c>
      <c r="J95">
        <f t="shared" si="35"/>
        <v>0</v>
      </c>
      <c r="M95">
        <f>Calc!A95</f>
        <v>0</v>
      </c>
      <c r="N95">
        <f>Calc!B95</f>
        <v>0</v>
      </c>
      <c r="O95">
        <f>Calc!C95</f>
        <v>0</v>
      </c>
      <c r="P95">
        <f>Calc!D95</f>
        <v>0</v>
      </c>
      <c r="Q95">
        <f>Calc!E95</f>
        <v>0</v>
      </c>
      <c r="R95">
        <f>Calc!F95</f>
        <v>0</v>
      </c>
      <c r="S95">
        <f>Calc!G95</f>
        <v>0</v>
      </c>
      <c r="U95">
        <f t="shared" si="36"/>
        <v>23.005799999999986</v>
      </c>
      <c r="V95" t="str">
        <f t="shared" si="28"/>
        <v/>
      </c>
      <c r="W95" t="str">
        <f t="shared" si="43"/>
        <v/>
      </c>
      <c r="X95" s="70" t="str">
        <f t="shared" si="27"/>
        <v/>
      </c>
      <c r="Y95" t="str">
        <f t="shared" si="42"/>
        <v/>
      </c>
      <c r="AB95">
        <f t="shared" si="37"/>
        <v>89</v>
      </c>
      <c r="AC95" s="169" t="str">
        <f t="shared" si="29"/>
        <v/>
      </c>
      <c r="AD95" s="170" t="str">
        <f t="shared" si="30"/>
        <v/>
      </c>
      <c r="AE95" s="168" t="str">
        <f t="shared" si="31"/>
        <v/>
      </c>
      <c r="AF95" s="168" t="str">
        <f t="shared" si="32"/>
        <v/>
      </c>
      <c r="AG95" s="168"/>
      <c r="AH95" s="171" t="str">
        <f t="shared" si="33"/>
        <v/>
      </c>
      <c r="AI95" s="168" t="str">
        <f t="shared" si="34"/>
        <v/>
      </c>
      <c r="AK95" t="str">
        <f t="shared" si="38"/>
        <v/>
      </c>
    </row>
    <row r="96" spans="1:37" ht="16.5" customHeight="1" x14ac:dyDescent="0.3">
      <c r="A96" s="198">
        <f>Calc!AZ94</f>
        <v>45.006100000000202</v>
      </c>
      <c r="B96" s="199" t="str">
        <f>Calc!BA94</f>
        <v/>
      </c>
      <c r="C96" s="63" t="str">
        <f>Calc!BB94</f>
        <v/>
      </c>
      <c r="D96" s="64" t="str">
        <f>Calc!BC94</f>
        <v/>
      </c>
      <c r="E96" s="164">
        <f t="shared" ref="E96:E101" si="44">IF(B96="Sub",J95,0)</f>
        <v>0</v>
      </c>
      <c r="F96" s="64" t="str">
        <f t="shared" ref="F96:F101" si="45">IF(D96="","",D96-E96)</f>
        <v/>
      </c>
      <c r="I96">
        <f t="shared" ref="I96:I101" si="46">IF(OR(C96="Gewinn",C96="Verlust"),D96,0)</f>
        <v>0</v>
      </c>
      <c r="J96">
        <f t="shared" ref="J96:J101" si="47">IF(OR(C96="Bilanzsumme",B96="Sub"),0,J95+E96)</f>
        <v>0</v>
      </c>
      <c r="M96">
        <f>Calc!A96</f>
        <v>0</v>
      </c>
      <c r="N96">
        <f>Calc!B96</f>
        <v>0</v>
      </c>
      <c r="O96">
        <f>Calc!C96</f>
        <v>0</v>
      </c>
      <c r="P96">
        <f>Calc!D96</f>
        <v>0</v>
      </c>
      <c r="Q96">
        <f>Calc!E96</f>
        <v>0</v>
      </c>
      <c r="R96">
        <f>Calc!F96</f>
        <v>0</v>
      </c>
      <c r="S96">
        <f>Calc!G96</f>
        <v>0</v>
      </c>
      <c r="U96">
        <f t="shared" ref="U96:U101" si="48">IF(V96="",U95+0.0001,ROUND(U95+1,0))</f>
        <v>23.005899999999986</v>
      </c>
      <c r="V96" t="str">
        <f t="shared" ref="V96:V101" si="49">IF(M96="Passivkonto",$AE$2,IF(M96="Aktivkonto",N96,""))</f>
        <v/>
      </c>
      <c r="W96" t="str">
        <f t="shared" si="43"/>
        <v/>
      </c>
      <c r="X96" s="70" t="str">
        <f t="shared" si="27"/>
        <v/>
      </c>
      <c r="Y96" t="str">
        <f t="shared" si="42"/>
        <v/>
      </c>
      <c r="AB96">
        <f t="shared" si="37"/>
        <v>90</v>
      </c>
      <c r="AC96" s="169" t="str">
        <f t="shared" si="29"/>
        <v/>
      </c>
      <c r="AD96" s="170" t="str">
        <f t="shared" si="30"/>
        <v/>
      </c>
      <c r="AE96" s="168" t="str">
        <f t="shared" si="31"/>
        <v/>
      </c>
      <c r="AF96" s="168" t="str">
        <f t="shared" si="32"/>
        <v/>
      </c>
      <c r="AG96" s="168"/>
      <c r="AH96" s="171" t="str">
        <f t="shared" si="33"/>
        <v/>
      </c>
      <c r="AI96" s="168" t="str">
        <f t="shared" si="34"/>
        <v/>
      </c>
      <c r="AK96" t="str">
        <f t="shared" si="38"/>
        <v/>
      </c>
    </row>
    <row r="97" spans="1:37" ht="16.5" customHeight="1" x14ac:dyDescent="0.3">
      <c r="A97" s="198">
        <f>Calc!AZ95</f>
        <v>45.006100000000202</v>
      </c>
      <c r="B97" s="199" t="str">
        <f>Calc!BA95</f>
        <v/>
      </c>
      <c r="C97" s="63" t="str">
        <f>Calc!BB95</f>
        <v/>
      </c>
      <c r="D97" s="64" t="str">
        <f>Calc!BC95</f>
        <v/>
      </c>
      <c r="E97" s="164">
        <f t="shared" si="44"/>
        <v>0</v>
      </c>
      <c r="F97" s="64" t="str">
        <f t="shared" si="45"/>
        <v/>
      </c>
      <c r="I97">
        <f t="shared" si="46"/>
        <v>0</v>
      </c>
      <c r="J97">
        <f t="shared" si="47"/>
        <v>0</v>
      </c>
      <c r="M97">
        <f>Calc!A97</f>
        <v>0</v>
      </c>
      <c r="N97">
        <f>Calc!B97</f>
        <v>0</v>
      </c>
      <c r="O97">
        <f>Calc!C97</f>
        <v>0</v>
      </c>
      <c r="P97">
        <f>Calc!D97</f>
        <v>0</v>
      </c>
      <c r="Q97">
        <f>Calc!E97</f>
        <v>0</v>
      </c>
      <c r="R97">
        <f>Calc!F97</f>
        <v>0</v>
      </c>
      <c r="S97">
        <f>Calc!G97</f>
        <v>0</v>
      </c>
      <c r="U97">
        <f t="shared" si="48"/>
        <v>23.005999999999986</v>
      </c>
      <c r="V97" t="str">
        <f t="shared" si="49"/>
        <v/>
      </c>
      <c r="W97" t="str">
        <f t="shared" si="43"/>
        <v/>
      </c>
      <c r="X97" s="70" t="str">
        <f t="shared" si="27"/>
        <v/>
      </c>
      <c r="Y97" t="str">
        <f t="shared" si="42"/>
        <v/>
      </c>
      <c r="AB97">
        <f t="shared" si="37"/>
        <v>91</v>
      </c>
      <c r="AC97" s="169" t="str">
        <f t="shared" si="29"/>
        <v/>
      </c>
      <c r="AD97" s="170" t="str">
        <f t="shared" si="30"/>
        <v/>
      </c>
      <c r="AE97" s="168" t="str">
        <f t="shared" si="31"/>
        <v/>
      </c>
      <c r="AF97" s="168" t="str">
        <f t="shared" si="32"/>
        <v/>
      </c>
      <c r="AG97" s="168"/>
      <c r="AH97" s="171" t="str">
        <f t="shared" si="33"/>
        <v/>
      </c>
      <c r="AI97" s="168" t="str">
        <f t="shared" si="34"/>
        <v/>
      </c>
      <c r="AK97" t="str">
        <f t="shared" si="38"/>
        <v/>
      </c>
    </row>
    <row r="98" spans="1:37" ht="16.5" customHeight="1" x14ac:dyDescent="0.3">
      <c r="A98" s="198">
        <f>Calc!AZ96</f>
        <v>45.006100000000202</v>
      </c>
      <c r="B98" s="199" t="str">
        <f>Calc!BA96</f>
        <v/>
      </c>
      <c r="C98" s="63" t="str">
        <f>Calc!BB96</f>
        <v/>
      </c>
      <c r="D98" s="64" t="str">
        <f>Calc!BC96</f>
        <v/>
      </c>
      <c r="E98" s="164">
        <f t="shared" si="44"/>
        <v>0</v>
      </c>
      <c r="F98" s="64" t="str">
        <f t="shared" si="45"/>
        <v/>
      </c>
      <c r="I98">
        <f t="shared" si="46"/>
        <v>0</v>
      </c>
      <c r="J98">
        <f t="shared" si="47"/>
        <v>0</v>
      </c>
      <c r="M98">
        <f>Calc!A98</f>
        <v>0</v>
      </c>
      <c r="N98">
        <f>Calc!B98</f>
        <v>0</v>
      </c>
      <c r="O98">
        <f>Calc!C98</f>
        <v>0</v>
      </c>
      <c r="P98">
        <f>Calc!D98</f>
        <v>0</v>
      </c>
      <c r="Q98">
        <f>Calc!E98</f>
        <v>0</v>
      </c>
      <c r="R98">
        <f>Calc!F98</f>
        <v>0</v>
      </c>
      <c r="S98">
        <f>Calc!G98</f>
        <v>0</v>
      </c>
      <c r="U98">
        <f t="shared" si="48"/>
        <v>23.006099999999986</v>
      </c>
      <c r="V98" t="str">
        <f t="shared" si="49"/>
        <v/>
      </c>
      <c r="W98" t="str">
        <f t="shared" si="43"/>
        <v/>
      </c>
      <c r="X98" s="70" t="str">
        <f t="shared" si="27"/>
        <v/>
      </c>
      <c r="Y98" t="str">
        <f t="shared" si="42"/>
        <v/>
      </c>
      <c r="AB98">
        <f t="shared" si="37"/>
        <v>92</v>
      </c>
      <c r="AC98" s="169" t="str">
        <f t="shared" si="29"/>
        <v/>
      </c>
      <c r="AD98" s="170" t="str">
        <f t="shared" si="30"/>
        <v/>
      </c>
      <c r="AE98" s="168" t="str">
        <f t="shared" si="31"/>
        <v/>
      </c>
      <c r="AF98" s="168" t="str">
        <f t="shared" si="32"/>
        <v/>
      </c>
      <c r="AG98" s="168"/>
      <c r="AH98" s="171" t="str">
        <f t="shared" si="33"/>
        <v/>
      </c>
      <c r="AI98" s="168" t="str">
        <f t="shared" si="34"/>
        <v/>
      </c>
      <c r="AK98" t="str">
        <f t="shared" si="38"/>
        <v/>
      </c>
    </row>
    <row r="99" spans="1:37" ht="16.5" customHeight="1" x14ac:dyDescent="0.3">
      <c r="A99" s="198">
        <f>Calc!AZ97</f>
        <v>45.006100000000202</v>
      </c>
      <c r="B99" s="199" t="str">
        <f>Calc!BA97</f>
        <v/>
      </c>
      <c r="C99" s="63" t="str">
        <f>Calc!BB97</f>
        <v/>
      </c>
      <c r="D99" s="64" t="str">
        <f>Calc!BC97</f>
        <v/>
      </c>
      <c r="E99" s="164">
        <f t="shared" si="44"/>
        <v>0</v>
      </c>
      <c r="F99" s="64" t="str">
        <f t="shared" si="45"/>
        <v/>
      </c>
      <c r="I99">
        <f t="shared" si="46"/>
        <v>0</v>
      </c>
      <c r="J99">
        <f t="shared" si="47"/>
        <v>0</v>
      </c>
      <c r="M99">
        <f>Calc!A99</f>
        <v>0</v>
      </c>
      <c r="N99">
        <f>Calc!B99</f>
        <v>0</v>
      </c>
      <c r="O99">
        <f>Calc!C99</f>
        <v>0</v>
      </c>
      <c r="P99">
        <f>Calc!D99</f>
        <v>0</v>
      </c>
      <c r="Q99">
        <f>Calc!E99</f>
        <v>0</v>
      </c>
      <c r="R99">
        <f>Calc!F99</f>
        <v>0</v>
      </c>
      <c r="S99">
        <f>Calc!G99</f>
        <v>0</v>
      </c>
      <c r="U99">
        <f t="shared" si="48"/>
        <v>23.006199999999986</v>
      </c>
      <c r="V99" t="str">
        <f t="shared" si="49"/>
        <v/>
      </c>
      <c r="W99" t="str">
        <f t="shared" si="43"/>
        <v/>
      </c>
      <c r="X99" s="70" t="str">
        <f t="shared" si="27"/>
        <v/>
      </c>
      <c r="Y99" t="str">
        <f t="shared" si="42"/>
        <v/>
      </c>
      <c r="AB99">
        <f t="shared" si="37"/>
        <v>93</v>
      </c>
      <c r="AC99" s="169" t="str">
        <f t="shared" si="29"/>
        <v/>
      </c>
      <c r="AD99" s="170" t="str">
        <f t="shared" si="30"/>
        <v/>
      </c>
      <c r="AE99" s="168" t="str">
        <f t="shared" si="31"/>
        <v/>
      </c>
      <c r="AF99" s="168" t="str">
        <f t="shared" si="32"/>
        <v/>
      </c>
      <c r="AG99" s="168"/>
      <c r="AH99" s="171" t="str">
        <f t="shared" si="33"/>
        <v/>
      </c>
      <c r="AI99" s="168" t="str">
        <f t="shared" si="34"/>
        <v/>
      </c>
      <c r="AK99" t="str">
        <f t="shared" si="38"/>
        <v/>
      </c>
    </row>
    <row r="100" spans="1:37" ht="16.5" customHeight="1" x14ac:dyDescent="0.3">
      <c r="A100" s="198">
        <f>Calc!AZ98</f>
        <v>45.006100000000202</v>
      </c>
      <c r="B100" s="199" t="str">
        <f>Calc!BA98</f>
        <v/>
      </c>
      <c r="C100" s="63" t="str">
        <f>Calc!BB98</f>
        <v/>
      </c>
      <c r="D100" s="64" t="str">
        <f>Calc!BC98</f>
        <v/>
      </c>
      <c r="E100" s="164">
        <f t="shared" si="44"/>
        <v>0</v>
      </c>
      <c r="F100" s="64" t="str">
        <f t="shared" si="45"/>
        <v/>
      </c>
      <c r="I100">
        <f t="shared" si="46"/>
        <v>0</v>
      </c>
      <c r="J100">
        <f t="shared" si="47"/>
        <v>0</v>
      </c>
      <c r="M100">
        <f>Calc!A100</f>
        <v>0</v>
      </c>
      <c r="N100">
        <f>Calc!B100</f>
        <v>0</v>
      </c>
      <c r="O100">
        <f>Calc!C100</f>
        <v>0</v>
      </c>
      <c r="P100">
        <f>Calc!D100</f>
        <v>0</v>
      </c>
      <c r="Q100">
        <f>Calc!E100</f>
        <v>0</v>
      </c>
      <c r="R100">
        <f>Calc!F100</f>
        <v>0</v>
      </c>
      <c r="S100">
        <f>Calc!G100</f>
        <v>0</v>
      </c>
      <c r="U100">
        <f t="shared" si="48"/>
        <v>23.006299999999985</v>
      </c>
      <c r="V100" t="str">
        <f t="shared" si="49"/>
        <v/>
      </c>
      <c r="W100" t="str">
        <f t="shared" si="43"/>
        <v/>
      </c>
      <c r="X100" s="70" t="str">
        <f t="shared" si="27"/>
        <v/>
      </c>
      <c r="Y100" t="str">
        <f t="shared" si="42"/>
        <v/>
      </c>
      <c r="AB100">
        <f t="shared" si="37"/>
        <v>94</v>
      </c>
      <c r="AC100" s="169" t="str">
        <f t="shared" si="29"/>
        <v/>
      </c>
      <c r="AD100" s="170" t="str">
        <f t="shared" si="30"/>
        <v/>
      </c>
      <c r="AE100" s="168" t="str">
        <f t="shared" si="31"/>
        <v/>
      </c>
      <c r="AF100" s="168" t="str">
        <f t="shared" si="32"/>
        <v/>
      </c>
      <c r="AG100" s="168"/>
      <c r="AH100" s="171" t="str">
        <f t="shared" si="33"/>
        <v/>
      </c>
      <c r="AI100" s="168" t="str">
        <f t="shared" si="34"/>
        <v/>
      </c>
      <c r="AK100" t="str">
        <f t="shared" si="38"/>
        <v/>
      </c>
    </row>
    <row r="101" spans="1:37" ht="16.5" customHeight="1" x14ac:dyDescent="0.3">
      <c r="A101" s="198">
        <f>Calc!AZ99</f>
        <v>45.006100000000202</v>
      </c>
      <c r="B101" s="199" t="str">
        <f>Calc!BA99</f>
        <v/>
      </c>
      <c r="C101" s="63" t="str">
        <f>Calc!BB99</f>
        <v/>
      </c>
      <c r="D101" s="64" t="str">
        <f>Calc!BC99</f>
        <v/>
      </c>
      <c r="E101" s="164">
        <f t="shared" si="44"/>
        <v>0</v>
      </c>
      <c r="F101" s="64" t="str">
        <f t="shared" si="45"/>
        <v/>
      </c>
      <c r="I101">
        <f t="shared" si="46"/>
        <v>0</v>
      </c>
      <c r="J101">
        <f t="shared" si="47"/>
        <v>0</v>
      </c>
      <c r="M101">
        <f>Calc!A101</f>
        <v>0</v>
      </c>
      <c r="N101">
        <f>Calc!B101</f>
        <v>0</v>
      </c>
      <c r="O101">
        <f>Calc!C101</f>
        <v>0</v>
      </c>
      <c r="P101">
        <f>Calc!D101</f>
        <v>0</v>
      </c>
      <c r="Q101">
        <f>Calc!E101</f>
        <v>0</v>
      </c>
      <c r="R101">
        <f>Calc!F101</f>
        <v>0</v>
      </c>
      <c r="S101">
        <f>Calc!G101</f>
        <v>0</v>
      </c>
      <c r="U101">
        <f t="shared" si="48"/>
        <v>23.006399999999985</v>
      </c>
      <c r="V101" t="str">
        <f t="shared" si="49"/>
        <v/>
      </c>
      <c r="W101" t="str">
        <f t="shared" si="43"/>
        <v/>
      </c>
      <c r="X101" s="70" t="str">
        <f t="shared" si="27"/>
        <v/>
      </c>
      <c r="Y101" t="str">
        <f t="shared" si="42"/>
        <v/>
      </c>
      <c r="AB101">
        <f t="shared" si="37"/>
        <v>95</v>
      </c>
      <c r="AC101" s="169" t="str">
        <f t="shared" si="29"/>
        <v/>
      </c>
      <c r="AD101" s="170" t="str">
        <f t="shared" si="30"/>
        <v/>
      </c>
      <c r="AE101" s="168" t="str">
        <f t="shared" si="31"/>
        <v/>
      </c>
      <c r="AF101" s="168" t="str">
        <f t="shared" si="32"/>
        <v/>
      </c>
      <c r="AG101" s="168"/>
      <c r="AH101" s="171" t="str">
        <f t="shared" si="33"/>
        <v/>
      </c>
      <c r="AI101" s="168" t="str">
        <f t="shared" si="34"/>
        <v/>
      </c>
      <c r="AK101" t="str">
        <f t="shared" si="38"/>
        <v/>
      </c>
    </row>
    <row r="102" spans="1:37" ht="15.5" customHeight="1" x14ac:dyDescent="0.3">
      <c r="A102" s="198"/>
      <c r="B102" s="199"/>
      <c r="C102" s="63"/>
      <c r="D102" s="64"/>
      <c r="E102" s="164"/>
      <c r="F102" s="64"/>
      <c r="X102" s="70"/>
      <c r="AC102" s="169"/>
      <c r="AD102" s="170"/>
      <c r="AE102" s="168"/>
      <c r="AF102" s="168"/>
      <c r="AG102" s="168"/>
      <c r="AH102" s="171"/>
      <c r="AI102" s="168"/>
    </row>
    <row r="103" spans="1:37" ht="15.5" customHeight="1" x14ac:dyDescent="0.3">
      <c r="A103" s="198"/>
      <c r="B103" s="199"/>
      <c r="C103" s="63"/>
      <c r="D103" s="64"/>
      <c r="E103" s="164"/>
      <c r="F103" s="64"/>
      <c r="X103" s="70"/>
      <c r="AC103" s="169"/>
      <c r="AD103" s="170"/>
      <c r="AE103" s="168"/>
      <c r="AF103" s="168"/>
      <c r="AG103" s="168"/>
      <c r="AH103" s="171"/>
      <c r="AI103" s="168"/>
    </row>
    <row r="104" spans="1:37" ht="15.5" customHeight="1" x14ac:dyDescent="0.3">
      <c r="A104" s="198"/>
      <c r="B104" s="199"/>
      <c r="C104" s="63"/>
      <c r="D104" s="64"/>
      <c r="E104" s="164"/>
      <c r="F104" s="64"/>
      <c r="X104" s="70"/>
      <c r="AC104" s="169"/>
      <c r="AD104" s="170"/>
      <c r="AE104" s="168"/>
      <c r="AF104" s="168"/>
      <c r="AG104" s="168"/>
      <c r="AH104" s="171"/>
      <c r="AI104" s="168"/>
    </row>
    <row r="105" spans="1:37" ht="15.5" customHeight="1" x14ac:dyDescent="0.3">
      <c r="A105" s="198"/>
      <c r="B105" s="199"/>
      <c r="C105" s="63"/>
      <c r="D105" s="64"/>
      <c r="E105" s="164"/>
      <c r="F105" s="64"/>
      <c r="X105" s="70"/>
      <c r="AC105" s="169"/>
      <c r="AD105" s="170"/>
      <c r="AE105" s="168"/>
      <c r="AF105" s="168"/>
      <c r="AG105" s="168"/>
      <c r="AH105" s="171"/>
      <c r="AI105" s="168"/>
    </row>
    <row r="106" spans="1:37" ht="15.5" customHeight="1" x14ac:dyDescent="0.3">
      <c r="A106" s="198"/>
      <c r="B106" s="199"/>
      <c r="C106" s="63"/>
      <c r="D106" s="64"/>
      <c r="E106" s="164"/>
      <c r="F106" s="64"/>
      <c r="X106" s="70"/>
      <c r="AC106" s="169"/>
      <c r="AD106" s="170"/>
      <c r="AE106" s="168"/>
      <c r="AF106" s="168"/>
      <c r="AG106" s="168"/>
      <c r="AH106" s="171"/>
      <c r="AI106" s="168"/>
    </row>
    <row r="107" spans="1:37" ht="15.5" customHeight="1" x14ac:dyDescent="0.3">
      <c r="A107" s="198"/>
      <c r="B107" s="199"/>
      <c r="C107" s="63"/>
      <c r="D107" s="64"/>
      <c r="E107" s="164"/>
      <c r="F107" s="64"/>
      <c r="X107" s="70"/>
      <c r="AC107" s="169"/>
      <c r="AD107" s="170"/>
      <c r="AE107" s="168"/>
      <c r="AF107" s="168"/>
      <c r="AG107" s="168"/>
      <c r="AH107" s="171"/>
      <c r="AI107" s="168"/>
    </row>
    <row r="108" spans="1:37" ht="15.5" customHeight="1" x14ac:dyDescent="0.3">
      <c r="A108" s="198"/>
      <c r="B108" s="199"/>
      <c r="C108" s="63"/>
      <c r="D108" s="64"/>
      <c r="E108" s="164"/>
      <c r="F108" s="64"/>
      <c r="X108" s="70"/>
      <c r="AC108" s="169"/>
      <c r="AD108" s="170"/>
      <c r="AE108" s="168"/>
      <c r="AF108" s="168"/>
      <c r="AG108" s="168"/>
      <c r="AH108" s="171"/>
      <c r="AI108" s="168"/>
    </row>
    <row r="109" spans="1:37" ht="15.5" customHeight="1" x14ac:dyDescent="0.3">
      <c r="A109" s="198"/>
      <c r="B109" s="199"/>
      <c r="C109" s="63"/>
      <c r="D109" s="64"/>
      <c r="E109" s="164"/>
      <c r="F109" s="64"/>
      <c r="X109" s="70"/>
      <c r="AC109" s="169"/>
      <c r="AD109" s="170"/>
      <c r="AE109" s="168"/>
      <c r="AF109" s="168"/>
      <c r="AG109" s="168"/>
      <c r="AH109" s="171"/>
      <c r="AI109" s="168"/>
    </row>
    <row r="110" spans="1:37" ht="15.5" customHeight="1" x14ac:dyDescent="0.3">
      <c r="A110" s="198"/>
      <c r="B110" s="199"/>
      <c r="C110" s="63"/>
      <c r="D110" s="64"/>
      <c r="E110" s="164"/>
      <c r="F110" s="64"/>
      <c r="X110" s="70"/>
      <c r="AC110" s="169"/>
      <c r="AD110" s="170"/>
      <c r="AE110" s="168"/>
      <c r="AF110" s="168"/>
      <c r="AG110" s="168"/>
      <c r="AH110" s="171"/>
      <c r="AI110" s="168"/>
    </row>
    <row r="111" spans="1:37" ht="15.5" customHeight="1" x14ac:dyDescent="0.3">
      <c r="A111" s="198"/>
      <c r="B111" s="199"/>
      <c r="C111" s="63"/>
      <c r="D111" s="64"/>
      <c r="E111" s="164"/>
      <c r="F111" s="64"/>
      <c r="X111" s="70"/>
      <c r="AC111" s="169"/>
      <c r="AD111" s="170"/>
      <c r="AE111" s="168"/>
      <c r="AF111" s="168"/>
      <c r="AG111" s="168"/>
      <c r="AH111" s="171"/>
      <c r="AI111" s="168"/>
    </row>
    <row r="112" spans="1:37" ht="15.5" customHeight="1" x14ac:dyDescent="0.3">
      <c r="A112" s="198"/>
      <c r="B112" s="199"/>
      <c r="C112" s="63"/>
      <c r="D112" s="64"/>
      <c r="E112" s="164"/>
      <c r="F112" s="64"/>
      <c r="X112" s="70"/>
      <c r="AC112" s="169"/>
      <c r="AD112" s="170"/>
      <c r="AE112" s="168"/>
      <c r="AF112" s="168"/>
      <c r="AG112" s="168"/>
      <c r="AH112" s="171"/>
      <c r="AI112" s="168"/>
    </row>
    <row r="113" spans="1:35" ht="15.5" customHeight="1" x14ac:dyDescent="0.3">
      <c r="A113" s="198"/>
      <c r="B113" s="199"/>
      <c r="C113" s="63"/>
      <c r="D113" s="64"/>
      <c r="E113" s="164"/>
      <c r="F113" s="64"/>
      <c r="X113" s="70"/>
      <c r="AC113" s="169"/>
      <c r="AD113" s="170"/>
      <c r="AE113" s="168"/>
      <c r="AF113" s="168"/>
      <c r="AG113" s="168"/>
      <c r="AH113" s="171"/>
      <c r="AI113" s="168"/>
    </row>
    <row r="114" spans="1:35" ht="15.5" customHeight="1" x14ac:dyDescent="0.3">
      <c r="A114" s="198"/>
      <c r="B114" s="199"/>
      <c r="C114" s="63"/>
      <c r="D114" s="64"/>
      <c r="E114" s="164"/>
      <c r="F114" s="64"/>
      <c r="X114" s="70"/>
      <c r="AC114" s="169"/>
      <c r="AD114" s="170"/>
      <c r="AE114" s="168"/>
      <c r="AF114" s="168"/>
      <c r="AG114" s="168"/>
      <c r="AH114" s="171"/>
      <c r="AI114" s="168"/>
    </row>
    <row r="115" spans="1:35" ht="15.5" customHeight="1" x14ac:dyDescent="0.3">
      <c r="A115" s="198"/>
      <c r="B115" s="199"/>
      <c r="C115" s="63"/>
      <c r="D115" s="64"/>
      <c r="E115" s="164"/>
      <c r="F115" s="64"/>
      <c r="X115" s="70"/>
      <c r="AC115" s="169"/>
      <c r="AD115" s="170"/>
      <c r="AE115" s="168"/>
      <c r="AF115" s="168"/>
      <c r="AG115" s="168"/>
      <c r="AH115" s="171"/>
      <c r="AI115" s="168"/>
    </row>
    <row r="116" spans="1:35" ht="15.5" customHeight="1" x14ac:dyDescent="0.3">
      <c r="A116" s="198"/>
      <c r="B116" s="199"/>
      <c r="C116" s="63"/>
      <c r="D116" s="64"/>
      <c r="E116" s="164"/>
      <c r="F116" s="64"/>
      <c r="X116" s="70"/>
      <c r="AC116" s="169"/>
      <c r="AD116" s="170"/>
      <c r="AE116" s="168"/>
      <c r="AF116" s="168"/>
      <c r="AG116" s="168"/>
      <c r="AH116" s="171"/>
      <c r="AI116" s="168"/>
    </row>
    <row r="117" spans="1:35" ht="15.5" customHeight="1" x14ac:dyDescent="0.3">
      <c r="A117" s="198"/>
      <c r="B117" s="199"/>
      <c r="C117" s="63"/>
      <c r="D117" s="64"/>
      <c r="E117" s="164"/>
      <c r="F117" s="64"/>
      <c r="X117" s="70"/>
      <c r="AC117" s="169"/>
      <c r="AD117" s="170"/>
      <c r="AE117" s="168"/>
      <c r="AF117" s="168"/>
      <c r="AG117" s="168"/>
      <c r="AH117" s="171"/>
      <c r="AI117" s="168"/>
    </row>
    <row r="118" spans="1:35" ht="15.5" customHeight="1" x14ac:dyDescent="0.3">
      <c r="A118" s="198"/>
      <c r="B118" s="199"/>
      <c r="C118" s="63"/>
      <c r="D118" s="64"/>
      <c r="E118" s="164"/>
      <c r="F118" s="64"/>
      <c r="X118" s="70"/>
      <c r="AC118" s="169"/>
      <c r="AD118" s="170"/>
      <c r="AE118" s="168"/>
      <c r="AF118" s="168"/>
      <c r="AG118" s="168"/>
      <c r="AH118" s="171"/>
      <c r="AI118" s="168"/>
    </row>
    <row r="119" spans="1:35" ht="15.5" customHeight="1" x14ac:dyDescent="0.3">
      <c r="A119" s="198"/>
      <c r="B119" s="199"/>
      <c r="C119" s="63"/>
      <c r="D119" s="64"/>
      <c r="E119" s="164"/>
      <c r="F119" s="64"/>
      <c r="X119" s="70"/>
      <c r="AC119" s="169"/>
      <c r="AD119" s="170"/>
      <c r="AE119" s="168"/>
      <c r="AF119" s="168"/>
      <c r="AG119" s="168"/>
      <c r="AH119" s="171"/>
      <c r="AI119" s="168"/>
    </row>
    <row r="120" spans="1:35" x14ac:dyDescent="0.25">
      <c r="O120" s="13"/>
    </row>
    <row r="121" spans="1:35" x14ac:dyDescent="0.25">
      <c r="O121" s="13"/>
    </row>
    <row r="122" spans="1:35" x14ac:dyDescent="0.25">
      <c r="O122" s="13"/>
    </row>
    <row r="123" spans="1:35" x14ac:dyDescent="0.25">
      <c r="O123" s="13"/>
    </row>
    <row r="124" spans="1:35" x14ac:dyDescent="0.25">
      <c r="O124" s="13"/>
    </row>
    <row r="125" spans="1:35" x14ac:dyDescent="0.25">
      <c r="O125" s="13"/>
    </row>
    <row r="126" spans="1:35" x14ac:dyDescent="0.25">
      <c r="O126" s="13"/>
    </row>
    <row r="127" spans="1:35" x14ac:dyDescent="0.25">
      <c r="O127" s="13"/>
    </row>
    <row r="128" spans="1:35" x14ac:dyDescent="0.25">
      <c r="O128" s="13"/>
    </row>
    <row r="129" spans="15:15" x14ac:dyDescent="0.25">
      <c r="O129" s="13"/>
    </row>
    <row r="130" spans="15:15" x14ac:dyDescent="0.25">
      <c r="O130" s="13"/>
    </row>
    <row r="131" spans="15:15" x14ac:dyDescent="0.25">
      <c r="O131" s="13"/>
    </row>
    <row r="132" spans="15:15" x14ac:dyDescent="0.25">
      <c r="O132" s="13"/>
    </row>
    <row r="133" spans="15:15" x14ac:dyDescent="0.25">
      <c r="O133" s="13"/>
    </row>
    <row r="134" spans="15:15" x14ac:dyDescent="0.25">
      <c r="O134" s="13"/>
    </row>
    <row r="135" spans="15:15" x14ac:dyDescent="0.25">
      <c r="O135" s="13"/>
    </row>
    <row r="136" spans="15:15" x14ac:dyDescent="0.25">
      <c r="O136" s="13"/>
    </row>
    <row r="137" spans="15:15" x14ac:dyDescent="0.25">
      <c r="O137" s="13"/>
    </row>
    <row r="138" spans="15:15" x14ac:dyDescent="0.25">
      <c r="O138" s="13"/>
    </row>
    <row r="139" spans="15:15" x14ac:dyDescent="0.25">
      <c r="O139" s="13"/>
    </row>
    <row r="140" spans="15:15" x14ac:dyDescent="0.25">
      <c r="O140" s="13"/>
    </row>
    <row r="141" spans="15:15" x14ac:dyDescent="0.25">
      <c r="O141" s="13"/>
    </row>
    <row r="142" spans="15:15" x14ac:dyDescent="0.25">
      <c r="O142" s="13"/>
    </row>
    <row r="143" spans="15:15" x14ac:dyDescent="0.25">
      <c r="O143" s="13"/>
    </row>
    <row r="144" spans="15:15" x14ac:dyDescent="0.25">
      <c r="O144" s="13"/>
    </row>
    <row r="145" spans="15:15" x14ac:dyDescent="0.25">
      <c r="O145" s="13"/>
    </row>
    <row r="146" spans="15:15" x14ac:dyDescent="0.25">
      <c r="O146" s="13"/>
    </row>
    <row r="147" spans="15:15" x14ac:dyDescent="0.25">
      <c r="O147" s="13"/>
    </row>
    <row r="148" spans="15:15" x14ac:dyDescent="0.25">
      <c r="O148" s="13"/>
    </row>
    <row r="149" spans="15:15" x14ac:dyDescent="0.25">
      <c r="O149" s="13"/>
    </row>
    <row r="150" spans="15:15" x14ac:dyDescent="0.25">
      <c r="O150" s="13"/>
    </row>
    <row r="151" spans="15:15" x14ac:dyDescent="0.25">
      <c r="O151" s="13"/>
    </row>
    <row r="152" spans="15:15" x14ac:dyDescent="0.25">
      <c r="O152" s="13"/>
    </row>
    <row r="153" spans="15:15" x14ac:dyDescent="0.25">
      <c r="O153" s="13"/>
    </row>
    <row r="154" spans="15:15" x14ac:dyDescent="0.25">
      <c r="O154" s="13"/>
    </row>
    <row r="155" spans="15:15" x14ac:dyDescent="0.25">
      <c r="O155" s="13"/>
    </row>
  </sheetData>
  <sheetProtection sheet="1" formatCells="0" formatColumns="0" formatRows="0" insertColumns="0" insertHyperlinks="0"/>
  <mergeCells count="11">
    <mergeCell ref="AI3:AI4"/>
    <mergeCell ref="C1:D1"/>
    <mergeCell ref="P6:Q6"/>
    <mergeCell ref="R6:S6"/>
    <mergeCell ref="AC1:AI1"/>
    <mergeCell ref="AC2:AD2"/>
    <mergeCell ref="AG2:AH2"/>
    <mergeCell ref="AC3:AC4"/>
    <mergeCell ref="AD3:AD4"/>
    <mergeCell ref="AE3:AF3"/>
    <mergeCell ref="AH3:AH4"/>
  </mergeCells>
  <conditionalFormatting sqref="C3">
    <cfRule type="cellIs" dxfId="41" priority="1" operator="equal">
      <formula>"Bitte Journal auf Fehlermeldungen prüfen."</formula>
    </cfRule>
  </conditionalFormatting>
  <conditionalFormatting sqref="C8:C119">
    <cfRule type="expression" dxfId="40" priority="4">
      <formula>$B8="T_B"</formula>
    </cfRule>
  </conditionalFormatting>
  <conditionalFormatting sqref="C6:F20 E9:E101">
    <cfRule type="expression" dxfId="39" priority="8">
      <formula>$C6="AKTIVEN"</formula>
    </cfRule>
  </conditionalFormatting>
  <conditionalFormatting sqref="C6:F119">
    <cfRule type="expression" dxfId="38" priority="3">
      <formula>$C6="PASSIVEN"</formula>
    </cfRule>
  </conditionalFormatting>
  <conditionalFormatting sqref="C8:F119">
    <cfRule type="expression" dxfId="37" priority="5">
      <formula>$C8="Bilanzsumme"</formula>
    </cfRule>
    <cfRule type="expression" dxfId="36" priority="6">
      <formula>$C8="Gewinn"</formula>
    </cfRule>
    <cfRule type="expression" dxfId="35" priority="7">
      <formula>$C8="Verlust"</formula>
    </cfRule>
    <cfRule type="expression" dxfId="34" priority="9">
      <formula>$B8="Sub"</formula>
    </cfRule>
  </conditionalFormatting>
  <conditionalFormatting sqref="E8:E119">
    <cfRule type="expression" dxfId="33" priority="2">
      <formula>$B8="T_B"</formula>
    </cfRule>
    <cfRule type="expression" dxfId="32" priority="10">
      <formula>$C8=""</formula>
    </cfRule>
  </conditionalFormatting>
  <pageMargins left="0.59055118110236227" right="0.59055118110236227" top="0.39370078740157483" bottom="0.59055118110236227" header="0.51181102362204722" footer="0.31496062992125984"/>
  <pageSetup paperSize="9" scale="78" fitToHeight="0" orientation="portrait" r:id="rId1"/>
  <headerFooter alignWithMargins="0">
    <oddFooter>&amp;L&amp;8Ausdruck vom &amp;D, &amp;T&amp;C&amp;8vereinsbuchhaltung.ch&amp;R&amp;8Seite &amp;P/&amp;N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792F5-E820-41C3-A259-55D2F0658F93}">
  <sheetPr>
    <pageSetUpPr fitToPage="1"/>
  </sheetPr>
  <dimension ref="A1:Z101"/>
  <sheetViews>
    <sheetView zoomScale="95" workbookViewId="0">
      <pane ySplit="5" topLeftCell="A6" activePane="bottomLeft" state="frozen"/>
      <selection pane="bottomLeft" activeCell="C3" sqref="C3:I3"/>
    </sheetView>
  </sheetViews>
  <sheetFormatPr baseColWidth="10" defaultRowHeight="12.5" x14ac:dyDescent="0.25"/>
  <cols>
    <col min="1" max="1" width="7.6328125" hidden="1" customWidth="1"/>
    <col min="2" max="2" width="6.453125" hidden="1" customWidth="1"/>
    <col min="3" max="3" width="64.7265625" customWidth="1"/>
    <col min="4" max="9" width="14.36328125" customWidth="1"/>
    <col min="10" max="10" width="4.453125" customWidth="1"/>
    <col min="11" max="11" width="14" customWidth="1"/>
    <col min="12" max="17" width="14" hidden="1" customWidth="1"/>
    <col min="18" max="26" width="10.90625" hidden="1" customWidth="1"/>
    <col min="27" max="28" width="10.90625" customWidth="1"/>
  </cols>
  <sheetData>
    <row r="1" spans="1:26" ht="68" customHeight="1" x14ac:dyDescent="0.25">
      <c r="A1" s="302" t="s">
        <v>219</v>
      </c>
      <c r="B1" s="303"/>
      <c r="C1" s="303"/>
      <c r="D1" s="303"/>
      <c r="E1" s="303"/>
      <c r="F1" s="303"/>
      <c r="G1" s="303"/>
      <c r="H1" s="303"/>
      <c r="I1" s="303"/>
      <c r="J1" s="303"/>
    </row>
    <row r="2" spans="1:26" ht="52.5" customHeight="1" x14ac:dyDescent="0.25">
      <c r="A2" s="303"/>
      <c r="B2" s="303"/>
      <c r="C2" s="303"/>
      <c r="D2" s="303"/>
      <c r="E2" s="303"/>
      <c r="F2" s="303"/>
      <c r="G2" s="303"/>
      <c r="H2" s="303"/>
      <c r="I2" s="303"/>
      <c r="J2" s="303"/>
      <c r="M2">
        <v>1</v>
      </c>
      <c r="N2">
        <v>1.2</v>
      </c>
      <c r="P2" t="e">
        <f>RIGHT(E5,1)*1+1</f>
        <v>#VALUE!</v>
      </c>
    </row>
    <row r="3" spans="1:26" ht="31.5" customHeight="1" x14ac:dyDescent="0.25">
      <c r="A3" s="187"/>
      <c r="B3" s="101"/>
      <c r="C3" s="305" t="str">
        <f>IF(R12&lt;&gt;"Status ok","Bitte Journal auf Fehlermeldungen prüfen.",IF(Calc!J2="",R7,CONCATENATE(Journal!D1,": Erfolgsrechnung und Budget")))</f>
        <v>Bitte Vereins-/Firmennamen im Register Journal eingeben</v>
      </c>
      <c r="D3" s="305"/>
      <c r="E3" s="305"/>
      <c r="F3" s="305"/>
      <c r="G3" s="305"/>
      <c r="H3" s="305"/>
      <c r="I3" s="306"/>
      <c r="M3">
        <v>2</v>
      </c>
      <c r="N3">
        <v>2.2000000000000002</v>
      </c>
      <c r="P3">
        <f>LEN(E5)</f>
        <v>11</v>
      </c>
    </row>
    <row r="4" spans="1:26" ht="14" x14ac:dyDescent="0.25">
      <c r="A4" s="191"/>
      <c r="B4" s="191"/>
      <c r="C4" s="304"/>
      <c r="D4" s="304"/>
      <c r="E4" s="304"/>
      <c r="F4" s="304"/>
      <c r="G4" s="304"/>
      <c r="H4" s="304"/>
      <c r="I4" s="248"/>
      <c r="M4">
        <v>3</v>
      </c>
      <c r="N4">
        <v>3.2</v>
      </c>
    </row>
    <row r="5" spans="1:26" s="1" customFormat="1" ht="30.75" customHeight="1" x14ac:dyDescent="0.25">
      <c r="A5" s="99" t="s">
        <v>157</v>
      </c>
      <c r="B5" s="99" t="s">
        <v>158</v>
      </c>
      <c r="C5" s="192" t="s">
        <v>160</v>
      </c>
      <c r="D5" s="100" t="str">
        <f>CONCATENATE("Ist ",Journal!D2)</f>
        <v>Ist 20XX</v>
      </c>
      <c r="E5" s="240" t="str">
        <f>CONCATENATE("Budget ",Journal!D2)</f>
        <v>Budget 20XX</v>
      </c>
      <c r="F5" s="243" t="str">
        <f>CONCATENATE("+/- ",E5)</f>
        <v>+/- Budget 20XX</v>
      </c>
      <c r="G5" s="246" t="s">
        <v>83</v>
      </c>
      <c r="H5" s="190" t="str">
        <f>CONCATENATE("+/- ",G5)</f>
        <v>+/- Ist Vorjahr</v>
      </c>
      <c r="I5" s="249" t="e">
        <f>P5</f>
        <v>#VALUE!</v>
      </c>
      <c r="J5"/>
      <c r="L5" s="1" t="str">
        <f>CONCATENATE("Subtotal ",E5)</f>
        <v>Subtotal Budget 20XX</v>
      </c>
      <c r="M5" s="1">
        <v>4</v>
      </c>
      <c r="N5" s="1">
        <v>4.2</v>
      </c>
      <c r="O5" s="1" t="str">
        <f>CONCATENATE("Subtotal ",G5)</f>
        <v>Subtotal Ist Vorjahr</v>
      </c>
      <c r="P5" s="1" t="e">
        <f>CONCATENATE(LEFT(E5,P3-1),P2)</f>
        <v>#VALUE!</v>
      </c>
      <c r="Y5"/>
      <c r="Z5"/>
    </row>
    <row r="6" spans="1:26" ht="14.25" customHeight="1" x14ac:dyDescent="0.3">
      <c r="E6" s="241"/>
      <c r="F6" s="244"/>
      <c r="G6" s="247"/>
      <c r="H6" s="141"/>
      <c r="I6" s="241"/>
      <c r="M6">
        <v>5</v>
      </c>
      <c r="N6">
        <v>5.2</v>
      </c>
      <c r="R6" s="13" t="s">
        <v>39</v>
      </c>
    </row>
    <row r="7" spans="1:26" ht="15.5" customHeight="1" x14ac:dyDescent="0.3">
      <c r="A7" s="189">
        <f>Calc!AJ7</f>
        <v>1</v>
      </c>
      <c r="B7" s="189" t="str">
        <f>Calc!AK7</f>
        <v>T_ER</v>
      </c>
      <c r="C7" s="189" t="str">
        <f>Calc!AL7</f>
        <v xml:space="preserve">Aufwände für Auftritte </v>
      </c>
      <c r="D7" s="239" t="str">
        <f>Calc!AM7</f>
        <v/>
      </c>
      <c r="E7" s="242">
        <f t="shared" ref="E7:E38" si="0">IF($B7="Sub",L6,0)</f>
        <v>0</v>
      </c>
      <c r="F7" s="245" t="str">
        <f>IF(D7="","",D7-E7)</f>
        <v/>
      </c>
      <c r="G7" s="242">
        <f t="shared" ref="G7:G38" si="1">IF($B7="Sub",O6,0)</f>
        <v>0</v>
      </c>
      <c r="H7" s="64" t="str">
        <f>IF(F7="","",D7-G7)</f>
        <v/>
      </c>
      <c r="I7" s="242"/>
      <c r="L7">
        <f t="shared" ref="L7:L38" si="2">IF(B7="Sub",0,L6+E7)</f>
        <v>0</v>
      </c>
      <c r="M7">
        <v>6</v>
      </c>
      <c r="N7">
        <v>6.2</v>
      </c>
      <c r="O7">
        <f t="shared" ref="O7:O38" si="3">IF(B7="Sub",0,O6+G7)</f>
        <v>0</v>
      </c>
      <c r="P7">
        <f>IF(B7="Sub",0,P6+I7)</f>
        <v>0</v>
      </c>
      <c r="R7" s="13" t="s">
        <v>42</v>
      </c>
    </row>
    <row r="8" spans="1:26" ht="15.5" customHeight="1" x14ac:dyDescent="0.3">
      <c r="A8" s="189">
        <f>Calc!AJ8</f>
        <v>2</v>
      </c>
      <c r="B8" s="189" t="str">
        <f>Calc!AK8</f>
        <v/>
      </c>
      <c r="C8" s="189" t="str">
        <f>Calc!AL8</f>
        <v>3000 Aufwände für Zuzüger</v>
      </c>
      <c r="D8" s="239">
        <f>Calc!AM8</f>
        <v>0</v>
      </c>
      <c r="E8" s="242">
        <f t="shared" si="0"/>
        <v>0</v>
      </c>
      <c r="F8" s="245">
        <f>IF(D8="","",D8-E8)</f>
        <v>0</v>
      </c>
      <c r="G8" s="242">
        <f t="shared" si="1"/>
        <v>0</v>
      </c>
      <c r="H8" s="64">
        <f>IF(F8="","",D8-G8)</f>
        <v>0</v>
      </c>
      <c r="I8" s="242">
        <f t="shared" ref="I8:I9" si="4">IF($B8="Sub",P7,0)</f>
        <v>0</v>
      </c>
      <c r="L8">
        <f t="shared" si="2"/>
        <v>0</v>
      </c>
      <c r="M8">
        <v>7</v>
      </c>
      <c r="N8">
        <v>7.2</v>
      </c>
      <c r="O8">
        <f t="shared" si="3"/>
        <v>0</v>
      </c>
      <c r="P8">
        <f t="shared" ref="P8:P71" si="5">IF(B8="Sub",0,P7+I8)</f>
        <v>0</v>
      </c>
      <c r="R8" t="s">
        <v>209</v>
      </c>
    </row>
    <row r="9" spans="1:26" ht="15.5" customHeight="1" x14ac:dyDescent="0.3">
      <c r="A9" s="189">
        <f>Calc!AJ9</f>
        <v>3</v>
      </c>
      <c r="B9" s="189" t="str">
        <f>Calc!AK9</f>
        <v/>
      </c>
      <c r="C9" s="189" t="str">
        <f>Calc!AL9</f>
        <v>3100 Werbeaufwand Auftritte</v>
      </c>
      <c r="D9" s="239">
        <f>Calc!AM9</f>
        <v>0</v>
      </c>
      <c r="E9" s="242">
        <f t="shared" si="0"/>
        <v>0</v>
      </c>
      <c r="F9" s="245">
        <f t="shared" ref="F9:F71" si="6">IF(D9="","",D9-E9)</f>
        <v>0</v>
      </c>
      <c r="G9" s="242">
        <f t="shared" si="1"/>
        <v>0</v>
      </c>
      <c r="H9" s="64">
        <f t="shared" ref="H9:H72" si="7">IF(F9="","",D9-G9)</f>
        <v>0</v>
      </c>
      <c r="I9" s="242">
        <f t="shared" si="4"/>
        <v>0</v>
      </c>
      <c r="L9">
        <f t="shared" si="2"/>
        <v>0</v>
      </c>
      <c r="M9">
        <v>8</v>
      </c>
      <c r="N9">
        <v>8.1999999999999993</v>
      </c>
      <c r="O9">
        <f t="shared" si="3"/>
        <v>0</v>
      </c>
      <c r="P9">
        <f t="shared" si="5"/>
        <v>0</v>
      </c>
    </row>
    <row r="10" spans="1:26" ht="15.5" customHeight="1" x14ac:dyDescent="0.3">
      <c r="A10" s="189">
        <f>Calc!AJ10</f>
        <v>4</v>
      </c>
      <c r="B10" s="189" t="str">
        <f>Calc!AK10</f>
        <v/>
      </c>
      <c r="C10" s="189" t="str">
        <f>Calc!AL10</f>
        <v>3200 Einkauf für Auftritt</v>
      </c>
      <c r="D10" s="239">
        <f>Calc!AM10</f>
        <v>0</v>
      </c>
      <c r="E10" s="242">
        <f t="shared" si="0"/>
        <v>0</v>
      </c>
      <c r="F10" s="245">
        <f t="shared" si="6"/>
        <v>0</v>
      </c>
      <c r="G10" s="242">
        <f t="shared" si="1"/>
        <v>0</v>
      </c>
      <c r="H10" s="64">
        <f t="shared" si="7"/>
        <v>0</v>
      </c>
      <c r="I10" s="242">
        <f>IF($B10="Sub",P9,0)</f>
        <v>0</v>
      </c>
      <c r="L10">
        <f t="shared" si="2"/>
        <v>0</v>
      </c>
      <c r="M10">
        <v>9</v>
      </c>
      <c r="N10">
        <v>9.1999999999999993</v>
      </c>
      <c r="O10">
        <f t="shared" si="3"/>
        <v>0</v>
      </c>
      <c r="P10">
        <f>IF(B10="Sub",0,P9+I10)</f>
        <v>0</v>
      </c>
    </row>
    <row r="11" spans="1:26" ht="15.5" customHeight="1" x14ac:dyDescent="0.3">
      <c r="A11" s="189">
        <f>Calc!AJ11</f>
        <v>5</v>
      </c>
      <c r="B11" s="189" t="str">
        <f>Calc!AK11</f>
        <v/>
      </c>
      <c r="C11" s="189" t="str">
        <f>Calc!AL11</f>
        <v>3300 Spesen für Auftritt</v>
      </c>
      <c r="D11" s="239">
        <f>Calc!AM11</f>
        <v>0</v>
      </c>
      <c r="E11" s="242">
        <f t="shared" si="0"/>
        <v>0</v>
      </c>
      <c r="F11" s="245">
        <f t="shared" si="6"/>
        <v>0</v>
      </c>
      <c r="G11" s="242">
        <f t="shared" si="1"/>
        <v>0</v>
      </c>
      <c r="H11" s="64">
        <f t="shared" si="7"/>
        <v>0</v>
      </c>
      <c r="I11" s="242">
        <f t="shared" ref="I11:I74" si="8">IF($B11="Sub",P10,0)</f>
        <v>0</v>
      </c>
      <c r="L11">
        <f t="shared" si="2"/>
        <v>0</v>
      </c>
      <c r="M11" s="1">
        <v>10</v>
      </c>
      <c r="N11" s="1">
        <v>10.199999999999999</v>
      </c>
      <c r="O11">
        <f t="shared" si="3"/>
        <v>0</v>
      </c>
      <c r="P11">
        <f t="shared" si="5"/>
        <v>0</v>
      </c>
    </row>
    <row r="12" spans="1:26" ht="15.5" customHeight="1" x14ac:dyDescent="0.3">
      <c r="A12" s="189">
        <f>Calc!AJ12</f>
        <v>6</v>
      </c>
      <c r="B12" s="189" t="str">
        <f>Calc!AK12</f>
        <v/>
      </c>
      <c r="C12" s="189" t="str">
        <f>Calc!AL12</f>
        <v>3400 div. Aufwände Konzerte</v>
      </c>
      <c r="D12" s="239">
        <f>Calc!AM12</f>
        <v>0</v>
      </c>
      <c r="E12" s="242">
        <f t="shared" si="0"/>
        <v>0</v>
      </c>
      <c r="F12" s="245">
        <f t="shared" si="6"/>
        <v>0</v>
      </c>
      <c r="G12" s="242">
        <f t="shared" si="1"/>
        <v>0</v>
      </c>
      <c r="H12" s="64">
        <f t="shared" si="7"/>
        <v>0</v>
      </c>
      <c r="I12" s="242">
        <f t="shared" si="8"/>
        <v>0</v>
      </c>
      <c r="L12">
        <f t="shared" si="2"/>
        <v>0</v>
      </c>
      <c r="M12">
        <v>11</v>
      </c>
      <c r="N12">
        <v>11.2</v>
      </c>
      <c r="O12">
        <f t="shared" si="3"/>
        <v>0</v>
      </c>
      <c r="P12">
        <f t="shared" si="5"/>
        <v>0</v>
      </c>
      <c r="R12" s="188" t="str">
        <f>Calc!M1</f>
        <v>Status ok</v>
      </c>
    </row>
    <row r="13" spans="1:26" ht="15.5" customHeight="1" x14ac:dyDescent="0.3">
      <c r="A13" s="189">
        <f>Calc!AJ13</f>
        <v>6</v>
      </c>
      <c r="B13" s="189" t="str">
        <f>Calc!AK13</f>
        <v>Sub</v>
      </c>
      <c r="C13" s="189" t="str">
        <f>Calc!AL13</f>
        <v/>
      </c>
      <c r="D13" s="239">
        <f>Calc!AM13</f>
        <v>0</v>
      </c>
      <c r="E13" s="242">
        <f t="shared" si="0"/>
        <v>0</v>
      </c>
      <c r="F13" s="245">
        <f t="shared" si="6"/>
        <v>0</v>
      </c>
      <c r="G13" s="242">
        <f t="shared" si="1"/>
        <v>0</v>
      </c>
      <c r="H13" s="64">
        <f t="shared" si="7"/>
        <v>0</v>
      </c>
      <c r="I13" s="242">
        <f t="shared" si="8"/>
        <v>0</v>
      </c>
      <c r="L13">
        <f t="shared" si="2"/>
        <v>0</v>
      </c>
      <c r="M13">
        <v>12</v>
      </c>
      <c r="N13">
        <v>12.2</v>
      </c>
      <c r="O13">
        <f t="shared" si="3"/>
        <v>0</v>
      </c>
      <c r="P13">
        <f t="shared" si="5"/>
        <v>0</v>
      </c>
    </row>
    <row r="14" spans="1:26" ht="15.5" customHeight="1" x14ac:dyDescent="0.3">
      <c r="A14" s="189">
        <f>Calc!AJ14</f>
        <v>6</v>
      </c>
      <c r="B14" s="189" t="str">
        <f>Calc!AK14</f>
        <v/>
      </c>
      <c r="C14" s="189" t="str">
        <f>Calc!AL14</f>
        <v/>
      </c>
      <c r="D14" s="239" t="str">
        <f>Calc!AM14</f>
        <v/>
      </c>
      <c r="E14" s="242">
        <f t="shared" si="0"/>
        <v>0</v>
      </c>
      <c r="F14" s="245" t="str">
        <f t="shared" si="6"/>
        <v/>
      </c>
      <c r="G14" s="242">
        <f t="shared" si="1"/>
        <v>0</v>
      </c>
      <c r="H14" s="64" t="str">
        <f t="shared" si="7"/>
        <v/>
      </c>
      <c r="I14" s="242">
        <f t="shared" si="8"/>
        <v>0</v>
      </c>
      <c r="L14">
        <f t="shared" si="2"/>
        <v>0</v>
      </c>
      <c r="M14">
        <v>13</v>
      </c>
      <c r="N14">
        <v>13.2</v>
      </c>
      <c r="O14">
        <f t="shared" si="3"/>
        <v>0</v>
      </c>
      <c r="P14">
        <f t="shared" si="5"/>
        <v>0</v>
      </c>
    </row>
    <row r="15" spans="1:26" ht="15.5" customHeight="1" x14ac:dyDescent="0.3">
      <c r="A15" s="189">
        <f>Calc!AJ15</f>
        <v>9</v>
      </c>
      <c r="B15" s="189" t="str">
        <f>Calc!AK15</f>
        <v>T_ER</v>
      </c>
      <c r="C15" s="189" t="str">
        <f>Calc!AL15</f>
        <v xml:space="preserve">Ertrag aus Auftritten </v>
      </c>
      <c r="D15" s="239" t="str">
        <f>Calc!AM15</f>
        <v/>
      </c>
      <c r="E15" s="242">
        <f t="shared" si="0"/>
        <v>0</v>
      </c>
      <c r="F15" s="245" t="str">
        <f t="shared" si="6"/>
        <v/>
      </c>
      <c r="G15" s="242">
        <f t="shared" si="1"/>
        <v>0</v>
      </c>
      <c r="H15" s="64" t="str">
        <f t="shared" si="7"/>
        <v/>
      </c>
      <c r="I15" s="242">
        <f t="shared" si="8"/>
        <v>0</v>
      </c>
      <c r="L15">
        <f t="shared" si="2"/>
        <v>0</v>
      </c>
      <c r="M15">
        <v>14</v>
      </c>
      <c r="N15">
        <v>14.2</v>
      </c>
      <c r="O15">
        <f t="shared" si="3"/>
        <v>0</v>
      </c>
      <c r="P15">
        <f t="shared" si="5"/>
        <v>0</v>
      </c>
    </row>
    <row r="16" spans="1:26" ht="15.5" customHeight="1" x14ac:dyDescent="0.3">
      <c r="A16" s="189">
        <f>Calc!AJ16</f>
        <v>10</v>
      </c>
      <c r="B16" s="189" t="str">
        <f>Calc!AK16</f>
        <v/>
      </c>
      <c r="C16" s="189" t="str">
        <f>Calc!AL16</f>
        <v>4000 Ertrag aus Ticketverkauf/ Kollekte</v>
      </c>
      <c r="D16" s="239">
        <f>Calc!AM16</f>
        <v>0</v>
      </c>
      <c r="E16" s="242">
        <f t="shared" si="0"/>
        <v>0</v>
      </c>
      <c r="F16" s="245">
        <f t="shared" si="6"/>
        <v>0</v>
      </c>
      <c r="G16" s="242">
        <f t="shared" si="1"/>
        <v>0</v>
      </c>
      <c r="H16" s="64">
        <f t="shared" si="7"/>
        <v>0</v>
      </c>
      <c r="I16" s="242">
        <f t="shared" si="8"/>
        <v>0</v>
      </c>
      <c r="L16">
        <f t="shared" si="2"/>
        <v>0</v>
      </c>
      <c r="M16">
        <v>15</v>
      </c>
      <c r="N16">
        <v>15.2</v>
      </c>
      <c r="O16">
        <f t="shared" si="3"/>
        <v>0</v>
      </c>
      <c r="P16">
        <f t="shared" si="5"/>
        <v>0</v>
      </c>
    </row>
    <row r="17" spans="1:16" ht="15.5" customHeight="1" x14ac:dyDescent="0.3">
      <c r="A17" s="189">
        <f>Calc!AJ17</f>
        <v>11</v>
      </c>
      <c r="B17" s="189" t="str">
        <f>Calc!AK17</f>
        <v/>
      </c>
      <c r="C17" s="189" t="str">
        <f>Calc!AL17</f>
        <v>4100 Vergütung Auftritt</v>
      </c>
      <c r="D17" s="239">
        <f>Calc!AM17</f>
        <v>0</v>
      </c>
      <c r="E17" s="242">
        <f t="shared" si="0"/>
        <v>0</v>
      </c>
      <c r="F17" s="245">
        <f t="shared" si="6"/>
        <v>0</v>
      </c>
      <c r="G17" s="242">
        <f t="shared" si="1"/>
        <v>0</v>
      </c>
      <c r="H17" s="64">
        <f t="shared" si="7"/>
        <v>0</v>
      </c>
      <c r="I17" s="242">
        <f>IF($B17="Sub",P16,0)</f>
        <v>0</v>
      </c>
      <c r="L17">
        <f t="shared" si="2"/>
        <v>0</v>
      </c>
      <c r="M17" s="1">
        <v>16</v>
      </c>
      <c r="N17" s="1">
        <v>16.2</v>
      </c>
      <c r="O17">
        <f t="shared" si="3"/>
        <v>0</v>
      </c>
      <c r="P17">
        <f>IF(B17="Sub",0,P16+I17)</f>
        <v>0</v>
      </c>
    </row>
    <row r="18" spans="1:16" ht="15.5" customHeight="1" x14ac:dyDescent="0.3">
      <c r="A18" s="189">
        <f>Calc!AJ18</f>
        <v>12</v>
      </c>
      <c r="B18" s="189" t="str">
        <f>Calc!AK18</f>
        <v/>
      </c>
      <c r="C18" s="189" t="str">
        <f>Calc!AL18</f>
        <v>4200 Nettoertrag Cafeteria/Bar etc.</v>
      </c>
      <c r="D18" s="239">
        <f>Calc!AM18</f>
        <v>0</v>
      </c>
      <c r="E18" s="242">
        <f t="shared" si="0"/>
        <v>0</v>
      </c>
      <c r="F18" s="245">
        <f t="shared" si="6"/>
        <v>0</v>
      </c>
      <c r="G18" s="242">
        <f t="shared" si="1"/>
        <v>0</v>
      </c>
      <c r="H18" s="64">
        <f t="shared" si="7"/>
        <v>0</v>
      </c>
      <c r="I18" s="242">
        <f t="shared" si="8"/>
        <v>0</v>
      </c>
      <c r="L18">
        <f t="shared" si="2"/>
        <v>0</v>
      </c>
      <c r="M18">
        <v>17</v>
      </c>
      <c r="N18">
        <v>17.2</v>
      </c>
      <c r="O18">
        <f t="shared" si="3"/>
        <v>0</v>
      </c>
      <c r="P18">
        <f t="shared" si="5"/>
        <v>0</v>
      </c>
    </row>
    <row r="19" spans="1:16" ht="15.5" customHeight="1" x14ac:dyDescent="0.3">
      <c r="A19" s="189">
        <f>Calc!AJ19</f>
        <v>13</v>
      </c>
      <c r="B19" s="189" t="str">
        <f>Calc!AK19</f>
        <v/>
      </c>
      <c r="C19" s="189" t="str">
        <f>Calc!AL19</f>
        <v>4300 diverse Erträge Auftritt</v>
      </c>
      <c r="D19" s="239">
        <f>Calc!AM19</f>
        <v>0</v>
      </c>
      <c r="E19" s="242">
        <f t="shared" si="0"/>
        <v>0</v>
      </c>
      <c r="F19" s="245">
        <f t="shared" si="6"/>
        <v>0</v>
      </c>
      <c r="G19" s="242">
        <f t="shared" si="1"/>
        <v>0</v>
      </c>
      <c r="H19" s="64">
        <f t="shared" si="7"/>
        <v>0</v>
      </c>
      <c r="I19" s="242">
        <f t="shared" si="8"/>
        <v>0</v>
      </c>
      <c r="L19">
        <f t="shared" si="2"/>
        <v>0</v>
      </c>
      <c r="M19">
        <v>18</v>
      </c>
      <c r="N19">
        <v>18.2</v>
      </c>
      <c r="O19">
        <f t="shared" si="3"/>
        <v>0</v>
      </c>
      <c r="P19">
        <f t="shared" si="5"/>
        <v>0</v>
      </c>
    </row>
    <row r="20" spans="1:16" ht="15.5" customHeight="1" x14ac:dyDescent="0.3">
      <c r="A20" s="189">
        <f>Calc!AJ20</f>
        <v>13</v>
      </c>
      <c r="B20" s="189" t="str">
        <f>Calc!AK20</f>
        <v>Sub</v>
      </c>
      <c r="C20" s="189" t="str">
        <f>Calc!AL20</f>
        <v/>
      </c>
      <c r="D20" s="239">
        <f>Calc!AM20</f>
        <v>0</v>
      </c>
      <c r="E20" s="242">
        <f t="shared" si="0"/>
        <v>0</v>
      </c>
      <c r="F20" s="245">
        <f t="shared" si="6"/>
        <v>0</v>
      </c>
      <c r="G20" s="242">
        <f t="shared" si="1"/>
        <v>0</v>
      </c>
      <c r="H20" s="64">
        <f t="shared" si="7"/>
        <v>0</v>
      </c>
      <c r="I20" s="242">
        <f t="shared" si="8"/>
        <v>0</v>
      </c>
      <c r="L20">
        <f t="shared" si="2"/>
        <v>0</v>
      </c>
      <c r="M20">
        <v>19</v>
      </c>
      <c r="N20">
        <v>19.2</v>
      </c>
      <c r="O20">
        <f t="shared" si="3"/>
        <v>0</v>
      </c>
      <c r="P20">
        <f t="shared" si="5"/>
        <v>0</v>
      </c>
    </row>
    <row r="21" spans="1:16" ht="15.5" customHeight="1" x14ac:dyDescent="0.3">
      <c r="A21" s="189">
        <f>Calc!AJ21</f>
        <v>13</v>
      </c>
      <c r="B21" s="189" t="str">
        <f>Calc!AK21</f>
        <v/>
      </c>
      <c r="C21" s="189" t="str">
        <f>Calc!AL21</f>
        <v/>
      </c>
      <c r="D21" s="239" t="str">
        <f>Calc!AM21</f>
        <v/>
      </c>
      <c r="E21" s="242">
        <f t="shared" si="0"/>
        <v>0</v>
      </c>
      <c r="F21" s="245" t="str">
        <f t="shared" si="6"/>
        <v/>
      </c>
      <c r="G21" s="242">
        <f t="shared" si="1"/>
        <v>0</v>
      </c>
      <c r="H21" s="64" t="str">
        <f t="shared" si="7"/>
        <v/>
      </c>
      <c r="I21" s="242">
        <f t="shared" si="8"/>
        <v>0</v>
      </c>
      <c r="L21">
        <f t="shared" si="2"/>
        <v>0</v>
      </c>
      <c r="M21">
        <v>20</v>
      </c>
      <c r="N21">
        <v>20.2</v>
      </c>
      <c r="O21">
        <f t="shared" si="3"/>
        <v>0</v>
      </c>
      <c r="P21">
        <f t="shared" si="5"/>
        <v>0</v>
      </c>
    </row>
    <row r="22" spans="1:16" ht="15.5" customHeight="1" x14ac:dyDescent="0.3">
      <c r="A22" s="189">
        <f>Calc!AJ22</f>
        <v>16</v>
      </c>
      <c r="B22" s="189" t="str">
        <f>Calc!AK22</f>
        <v>T_ER</v>
      </c>
      <c r="C22" s="189" t="str">
        <f>Calc!AL22</f>
        <v xml:space="preserve">Aufwände allgemein </v>
      </c>
      <c r="D22" s="239" t="str">
        <f>Calc!AM22</f>
        <v/>
      </c>
      <c r="E22" s="242">
        <f t="shared" si="0"/>
        <v>0</v>
      </c>
      <c r="F22" s="245" t="str">
        <f t="shared" si="6"/>
        <v/>
      </c>
      <c r="G22" s="242">
        <f t="shared" si="1"/>
        <v>0</v>
      </c>
      <c r="H22" s="64" t="str">
        <f t="shared" si="7"/>
        <v/>
      </c>
      <c r="I22" s="242">
        <f t="shared" si="8"/>
        <v>0</v>
      </c>
      <c r="L22">
        <f t="shared" si="2"/>
        <v>0</v>
      </c>
      <c r="M22">
        <v>21</v>
      </c>
      <c r="N22">
        <v>21.2</v>
      </c>
      <c r="O22">
        <f t="shared" si="3"/>
        <v>0</v>
      </c>
      <c r="P22">
        <f t="shared" si="5"/>
        <v>0</v>
      </c>
    </row>
    <row r="23" spans="1:16" ht="15.5" customHeight="1" x14ac:dyDescent="0.3">
      <c r="A23" s="189">
        <f>Calc!AJ23</f>
        <v>17</v>
      </c>
      <c r="B23" s="189" t="str">
        <f>Calc!AK23</f>
        <v/>
      </c>
      <c r="C23" s="189" t="str">
        <f>Calc!AL23</f>
        <v>5000 Verbandsbeiträge</v>
      </c>
      <c r="D23" s="239">
        <f>Calc!AM23</f>
        <v>0</v>
      </c>
      <c r="E23" s="242">
        <f t="shared" si="0"/>
        <v>0</v>
      </c>
      <c r="F23" s="245">
        <f t="shared" si="6"/>
        <v>0</v>
      </c>
      <c r="G23" s="242">
        <f t="shared" si="1"/>
        <v>0</v>
      </c>
      <c r="H23" s="64">
        <f t="shared" si="7"/>
        <v>0</v>
      </c>
      <c r="I23" s="242">
        <f t="shared" si="8"/>
        <v>0</v>
      </c>
      <c r="L23">
        <f t="shared" si="2"/>
        <v>0</v>
      </c>
      <c r="M23">
        <v>22</v>
      </c>
      <c r="N23">
        <v>22.2</v>
      </c>
      <c r="O23">
        <f t="shared" si="3"/>
        <v>0</v>
      </c>
      <c r="P23">
        <f t="shared" si="5"/>
        <v>0</v>
      </c>
    </row>
    <row r="24" spans="1:16" ht="15.5" customHeight="1" x14ac:dyDescent="0.3">
      <c r="A24" s="189">
        <f>Calc!AJ24</f>
        <v>18</v>
      </c>
      <c r="B24" s="189" t="str">
        <f>Calc!AK24</f>
        <v/>
      </c>
      <c r="C24" s="189" t="str">
        <f>Calc!AL24</f>
        <v>5100 Mietzinsaufwand (Probelokal etc.)</v>
      </c>
      <c r="D24" s="239">
        <f>Calc!AM24</f>
        <v>0</v>
      </c>
      <c r="E24" s="242">
        <f t="shared" si="0"/>
        <v>0</v>
      </c>
      <c r="F24" s="245">
        <f t="shared" si="6"/>
        <v>0</v>
      </c>
      <c r="G24" s="242">
        <f t="shared" si="1"/>
        <v>0</v>
      </c>
      <c r="H24" s="64">
        <f t="shared" si="7"/>
        <v>0</v>
      </c>
      <c r="I24" s="242">
        <f t="shared" si="8"/>
        <v>0</v>
      </c>
      <c r="L24">
        <f t="shared" si="2"/>
        <v>0</v>
      </c>
      <c r="M24" s="1">
        <v>23</v>
      </c>
      <c r="N24" s="1">
        <v>23.2</v>
      </c>
      <c r="O24">
        <f t="shared" si="3"/>
        <v>0</v>
      </c>
      <c r="P24">
        <f t="shared" si="5"/>
        <v>0</v>
      </c>
    </row>
    <row r="25" spans="1:16" ht="15.5" customHeight="1" x14ac:dyDescent="0.3">
      <c r="A25" s="189">
        <f>Calc!AJ25</f>
        <v>19</v>
      </c>
      <c r="B25" s="189" t="str">
        <f>Calc!AK25</f>
        <v/>
      </c>
      <c r="C25" s="189" t="str">
        <f>Calc!AL25</f>
        <v>5200 Versicherungen</v>
      </c>
      <c r="D25" s="239">
        <f>Calc!AM25</f>
        <v>0</v>
      </c>
      <c r="E25" s="242">
        <f t="shared" si="0"/>
        <v>0</v>
      </c>
      <c r="F25" s="245">
        <f t="shared" si="6"/>
        <v>0</v>
      </c>
      <c r="G25" s="242">
        <f t="shared" si="1"/>
        <v>0</v>
      </c>
      <c r="H25" s="64">
        <f t="shared" si="7"/>
        <v>0</v>
      </c>
      <c r="I25" s="242">
        <f t="shared" si="8"/>
        <v>0</v>
      </c>
      <c r="L25">
        <f t="shared" si="2"/>
        <v>0</v>
      </c>
      <c r="M25">
        <v>24</v>
      </c>
      <c r="N25">
        <v>24.2</v>
      </c>
      <c r="O25">
        <f t="shared" si="3"/>
        <v>0</v>
      </c>
      <c r="P25">
        <f t="shared" si="5"/>
        <v>0</v>
      </c>
    </row>
    <row r="26" spans="1:16" ht="15.5" customHeight="1" x14ac:dyDescent="0.3">
      <c r="A26" s="189">
        <f>Calc!AJ26</f>
        <v>20</v>
      </c>
      <c r="B26" s="189" t="str">
        <f>Calc!AK26</f>
        <v/>
      </c>
      <c r="C26" s="189" t="str">
        <f>Calc!AL26</f>
        <v>5300 Aufwand für Dirigent</v>
      </c>
      <c r="D26" s="239">
        <f>Calc!AM26</f>
        <v>0</v>
      </c>
      <c r="E26" s="242">
        <f t="shared" si="0"/>
        <v>0</v>
      </c>
      <c r="F26" s="245">
        <f t="shared" si="6"/>
        <v>0</v>
      </c>
      <c r="G26" s="242">
        <f t="shared" si="1"/>
        <v>0</v>
      </c>
      <c r="H26" s="64">
        <f t="shared" si="7"/>
        <v>0</v>
      </c>
      <c r="I26" s="242">
        <f t="shared" si="8"/>
        <v>0</v>
      </c>
      <c r="L26">
        <f t="shared" si="2"/>
        <v>0</v>
      </c>
      <c r="M26">
        <v>25</v>
      </c>
      <c r="N26">
        <v>25.2</v>
      </c>
      <c r="O26">
        <f t="shared" si="3"/>
        <v>0</v>
      </c>
      <c r="P26">
        <f t="shared" si="5"/>
        <v>0</v>
      </c>
    </row>
    <row r="27" spans="1:16" ht="15.5" customHeight="1" x14ac:dyDescent="0.3">
      <c r="A27" s="189">
        <f>Calc!AJ27</f>
        <v>21</v>
      </c>
      <c r="B27" s="189" t="str">
        <f>Calc!AK27</f>
        <v/>
      </c>
      <c r="C27" s="189" t="str">
        <f>Calc!AL27</f>
        <v>5350 Aufwand für Noten</v>
      </c>
      <c r="D27" s="239">
        <f>Calc!AM27</f>
        <v>0</v>
      </c>
      <c r="E27" s="242">
        <f t="shared" si="0"/>
        <v>0</v>
      </c>
      <c r="F27" s="245">
        <f t="shared" si="6"/>
        <v>0</v>
      </c>
      <c r="G27" s="242">
        <f t="shared" si="1"/>
        <v>0</v>
      </c>
      <c r="H27" s="64">
        <f t="shared" si="7"/>
        <v>0</v>
      </c>
      <c r="I27" s="242">
        <f t="shared" si="8"/>
        <v>0</v>
      </c>
      <c r="L27">
        <f t="shared" si="2"/>
        <v>0</v>
      </c>
      <c r="M27">
        <v>26</v>
      </c>
      <c r="N27">
        <v>26.2</v>
      </c>
      <c r="O27">
        <f t="shared" si="3"/>
        <v>0</v>
      </c>
      <c r="P27">
        <f t="shared" si="5"/>
        <v>0</v>
      </c>
    </row>
    <row r="28" spans="1:16" ht="15.5" customHeight="1" x14ac:dyDescent="0.3">
      <c r="A28" s="189">
        <f>Calc!AJ28</f>
        <v>22</v>
      </c>
      <c r="B28" s="189" t="str">
        <f>Calc!AK28</f>
        <v/>
      </c>
      <c r="C28" s="189" t="str">
        <f>Calc!AL28</f>
        <v>5400 Aufwand für Vereinsinstrumente</v>
      </c>
      <c r="D28" s="239">
        <f>Calc!AM28</f>
        <v>0</v>
      </c>
      <c r="E28" s="242">
        <f t="shared" si="0"/>
        <v>0</v>
      </c>
      <c r="F28" s="245">
        <f t="shared" si="6"/>
        <v>0</v>
      </c>
      <c r="G28" s="242">
        <f t="shared" si="1"/>
        <v>0</v>
      </c>
      <c r="H28" s="64">
        <f t="shared" si="7"/>
        <v>0</v>
      </c>
      <c r="I28" s="242">
        <f t="shared" si="8"/>
        <v>0</v>
      </c>
      <c r="L28">
        <f t="shared" si="2"/>
        <v>0</v>
      </c>
      <c r="M28">
        <v>27</v>
      </c>
      <c r="N28">
        <v>27.2</v>
      </c>
      <c r="O28">
        <f t="shared" si="3"/>
        <v>0</v>
      </c>
      <c r="P28">
        <f t="shared" si="5"/>
        <v>0</v>
      </c>
    </row>
    <row r="29" spans="1:16" ht="15.5" customHeight="1" x14ac:dyDescent="0.3">
      <c r="A29" s="189">
        <f>Calc!AJ29</f>
        <v>23</v>
      </c>
      <c r="B29" s="189" t="str">
        <f>Calc!AK29</f>
        <v/>
      </c>
      <c r="C29" s="189" t="str">
        <f>Calc!AL29</f>
        <v>5500 Probewochenende</v>
      </c>
      <c r="D29" s="239">
        <f>Calc!AM29</f>
        <v>0</v>
      </c>
      <c r="E29" s="242">
        <f t="shared" si="0"/>
        <v>0</v>
      </c>
      <c r="F29" s="245">
        <f t="shared" si="6"/>
        <v>0</v>
      </c>
      <c r="G29" s="242">
        <f t="shared" si="1"/>
        <v>0</v>
      </c>
      <c r="H29" s="64">
        <f t="shared" si="7"/>
        <v>0</v>
      </c>
      <c r="I29" s="242">
        <f t="shared" si="8"/>
        <v>0</v>
      </c>
      <c r="L29">
        <f t="shared" si="2"/>
        <v>0</v>
      </c>
      <c r="M29">
        <v>28</v>
      </c>
      <c r="N29">
        <v>28.2</v>
      </c>
      <c r="O29">
        <f t="shared" si="3"/>
        <v>0</v>
      </c>
      <c r="P29">
        <f t="shared" si="5"/>
        <v>0</v>
      </c>
    </row>
    <row r="30" spans="1:16" ht="15.5" customHeight="1" x14ac:dyDescent="0.3">
      <c r="A30" s="189">
        <f>Calc!AJ30</f>
        <v>24</v>
      </c>
      <c r="B30" s="189" t="str">
        <f>Calc!AK30</f>
        <v/>
      </c>
      <c r="C30" s="189" t="str">
        <f>Calc!AL30</f>
        <v>5520 Vereinsreise</v>
      </c>
      <c r="D30" s="239">
        <f>Calc!AM30</f>
        <v>0</v>
      </c>
      <c r="E30" s="242">
        <f t="shared" si="0"/>
        <v>0</v>
      </c>
      <c r="F30" s="245">
        <f t="shared" si="6"/>
        <v>0</v>
      </c>
      <c r="G30" s="242">
        <f t="shared" si="1"/>
        <v>0</v>
      </c>
      <c r="H30" s="64">
        <f t="shared" si="7"/>
        <v>0</v>
      </c>
      <c r="I30" s="242">
        <f t="shared" si="8"/>
        <v>0</v>
      </c>
      <c r="L30">
        <f t="shared" si="2"/>
        <v>0</v>
      </c>
      <c r="M30" s="1">
        <v>29</v>
      </c>
      <c r="N30" s="1">
        <v>29.2</v>
      </c>
      <c r="O30">
        <f t="shared" si="3"/>
        <v>0</v>
      </c>
      <c r="P30">
        <f t="shared" si="5"/>
        <v>0</v>
      </c>
    </row>
    <row r="31" spans="1:16" ht="15.5" customHeight="1" x14ac:dyDescent="0.3">
      <c r="A31" s="189">
        <f>Calc!AJ31</f>
        <v>25</v>
      </c>
      <c r="B31" s="189" t="str">
        <f>Calc!AK31</f>
        <v/>
      </c>
      <c r="C31" s="189" t="str">
        <f>Calc!AL31</f>
        <v>5600 Heft des Vereins</v>
      </c>
      <c r="D31" s="239">
        <f>Calc!AM31</f>
        <v>0</v>
      </c>
      <c r="E31" s="242">
        <f t="shared" si="0"/>
        <v>0</v>
      </c>
      <c r="F31" s="245">
        <f t="shared" si="6"/>
        <v>0</v>
      </c>
      <c r="G31" s="242">
        <f t="shared" si="1"/>
        <v>0</v>
      </c>
      <c r="H31" s="64">
        <f t="shared" si="7"/>
        <v>0</v>
      </c>
      <c r="I31" s="242">
        <f t="shared" si="8"/>
        <v>0</v>
      </c>
      <c r="L31">
        <f t="shared" si="2"/>
        <v>0</v>
      </c>
      <c r="M31">
        <v>30</v>
      </c>
      <c r="N31">
        <v>30.2</v>
      </c>
      <c r="O31">
        <f t="shared" si="3"/>
        <v>0</v>
      </c>
      <c r="P31">
        <f t="shared" si="5"/>
        <v>0</v>
      </c>
    </row>
    <row r="32" spans="1:16" ht="15.5" customHeight="1" x14ac:dyDescent="0.3">
      <c r="A32" s="189">
        <f>Calc!AJ32</f>
        <v>26</v>
      </c>
      <c r="B32" s="189" t="str">
        <f>Calc!AK32</f>
        <v/>
      </c>
      <c r="C32" s="189" t="str">
        <f>Calc!AL32</f>
        <v>5700 Spesen Dirigent</v>
      </c>
      <c r="D32" s="239">
        <f>Calc!AM32</f>
        <v>0</v>
      </c>
      <c r="E32" s="242">
        <f t="shared" si="0"/>
        <v>0</v>
      </c>
      <c r="F32" s="245">
        <f t="shared" si="6"/>
        <v>0</v>
      </c>
      <c r="G32" s="242">
        <f t="shared" si="1"/>
        <v>0</v>
      </c>
      <c r="H32" s="64">
        <f t="shared" si="7"/>
        <v>0</v>
      </c>
      <c r="I32" s="242">
        <f t="shared" si="8"/>
        <v>0</v>
      </c>
      <c r="L32">
        <f t="shared" si="2"/>
        <v>0</v>
      </c>
      <c r="M32">
        <v>31</v>
      </c>
      <c r="N32">
        <v>31.2</v>
      </c>
      <c r="O32">
        <f t="shared" si="3"/>
        <v>0</v>
      </c>
      <c r="P32">
        <f t="shared" si="5"/>
        <v>0</v>
      </c>
    </row>
    <row r="33" spans="1:16" ht="15.5" customHeight="1" x14ac:dyDescent="0.3">
      <c r="A33" s="189">
        <f>Calc!AJ33</f>
        <v>27</v>
      </c>
      <c r="B33" s="189" t="str">
        <f>Calc!AK33</f>
        <v/>
      </c>
      <c r="C33" s="189" t="str">
        <f>Calc!AL33</f>
        <v>5720 Spesen Vorstand</v>
      </c>
      <c r="D33" s="239">
        <f>Calc!AM33</f>
        <v>0</v>
      </c>
      <c r="E33" s="242">
        <f t="shared" si="0"/>
        <v>0</v>
      </c>
      <c r="F33" s="245">
        <f t="shared" si="6"/>
        <v>0</v>
      </c>
      <c r="G33" s="242">
        <f t="shared" si="1"/>
        <v>0</v>
      </c>
      <c r="H33" s="64">
        <f t="shared" si="7"/>
        <v>0</v>
      </c>
      <c r="I33" s="242">
        <f t="shared" si="8"/>
        <v>0</v>
      </c>
      <c r="L33">
        <f t="shared" si="2"/>
        <v>0</v>
      </c>
      <c r="M33">
        <v>32</v>
      </c>
      <c r="N33">
        <v>32.200000000000003</v>
      </c>
      <c r="O33">
        <f t="shared" si="3"/>
        <v>0</v>
      </c>
      <c r="P33">
        <f t="shared" si="5"/>
        <v>0</v>
      </c>
    </row>
    <row r="34" spans="1:16" ht="15.5" customHeight="1" x14ac:dyDescent="0.3">
      <c r="A34" s="189">
        <f>Calc!AJ34</f>
        <v>28</v>
      </c>
      <c r="B34" s="189" t="str">
        <f>Calc!AK34</f>
        <v/>
      </c>
      <c r="C34" s="189" t="str">
        <f>Calc!AL34</f>
        <v>5740 Spesen Mitglieder</v>
      </c>
      <c r="D34" s="239">
        <f>Calc!AM34</f>
        <v>0</v>
      </c>
      <c r="E34" s="242">
        <f t="shared" si="0"/>
        <v>0</v>
      </c>
      <c r="F34" s="245">
        <f t="shared" si="6"/>
        <v>0</v>
      </c>
      <c r="G34" s="242">
        <f t="shared" si="1"/>
        <v>0</v>
      </c>
      <c r="H34" s="64">
        <f t="shared" si="7"/>
        <v>0</v>
      </c>
      <c r="I34" s="242">
        <f t="shared" si="8"/>
        <v>0</v>
      </c>
      <c r="L34">
        <f t="shared" si="2"/>
        <v>0</v>
      </c>
      <c r="M34">
        <v>33</v>
      </c>
      <c r="N34">
        <v>33.200000000000003</v>
      </c>
      <c r="O34">
        <f t="shared" si="3"/>
        <v>0</v>
      </c>
      <c r="P34">
        <f t="shared" si="5"/>
        <v>0</v>
      </c>
    </row>
    <row r="35" spans="1:16" ht="15.5" customHeight="1" x14ac:dyDescent="0.3">
      <c r="A35" s="189">
        <f>Calc!AJ35</f>
        <v>29</v>
      </c>
      <c r="B35" s="189" t="str">
        <f>Calc!AK35</f>
        <v/>
      </c>
      <c r="C35" s="189" t="str">
        <f>Calc!AL35</f>
        <v>5760 sonstige Spesen</v>
      </c>
      <c r="D35" s="239">
        <f>Calc!AM35</f>
        <v>0</v>
      </c>
      <c r="E35" s="242">
        <f t="shared" si="0"/>
        <v>0</v>
      </c>
      <c r="F35" s="245">
        <f t="shared" si="6"/>
        <v>0</v>
      </c>
      <c r="G35" s="242">
        <f t="shared" si="1"/>
        <v>0</v>
      </c>
      <c r="H35" s="64">
        <f t="shared" si="7"/>
        <v>0</v>
      </c>
      <c r="I35" s="242">
        <f t="shared" si="8"/>
        <v>0</v>
      </c>
      <c r="L35">
        <f t="shared" si="2"/>
        <v>0</v>
      </c>
      <c r="O35">
        <f t="shared" si="3"/>
        <v>0</v>
      </c>
      <c r="P35">
        <f t="shared" si="5"/>
        <v>0</v>
      </c>
    </row>
    <row r="36" spans="1:16" ht="15.5" customHeight="1" x14ac:dyDescent="0.3">
      <c r="A36" s="189">
        <f>Calc!AJ36</f>
        <v>30</v>
      </c>
      <c r="B36" s="189" t="str">
        <f>Calc!AK36</f>
        <v/>
      </c>
      <c r="C36" s="189" t="str">
        <f>Calc!AL36</f>
        <v>5780 Bank-, Post-Spesen</v>
      </c>
      <c r="D36" s="239">
        <f>Calc!AM36</f>
        <v>0</v>
      </c>
      <c r="E36" s="242">
        <f t="shared" si="0"/>
        <v>0</v>
      </c>
      <c r="F36" s="245">
        <f t="shared" si="6"/>
        <v>0</v>
      </c>
      <c r="G36" s="242">
        <f t="shared" si="1"/>
        <v>0</v>
      </c>
      <c r="H36" s="64">
        <f t="shared" si="7"/>
        <v>0</v>
      </c>
      <c r="I36" s="242">
        <f t="shared" si="8"/>
        <v>0</v>
      </c>
      <c r="L36">
        <f t="shared" si="2"/>
        <v>0</v>
      </c>
      <c r="O36">
        <f t="shared" si="3"/>
        <v>0</v>
      </c>
      <c r="P36">
        <f t="shared" si="5"/>
        <v>0</v>
      </c>
    </row>
    <row r="37" spans="1:16" ht="15.5" customHeight="1" x14ac:dyDescent="0.3">
      <c r="A37" s="189">
        <f>Calc!AJ37</f>
        <v>31</v>
      </c>
      <c r="B37" s="189" t="str">
        <f>Calc!AK37</f>
        <v/>
      </c>
      <c r="C37" s="189" t="str">
        <f>Calc!AL37</f>
        <v>5800 Aufwand GV und Dankeschön</v>
      </c>
      <c r="D37" s="239">
        <f>Calc!AM37</f>
        <v>0</v>
      </c>
      <c r="E37" s="242">
        <f t="shared" si="0"/>
        <v>0</v>
      </c>
      <c r="F37" s="245">
        <f t="shared" si="6"/>
        <v>0</v>
      </c>
      <c r="G37" s="242">
        <f t="shared" si="1"/>
        <v>0</v>
      </c>
      <c r="H37" s="64">
        <f t="shared" si="7"/>
        <v>0</v>
      </c>
      <c r="I37" s="242">
        <f t="shared" si="8"/>
        <v>0</v>
      </c>
      <c r="L37">
        <f t="shared" si="2"/>
        <v>0</v>
      </c>
      <c r="O37">
        <f t="shared" si="3"/>
        <v>0</v>
      </c>
      <c r="P37">
        <f t="shared" si="5"/>
        <v>0</v>
      </c>
    </row>
    <row r="38" spans="1:16" ht="15.5" customHeight="1" x14ac:dyDescent="0.3">
      <c r="A38" s="189">
        <f>Calc!AJ38</f>
        <v>32</v>
      </c>
      <c r="B38" s="189" t="str">
        <f>Calc!AK38</f>
        <v/>
      </c>
      <c r="C38" s="189" t="str">
        <f>Calc!AL38</f>
        <v>5820 diverse wiederkehrende Aufwände</v>
      </c>
      <c r="D38" s="239">
        <f>Calc!AM38</f>
        <v>0</v>
      </c>
      <c r="E38" s="242">
        <f t="shared" si="0"/>
        <v>0</v>
      </c>
      <c r="F38" s="245">
        <f t="shared" si="6"/>
        <v>0</v>
      </c>
      <c r="G38" s="242">
        <f t="shared" si="1"/>
        <v>0</v>
      </c>
      <c r="H38" s="64">
        <f t="shared" si="7"/>
        <v>0</v>
      </c>
      <c r="I38" s="242">
        <f t="shared" si="8"/>
        <v>0</v>
      </c>
      <c r="L38">
        <f t="shared" si="2"/>
        <v>0</v>
      </c>
      <c r="O38">
        <f t="shared" si="3"/>
        <v>0</v>
      </c>
      <c r="P38">
        <f t="shared" si="5"/>
        <v>0</v>
      </c>
    </row>
    <row r="39" spans="1:16" ht="15.5" customHeight="1" x14ac:dyDescent="0.3">
      <c r="A39" s="189">
        <f>Calc!AJ39</f>
        <v>33</v>
      </c>
      <c r="B39" s="189" t="str">
        <f>Calc!AK39</f>
        <v/>
      </c>
      <c r="C39" s="189" t="str">
        <f>Calc!AL39</f>
        <v>5840 Zinsaufwand</v>
      </c>
      <c r="D39" s="239">
        <f>Calc!AM39</f>
        <v>0</v>
      </c>
      <c r="E39" s="242">
        <f t="shared" ref="E39:E70" si="9">IF($B39="Sub",L38,0)</f>
        <v>0</v>
      </c>
      <c r="F39" s="245">
        <f t="shared" si="6"/>
        <v>0</v>
      </c>
      <c r="G39" s="242">
        <f t="shared" ref="G39:G70" si="10">IF($B39="Sub",O38,0)</f>
        <v>0</v>
      </c>
      <c r="H39" s="64">
        <f t="shared" si="7"/>
        <v>0</v>
      </c>
      <c r="I39" s="242">
        <f t="shared" si="8"/>
        <v>0</v>
      </c>
      <c r="L39">
        <f t="shared" ref="L39:L70" si="11">IF(B39="Sub",0,L38+E39)</f>
        <v>0</v>
      </c>
      <c r="O39">
        <f t="shared" ref="O39:O70" si="12">IF(B39="Sub",0,O38+G39)</f>
        <v>0</v>
      </c>
      <c r="P39">
        <f t="shared" si="5"/>
        <v>0</v>
      </c>
    </row>
    <row r="40" spans="1:16" ht="15.5" customHeight="1" x14ac:dyDescent="0.3">
      <c r="A40" s="189">
        <f>Calc!AJ40</f>
        <v>34</v>
      </c>
      <c r="B40" s="189" t="str">
        <f>Calc!AK40</f>
        <v/>
      </c>
      <c r="C40" s="189" t="str">
        <f>Calc!AL40</f>
        <v>5900 Abschreibungen</v>
      </c>
      <c r="D40" s="239">
        <f>Calc!AM40</f>
        <v>0</v>
      </c>
      <c r="E40" s="242">
        <f t="shared" si="9"/>
        <v>0</v>
      </c>
      <c r="F40" s="245">
        <f t="shared" si="6"/>
        <v>0</v>
      </c>
      <c r="G40" s="242">
        <f t="shared" si="10"/>
        <v>0</v>
      </c>
      <c r="H40" s="64">
        <f t="shared" si="7"/>
        <v>0</v>
      </c>
      <c r="I40" s="242">
        <f t="shared" si="8"/>
        <v>0</v>
      </c>
      <c r="L40">
        <f t="shared" si="11"/>
        <v>0</v>
      </c>
      <c r="O40">
        <f t="shared" si="12"/>
        <v>0</v>
      </c>
      <c r="P40">
        <f t="shared" si="5"/>
        <v>0</v>
      </c>
    </row>
    <row r="41" spans="1:16" ht="15.5" customHeight="1" x14ac:dyDescent="0.3">
      <c r="A41" s="189">
        <f>Calc!AJ41</f>
        <v>34</v>
      </c>
      <c r="B41" s="189" t="str">
        <f>Calc!AK41</f>
        <v>Sub</v>
      </c>
      <c r="C41" s="189" t="str">
        <f>Calc!AL41</f>
        <v/>
      </c>
      <c r="D41" s="239">
        <f>Calc!AM41</f>
        <v>0</v>
      </c>
      <c r="E41" s="242">
        <f t="shared" si="9"/>
        <v>0</v>
      </c>
      <c r="F41" s="245">
        <f t="shared" si="6"/>
        <v>0</v>
      </c>
      <c r="G41" s="242">
        <f t="shared" si="10"/>
        <v>0</v>
      </c>
      <c r="H41" s="64">
        <f t="shared" si="7"/>
        <v>0</v>
      </c>
      <c r="I41" s="242">
        <f t="shared" si="8"/>
        <v>0</v>
      </c>
      <c r="L41">
        <f t="shared" si="11"/>
        <v>0</v>
      </c>
      <c r="O41">
        <f t="shared" si="12"/>
        <v>0</v>
      </c>
      <c r="P41">
        <f t="shared" si="5"/>
        <v>0</v>
      </c>
    </row>
    <row r="42" spans="1:16" ht="15.5" customHeight="1" x14ac:dyDescent="0.3">
      <c r="A42" s="189">
        <f>Calc!AJ42</f>
        <v>34</v>
      </c>
      <c r="B42" s="189" t="str">
        <f>Calc!AK42</f>
        <v/>
      </c>
      <c r="C42" s="189" t="str">
        <f>Calc!AL42</f>
        <v/>
      </c>
      <c r="D42" s="239" t="str">
        <f>Calc!AM42</f>
        <v/>
      </c>
      <c r="E42" s="242">
        <f t="shared" si="9"/>
        <v>0</v>
      </c>
      <c r="F42" s="245" t="str">
        <f t="shared" si="6"/>
        <v/>
      </c>
      <c r="G42" s="242">
        <f t="shared" si="10"/>
        <v>0</v>
      </c>
      <c r="H42" s="64" t="str">
        <f t="shared" si="7"/>
        <v/>
      </c>
      <c r="I42" s="242">
        <f t="shared" si="8"/>
        <v>0</v>
      </c>
      <c r="L42">
        <f t="shared" si="11"/>
        <v>0</v>
      </c>
      <c r="O42">
        <f t="shared" si="12"/>
        <v>0</v>
      </c>
      <c r="P42">
        <f t="shared" si="5"/>
        <v>0</v>
      </c>
    </row>
    <row r="43" spans="1:16" ht="15.5" customHeight="1" x14ac:dyDescent="0.3">
      <c r="A43" s="189">
        <f>Calc!AJ43</f>
        <v>37</v>
      </c>
      <c r="B43" s="189" t="str">
        <f>Calc!AK43</f>
        <v>T_ER</v>
      </c>
      <c r="C43" s="189" t="str">
        <f>Calc!AL43</f>
        <v xml:space="preserve">Ertrag aus Beiträgen Dritter </v>
      </c>
      <c r="D43" s="239" t="str">
        <f>Calc!AM43</f>
        <v/>
      </c>
      <c r="E43" s="242">
        <f t="shared" si="9"/>
        <v>0</v>
      </c>
      <c r="F43" s="245" t="str">
        <f t="shared" si="6"/>
        <v/>
      </c>
      <c r="G43" s="242">
        <f t="shared" si="10"/>
        <v>0</v>
      </c>
      <c r="H43" s="64" t="str">
        <f t="shared" si="7"/>
        <v/>
      </c>
      <c r="I43" s="242">
        <f t="shared" si="8"/>
        <v>0</v>
      </c>
      <c r="L43">
        <f t="shared" si="11"/>
        <v>0</v>
      </c>
      <c r="O43">
        <f t="shared" si="12"/>
        <v>0</v>
      </c>
      <c r="P43">
        <f t="shared" si="5"/>
        <v>0</v>
      </c>
    </row>
    <row r="44" spans="1:16" ht="15.5" customHeight="1" x14ac:dyDescent="0.3">
      <c r="A44" s="189">
        <f>Calc!AJ44</f>
        <v>38</v>
      </c>
      <c r="B44" s="189" t="str">
        <f>Calc!AK44</f>
        <v/>
      </c>
      <c r="C44" s="189" t="str">
        <f>Calc!AL44</f>
        <v>7000 Beiträge Aktivmitglieder</v>
      </c>
      <c r="D44" s="239">
        <f>Calc!AM44</f>
        <v>0</v>
      </c>
      <c r="E44" s="242">
        <f t="shared" si="9"/>
        <v>0</v>
      </c>
      <c r="F44" s="245">
        <f t="shared" si="6"/>
        <v>0</v>
      </c>
      <c r="G44" s="242">
        <f t="shared" si="10"/>
        <v>0</v>
      </c>
      <c r="H44" s="64">
        <f t="shared" si="7"/>
        <v>0</v>
      </c>
      <c r="I44" s="242">
        <f t="shared" si="8"/>
        <v>0</v>
      </c>
      <c r="L44">
        <f t="shared" si="11"/>
        <v>0</v>
      </c>
      <c r="O44">
        <f t="shared" si="12"/>
        <v>0</v>
      </c>
      <c r="P44">
        <f t="shared" si="5"/>
        <v>0</v>
      </c>
    </row>
    <row r="45" spans="1:16" ht="15.5" customHeight="1" x14ac:dyDescent="0.3">
      <c r="A45" s="189">
        <f>Calc!AJ45</f>
        <v>39</v>
      </c>
      <c r="B45" s="189" t="str">
        <f>Calc!AK45</f>
        <v/>
      </c>
      <c r="C45" s="189" t="str">
        <f>Calc!AL45</f>
        <v>7100 Beiträge Nachwuchs</v>
      </c>
      <c r="D45" s="239">
        <f>Calc!AM45</f>
        <v>0</v>
      </c>
      <c r="E45" s="242">
        <f t="shared" si="9"/>
        <v>0</v>
      </c>
      <c r="F45" s="245">
        <f t="shared" si="6"/>
        <v>0</v>
      </c>
      <c r="G45" s="242">
        <f t="shared" si="10"/>
        <v>0</v>
      </c>
      <c r="H45" s="64">
        <f t="shared" si="7"/>
        <v>0</v>
      </c>
      <c r="I45" s="242">
        <f t="shared" si="8"/>
        <v>0</v>
      </c>
      <c r="L45">
        <f t="shared" si="11"/>
        <v>0</v>
      </c>
      <c r="O45">
        <f t="shared" si="12"/>
        <v>0</v>
      </c>
      <c r="P45">
        <f t="shared" si="5"/>
        <v>0</v>
      </c>
    </row>
    <row r="46" spans="1:16" ht="15.5" customHeight="1" x14ac:dyDescent="0.3">
      <c r="A46" s="189">
        <f>Calc!AJ46</f>
        <v>40</v>
      </c>
      <c r="B46" s="189" t="str">
        <f>Calc!AK46</f>
        <v/>
      </c>
      <c r="C46" s="189" t="str">
        <f>Calc!AL46</f>
        <v>7200 Beiräge Passivmitglieder</v>
      </c>
      <c r="D46" s="239">
        <f>Calc!AM46</f>
        <v>0</v>
      </c>
      <c r="E46" s="242">
        <f t="shared" si="9"/>
        <v>0</v>
      </c>
      <c r="F46" s="245">
        <f t="shared" si="6"/>
        <v>0</v>
      </c>
      <c r="G46" s="242">
        <f t="shared" si="10"/>
        <v>0</v>
      </c>
      <c r="H46" s="64">
        <f t="shared" si="7"/>
        <v>0</v>
      </c>
      <c r="I46" s="242">
        <f t="shared" si="8"/>
        <v>0</v>
      </c>
      <c r="K46" s="92"/>
      <c r="L46">
        <f t="shared" si="11"/>
        <v>0</v>
      </c>
      <c r="O46">
        <f t="shared" si="12"/>
        <v>0</v>
      </c>
      <c r="P46">
        <f t="shared" si="5"/>
        <v>0</v>
      </c>
    </row>
    <row r="47" spans="1:16" ht="15.5" customHeight="1" x14ac:dyDescent="0.3">
      <c r="A47" s="189">
        <f>Calc!AJ47</f>
        <v>41</v>
      </c>
      <c r="B47" s="189" t="str">
        <f>Calc!AK47</f>
        <v/>
      </c>
      <c r="C47" s="189" t="str">
        <f>Calc!AL47</f>
        <v>7500 Gönnerbeiträge</v>
      </c>
      <c r="D47" s="239">
        <f>Calc!AM47</f>
        <v>0</v>
      </c>
      <c r="E47" s="242">
        <f t="shared" si="9"/>
        <v>0</v>
      </c>
      <c r="F47" s="245">
        <f t="shared" si="6"/>
        <v>0</v>
      </c>
      <c r="G47" s="242">
        <f t="shared" si="10"/>
        <v>0</v>
      </c>
      <c r="H47" s="64">
        <f t="shared" si="7"/>
        <v>0</v>
      </c>
      <c r="I47" s="242">
        <f t="shared" si="8"/>
        <v>0</v>
      </c>
      <c r="K47" s="92"/>
      <c r="L47">
        <f t="shared" si="11"/>
        <v>0</v>
      </c>
      <c r="O47">
        <f t="shared" si="12"/>
        <v>0</v>
      </c>
      <c r="P47">
        <f t="shared" si="5"/>
        <v>0</v>
      </c>
    </row>
    <row r="48" spans="1:16" ht="15.5" customHeight="1" x14ac:dyDescent="0.3">
      <c r="A48" s="189">
        <f>Calc!AJ48</f>
        <v>42</v>
      </c>
      <c r="B48" s="189" t="str">
        <f>Calc!AK48</f>
        <v/>
      </c>
      <c r="C48" s="189" t="str">
        <f>Calc!AL48</f>
        <v>7600 Beiträge Hauptsponsoren</v>
      </c>
      <c r="D48" s="239">
        <f>Calc!AM48</f>
        <v>0</v>
      </c>
      <c r="E48" s="242">
        <f t="shared" si="9"/>
        <v>0</v>
      </c>
      <c r="F48" s="245">
        <f t="shared" si="6"/>
        <v>0</v>
      </c>
      <c r="G48" s="242">
        <f t="shared" si="10"/>
        <v>0</v>
      </c>
      <c r="H48" s="64">
        <f t="shared" si="7"/>
        <v>0</v>
      </c>
      <c r="I48" s="242">
        <f t="shared" si="8"/>
        <v>0</v>
      </c>
      <c r="L48">
        <f t="shared" si="11"/>
        <v>0</v>
      </c>
      <c r="O48">
        <f t="shared" si="12"/>
        <v>0</v>
      </c>
      <c r="P48">
        <f t="shared" si="5"/>
        <v>0</v>
      </c>
    </row>
    <row r="49" spans="1:16" ht="15.5" customHeight="1" x14ac:dyDescent="0.3">
      <c r="A49" s="189">
        <f>Calc!AJ49</f>
        <v>43</v>
      </c>
      <c r="B49" s="189" t="str">
        <f>Calc!AK49</f>
        <v/>
      </c>
      <c r="C49" s="189" t="str">
        <f>Calc!AL49</f>
        <v>7610 Beiträge weitere Sponsoren</v>
      </c>
      <c r="D49" s="239">
        <f>Calc!AM49</f>
        <v>0</v>
      </c>
      <c r="E49" s="242">
        <f t="shared" si="9"/>
        <v>0</v>
      </c>
      <c r="F49" s="245">
        <f t="shared" si="6"/>
        <v>0</v>
      </c>
      <c r="G49" s="242">
        <f t="shared" si="10"/>
        <v>0</v>
      </c>
      <c r="H49" s="64">
        <f t="shared" si="7"/>
        <v>0</v>
      </c>
      <c r="I49" s="242">
        <f t="shared" si="8"/>
        <v>0</v>
      </c>
      <c r="L49">
        <f t="shared" si="11"/>
        <v>0</v>
      </c>
      <c r="O49">
        <f t="shared" si="12"/>
        <v>0</v>
      </c>
      <c r="P49">
        <f t="shared" si="5"/>
        <v>0</v>
      </c>
    </row>
    <row r="50" spans="1:16" ht="15.5" customHeight="1" x14ac:dyDescent="0.3">
      <c r="A50" s="189">
        <f>Calc!AJ50</f>
        <v>44</v>
      </c>
      <c r="B50" s="189" t="str">
        <f>Calc!AK50</f>
        <v/>
      </c>
      <c r="C50" s="189" t="str">
        <f>Calc!AL50</f>
        <v>7700 Inserate Vereinszeitschrift</v>
      </c>
      <c r="D50" s="239">
        <f>Calc!AM50</f>
        <v>0</v>
      </c>
      <c r="E50" s="242">
        <f t="shared" si="9"/>
        <v>0</v>
      </c>
      <c r="F50" s="245">
        <f t="shared" si="6"/>
        <v>0</v>
      </c>
      <c r="G50" s="242">
        <f t="shared" si="10"/>
        <v>0</v>
      </c>
      <c r="H50" s="64">
        <f t="shared" si="7"/>
        <v>0</v>
      </c>
      <c r="I50" s="242">
        <f t="shared" si="8"/>
        <v>0</v>
      </c>
      <c r="L50">
        <f t="shared" si="11"/>
        <v>0</v>
      </c>
      <c r="O50">
        <f t="shared" si="12"/>
        <v>0</v>
      </c>
      <c r="P50">
        <f t="shared" si="5"/>
        <v>0</v>
      </c>
    </row>
    <row r="51" spans="1:16" ht="15.5" customHeight="1" x14ac:dyDescent="0.3">
      <c r="A51" s="189">
        <f>Calc!AJ51</f>
        <v>44</v>
      </c>
      <c r="B51" s="189" t="str">
        <f>Calc!AK51</f>
        <v>Sub</v>
      </c>
      <c r="C51" s="189" t="str">
        <f>Calc!AL51</f>
        <v/>
      </c>
      <c r="D51" s="239">
        <f>Calc!AM51</f>
        <v>0</v>
      </c>
      <c r="E51" s="242">
        <f t="shared" si="9"/>
        <v>0</v>
      </c>
      <c r="F51" s="245">
        <f t="shared" si="6"/>
        <v>0</v>
      </c>
      <c r="G51" s="242">
        <f t="shared" si="10"/>
        <v>0</v>
      </c>
      <c r="H51" s="64">
        <f t="shared" si="7"/>
        <v>0</v>
      </c>
      <c r="I51" s="242">
        <f t="shared" si="8"/>
        <v>0</v>
      </c>
      <c r="L51">
        <f t="shared" si="11"/>
        <v>0</v>
      </c>
      <c r="O51">
        <f t="shared" si="12"/>
        <v>0</v>
      </c>
      <c r="P51">
        <f t="shared" si="5"/>
        <v>0</v>
      </c>
    </row>
    <row r="52" spans="1:16" ht="15.5" customHeight="1" x14ac:dyDescent="0.3">
      <c r="A52" s="189">
        <f>Calc!AJ52</f>
        <v>44</v>
      </c>
      <c r="B52" s="189" t="str">
        <f>Calc!AK52</f>
        <v/>
      </c>
      <c r="C52" s="189" t="str">
        <f>Calc!AL52</f>
        <v/>
      </c>
      <c r="D52" s="239" t="str">
        <f>Calc!AM52</f>
        <v/>
      </c>
      <c r="E52" s="242">
        <f t="shared" si="9"/>
        <v>0</v>
      </c>
      <c r="F52" s="245" t="str">
        <f t="shared" si="6"/>
        <v/>
      </c>
      <c r="G52" s="242">
        <f t="shared" si="10"/>
        <v>0</v>
      </c>
      <c r="H52" s="64" t="str">
        <f t="shared" si="7"/>
        <v/>
      </c>
      <c r="I52" s="242">
        <f t="shared" si="8"/>
        <v>0</v>
      </c>
      <c r="L52">
        <f t="shared" si="11"/>
        <v>0</v>
      </c>
      <c r="O52">
        <f t="shared" si="12"/>
        <v>0</v>
      </c>
      <c r="P52">
        <f t="shared" si="5"/>
        <v>0</v>
      </c>
    </row>
    <row r="53" spans="1:16" ht="15.5" customHeight="1" x14ac:dyDescent="0.3">
      <c r="A53" s="189">
        <f>Calc!AJ53</f>
        <v>47</v>
      </c>
      <c r="B53" s="189" t="str">
        <f>Calc!AK53</f>
        <v>T_ER</v>
      </c>
      <c r="C53" s="189" t="str">
        <f>Calc!AL53</f>
        <v xml:space="preserve">Weitere Erträge </v>
      </c>
      <c r="D53" s="239" t="str">
        <f>Calc!AM53</f>
        <v/>
      </c>
      <c r="E53" s="242">
        <f t="shared" si="9"/>
        <v>0</v>
      </c>
      <c r="F53" s="245" t="str">
        <f t="shared" si="6"/>
        <v/>
      </c>
      <c r="G53" s="242">
        <f t="shared" si="10"/>
        <v>0</v>
      </c>
      <c r="H53" s="64" t="str">
        <f t="shared" si="7"/>
        <v/>
      </c>
      <c r="I53" s="242">
        <f t="shared" si="8"/>
        <v>0</v>
      </c>
      <c r="L53">
        <f t="shared" si="11"/>
        <v>0</v>
      </c>
      <c r="O53">
        <f t="shared" si="12"/>
        <v>0</v>
      </c>
      <c r="P53">
        <f t="shared" si="5"/>
        <v>0</v>
      </c>
    </row>
    <row r="54" spans="1:16" ht="15.5" customHeight="1" x14ac:dyDescent="0.3">
      <c r="A54" s="189">
        <f>Calc!AJ54</f>
        <v>48</v>
      </c>
      <c r="B54" s="189" t="str">
        <f>Calc!AK54</f>
        <v/>
      </c>
      <c r="C54" s="189" t="str">
        <f>Calc!AL54</f>
        <v>8000 Subventionen</v>
      </c>
      <c r="D54" s="239">
        <f>Calc!AM54</f>
        <v>0</v>
      </c>
      <c r="E54" s="242">
        <f t="shared" si="9"/>
        <v>0</v>
      </c>
      <c r="F54" s="245">
        <f t="shared" si="6"/>
        <v>0</v>
      </c>
      <c r="G54" s="242">
        <f t="shared" si="10"/>
        <v>0</v>
      </c>
      <c r="H54" s="64">
        <f t="shared" si="7"/>
        <v>0</v>
      </c>
      <c r="I54" s="242">
        <f t="shared" si="8"/>
        <v>0</v>
      </c>
      <c r="L54">
        <f t="shared" si="11"/>
        <v>0</v>
      </c>
      <c r="O54">
        <f t="shared" si="12"/>
        <v>0</v>
      </c>
      <c r="P54">
        <f t="shared" si="5"/>
        <v>0</v>
      </c>
    </row>
    <row r="55" spans="1:16" ht="15.5" customHeight="1" x14ac:dyDescent="0.3">
      <c r="A55" s="189">
        <f>Calc!AJ55</f>
        <v>49</v>
      </c>
      <c r="B55" s="189" t="str">
        <f>Calc!AK55</f>
        <v/>
      </c>
      <c r="C55" s="189" t="str">
        <f>Calc!AL55</f>
        <v>8200 Zinsertrag</v>
      </c>
      <c r="D55" s="239">
        <f>Calc!AM55</f>
        <v>0</v>
      </c>
      <c r="E55" s="242">
        <f t="shared" si="9"/>
        <v>0</v>
      </c>
      <c r="F55" s="245">
        <f t="shared" si="6"/>
        <v>0</v>
      </c>
      <c r="G55" s="242">
        <f t="shared" si="10"/>
        <v>0</v>
      </c>
      <c r="H55" s="64">
        <f t="shared" si="7"/>
        <v>0</v>
      </c>
      <c r="I55" s="242">
        <f t="shared" si="8"/>
        <v>0</v>
      </c>
      <c r="L55">
        <f t="shared" si="11"/>
        <v>0</v>
      </c>
      <c r="O55">
        <f t="shared" si="12"/>
        <v>0</v>
      </c>
      <c r="P55">
        <f t="shared" si="5"/>
        <v>0</v>
      </c>
    </row>
    <row r="56" spans="1:16" ht="15.5" customHeight="1" x14ac:dyDescent="0.3">
      <c r="A56" s="189">
        <f>Calc!AJ56</f>
        <v>50</v>
      </c>
      <c r="B56" s="189" t="str">
        <f>Calc!AK56</f>
        <v/>
      </c>
      <c r="C56" s="189" t="str">
        <f>Calc!AL56</f>
        <v>8300 diverse Erträge</v>
      </c>
      <c r="D56" s="239">
        <f>Calc!AM56</f>
        <v>0</v>
      </c>
      <c r="E56" s="242">
        <f t="shared" si="9"/>
        <v>0</v>
      </c>
      <c r="F56" s="245">
        <f t="shared" si="6"/>
        <v>0</v>
      </c>
      <c r="G56" s="242">
        <f t="shared" si="10"/>
        <v>0</v>
      </c>
      <c r="H56" s="64">
        <f t="shared" si="7"/>
        <v>0</v>
      </c>
      <c r="I56" s="242">
        <f t="shared" si="8"/>
        <v>0</v>
      </c>
      <c r="L56">
        <f t="shared" si="11"/>
        <v>0</v>
      </c>
      <c r="O56">
        <f t="shared" si="12"/>
        <v>0</v>
      </c>
      <c r="P56">
        <f t="shared" si="5"/>
        <v>0</v>
      </c>
    </row>
    <row r="57" spans="1:16" ht="15.5" customHeight="1" x14ac:dyDescent="0.3">
      <c r="A57" s="189">
        <f>Calc!AJ57</f>
        <v>51</v>
      </c>
      <c r="B57" s="189" t="str">
        <f>Calc!AK57</f>
        <v/>
      </c>
      <c r="C57" s="189" t="str">
        <f>Calc!AL57</f>
        <v>9999 Eröffnungskonto</v>
      </c>
      <c r="D57" s="239">
        <f>Calc!AM57</f>
        <v>0</v>
      </c>
      <c r="E57" s="242">
        <f t="shared" si="9"/>
        <v>0</v>
      </c>
      <c r="F57" s="245">
        <f t="shared" si="6"/>
        <v>0</v>
      </c>
      <c r="G57" s="242">
        <f t="shared" si="10"/>
        <v>0</v>
      </c>
      <c r="H57" s="64">
        <f t="shared" si="7"/>
        <v>0</v>
      </c>
      <c r="I57" s="242">
        <f t="shared" si="8"/>
        <v>0</v>
      </c>
      <c r="L57">
        <f t="shared" si="11"/>
        <v>0</v>
      </c>
      <c r="O57">
        <f t="shared" si="12"/>
        <v>0</v>
      </c>
      <c r="P57">
        <f t="shared" si="5"/>
        <v>0</v>
      </c>
    </row>
    <row r="58" spans="1:16" ht="15.5" customHeight="1" x14ac:dyDescent="0.3">
      <c r="A58" s="189">
        <f>Calc!AJ58</f>
        <v>51.004000000000133</v>
      </c>
      <c r="B58" s="189" t="str">
        <f>Calc!AK58</f>
        <v>Sub</v>
      </c>
      <c r="C58" s="189" t="str">
        <f>Calc!AL58</f>
        <v/>
      </c>
      <c r="D58" s="239">
        <f>Calc!AM58</f>
        <v>0</v>
      </c>
      <c r="E58" s="242">
        <f t="shared" si="9"/>
        <v>0</v>
      </c>
      <c r="F58" s="245">
        <f t="shared" si="6"/>
        <v>0</v>
      </c>
      <c r="G58" s="242">
        <f t="shared" si="10"/>
        <v>0</v>
      </c>
      <c r="H58" s="64">
        <f t="shared" si="7"/>
        <v>0</v>
      </c>
      <c r="I58" s="242">
        <f t="shared" si="8"/>
        <v>0</v>
      </c>
      <c r="L58">
        <f t="shared" si="11"/>
        <v>0</v>
      </c>
      <c r="O58">
        <f t="shared" si="12"/>
        <v>0</v>
      </c>
      <c r="P58">
        <f t="shared" si="5"/>
        <v>0</v>
      </c>
    </row>
    <row r="59" spans="1:16" ht="15.5" customHeight="1" x14ac:dyDescent="0.3">
      <c r="A59" s="189">
        <f>Calc!AJ59</f>
        <v>51.004000000000133</v>
      </c>
      <c r="B59" s="189" t="str">
        <f>Calc!AK59</f>
        <v/>
      </c>
      <c r="C59" s="189" t="str">
        <f>Calc!AL59</f>
        <v/>
      </c>
      <c r="D59" s="239" t="str">
        <f>Calc!AM59</f>
        <v/>
      </c>
      <c r="E59" s="242">
        <f t="shared" si="9"/>
        <v>0</v>
      </c>
      <c r="F59" s="245" t="str">
        <f t="shared" si="6"/>
        <v/>
      </c>
      <c r="G59" s="242">
        <f t="shared" si="10"/>
        <v>0</v>
      </c>
      <c r="H59" s="64" t="str">
        <f t="shared" si="7"/>
        <v/>
      </c>
      <c r="I59" s="242">
        <f t="shared" si="8"/>
        <v>0</v>
      </c>
      <c r="L59">
        <f t="shared" si="11"/>
        <v>0</v>
      </c>
      <c r="O59">
        <f t="shared" si="12"/>
        <v>0</v>
      </c>
      <c r="P59">
        <f t="shared" si="5"/>
        <v>0</v>
      </c>
    </row>
    <row r="60" spans="1:16" ht="15.5" customHeight="1" x14ac:dyDescent="0.3">
      <c r="A60" s="189">
        <f>Calc!AJ60</f>
        <v>51.004000000000133</v>
      </c>
      <c r="B60" s="189" t="str">
        <f>Calc!AK60</f>
        <v/>
      </c>
      <c r="C60" s="189" t="str">
        <f>Calc!AL60</f>
        <v>Gewinn</v>
      </c>
      <c r="D60" s="239">
        <f>Calc!AM60</f>
        <v>0</v>
      </c>
      <c r="E60" s="242">
        <f t="shared" si="9"/>
        <v>0</v>
      </c>
      <c r="F60" s="245">
        <f t="shared" si="6"/>
        <v>0</v>
      </c>
      <c r="G60" s="242">
        <f t="shared" si="10"/>
        <v>0</v>
      </c>
      <c r="H60" s="64">
        <f t="shared" si="7"/>
        <v>0</v>
      </c>
      <c r="I60" s="242">
        <f t="shared" si="8"/>
        <v>0</v>
      </c>
      <c r="L60">
        <f t="shared" si="11"/>
        <v>0</v>
      </c>
      <c r="O60">
        <f t="shared" si="12"/>
        <v>0</v>
      </c>
      <c r="P60">
        <f t="shared" si="5"/>
        <v>0</v>
      </c>
    </row>
    <row r="61" spans="1:16" ht="15.5" customHeight="1" x14ac:dyDescent="0.3">
      <c r="A61" s="189">
        <f>Calc!AJ61</f>
        <v>51.004000000000133</v>
      </c>
      <c r="B61" s="189" t="str">
        <f>Calc!AK61</f>
        <v/>
      </c>
      <c r="C61" s="189" t="str">
        <f>Calc!AL61</f>
        <v/>
      </c>
      <c r="D61" s="239" t="str">
        <f>Calc!AM61</f>
        <v/>
      </c>
      <c r="E61" s="242">
        <f t="shared" si="9"/>
        <v>0</v>
      </c>
      <c r="F61" s="245" t="str">
        <f t="shared" si="6"/>
        <v/>
      </c>
      <c r="G61" s="242">
        <f t="shared" si="10"/>
        <v>0</v>
      </c>
      <c r="H61" s="64" t="str">
        <f t="shared" si="7"/>
        <v/>
      </c>
      <c r="I61" s="242">
        <f t="shared" si="8"/>
        <v>0</v>
      </c>
      <c r="L61">
        <f t="shared" si="11"/>
        <v>0</v>
      </c>
      <c r="O61">
        <f t="shared" si="12"/>
        <v>0</v>
      </c>
      <c r="P61">
        <f t="shared" si="5"/>
        <v>0</v>
      </c>
    </row>
    <row r="62" spans="1:16" ht="15.5" customHeight="1" x14ac:dyDescent="0.3">
      <c r="A62" s="189">
        <f>Calc!AJ62</f>
        <v>51.004000000000133</v>
      </c>
      <c r="B62" s="189" t="str">
        <f>Calc!AK62</f>
        <v/>
      </c>
      <c r="C62" s="189" t="str">
        <f>Calc!AL62</f>
        <v/>
      </c>
      <c r="D62" s="239" t="str">
        <f>Calc!AM62</f>
        <v/>
      </c>
      <c r="E62" s="242">
        <f t="shared" si="9"/>
        <v>0</v>
      </c>
      <c r="F62" s="245" t="str">
        <f t="shared" si="6"/>
        <v/>
      </c>
      <c r="G62" s="242">
        <f t="shared" si="10"/>
        <v>0</v>
      </c>
      <c r="H62" s="64" t="str">
        <f t="shared" si="7"/>
        <v/>
      </c>
      <c r="I62" s="242">
        <f t="shared" si="8"/>
        <v>0</v>
      </c>
      <c r="L62">
        <f t="shared" si="11"/>
        <v>0</v>
      </c>
      <c r="O62">
        <f t="shared" si="12"/>
        <v>0</v>
      </c>
      <c r="P62">
        <f t="shared" si="5"/>
        <v>0</v>
      </c>
    </row>
    <row r="63" spans="1:16" ht="15.5" customHeight="1" x14ac:dyDescent="0.3">
      <c r="A63" s="189">
        <f>Calc!AJ63</f>
        <v>51.004000000000133</v>
      </c>
      <c r="B63" s="189" t="str">
        <f>Calc!AK63</f>
        <v/>
      </c>
      <c r="C63" s="189" t="str">
        <f>Calc!AL63</f>
        <v/>
      </c>
      <c r="D63" s="239" t="str">
        <f>Calc!AM63</f>
        <v/>
      </c>
      <c r="E63" s="242">
        <f t="shared" si="9"/>
        <v>0</v>
      </c>
      <c r="F63" s="245" t="str">
        <f t="shared" si="6"/>
        <v/>
      </c>
      <c r="G63" s="242">
        <f t="shared" si="10"/>
        <v>0</v>
      </c>
      <c r="H63" s="64" t="str">
        <f t="shared" si="7"/>
        <v/>
      </c>
      <c r="I63" s="242">
        <f t="shared" si="8"/>
        <v>0</v>
      </c>
      <c r="L63">
        <f t="shared" si="11"/>
        <v>0</v>
      </c>
      <c r="O63">
        <f t="shared" si="12"/>
        <v>0</v>
      </c>
      <c r="P63">
        <f t="shared" si="5"/>
        <v>0</v>
      </c>
    </row>
    <row r="64" spans="1:16" ht="15.5" customHeight="1" x14ac:dyDescent="0.3">
      <c r="A64" s="189">
        <f>Calc!AJ64</f>
        <v>51.004000000000133</v>
      </c>
      <c r="B64" s="189" t="str">
        <f>Calc!AK64</f>
        <v/>
      </c>
      <c r="C64" s="189" t="str">
        <f>Calc!AL64</f>
        <v/>
      </c>
      <c r="D64" s="239" t="str">
        <f>Calc!AM64</f>
        <v/>
      </c>
      <c r="E64" s="242">
        <f t="shared" si="9"/>
        <v>0</v>
      </c>
      <c r="F64" s="245" t="str">
        <f t="shared" si="6"/>
        <v/>
      </c>
      <c r="G64" s="242">
        <f t="shared" si="10"/>
        <v>0</v>
      </c>
      <c r="H64" s="64" t="str">
        <f t="shared" si="7"/>
        <v/>
      </c>
      <c r="I64" s="242">
        <f t="shared" si="8"/>
        <v>0</v>
      </c>
      <c r="L64">
        <f t="shared" si="11"/>
        <v>0</v>
      </c>
      <c r="O64">
        <f t="shared" si="12"/>
        <v>0</v>
      </c>
      <c r="P64">
        <f t="shared" si="5"/>
        <v>0</v>
      </c>
    </row>
    <row r="65" spans="1:16" ht="15.5" customHeight="1" x14ac:dyDescent="0.3">
      <c r="A65" s="189">
        <f>Calc!AJ65</f>
        <v>51.004000000000133</v>
      </c>
      <c r="B65" s="189" t="str">
        <f>Calc!AK65</f>
        <v/>
      </c>
      <c r="C65" s="189" t="str">
        <f>Calc!AL65</f>
        <v/>
      </c>
      <c r="D65" s="239" t="str">
        <f>Calc!AM65</f>
        <v/>
      </c>
      <c r="E65" s="242">
        <f t="shared" si="9"/>
        <v>0</v>
      </c>
      <c r="F65" s="245" t="str">
        <f t="shared" si="6"/>
        <v/>
      </c>
      <c r="G65" s="242">
        <f t="shared" si="10"/>
        <v>0</v>
      </c>
      <c r="H65" s="64" t="str">
        <f t="shared" si="7"/>
        <v/>
      </c>
      <c r="I65" s="242">
        <f t="shared" si="8"/>
        <v>0</v>
      </c>
      <c r="L65">
        <f t="shared" si="11"/>
        <v>0</v>
      </c>
      <c r="O65">
        <f t="shared" si="12"/>
        <v>0</v>
      </c>
      <c r="P65">
        <f t="shared" si="5"/>
        <v>0</v>
      </c>
    </row>
    <row r="66" spans="1:16" ht="15.5" customHeight="1" x14ac:dyDescent="0.3">
      <c r="A66" s="189">
        <f>Calc!AJ66</f>
        <v>51.004000000000133</v>
      </c>
      <c r="B66" s="189" t="str">
        <f>Calc!AK66</f>
        <v/>
      </c>
      <c r="C66" s="189" t="str">
        <f>Calc!AL66</f>
        <v/>
      </c>
      <c r="D66" s="239" t="str">
        <f>Calc!AM66</f>
        <v/>
      </c>
      <c r="E66" s="242">
        <f t="shared" si="9"/>
        <v>0</v>
      </c>
      <c r="F66" s="245" t="str">
        <f t="shared" si="6"/>
        <v/>
      </c>
      <c r="G66" s="242">
        <f t="shared" si="10"/>
        <v>0</v>
      </c>
      <c r="H66" s="64" t="str">
        <f t="shared" si="7"/>
        <v/>
      </c>
      <c r="I66" s="242">
        <f t="shared" si="8"/>
        <v>0</v>
      </c>
      <c r="L66">
        <f t="shared" si="11"/>
        <v>0</v>
      </c>
      <c r="O66">
        <f t="shared" si="12"/>
        <v>0</v>
      </c>
      <c r="P66">
        <f t="shared" si="5"/>
        <v>0</v>
      </c>
    </row>
    <row r="67" spans="1:16" ht="15.5" customHeight="1" x14ac:dyDescent="0.3">
      <c r="A67" s="189">
        <f>Calc!AJ67</f>
        <v>51.004000000000133</v>
      </c>
      <c r="B67" s="189" t="str">
        <f>Calc!AK67</f>
        <v/>
      </c>
      <c r="C67" s="189" t="str">
        <f>Calc!AL67</f>
        <v/>
      </c>
      <c r="D67" s="239" t="str">
        <f>Calc!AM67</f>
        <v/>
      </c>
      <c r="E67" s="242">
        <f t="shared" si="9"/>
        <v>0</v>
      </c>
      <c r="F67" s="245" t="str">
        <f t="shared" si="6"/>
        <v/>
      </c>
      <c r="G67" s="242">
        <f t="shared" si="10"/>
        <v>0</v>
      </c>
      <c r="H67" s="64" t="str">
        <f t="shared" si="7"/>
        <v/>
      </c>
      <c r="I67" s="242">
        <f t="shared" si="8"/>
        <v>0</v>
      </c>
      <c r="L67">
        <f t="shared" si="11"/>
        <v>0</v>
      </c>
      <c r="O67">
        <f t="shared" si="12"/>
        <v>0</v>
      </c>
      <c r="P67">
        <f t="shared" si="5"/>
        <v>0</v>
      </c>
    </row>
    <row r="68" spans="1:16" ht="15.5" customHeight="1" x14ac:dyDescent="0.3">
      <c r="A68" s="189">
        <f>Calc!AJ68</f>
        <v>51.004000000000133</v>
      </c>
      <c r="B68" s="189" t="str">
        <f>Calc!AK68</f>
        <v/>
      </c>
      <c r="C68" s="189" t="str">
        <f>Calc!AL68</f>
        <v/>
      </c>
      <c r="D68" s="239" t="str">
        <f>Calc!AM68</f>
        <v/>
      </c>
      <c r="E68" s="242">
        <f t="shared" si="9"/>
        <v>0</v>
      </c>
      <c r="F68" s="245" t="str">
        <f t="shared" si="6"/>
        <v/>
      </c>
      <c r="G68" s="242">
        <f t="shared" si="10"/>
        <v>0</v>
      </c>
      <c r="H68" s="64" t="str">
        <f t="shared" si="7"/>
        <v/>
      </c>
      <c r="I68" s="242">
        <f t="shared" si="8"/>
        <v>0</v>
      </c>
      <c r="L68">
        <f t="shared" si="11"/>
        <v>0</v>
      </c>
      <c r="O68">
        <f t="shared" si="12"/>
        <v>0</v>
      </c>
      <c r="P68">
        <f t="shared" si="5"/>
        <v>0</v>
      </c>
    </row>
    <row r="69" spans="1:16" ht="15.5" customHeight="1" x14ac:dyDescent="0.3">
      <c r="A69" s="189">
        <f>Calc!AJ69</f>
        <v>51.004000000000133</v>
      </c>
      <c r="B69" s="189" t="str">
        <f>Calc!AK69</f>
        <v/>
      </c>
      <c r="C69" s="189" t="str">
        <f>Calc!AL69</f>
        <v/>
      </c>
      <c r="D69" s="239" t="str">
        <f>Calc!AM69</f>
        <v/>
      </c>
      <c r="E69" s="242">
        <f t="shared" si="9"/>
        <v>0</v>
      </c>
      <c r="F69" s="245" t="str">
        <f t="shared" si="6"/>
        <v/>
      </c>
      <c r="G69" s="242">
        <f t="shared" si="10"/>
        <v>0</v>
      </c>
      <c r="H69" s="64" t="str">
        <f t="shared" si="7"/>
        <v/>
      </c>
      <c r="I69" s="242">
        <f t="shared" si="8"/>
        <v>0</v>
      </c>
      <c r="L69">
        <f t="shared" si="11"/>
        <v>0</v>
      </c>
      <c r="O69">
        <f t="shared" si="12"/>
        <v>0</v>
      </c>
      <c r="P69">
        <f t="shared" si="5"/>
        <v>0</v>
      </c>
    </row>
    <row r="70" spans="1:16" ht="15.5" customHeight="1" x14ac:dyDescent="0.3">
      <c r="A70" s="189">
        <f>Calc!AJ70</f>
        <v>51.004000000000133</v>
      </c>
      <c r="B70" s="189" t="str">
        <f>Calc!AK70</f>
        <v/>
      </c>
      <c r="C70" s="189" t="str">
        <f>Calc!AL70</f>
        <v/>
      </c>
      <c r="D70" s="239" t="str">
        <f>Calc!AM70</f>
        <v/>
      </c>
      <c r="E70" s="242">
        <f t="shared" si="9"/>
        <v>0</v>
      </c>
      <c r="F70" s="245" t="str">
        <f t="shared" si="6"/>
        <v/>
      </c>
      <c r="G70" s="242">
        <f t="shared" si="10"/>
        <v>0</v>
      </c>
      <c r="H70" s="64" t="str">
        <f t="shared" si="7"/>
        <v/>
      </c>
      <c r="I70" s="242">
        <f t="shared" si="8"/>
        <v>0</v>
      </c>
      <c r="L70">
        <f t="shared" si="11"/>
        <v>0</v>
      </c>
      <c r="O70">
        <f t="shared" si="12"/>
        <v>0</v>
      </c>
      <c r="P70">
        <f t="shared" si="5"/>
        <v>0</v>
      </c>
    </row>
    <row r="71" spans="1:16" ht="15.5" customHeight="1" x14ac:dyDescent="0.3">
      <c r="A71" s="189">
        <f>Calc!AJ71</f>
        <v>51.004000000000133</v>
      </c>
      <c r="B71" s="189" t="str">
        <f>Calc!AK71</f>
        <v/>
      </c>
      <c r="C71" s="189" t="str">
        <f>Calc!AL71</f>
        <v/>
      </c>
      <c r="D71" s="239" t="str">
        <f>Calc!AM71</f>
        <v/>
      </c>
      <c r="E71" s="242">
        <f t="shared" ref="E71:E98" si="13">IF($B71="Sub",L70,0)</f>
        <v>0</v>
      </c>
      <c r="F71" s="245" t="str">
        <f t="shared" si="6"/>
        <v/>
      </c>
      <c r="G71" s="242">
        <f t="shared" ref="G71:G98" si="14">IF($B71="Sub",O70,0)</f>
        <v>0</v>
      </c>
      <c r="H71" s="64" t="str">
        <f t="shared" si="7"/>
        <v/>
      </c>
      <c r="I71" s="242">
        <f t="shared" si="8"/>
        <v>0</v>
      </c>
      <c r="L71">
        <f t="shared" ref="L71:L98" si="15">IF(B71="Sub",0,L70+E71)</f>
        <v>0</v>
      </c>
      <c r="O71">
        <f t="shared" ref="O71:O98" si="16">IF(B71="Sub",0,O70+G71)</f>
        <v>0</v>
      </c>
      <c r="P71">
        <f t="shared" si="5"/>
        <v>0</v>
      </c>
    </row>
    <row r="72" spans="1:16" ht="15.5" customHeight="1" x14ac:dyDescent="0.3">
      <c r="A72" s="189">
        <f>Calc!AJ72</f>
        <v>51.004000000000133</v>
      </c>
      <c r="B72" s="189" t="str">
        <f>Calc!AK72</f>
        <v/>
      </c>
      <c r="C72" s="189" t="str">
        <f>Calc!AL72</f>
        <v/>
      </c>
      <c r="D72" s="239" t="str">
        <f>Calc!AM72</f>
        <v/>
      </c>
      <c r="E72" s="242">
        <f t="shared" si="13"/>
        <v>0</v>
      </c>
      <c r="F72" s="245" t="str">
        <f t="shared" ref="F72:F98" si="17">IF(D72="","",D72-E72)</f>
        <v/>
      </c>
      <c r="G72" s="242">
        <f t="shared" si="14"/>
        <v>0</v>
      </c>
      <c r="H72" s="64" t="str">
        <f t="shared" si="7"/>
        <v/>
      </c>
      <c r="I72" s="242">
        <f t="shared" si="8"/>
        <v>0</v>
      </c>
      <c r="L72">
        <f t="shared" si="15"/>
        <v>0</v>
      </c>
      <c r="O72">
        <f t="shared" si="16"/>
        <v>0</v>
      </c>
      <c r="P72">
        <f t="shared" ref="P72:P98" si="18">IF(B72="Sub",0,P71+I72)</f>
        <v>0</v>
      </c>
    </row>
    <row r="73" spans="1:16" ht="15.5" customHeight="1" x14ac:dyDescent="0.3">
      <c r="A73" s="189">
        <f>Calc!AJ73</f>
        <v>51.004000000000133</v>
      </c>
      <c r="B73" s="189" t="str">
        <f>Calc!AK73</f>
        <v/>
      </c>
      <c r="C73" s="189" t="str">
        <f>Calc!AL73</f>
        <v/>
      </c>
      <c r="D73" s="239" t="str">
        <f>Calc!AM73</f>
        <v/>
      </c>
      <c r="E73" s="242">
        <f t="shared" si="13"/>
        <v>0</v>
      </c>
      <c r="F73" s="245" t="str">
        <f t="shared" si="17"/>
        <v/>
      </c>
      <c r="G73" s="242">
        <f t="shared" si="14"/>
        <v>0</v>
      </c>
      <c r="H73" s="64" t="str">
        <f t="shared" ref="H73:H98" si="19">IF(F73="","",D73-G73)</f>
        <v/>
      </c>
      <c r="I73" s="242">
        <f t="shared" si="8"/>
        <v>0</v>
      </c>
      <c r="L73">
        <f t="shared" si="15"/>
        <v>0</v>
      </c>
      <c r="O73">
        <f t="shared" si="16"/>
        <v>0</v>
      </c>
      <c r="P73">
        <f t="shared" si="18"/>
        <v>0</v>
      </c>
    </row>
    <row r="74" spans="1:16" ht="15.5" customHeight="1" x14ac:dyDescent="0.3">
      <c r="A74" s="189">
        <f>Calc!AJ74</f>
        <v>51.004000000000133</v>
      </c>
      <c r="B74" s="189" t="str">
        <f>Calc!AK74</f>
        <v/>
      </c>
      <c r="C74" s="189" t="str">
        <f>Calc!AL74</f>
        <v/>
      </c>
      <c r="D74" s="239" t="str">
        <f>Calc!AM74</f>
        <v/>
      </c>
      <c r="E74" s="242">
        <f t="shared" si="13"/>
        <v>0</v>
      </c>
      <c r="F74" s="245" t="str">
        <f t="shared" si="17"/>
        <v/>
      </c>
      <c r="G74" s="242">
        <f t="shared" si="14"/>
        <v>0</v>
      </c>
      <c r="H74" s="64" t="str">
        <f t="shared" si="19"/>
        <v/>
      </c>
      <c r="I74" s="242">
        <f t="shared" si="8"/>
        <v>0</v>
      </c>
      <c r="L74">
        <f t="shared" si="15"/>
        <v>0</v>
      </c>
      <c r="O74">
        <f t="shared" si="16"/>
        <v>0</v>
      </c>
      <c r="P74">
        <f t="shared" si="18"/>
        <v>0</v>
      </c>
    </row>
    <row r="75" spans="1:16" ht="15.5" customHeight="1" x14ac:dyDescent="0.3">
      <c r="A75" s="189">
        <f>Calc!AJ75</f>
        <v>51.004000000000133</v>
      </c>
      <c r="B75" s="189" t="str">
        <f>Calc!AK75</f>
        <v/>
      </c>
      <c r="C75" s="189" t="str">
        <f>Calc!AL75</f>
        <v/>
      </c>
      <c r="D75" s="239" t="str">
        <f>Calc!AM75</f>
        <v/>
      </c>
      <c r="E75" s="242">
        <f t="shared" si="13"/>
        <v>0</v>
      </c>
      <c r="F75" s="245" t="str">
        <f t="shared" si="17"/>
        <v/>
      </c>
      <c r="G75" s="242">
        <f t="shared" si="14"/>
        <v>0</v>
      </c>
      <c r="H75" s="64" t="str">
        <f t="shared" si="19"/>
        <v/>
      </c>
      <c r="I75" s="242">
        <f t="shared" ref="I75:I98" si="20">IF($B75="Sub",P74,0)</f>
        <v>0</v>
      </c>
      <c r="L75">
        <f t="shared" si="15"/>
        <v>0</v>
      </c>
      <c r="O75">
        <f t="shared" si="16"/>
        <v>0</v>
      </c>
      <c r="P75">
        <f t="shared" si="18"/>
        <v>0</v>
      </c>
    </row>
    <row r="76" spans="1:16" ht="15.5" customHeight="1" x14ac:dyDescent="0.3">
      <c r="A76" s="189">
        <f>Calc!AJ76</f>
        <v>51.004000000000133</v>
      </c>
      <c r="B76" s="189" t="str">
        <f>Calc!AK76</f>
        <v/>
      </c>
      <c r="C76" s="189" t="str">
        <f>Calc!AL76</f>
        <v/>
      </c>
      <c r="D76" s="239" t="str">
        <f>Calc!AM76</f>
        <v/>
      </c>
      <c r="E76" s="242">
        <f t="shared" si="13"/>
        <v>0</v>
      </c>
      <c r="F76" s="245" t="str">
        <f t="shared" si="17"/>
        <v/>
      </c>
      <c r="G76" s="242">
        <f t="shared" si="14"/>
        <v>0</v>
      </c>
      <c r="H76" s="64" t="str">
        <f t="shared" si="19"/>
        <v/>
      </c>
      <c r="I76" s="242">
        <f t="shared" si="20"/>
        <v>0</v>
      </c>
      <c r="L76">
        <f t="shared" si="15"/>
        <v>0</v>
      </c>
      <c r="O76">
        <f t="shared" si="16"/>
        <v>0</v>
      </c>
      <c r="P76">
        <f t="shared" si="18"/>
        <v>0</v>
      </c>
    </row>
    <row r="77" spans="1:16" ht="15.5" customHeight="1" x14ac:dyDescent="0.3">
      <c r="A77" s="189">
        <f>Calc!AJ77</f>
        <v>51.004000000000133</v>
      </c>
      <c r="B77" s="189" t="str">
        <f>Calc!AK77</f>
        <v/>
      </c>
      <c r="C77" s="189" t="str">
        <f>Calc!AL77</f>
        <v/>
      </c>
      <c r="D77" s="239" t="str">
        <f>Calc!AM77</f>
        <v/>
      </c>
      <c r="E77" s="242">
        <f t="shared" si="13"/>
        <v>0</v>
      </c>
      <c r="F77" s="245" t="str">
        <f t="shared" si="17"/>
        <v/>
      </c>
      <c r="G77" s="242">
        <f t="shared" si="14"/>
        <v>0</v>
      </c>
      <c r="H77" s="64" t="str">
        <f t="shared" si="19"/>
        <v/>
      </c>
      <c r="I77" s="242">
        <f t="shared" si="20"/>
        <v>0</v>
      </c>
      <c r="L77">
        <f t="shared" si="15"/>
        <v>0</v>
      </c>
      <c r="O77">
        <f t="shared" si="16"/>
        <v>0</v>
      </c>
      <c r="P77">
        <f t="shared" si="18"/>
        <v>0</v>
      </c>
    </row>
    <row r="78" spans="1:16" ht="15.5" customHeight="1" x14ac:dyDescent="0.3">
      <c r="A78" s="189">
        <f>Calc!AJ78</f>
        <v>51.004000000000133</v>
      </c>
      <c r="B78" s="189" t="str">
        <f>Calc!AK78</f>
        <v/>
      </c>
      <c r="C78" s="189" t="str">
        <f>Calc!AL78</f>
        <v/>
      </c>
      <c r="D78" s="239" t="str">
        <f>Calc!AM78</f>
        <v/>
      </c>
      <c r="E78" s="242">
        <f t="shared" si="13"/>
        <v>0</v>
      </c>
      <c r="F78" s="245" t="str">
        <f t="shared" si="17"/>
        <v/>
      </c>
      <c r="G78" s="242">
        <f t="shared" si="14"/>
        <v>0</v>
      </c>
      <c r="H78" s="64" t="str">
        <f t="shared" si="19"/>
        <v/>
      </c>
      <c r="I78" s="242">
        <f t="shared" si="20"/>
        <v>0</v>
      </c>
      <c r="L78">
        <f t="shared" si="15"/>
        <v>0</v>
      </c>
      <c r="O78">
        <f t="shared" si="16"/>
        <v>0</v>
      </c>
      <c r="P78">
        <f t="shared" si="18"/>
        <v>0</v>
      </c>
    </row>
    <row r="79" spans="1:16" ht="15.5" customHeight="1" x14ac:dyDescent="0.3">
      <c r="A79" s="189">
        <f>Calc!AJ79</f>
        <v>51.004000000000133</v>
      </c>
      <c r="B79" s="189" t="str">
        <f>Calc!AK79</f>
        <v/>
      </c>
      <c r="C79" s="189" t="str">
        <f>Calc!AL79</f>
        <v/>
      </c>
      <c r="D79" s="239" t="str">
        <f>Calc!AM79</f>
        <v/>
      </c>
      <c r="E79" s="242">
        <f t="shared" si="13"/>
        <v>0</v>
      </c>
      <c r="F79" s="245" t="str">
        <f t="shared" si="17"/>
        <v/>
      </c>
      <c r="G79" s="242">
        <f t="shared" si="14"/>
        <v>0</v>
      </c>
      <c r="H79" s="64" t="str">
        <f t="shared" si="19"/>
        <v/>
      </c>
      <c r="I79" s="242">
        <f t="shared" si="20"/>
        <v>0</v>
      </c>
      <c r="L79">
        <f t="shared" si="15"/>
        <v>0</v>
      </c>
      <c r="O79">
        <f t="shared" si="16"/>
        <v>0</v>
      </c>
      <c r="P79">
        <f t="shared" si="18"/>
        <v>0</v>
      </c>
    </row>
    <row r="80" spans="1:16" ht="15.5" customHeight="1" x14ac:dyDescent="0.3">
      <c r="A80" s="189">
        <f>Calc!AJ80</f>
        <v>51.004000000000133</v>
      </c>
      <c r="B80" s="189" t="str">
        <f>Calc!AK80</f>
        <v/>
      </c>
      <c r="C80" s="189" t="str">
        <f>Calc!AL80</f>
        <v/>
      </c>
      <c r="D80" s="239" t="str">
        <f>Calc!AM80</f>
        <v/>
      </c>
      <c r="E80" s="242">
        <f t="shared" si="13"/>
        <v>0</v>
      </c>
      <c r="F80" s="245" t="str">
        <f t="shared" si="17"/>
        <v/>
      </c>
      <c r="G80" s="242">
        <f t="shared" si="14"/>
        <v>0</v>
      </c>
      <c r="H80" s="64" t="str">
        <f t="shared" si="19"/>
        <v/>
      </c>
      <c r="I80" s="242">
        <f t="shared" si="20"/>
        <v>0</v>
      </c>
      <c r="L80">
        <f t="shared" si="15"/>
        <v>0</v>
      </c>
      <c r="O80">
        <f t="shared" si="16"/>
        <v>0</v>
      </c>
      <c r="P80">
        <f t="shared" si="18"/>
        <v>0</v>
      </c>
    </row>
    <row r="81" spans="1:16" ht="15.5" customHeight="1" x14ac:dyDescent="0.3">
      <c r="A81" s="189">
        <f>Calc!AJ81</f>
        <v>51.004000000000133</v>
      </c>
      <c r="B81" s="189" t="str">
        <f>Calc!AK81</f>
        <v/>
      </c>
      <c r="C81" s="189" t="str">
        <f>Calc!AL81</f>
        <v/>
      </c>
      <c r="D81" s="239" t="str">
        <f>Calc!AM81</f>
        <v/>
      </c>
      <c r="E81" s="242">
        <f t="shared" si="13"/>
        <v>0</v>
      </c>
      <c r="F81" s="245" t="str">
        <f t="shared" si="17"/>
        <v/>
      </c>
      <c r="G81" s="242">
        <f t="shared" si="14"/>
        <v>0</v>
      </c>
      <c r="H81" s="64" t="str">
        <f t="shared" si="19"/>
        <v/>
      </c>
      <c r="I81" s="242">
        <f t="shared" si="20"/>
        <v>0</v>
      </c>
      <c r="L81">
        <f t="shared" si="15"/>
        <v>0</v>
      </c>
      <c r="O81">
        <f t="shared" si="16"/>
        <v>0</v>
      </c>
      <c r="P81">
        <f t="shared" si="18"/>
        <v>0</v>
      </c>
    </row>
    <row r="82" spans="1:16" ht="15.5" customHeight="1" x14ac:dyDescent="0.3">
      <c r="A82" s="189">
        <f>Calc!AJ82</f>
        <v>51.004000000000133</v>
      </c>
      <c r="B82" s="189" t="str">
        <f>Calc!AK82</f>
        <v/>
      </c>
      <c r="C82" s="189" t="str">
        <f>Calc!AL82</f>
        <v/>
      </c>
      <c r="D82" s="239" t="str">
        <f>Calc!AM82</f>
        <v/>
      </c>
      <c r="E82" s="242">
        <f t="shared" si="13"/>
        <v>0</v>
      </c>
      <c r="F82" s="245" t="str">
        <f t="shared" si="17"/>
        <v/>
      </c>
      <c r="G82" s="242">
        <f t="shared" si="14"/>
        <v>0</v>
      </c>
      <c r="H82" s="64" t="str">
        <f t="shared" si="19"/>
        <v/>
      </c>
      <c r="I82" s="242">
        <f t="shared" si="20"/>
        <v>0</v>
      </c>
      <c r="L82">
        <f t="shared" si="15"/>
        <v>0</v>
      </c>
      <c r="O82">
        <f t="shared" si="16"/>
        <v>0</v>
      </c>
      <c r="P82">
        <f t="shared" si="18"/>
        <v>0</v>
      </c>
    </row>
    <row r="83" spans="1:16" ht="15.5" customHeight="1" x14ac:dyDescent="0.3">
      <c r="A83" s="189">
        <f>Calc!AJ83</f>
        <v>51.004000000000133</v>
      </c>
      <c r="B83" s="189" t="str">
        <f>Calc!AK83</f>
        <v/>
      </c>
      <c r="C83" s="189" t="str">
        <f>Calc!AL83</f>
        <v/>
      </c>
      <c r="D83" s="239" t="str">
        <f>Calc!AM83</f>
        <v/>
      </c>
      <c r="E83" s="242">
        <f t="shared" si="13"/>
        <v>0</v>
      </c>
      <c r="F83" s="245" t="str">
        <f t="shared" si="17"/>
        <v/>
      </c>
      <c r="G83" s="242">
        <f t="shared" si="14"/>
        <v>0</v>
      </c>
      <c r="H83" s="64" t="str">
        <f t="shared" si="19"/>
        <v/>
      </c>
      <c r="I83" s="242">
        <f t="shared" si="20"/>
        <v>0</v>
      </c>
      <c r="L83">
        <f t="shared" si="15"/>
        <v>0</v>
      </c>
      <c r="O83">
        <f t="shared" si="16"/>
        <v>0</v>
      </c>
      <c r="P83">
        <f t="shared" si="18"/>
        <v>0</v>
      </c>
    </row>
    <row r="84" spans="1:16" ht="15.5" customHeight="1" x14ac:dyDescent="0.3">
      <c r="A84" s="189">
        <f>Calc!AJ84</f>
        <v>51.004000000000133</v>
      </c>
      <c r="B84" s="189" t="str">
        <f>Calc!AK84</f>
        <v/>
      </c>
      <c r="C84" s="189" t="str">
        <f>Calc!AL84</f>
        <v/>
      </c>
      <c r="D84" s="239" t="str">
        <f>Calc!AM84</f>
        <v/>
      </c>
      <c r="E84" s="242">
        <f t="shared" si="13"/>
        <v>0</v>
      </c>
      <c r="F84" s="245" t="str">
        <f t="shared" si="17"/>
        <v/>
      </c>
      <c r="G84" s="242">
        <f t="shared" si="14"/>
        <v>0</v>
      </c>
      <c r="H84" s="64" t="str">
        <f t="shared" si="19"/>
        <v/>
      </c>
      <c r="I84" s="242">
        <f t="shared" si="20"/>
        <v>0</v>
      </c>
      <c r="L84">
        <f t="shared" si="15"/>
        <v>0</v>
      </c>
      <c r="O84">
        <f t="shared" si="16"/>
        <v>0</v>
      </c>
      <c r="P84">
        <f t="shared" si="18"/>
        <v>0</v>
      </c>
    </row>
    <row r="85" spans="1:16" ht="15.5" customHeight="1" x14ac:dyDescent="0.3">
      <c r="A85" s="189">
        <f>Calc!AJ85</f>
        <v>51.004000000000133</v>
      </c>
      <c r="B85" s="189" t="str">
        <f>Calc!AK85</f>
        <v/>
      </c>
      <c r="C85" s="189" t="str">
        <f>Calc!AL85</f>
        <v/>
      </c>
      <c r="D85" s="239" t="str">
        <f>Calc!AM85</f>
        <v/>
      </c>
      <c r="E85" s="242">
        <f t="shared" si="13"/>
        <v>0</v>
      </c>
      <c r="F85" s="245" t="str">
        <f t="shared" si="17"/>
        <v/>
      </c>
      <c r="G85" s="242">
        <f t="shared" si="14"/>
        <v>0</v>
      </c>
      <c r="H85" s="64" t="str">
        <f t="shared" si="19"/>
        <v/>
      </c>
      <c r="I85" s="242">
        <f t="shared" si="20"/>
        <v>0</v>
      </c>
      <c r="L85">
        <f t="shared" si="15"/>
        <v>0</v>
      </c>
      <c r="O85">
        <f t="shared" si="16"/>
        <v>0</v>
      </c>
      <c r="P85">
        <f t="shared" si="18"/>
        <v>0</v>
      </c>
    </row>
    <row r="86" spans="1:16" ht="15.5" customHeight="1" x14ac:dyDescent="0.3">
      <c r="A86" s="189">
        <f>Calc!AJ86</f>
        <v>51.004000000000133</v>
      </c>
      <c r="B86" s="189" t="str">
        <f>Calc!AK86</f>
        <v/>
      </c>
      <c r="C86" s="189" t="str">
        <f>Calc!AL86</f>
        <v/>
      </c>
      <c r="D86" s="239" t="str">
        <f>Calc!AM86</f>
        <v/>
      </c>
      <c r="E86" s="242">
        <f t="shared" si="13"/>
        <v>0</v>
      </c>
      <c r="F86" s="245" t="str">
        <f t="shared" si="17"/>
        <v/>
      </c>
      <c r="G86" s="242">
        <f t="shared" si="14"/>
        <v>0</v>
      </c>
      <c r="H86" s="64" t="str">
        <f t="shared" si="19"/>
        <v/>
      </c>
      <c r="I86" s="242">
        <f t="shared" si="20"/>
        <v>0</v>
      </c>
      <c r="L86">
        <f t="shared" si="15"/>
        <v>0</v>
      </c>
      <c r="O86">
        <f t="shared" si="16"/>
        <v>0</v>
      </c>
      <c r="P86">
        <f t="shared" si="18"/>
        <v>0</v>
      </c>
    </row>
    <row r="87" spans="1:16" ht="15.5" customHeight="1" x14ac:dyDescent="0.3">
      <c r="A87" s="189">
        <f>Calc!AJ87</f>
        <v>51.004000000000133</v>
      </c>
      <c r="B87" s="189" t="str">
        <f>Calc!AK87</f>
        <v/>
      </c>
      <c r="C87" s="189" t="str">
        <f>Calc!AL87</f>
        <v/>
      </c>
      <c r="D87" s="239" t="str">
        <f>Calc!AM87</f>
        <v/>
      </c>
      <c r="E87" s="242">
        <f t="shared" si="13"/>
        <v>0</v>
      </c>
      <c r="F87" s="245" t="str">
        <f t="shared" si="17"/>
        <v/>
      </c>
      <c r="G87" s="242">
        <f t="shared" si="14"/>
        <v>0</v>
      </c>
      <c r="H87" s="64" t="str">
        <f t="shared" si="19"/>
        <v/>
      </c>
      <c r="I87" s="242">
        <f t="shared" si="20"/>
        <v>0</v>
      </c>
      <c r="L87">
        <f t="shared" si="15"/>
        <v>0</v>
      </c>
      <c r="O87">
        <f t="shared" si="16"/>
        <v>0</v>
      </c>
      <c r="P87">
        <f t="shared" si="18"/>
        <v>0</v>
      </c>
    </row>
    <row r="88" spans="1:16" ht="15.5" customHeight="1" x14ac:dyDescent="0.3">
      <c r="A88" s="189">
        <f>Calc!AJ88</f>
        <v>51.004000000000133</v>
      </c>
      <c r="B88" s="189" t="str">
        <f>Calc!AK88</f>
        <v/>
      </c>
      <c r="C88" s="189" t="str">
        <f>Calc!AL88</f>
        <v/>
      </c>
      <c r="D88" s="239" t="str">
        <f>Calc!AM88</f>
        <v/>
      </c>
      <c r="E88" s="242">
        <f t="shared" si="13"/>
        <v>0</v>
      </c>
      <c r="F88" s="245" t="str">
        <f t="shared" si="17"/>
        <v/>
      </c>
      <c r="G88" s="242">
        <f t="shared" si="14"/>
        <v>0</v>
      </c>
      <c r="H88" s="64" t="str">
        <f t="shared" si="19"/>
        <v/>
      </c>
      <c r="I88" s="242">
        <f t="shared" si="20"/>
        <v>0</v>
      </c>
      <c r="L88">
        <f t="shared" si="15"/>
        <v>0</v>
      </c>
      <c r="O88">
        <f t="shared" si="16"/>
        <v>0</v>
      </c>
      <c r="P88">
        <f t="shared" si="18"/>
        <v>0</v>
      </c>
    </row>
    <row r="89" spans="1:16" ht="15.5" customHeight="1" x14ac:dyDescent="0.3">
      <c r="A89" s="189">
        <f>Calc!AJ89</f>
        <v>51.004000000000133</v>
      </c>
      <c r="B89" s="189" t="str">
        <f>Calc!AK89</f>
        <v/>
      </c>
      <c r="C89" s="189" t="str">
        <f>Calc!AL89</f>
        <v/>
      </c>
      <c r="D89" s="239" t="str">
        <f>Calc!AM89</f>
        <v/>
      </c>
      <c r="E89" s="242">
        <f t="shared" si="13"/>
        <v>0</v>
      </c>
      <c r="F89" s="245" t="str">
        <f t="shared" si="17"/>
        <v/>
      </c>
      <c r="G89" s="242">
        <f t="shared" si="14"/>
        <v>0</v>
      </c>
      <c r="H89" s="64" t="str">
        <f t="shared" si="19"/>
        <v/>
      </c>
      <c r="I89" s="242">
        <f t="shared" si="20"/>
        <v>0</v>
      </c>
      <c r="L89">
        <f t="shared" si="15"/>
        <v>0</v>
      </c>
      <c r="O89">
        <f t="shared" si="16"/>
        <v>0</v>
      </c>
      <c r="P89">
        <f t="shared" si="18"/>
        <v>0</v>
      </c>
    </row>
    <row r="90" spans="1:16" ht="15.5" customHeight="1" x14ac:dyDescent="0.3">
      <c r="A90" s="189">
        <f>Calc!AJ90</f>
        <v>51.004000000000133</v>
      </c>
      <c r="B90" s="189" t="str">
        <f>Calc!AK90</f>
        <v/>
      </c>
      <c r="C90" s="189" t="str">
        <f>Calc!AL90</f>
        <v/>
      </c>
      <c r="D90" s="239" t="str">
        <f>Calc!AM90</f>
        <v/>
      </c>
      <c r="E90" s="242">
        <f t="shared" si="13"/>
        <v>0</v>
      </c>
      <c r="F90" s="245" t="str">
        <f t="shared" si="17"/>
        <v/>
      </c>
      <c r="G90" s="242">
        <f t="shared" si="14"/>
        <v>0</v>
      </c>
      <c r="H90" s="64" t="str">
        <f t="shared" si="19"/>
        <v/>
      </c>
      <c r="I90" s="242">
        <f t="shared" si="20"/>
        <v>0</v>
      </c>
      <c r="L90">
        <f t="shared" si="15"/>
        <v>0</v>
      </c>
      <c r="O90">
        <f t="shared" si="16"/>
        <v>0</v>
      </c>
      <c r="P90">
        <f t="shared" si="18"/>
        <v>0</v>
      </c>
    </row>
    <row r="91" spans="1:16" ht="15.5" customHeight="1" x14ac:dyDescent="0.3">
      <c r="A91" s="189">
        <f>Calc!AJ91</f>
        <v>51.004000000000133</v>
      </c>
      <c r="B91" s="189" t="str">
        <f>Calc!AK91</f>
        <v/>
      </c>
      <c r="C91" s="189" t="str">
        <f>Calc!AL91</f>
        <v/>
      </c>
      <c r="D91" s="239" t="str">
        <f>Calc!AM91</f>
        <v/>
      </c>
      <c r="E91" s="242">
        <f t="shared" si="13"/>
        <v>0</v>
      </c>
      <c r="F91" s="245" t="str">
        <f t="shared" si="17"/>
        <v/>
      </c>
      <c r="G91" s="242">
        <f t="shared" si="14"/>
        <v>0</v>
      </c>
      <c r="H91" s="64" t="str">
        <f t="shared" si="19"/>
        <v/>
      </c>
      <c r="I91" s="242">
        <f t="shared" si="20"/>
        <v>0</v>
      </c>
      <c r="L91">
        <f t="shared" si="15"/>
        <v>0</v>
      </c>
      <c r="O91">
        <f t="shared" si="16"/>
        <v>0</v>
      </c>
      <c r="P91">
        <f t="shared" si="18"/>
        <v>0</v>
      </c>
    </row>
    <row r="92" spans="1:16" ht="15.5" customHeight="1" x14ac:dyDescent="0.3">
      <c r="A92" s="189">
        <f>Calc!AJ92</f>
        <v>51.004000000000133</v>
      </c>
      <c r="B92" s="189" t="str">
        <f>Calc!AK92</f>
        <v/>
      </c>
      <c r="C92" s="189" t="str">
        <f>Calc!AL92</f>
        <v/>
      </c>
      <c r="D92" s="239" t="str">
        <f>Calc!AM92</f>
        <v/>
      </c>
      <c r="E92" s="242">
        <f t="shared" si="13"/>
        <v>0</v>
      </c>
      <c r="F92" s="245" t="str">
        <f t="shared" si="17"/>
        <v/>
      </c>
      <c r="G92" s="242">
        <f t="shared" si="14"/>
        <v>0</v>
      </c>
      <c r="H92" s="64" t="str">
        <f t="shared" si="19"/>
        <v/>
      </c>
      <c r="I92" s="242">
        <f t="shared" si="20"/>
        <v>0</v>
      </c>
      <c r="L92">
        <f t="shared" si="15"/>
        <v>0</v>
      </c>
      <c r="O92">
        <f t="shared" si="16"/>
        <v>0</v>
      </c>
      <c r="P92">
        <f t="shared" si="18"/>
        <v>0</v>
      </c>
    </row>
    <row r="93" spans="1:16" ht="15.5" customHeight="1" x14ac:dyDescent="0.3">
      <c r="A93" s="189">
        <f>Calc!AJ93</f>
        <v>51.004000000000133</v>
      </c>
      <c r="B93" s="189" t="str">
        <f>Calc!AK93</f>
        <v/>
      </c>
      <c r="C93" s="189" t="str">
        <f>Calc!AL93</f>
        <v/>
      </c>
      <c r="D93" s="239" t="str">
        <f>Calc!AM93</f>
        <v/>
      </c>
      <c r="E93" s="242">
        <f t="shared" si="13"/>
        <v>0</v>
      </c>
      <c r="F93" s="245" t="str">
        <f t="shared" si="17"/>
        <v/>
      </c>
      <c r="G93" s="242">
        <f t="shared" si="14"/>
        <v>0</v>
      </c>
      <c r="H93" s="64" t="str">
        <f t="shared" si="19"/>
        <v/>
      </c>
      <c r="I93" s="242">
        <f t="shared" si="20"/>
        <v>0</v>
      </c>
      <c r="L93">
        <f t="shared" si="15"/>
        <v>0</v>
      </c>
      <c r="O93">
        <f t="shared" si="16"/>
        <v>0</v>
      </c>
      <c r="P93">
        <f t="shared" si="18"/>
        <v>0</v>
      </c>
    </row>
    <row r="94" spans="1:16" ht="15.5" customHeight="1" x14ac:dyDescent="0.3">
      <c r="A94" s="189">
        <f>Calc!AJ94</f>
        <v>51.004000000000133</v>
      </c>
      <c r="B94" s="189" t="str">
        <f>Calc!AK94</f>
        <v/>
      </c>
      <c r="C94" s="189" t="str">
        <f>Calc!AL94</f>
        <v/>
      </c>
      <c r="D94" s="239" t="str">
        <f>Calc!AM94</f>
        <v/>
      </c>
      <c r="E94" s="242">
        <f t="shared" si="13"/>
        <v>0</v>
      </c>
      <c r="F94" s="245" t="str">
        <f t="shared" si="17"/>
        <v/>
      </c>
      <c r="G94" s="242">
        <f t="shared" si="14"/>
        <v>0</v>
      </c>
      <c r="H94" s="64" t="str">
        <f t="shared" si="19"/>
        <v/>
      </c>
      <c r="I94" s="242">
        <f t="shared" si="20"/>
        <v>0</v>
      </c>
      <c r="L94">
        <f t="shared" si="15"/>
        <v>0</v>
      </c>
      <c r="O94">
        <f t="shared" si="16"/>
        <v>0</v>
      </c>
      <c r="P94">
        <f t="shared" si="18"/>
        <v>0</v>
      </c>
    </row>
    <row r="95" spans="1:16" ht="15.5" customHeight="1" x14ac:dyDescent="0.3">
      <c r="A95" s="189">
        <f>Calc!AJ95</f>
        <v>51.004000000000133</v>
      </c>
      <c r="B95" s="189" t="str">
        <f>Calc!AK95</f>
        <v/>
      </c>
      <c r="C95" s="189" t="str">
        <f>Calc!AL95</f>
        <v/>
      </c>
      <c r="D95" s="239" t="str">
        <f>Calc!AM95</f>
        <v/>
      </c>
      <c r="E95" s="242">
        <f t="shared" si="13"/>
        <v>0</v>
      </c>
      <c r="F95" s="245" t="str">
        <f t="shared" si="17"/>
        <v/>
      </c>
      <c r="G95" s="242">
        <f t="shared" si="14"/>
        <v>0</v>
      </c>
      <c r="H95" s="64" t="str">
        <f t="shared" si="19"/>
        <v/>
      </c>
      <c r="I95" s="242">
        <f t="shared" si="20"/>
        <v>0</v>
      </c>
      <c r="L95">
        <f t="shared" si="15"/>
        <v>0</v>
      </c>
      <c r="O95">
        <f t="shared" si="16"/>
        <v>0</v>
      </c>
      <c r="P95">
        <f t="shared" si="18"/>
        <v>0</v>
      </c>
    </row>
    <row r="96" spans="1:16" ht="15.5" customHeight="1" x14ac:dyDescent="0.3">
      <c r="A96" s="189">
        <f>Calc!AJ96</f>
        <v>51.004000000000133</v>
      </c>
      <c r="B96" s="189" t="str">
        <f>Calc!AK96</f>
        <v/>
      </c>
      <c r="C96" s="189" t="str">
        <f>Calc!AL96</f>
        <v/>
      </c>
      <c r="D96" s="239" t="str">
        <f>Calc!AM96</f>
        <v/>
      </c>
      <c r="E96" s="242">
        <f t="shared" si="13"/>
        <v>0</v>
      </c>
      <c r="F96" s="245" t="str">
        <f t="shared" si="17"/>
        <v/>
      </c>
      <c r="G96" s="242">
        <f t="shared" si="14"/>
        <v>0</v>
      </c>
      <c r="H96" s="64" t="str">
        <f t="shared" si="19"/>
        <v/>
      </c>
      <c r="I96" s="242">
        <f t="shared" si="20"/>
        <v>0</v>
      </c>
      <c r="L96">
        <f t="shared" si="15"/>
        <v>0</v>
      </c>
      <c r="O96">
        <f t="shared" si="16"/>
        <v>0</v>
      </c>
      <c r="P96">
        <f t="shared" si="18"/>
        <v>0</v>
      </c>
    </row>
    <row r="97" spans="1:16" ht="15.5" customHeight="1" x14ac:dyDescent="0.3">
      <c r="A97" s="189">
        <f>Calc!AJ97</f>
        <v>51.004000000000133</v>
      </c>
      <c r="B97" s="189" t="str">
        <f>Calc!AK97</f>
        <v/>
      </c>
      <c r="C97" s="189" t="str">
        <f>Calc!AL97</f>
        <v/>
      </c>
      <c r="D97" s="239" t="str">
        <f>Calc!AM97</f>
        <v/>
      </c>
      <c r="E97" s="242">
        <f t="shared" si="13"/>
        <v>0</v>
      </c>
      <c r="F97" s="245" t="str">
        <f t="shared" si="17"/>
        <v/>
      </c>
      <c r="G97" s="242">
        <f t="shared" si="14"/>
        <v>0</v>
      </c>
      <c r="H97" s="64" t="str">
        <f t="shared" si="19"/>
        <v/>
      </c>
      <c r="I97" s="242">
        <f t="shared" si="20"/>
        <v>0</v>
      </c>
      <c r="L97">
        <f t="shared" si="15"/>
        <v>0</v>
      </c>
      <c r="O97">
        <f t="shared" si="16"/>
        <v>0</v>
      </c>
      <c r="P97">
        <f t="shared" si="18"/>
        <v>0</v>
      </c>
    </row>
    <row r="98" spans="1:16" ht="15.5" customHeight="1" x14ac:dyDescent="0.3">
      <c r="A98" s="189">
        <f>Calc!AJ98</f>
        <v>51.004000000000133</v>
      </c>
      <c r="B98" s="189" t="str">
        <f>Calc!AK98</f>
        <v/>
      </c>
      <c r="C98" s="189" t="str">
        <f>Calc!AL98</f>
        <v/>
      </c>
      <c r="D98" s="239" t="str">
        <f>Calc!AM98</f>
        <v/>
      </c>
      <c r="E98" s="242">
        <f t="shared" si="13"/>
        <v>0</v>
      </c>
      <c r="F98" s="245" t="str">
        <f t="shared" si="17"/>
        <v/>
      </c>
      <c r="G98" s="242">
        <f t="shared" si="14"/>
        <v>0</v>
      </c>
      <c r="H98" s="64" t="str">
        <f t="shared" si="19"/>
        <v/>
      </c>
      <c r="I98" s="242">
        <f t="shared" si="20"/>
        <v>0</v>
      </c>
      <c r="L98">
        <f t="shared" si="15"/>
        <v>0</v>
      </c>
      <c r="O98">
        <f t="shared" si="16"/>
        <v>0</v>
      </c>
      <c r="P98">
        <f t="shared" si="18"/>
        <v>0</v>
      </c>
    </row>
    <row r="99" spans="1:16" x14ac:dyDescent="0.25">
      <c r="D99" s="23"/>
      <c r="E99" s="23"/>
      <c r="H99" s="23"/>
      <c r="I99" s="23"/>
    </row>
    <row r="100" spans="1:16" x14ac:dyDescent="0.25">
      <c r="D100" s="23"/>
      <c r="E100" s="23"/>
      <c r="H100" s="23"/>
      <c r="I100" s="23"/>
      <c r="J100" s="23"/>
    </row>
    <row r="101" spans="1:16" x14ac:dyDescent="0.25">
      <c r="C101" s="173"/>
      <c r="D101" s="252">
        <f>SUM(D7:D100)/2+0.00005</f>
        <v>5.0000000000000002E-5</v>
      </c>
      <c r="E101" s="252">
        <f>SUM(E6:E100)/2+0.00005</f>
        <v>5.0000000000000002E-5</v>
      </c>
      <c r="F101" s="252">
        <f>SUM(F6:F100)/2+0.00005</f>
        <v>5.0000000000000002E-5</v>
      </c>
      <c r="G101" s="252"/>
      <c r="H101" s="252">
        <f>SUM(H6:H100)/2+0.00005</f>
        <v>5.0000000000000002E-5</v>
      </c>
      <c r="I101" s="252"/>
      <c r="J101" s="24"/>
    </row>
  </sheetData>
  <sheetProtection sheet="1" formatCells="0" formatColumns="0" formatRows="0" insertColumns="0" insertHyperlinks="0" deleteColumns="0" autoFilter="0"/>
  <mergeCells count="3">
    <mergeCell ref="A1:J2"/>
    <mergeCell ref="C4:H4"/>
    <mergeCell ref="C3:I3"/>
  </mergeCells>
  <conditionalFormatting sqref="C7:C98">
    <cfRule type="expression" dxfId="31" priority="11">
      <formula>$B7="T_ER"</formula>
    </cfRule>
  </conditionalFormatting>
  <conditionalFormatting sqref="C3:H3">
    <cfRule type="cellIs" dxfId="30" priority="1" operator="equal">
      <formula>"Bitte Journal auf Fehlermeldungen prüfen."</formula>
    </cfRule>
  </conditionalFormatting>
  <conditionalFormatting sqref="C7:I98">
    <cfRule type="expression" dxfId="29" priority="8">
      <formula>$C7="Gewinn"</formula>
    </cfRule>
    <cfRule type="expression" dxfId="28" priority="9">
      <formula>$C7="Verlust"</formula>
    </cfRule>
    <cfRule type="expression" dxfId="27" priority="10">
      <formula>$B7="Sub"</formula>
    </cfRule>
  </conditionalFormatting>
  <conditionalFormatting sqref="E7:E98 G7:G98 I7:I98">
    <cfRule type="expression" dxfId="26" priority="6">
      <formula>$B7="T_ER"</formula>
    </cfRule>
    <cfRule type="expression" dxfId="25" priority="7">
      <formula>$C7=""</formula>
    </cfRule>
  </conditionalFormatting>
  <pageMargins left="0.59055118110236227" right="0.39370078740157483" top="0.39370078740157483" bottom="0.59055118110236227" header="0.51181102362204722" footer="0.31496062992125984"/>
  <pageSetup paperSize="9" scale="91" fitToHeight="0" orientation="landscape" r:id="rId1"/>
  <headerFooter alignWithMargins="0">
    <oddFooter>&amp;L&amp;8Ausdruck vom &amp;D, &amp;T&amp;C&amp;8vereinsbuchhaltung.ch&amp;R&amp;8Seite &amp;P/&amp;N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C1861"/>
  <sheetViews>
    <sheetView topLeftCell="B1" workbookViewId="0">
      <pane ySplit="7" topLeftCell="A8" activePane="bottomLeft" state="frozen"/>
      <selection activeCell="B1" sqref="B1"/>
      <selection pane="bottomLeft" activeCell="H3" sqref="H3"/>
    </sheetView>
  </sheetViews>
  <sheetFormatPr baseColWidth="10" defaultRowHeight="12.5" x14ac:dyDescent="0.25"/>
  <cols>
    <col min="1" max="1" width="7" hidden="1" customWidth="1"/>
    <col min="2" max="2" width="6.54296875" customWidth="1"/>
    <col min="3" max="3" width="9.54296875" customWidth="1"/>
    <col min="4" max="4" width="5.54296875" customWidth="1"/>
    <col min="5" max="5" width="8.54296875" customWidth="1"/>
    <col min="6" max="6" width="3" customWidth="1"/>
    <col min="7" max="7" width="27.26953125" customWidth="1"/>
    <col min="8" max="9" width="20.54296875" customWidth="1"/>
    <col min="10" max="11" width="11.26953125" customWidth="1"/>
    <col min="12" max="12" width="12.81640625" customWidth="1"/>
    <col min="13" max="13" width="6.54296875" hidden="1" customWidth="1"/>
    <col min="14" max="14" width="9.26953125" hidden="1" customWidth="1"/>
    <col min="15" max="16" width="11.453125" hidden="1" customWidth="1"/>
    <col min="17" max="17" width="12" hidden="1" customWidth="1"/>
    <col min="18" max="18" width="5.26953125" hidden="1" customWidth="1"/>
    <col min="19" max="24" width="11.453125" hidden="1" customWidth="1"/>
    <col min="25" max="25" width="11.453125" style="143" hidden="1" customWidth="1"/>
    <col min="26" max="29" width="11.453125" hidden="1" customWidth="1"/>
    <col min="30" max="30" width="15.1796875" customWidth="1"/>
    <col min="31" max="49" width="11.453125" customWidth="1"/>
  </cols>
  <sheetData>
    <row r="1" spans="1:29" ht="108" customHeight="1" x14ac:dyDescent="0.3">
      <c r="B1" s="310" t="str">
        <f>IF(AND(K2&lt;J2,K2&gt;0),"Bitte Hinweis im Feld L2 beachten.",IF(B41&lt;&gt;"",N15,IF(AND(Journal!F7&lt;&gt;"",B8="Total"),"Sollten im Kontoauszug Buchungen fehlen, prüfen Sie bitte die in den hellgelben Feldern unten eingegebenen Angaben. Sind auf diese korrekt, prüfen Sie bitte im Journal, ob jeder Buchungssatz ein Datum hat.",N14)))</f>
        <v>Drucken: Dieser Kontoauszug hat auf einer A4-Seite Platz. Tipp 1: Passen Sie die Breite der Spalten bei Bedarf an. Tipp 2: Speichern Sie nach Abschluss des Geschäftsjahres alle Konten einzeln als .pdf ab.</v>
      </c>
      <c r="C1" s="311"/>
      <c r="D1" s="311"/>
      <c r="E1" s="312"/>
      <c r="F1" s="312"/>
      <c r="G1" s="313"/>
      <c r="H1" s="123" t="s">
        <v>85</v>
      </c>
      <c r="I1" s="123" t="s">
        <v>10</v>
      </c>
      <c r="J1" s="128" t="s">
        <v>118</v>
      </c>
      <c r="K1" s="129" t="s">
        <v>119</v>
      </c>
      <c r="L1" s="130" t="str">
        <f>VLOOKUP(H2,Kontenplan!E9:H128,4)</f>
        <v>Aktivkonto</v>
      </c>
      <c r="M1" s="13">
        <f>IF(OR(L1="Aufwandskonto",L1="Aktivkonto"),1,2)</f>
        <v>1</v>
      </c>
      <c r="N1" s="68"/>
    </row>
    <row r="2" spans="1:29" ht="46.5" customHeight="1" thickBot="1" x14ac:dyDescent="0.35">
      <c r="B2" s="314"/>
      <c r="C2" s="315"/>
      <c r="D2" s="315"/>
      <c r="E2" s="315"/>
      <c r="F2" s="315"/>
      <c r="G2" s="316"/>
      <c r="H2" s="145">
        <v>1000</v>
      </c>
      <c r="I2" s="144" t="str">
        <f>VLOOKUP(H2,Kontenplan!E9:G151,2)</f>
        <v>Kasse</v>
      </c>
      <c r="J2" s="131"/>
      <c r="K2" s="122"/>
      <c r="L2" s="132" t="str">
        <f>IF(AND(J2="",K2=""),CONCATENATE("Alle Buchungen vom Konto '",I2,"' angezeigt."),IF(AND(K2&lt;J2,K2&lt;&gt;""),"Bis-Datum liegt vor Von-Datum",IF(OR(J2+27&lt;Journal!E7,K2-27&gt;MAX(Journal!E7:E70)),"Eines der Daten macht evtl. keinen Sinn",IF(AND(K2="",J2&gt;1),"Bei Bedarf Bis-Datum eingeben",""))))</f>
        <v>Alle Buchungen vom Konto 'Kasse' angezeigt.</v>
      </c>
      <c r="M2" s="119"/>
      <c r="N2" s="68"/>
      <c r="Y2" s="143" t="s">
        <v>33</v>
      </c>
    </row>
    <row r="3" spans="1:29" s="15" customFormat="1" ht="15" customHeight="1" x14ac:dyDescent="0.2">
      <c r="B3" s="109" t="str">
        <f>IF(AND(J2="",K2=""),"","Buchungen berücksichtigt vom")</f>
        <v/>
      </c>
      <c r="C3" s="110"/>
      <c r="D3" s="112"/>
      <c r="E3" s="112" t="str">
        <f>IF(B3="","",IF(J2="",IF(Journal!E12&lt;&gt;"",MIN(Journal!E7:E12),40179),J2))</f>
        <v/>
      </c>
      <c r="F3" s="109" t="str">
        <f>IF(B3="","","bis")</f>
        <v/>
      </c>
      <c r="G3" s="113" t="str">
        <f>IF(B3="","",IF(K2="",MAX(Journal!E7:E70,K2),K2))</f>
        <v/>
      </c>
      <c r="H3" s="111" t="str">
        <f>CONCATENATE("Kontoauszug für Nr. ",H2)</f>
        <v>Kontoauszug für Nr. 1000</v>
      </c>
      <c r="I3" s="317" t="str">
        <f>CONCATENATE(Calc!$H$136,": Geschäftsjahr ",Journal!D2)</f>
        <v>Musterverein: Geschäftsjahr 20XX</v>
      </c>
      <c r="J3" s="318"/>
      <c r="K3" s="318"/>
      <c r="L3" s="318"/>
      <c r="P3" s="15" t="str">
        <f>CONCATENATE(H2,": ",I2)</f>
        <v>1000: Kasse</v>
      </c>
      <c r="Y3" s="146"/>
    </row>
    <row r="4" spans="1:29" ht="30.75" customHeight="1" thickBot="1" x14ac:dyDescent="0.3">
      <c r="B4" s="307" t="str">
        <f>IF(AND(Kontenplan!C9="",Kontenplan!D9="",Kontenplan!E9="",Kontenplan!C10="",Kontenplan!D10="",Kontenplan!E10=""),N13,IF(H2="",N10,IF(AND(B8="Total",H2=P4),CONCATENATE(N11,I2),IF(H2=P4,CONCATENATE(H2,": ",I2),N12))))</f>
        <v>1000: Kasse</v>
      </c>
      <c r="C4" s="307"/>
      <c r="D4" s="307"/>
      <c r="E4" s="307"/>
      <c r="F4" s="307"/>
      <c r="G4" s="307"/>
      <c r="H4" s="307"/>
      <c r="I4" s="307"/>
      <c r="J4" s="307"/>
      <c r="K4" s="307"/>
      <c r="L4" s="307"/>
      <c r="P4">
        <f>VLOOKUP(H2,Kontenplan!W9:W227,1)</f>
        <v>1000</v>
      </c>
      <c r="Y4" s="143">
        <v>2.6315789473684199E-2</v>
      </c>
    </row>
    <row r="5" spans="1:29" ht="15.75" customHeight="1" x14ac:dyDescent="0.3">
      <c r="A5" t="s">
        <v>58</v>
      </c>
      <c r="B5" s="91" t="s">
        <v>58</v>
      </c>
      <c r="C5" s="91" t="s">
        <v>62</v>
      </c>
      <c r="D5" s="117" t="s">
        <v>65</v>
      </c>
      <c r="E5" s="118"/>
      <c r="F5" s="118"/>
      <c r="G5" s="118"/>
      <c r="H5" s="308" t="s">
        <v>63</v>
      </c>
      <c r="I5" s="309"/>
      <c r="J5" s="309" t="s">
        <v>64</v>
      </c>
      <c r="K5" s="309"/>
      <c r="L5" s="91" t="s">
        <v>82</v>
      </c>
      <c r="M5" s="69"/>
      <c r="N5" s="1"/>
      <c r="W5" s="120">
        <f>MIN(Journal!E7:E70)</f>
        <v>45658</v>
      </c>
      <c r="Y5" s="143">
        <f>IF(MAX(Y8:Y1855)&lt;-1,1,ROUND(MAX(Y8:Y1855),0))</f>
        <v>1</v>
      </c>
    </row>
    <row r="6" spans="1:29" ht="13" x14ac:dyDescent="0.3">
      <c r="B6" s="84"/>
      <c r="C6" s="84"/>
      <c r="D6" s="114"/>
      <c r="E6" s="116"/>
      <c r="F6" s="116"/>
      <c r="G6" s="115"/>
      <c r="H6" s="104" t="s">
        <v>66</v>
      </c>
      <c r="I6" s="104" t="s">
        <v>67</v>
      </c>
      <c r="J6" s="104" t="s">
        <v>66</v>
      </c>
      <c r="K6" s="104" t="s">
        <v>67</v>
      </c>
      <c r="L6" s="85"/>
      <c r="M6" s="1"/>
      <c r="N6" s="1"/>
      <c r="S6" s="13" t="s">
        <v>62</v>
      </c>
      <c r="T6" s="13" t="s">
        <v>104</v>
      </c>
      <c r="U6" s="13" t="s">
        <v>105</v>
      </c>
      <c r="V6" s="13" t="s">
        <v>82</v>
      </c>
      <c r="X6">
        <f>SUM(X8:X1855)</f>
        <v>0</v>
      </c>
      <c r="AC6" t="s">
        <v>35</v>
      </c>
    </row>
    <row r="7" spans="1:29" ht="14" customHeight="1" x14ac:dyDescent="0.25">
      <c r="B7" s="84"/>
      <c r="C7" s="86"/>
      <c r="D7" s="84"/>
      <c r="E7" s="84"/>
      <c r="F7" s="84"/>
      <c r="G7" s="84"/>
      <c r="H7" s="84"/>
      <c r="I7" s="84"/>
      <c r="J7" s="87"/>
      <c r="K7" s="87"/>
      <c r="L7" s="87"/>
      <c r="M7" s="1"/>
      <c r="N7" s="1"/>
      <c r="R7">
        <v>0</v>
      </c>
      <c r="V7">
        <v>0</v>
      </c>
      <c r="Y7" s="143">
        <v>1</v>
      </c>
    </row>
    <row r="8" spans="1:29" ht="13" x14ac:dyDescent="0.3">
      <c r="A8">
        <v>1</v>
      </c>
      <c r="B8" s="88">
        <f>IF(H2&lt;&gt;P4,"",IF(VLOOKUP(A8,Journal!$B$7:$E$84,4)=0,"Total",VLOOKUP(A8,Journal!$B$7:$D$84,3)))</f>
        <v>1</v>
      </c>
      <c r="C8" s="86">
        <f>IF(B8="","",VLOOKUP(A8,Journal!$B$7:$E$84,4))</f>
        <v>45658</v>
      </c>
      <c r="D8" s="114" t="str">
        <f>IF(B8="","",VLOOKUP(A8,Journal!$B$7:$J$84,9))</f>
        <v>Testbuchung zum Überschreiben</v>
      </c>
      <c r="E8" s="116"/>
      <c r="F8" s="116"/>
      <c r="G8" s="115"/>
      <c r="H8" s="84" t="str">
        <f>IF(B8="","",VLOOKUP(A8,Journal!$B$7:$L$84,11))</f>
        <v>Kasse</v>
      </c>
      <c r="I8" s="84" t="str">
        <f>IF(B8="","",VLOOKUP(A8,Journal!$B$7:$M$84,12))</f>
        <v>Postkonto</v>
      </c>
      <c r="J8" s="105">
        <f>IF(B8="Total",0.0001,IF(OR(B8="",I$2=I8),0,VLOOKUP(A8,Journal!$B$7:M$84,8)))</f>
        <v>40</v>
      </c>
      <c r="K8" s="102">
        <f>IF(B8="Total",0.0001,IF(OR(B8="",J8&lt;&gt;0),0,VLOOKUP(A8,Journal!$B$7:M$84,8)))</f>
        <v>0</v>
      </c>
      <c r="L8" s="87">
        <f>IF(B8="Total",L7,IF(B8="",0,IF($M$1=1,L7+J8-K8+W8,L7-J8+K8+W8)))</f>
        <v>40</v>
      </c>
      <c r="M8" s="103"/>
      <c r="N8" s="147" t="s">
        <v>37</v>
      </c>
      <c r="R8" s="15">
        <v>1</v>
      </c>
      <c r="S8" s="126">
        <f>IF(VLOOKUP(A8,Journal!$A$7:$E$70,5)=0,S7+1,VLOOKUP(A8,Journal!$A$7:$E$70,5))</f>
        <v>45658</v>
      </c>
      <c r="T8" s="125">
        <f>IF(H$2=VLOOKUP(A8,Journal!$A$7:$F$70,6),VLOOKUP(A8,Journal!$A$7:M$70,9),0)</f>
        <v>40</v>
      </c>
      <c r="U8" s="125">
        <f>IF(H$2=VLOOKUP(A8,Journal!$A$7:$G$70,7),VLOOKUP(A8,Journal!$A$7:M$70,9),0)</f>
        <v>0</v>
      </c>
      <c r="V8" s="125">
        <f>IF(B8="",0,IF($M$1=1,V7+T8-U8,V7-T8+U8))</f>
        <v>40</v>
      </c>
      <c r="W8" s="11">
        <f>IF(OR(J2="",J2&lt;MIN(Journal!E7:E70)),0,VLOOKUP(X6,$R$7:$V$1855,5))</f>
        <v>0</v>
      </c>
      <c r="X8">
        <f>IF(J$2&gt;S8,1,0)</f>
        <v>0</v>
      </c>
      <c r="Y8" s="143">
        <f>IF(B4=N12,-1000,1)</f>
        <v>1</v>
      </c>
    </row>
    <row r="9" spans="1:29" x14ac:dyDescent="0.25">
      <c r="A9">
        <f>A8+1</f>
        <v>2</v>
      </c>
      <c r="B9" s="88" t="str">
        <f>IF(OR(B8="Total",B8=""),"",IF(VLOOKUP(A9,Journal!$B$7:$E$84,4)=0,"Total",VLOOKUP(A9,Journal!$B$7:$D$84,3)))</f>
        <v>Total</v>
      </c>
      <c r="C9" s="86">
        <f>IF(B9="","",VLOOKUP(A9,Journal!$B$7:$E$84,4))</f>
        <v>0</v>
      </c>
      <c r="D9" s="114">
        <f>IF(B9="","",VLOOKUP(A9,Journal!$B$7:$J$84,9))</f>
        <v>0</v>
      </c>
      <c r="E9" s="116"/>
      <c r="F9" s="116"/>
      <c r="G9" s="115"/>
      <c r="H9" s="84" t="str">
        <f>IF(B9="","",VLOOKUP(A9,Journal!$B$7:$L$84,11))</f>
        <v/>
      </c>
      <c r="I9" s="84" t="str">
        <f>IF(B9="","",VLOOKUP(A9,Journal!$B$7:$M$84,12))</f>
        <v/>
      </c>
      <c r="J9" s="105">
        <f>IF(B9="Total",SUM(J$8:J8)+0.0001,IF(OR(B9="",I$2=I9),0,VLOOKUP(A9,Journal!$B$7:M$84,8)))</f>
        <v>40.000100000000003</v>
      </c>
      <c r="K9" s="102">
        <f>IF(B9="Total",SUM(K8:K$8)+0.0001,IF(OR(B9="",J9&lt;&gt;0),0,VLOOKUP(A9,Journal!$B$7:M$84,8)))</f>
        <v>1E-4</v>
      </c>
      <c r="L9" s="87">
        <f>IF(B9="Total",L8,IF(B9="",0,IF($M$1=1,L8+J9-K9,L8-J9+K9)))</f>
        <v>40</v>
      </c>
      <c r="M9" s="103"/>
      <c r="N9" s="120" t="s">
        <v>40</v>
      </c>
      <c r="P9">
        <f>IF(L8=L9,L8+0.00001,L9)</f>
        <v>40.000010000000003</v>
      </c>
      <c r="R9" s="15">
        <f>R8+1</f>
        <v>2</v>
      </c>
      <c r="S9" s="126">
        <f>IF(VLOOKUP(A9,Journal!$A$7:$E$70,5)=0,S8+1,VLOOKUP(A9,Journal!$A$7:$E$70,5))</f>
        <v>45659</v>
      </c>
      <c r="T9" s="125">
        <f>IF(H$2=VLOOKUP(A9,Journal!$A$7:$F$70,6),VLOOKUP(A9,Journal!$A$7:M$70,9),0)</f>
        <v>0</v>
      </c>
      <c r="U9" s="125">
        <f>IF(H$2=VLOOKUP(A9,Journal!$A$7:$G$70,7),VLOOKUP(A9,Journal!$A$7:M$70,9),0)</f>
        <v>0</v>
      </c>
      <c r="V9" s="125">
        <f>IF($M$1=1,V8+T9-U9,V8-T9+U9)</f>
        <v>40</v>
      </c>
      <c r="X9">
        <f t="shared" ref="X9:X72" si="0">IF(J$2&gt;S9,1,0)</f>
        <v>0</v>
      </c>
      <c r="Y9" s="143">
        <f t="shared" ref="Y9:Y71" si="1">IF(B8="Total",-1000,Y8+Y$4)</f>
        <v>1.0263157894736843</v>
      </c>
    </row>
    <row r="10" spans="1:29" x14ac:dyDescent="0.25">
      <c r="A10">
        <f>A9+1</f>
        <v>3</v>
      </c>
      <c r="B10" s="88" t="str">
        <f>IF(OR(B9="Total",B9=""),"",IF(VLOOKUP(A10,Journal!$B$7:$E$84,4)=0,"Total",VLOOKUP(A10,Journal!$B$7:$D$84,3)))</f>
        <v/>
      </c>
      <c r="C10" s="86" t="str">
        <f>IF(B10="","",VLOOKUP(A10,Journal!$B$7:$E$84,4))</f>
        <v/>
      </c>
      <c r="D10" s="114" t="str">
        <f>IF(B10="","",VLOOKUP(A10,Journal!$B$7:$J$84,9))</f>
        <v/>
      </c>
      <c r="E10" s="116"/>
      <c r="F10" s="116"/>
      <c r="G10" s="115"/>
      <c r="H10" s="84" t="str">
        <f>IF(B10="","",VLOOKUP(A10,Journal!$B$7:$L$84,11))</f>
        <v/>
      </c>
      <c r="I10" s="84" t="str">
        <f>IF(B10="","",VLOOKUP(A10,Journal!$B$7:$M$84,12))</f>
        <v/>
      </c>
      <c r="J10" s="105">
        <f>IF(B10="Total",SUM(J$8:J9)+0.0001,IF(OR(B10="",I$2=I10),0,VLOOKUP(A10,Journal!$B$7:M$84,8)))</f>
        <v>0</v>
      </c>
      <c r="K10" s="102">
        <f>IF(B10="Total",SUM(K$8:K9)+0.0001,IF(OR(B10="",J10&lt;&gt;0),0,VLOOKUP(A10,Journal!$B$7:M$84,8)))</f>
        <v>0</v>
      </c>
      <c r="L10" s="87">
        <f>IF(B10="Total",L9,IF(B10="",0,IF($M$1=1,L9+J10-K10,L9-J10+K10)))</f>
        <v>0</v>
      </c>
      <c r="M10" s="103"/>
      <c r="N10" s="120" t="s">
        <v>41</v>
      </c>
      <c r="P10">
        <f t="shared" ref="P10:P73" si="2">IF(L9=L10,L9+0.00001,L10)</f>
        <v>0</v>
      </c>
      <c r="R10" s="15">
        <f t="shared" ref="R10:R73" si="3">R9+1</f>
        <v>3</v>
      </c>
      <c r="S10" s="126">
        <f>IF(VLOOKUP(A10,Journal!$A$7:$E$70,5)=0,S9+1,VLOOKUP(A10,Journal!$A$7:$E$70,5))</f>
        <v>45660</v>
      </c>
      <c r="T10" s="125">
        <f>IF(H$2=VLOOKUP(A10,Journal!$A$7:$F$70,6),VLOOKUP(A10,Journal!$A$7:M$70,9),0)</f>
        <v>0</v>
      </c>
      <c r="U10" s="125">
        <f>IF(H$2=VLOOKUP(A10,Journal!$A$7:$G$70,7),VLOOKUP(A10,Journal!$A$7:M$70,9),0)</f>
        <v>0</v>
      </c>
      <c r="V10" s="125">
        <f t="shared" ref="V10:V73" si="4">IF($M$1=1,V9+T10-U10,V9-T10+U10)</f>
        <v>40</v>
      </c>
      <c r="X10">
        <f t="shared" si="0"/>
        <v>0</v>
      </c>
      <c r="Y10" s="143">
        <f t="shared" si="1"/>
        <v>-1000</v>
      </c>
    </row>
    <row r="11" spans="1:29" x14ac:dyDescent="0.25">
      <c r="A11">
        <f t="shared" ref="A11:A74" si="5">A10+1</f>
        <v>4</v>
      </c>
      <c r="B11" s="88" t="str">
        <f>IF(OR(B10="Total",B10=""),"",IF(VLOOKUP(A11,Journal!$B$7:$E$84,4)=0,"Total",VLOOKUP(A11,Journal!$B$7:$D$84,3)))</f>
        <v/>
      </c>
      <c r="C11" s="86" t="str">
        <f>IF(B11="","",VLOOKUP(A11,Journal!$B$7:$E$84,4))</f>
        <v/>
      </c>
      <c r="D11" s="114" t="str">
        <f>IF(B11="","",VLOOKUP(A11,Journal!$B$7:$J$84,9))</f>
        <v/>
      </c>
      <c r="E11" s="116"/>
      <c r="F11" s="116"/>
      <c r="G11" s="115"/>
      <c r="H11" s="84" t="str">
        <f>IF(B11="","",VLOOKUP(A11,Journal!$B$7:$L$84,11))</f>
        <v/>
      </c>
      <c r="I11" s="84" t="str">
        <f>IF(B11="","",VLOOKUP(A11,Journal!$B$7:$M$84,12))</f>
        <v/>
      </c>
      <c r="J11" s="105">
        <f>IF(B11="Total",SUM(J$8:J10)+0.0001,IF(OR(B11="",I$2=I11),0,VLOOKUP(A11,Journal!$B$7:M$84,8)))</f>
        <v>0</v>
      </c>
      <c r="K11" s="102">
        <f>IF(B11="Total",SUM(K$8:K10)+0.0001,IF(OR(B11="",J11&lt;&gt;0),0,VLOOKUP(A11,Journal!$B$7:M$84,8)))</f>
        <v>0</v>
      </c>
      <c r="L11" s="87">
        <f t="shared" ref="L11:L71" si="6">IF(B11="Total",L10,IF(B11="",0,IF($M$1=1,L10+J11-K11,L10-J11+K11)))</f>
        <v>0</v>
      </c>
      <c r="M11" s="103"/>
      <c r="N11" s="120" t="s">
        <v>36</v>
      </c>
      <c r="P11">
        <f t="shared" si="2"/>
        <v>1.0000000000000001E-5</v>
      </c>
      <c r="R11" s="15">
        <f t="shared" si="3"/>
        <v>4</v>
      </c>
      <c r="S11" s="126">
        <f>IF(VLOOKUP(A11,Journal!$A$7:$E$70,5)=0,S10+1,VLOOKUP(A11,Journal!$A$7:$E$70,5))</f>
        <v>45661</v>
      </c>
      <c r="T11" s="125">
        <f>IF(H$2=VLOOKUP(A11,Journal!$A$7:$F$70,6),VLOOKUP(A11,Journal!$A$7:M$70,9),0)</f>
        <v>0</v>
      </c>
      <c r="U11" s="125">
        <f>IF(H$2=VLOOKUP(A11,Journal!$A$7:$G$70,7),VLOOKUP(A11,Journal!$A$7:M$70,9),0)</f>
        <v>0</v>
      </c>
      <c r="V11" s="125">
        <f t="shared" si="4"/>
        <v>40</v>
      </c>
      <c r="X11">
        <f t="shared" si="0"/>
        <v>0</v>
      </c>
      <c r="Y11" s="143">
        <f t="shared" si="1"/>
        <v>-999.97368421052636</v>
      </c>
    </row>
    <row r="12" spans="1:29" x14ac:dyDescent="0.25">
      <c r="A12">
        <f t="shared" si="5"/>
        <v>5</v>
      </c>
      <c r="B12" s="88" t="str">
        <f>IF(OR(B11="Total",B11=""),"",IF(VLOOKUP(A12,Journal!$B$7:$E$84,4)=0,"Total",VLOOKUP(A12,Journal!$B$7:$D$84,3)))</f>
        <v/>
      </c>
      <c r="C12" s="86" t="str">
        <f>IF(B12="","",VLOOKUP(A12,Journal!$B$7:$E$84,4))</f>
        <v/>
      </c>
      <c r="D12" s="114" t="str">
        <f>IF(B12="","",VLOOKUP(A12,Journal!$B$7:$J$84,9))</f>
        <v/>
      </c>
      <c r="E12" s="116"/>
      <c r="F12" s="116"/>
      <c r="G12" s="115"/>
      <c r="H12" s="84" t="str">
        <f>IF(B12="","",VLOOKUP(A12,Journal!$B$7:$L$84,11))</f>
        <v/>
      </c>
      <c r="I12" s="84" t="str">
        <f>IF(B12="","",VLOOKUP(A12,Journal!$B$7:$M$84,12))</f>
        <v/>
      </c>
      <c r="J12" s="105">
        <f>IF(B12="Total",SUM(J$8:J11)+0.0001,IF(OR(B12="",I$2=I12),0,VLOOKUP(A12,Journal!$B$7:M$84,8)))</f>
        <v>0</v>
      </c>
      <c r="K12" s="102">
        <f>IF(B12="Total",SUM(K$8:K11)+0.0001,IF(OR(B12="",J12&lt;&gt;0),0,VLOOKUP(A12,Journal!$B$7:M$84,8)))</f>
        <v>0</v>
      </c>
      <c r="L12" s="87">
        <f t="shared" si="6"/>
        <v>0</v>
      </c>
      <c r="M12" s="103"/>
      <c r="N12" t="str">
        <f>CONCATENATE("Bitte Eingabe im Feld Kontonummer prüfen. Die Kontonummer ",H2," existiert im Kontenplan nicht")</f>
        <v>Bitte Eingabe im Feld Kontonummer prüfen. Die Kontonummer 1000 existiert im Kontenplan nicht</v>
      </c>
      <c r="P12">
        <f t="shared" si="2"/>
        <v>1.0000000000000001E-5</v>
      </c>
      <c r="R12" s="15">
        <f t="shared" si="3"/>
        <v>5</v>
      </c>
      <c r="S12" s="126">
        <f>IF(VLOOKUP(A12,Journal!$A$7:$E$70,5)=0,S11+1,VLOOKUP(A12,Journal!$A$7:$E$70,5))</f>
        <v>45662</v>
      </c>
      <c r="T12" s="125">
        <f>IF(H$2=VLOOKUP(A12,Journal!$A$7:$F$70,6),VLOOKUP(A12,Journal!$A$7:M$70,9),0)</f>
        <v>0</v>
      </c>
      <c r="U12" s="125">
        <f>IF(H$2=VLOOKUP(A12,Journal!$A$7:$G$70,7),VLOOKUP(A12,Journal!$A$7:M$70,9),0)</f>
        <v>0</v>
      </c>
      <c r="V12" s="125">
        <f t="shared" si="4"/>
        <v>40</v>
      </c>
      <c r="X12">
        <f t="shared" si="0"/>
        <v>0</v>
      </c>
      <c r="Y12" s="143">
        <f t="shared" si="1"/>
        <v>-999.94736842105272</v>
      </c>
    </row>
    <row r="13" spans="1:29" x14ac:dyDescent="0.25">
      <c r="A13">
        <f t="shared" si="5"/>
        <v>6</v>
      </c>
      <c r="B13" s="88" t="str">
        <f>IF(OR(B12="Total",B12=""),"",IF(VLOOKUP(A13,Journal!$B$7:$E$84,4)=0,"Total",VLOOKUP(A13,Journal!$B$7:$D$84,3)))</f>
        <v/>
      </c>
      <c r="C13" s="86" t="str">
        <f>IF(B13="","",VLOOKUP(A13,Journal!$B$7:$E$84,4))</f>
        <v/>
      </c>
      <c r="D13" s="114" t="str">
        <f>IF(B13="","",VLOOKUP(A13,Journal!$B$7:$J$84,9))</f>
        <v/>
      </c>
      <c r="E13" s="116"/>
      <c r="F13" s="116"/>
      <c r="G13" s="115"/>
      <c r="H13" s="84" t="str">
        <f>IF(B13="","",VLOOKUP(A13,Journal!$B$7:$L$84,11))</f>
        <v/>
      </c>
      <c r="I13" s="84" t="str">
        <f>IF(B13="","",VLOOKUP(A13,Journal!$B$7:$M$84,12))</f>
        <v/>
      </c>
      <c r="J13" s="105">
        <f>IF(B13="Total",SUM(J$8:J12)+0.0001,IF(OR(B13="",I$2=I13),0,VLOOKUP(A13,Journal!$B$7:M$84,8)))</f>
        <v>0</v>
      </c>
      <c r="K13" s="102">
        <f>IF(B13="Total",SUM(K$8:K12)+0.0001,IF(OR(B13="",J13&lt;&gt;0),0,VLOOKUP(A13,Journal!$B$7:M$84,8)))</f>
        <v>0</v>
      </c>
      <c r="L13" s="87">
        <f t="shared" si="6"/>
        <v>0</v>
      </c>
      <c r="M13" s="103"/>
      <c r="N13" s="120" t="s">
        <v>6</v>
      </c>
      <c r="P13">
        <f t="shared" si="2"/>
        <v>1.0000000000000001E-5</v>
      </c>
      <c r="R13" s="15">
        <f t="shared" si="3"/>
        <v>6</v>
      </c>
      <c r="S13" s="126">
        <f>IF(VLOOKUP(A13,Journal!$A$7:$E$70,5)=0,S12+1,VLOOKUP(A13,Journal!$A$7:$E$70,5))</f>
        <v>45663</v>
      </c>
      <c r="T13" s="125">
        <f>IF(H$2=VLOOKUP(A13,Journal!$A$7:$F$70,6),VLOOKUP(A13,Journal!$A$7:M$70,9),0)</f>
        <v>0</v>
      </c>
      <c r="U13" s="125">
        <f>IF(H$2=VLOOKUP(A13,Journal!$A$7:$G$70,7),VLOOKUP(A13,Journal!$A$7:M$70,9),0)</f>
        <v>0</v>
      </c>
      <c r="V13" s="125">
        <f t="shared" si="4"/>
        <v>40</v>
      </c>
      <c r="X13">
        <f t="shared" si="0"/>
        <v>0</v>
      </c>
      <c r="Y13" s="143">
        <f t="shared" si="1"/>
        <v>-999.92105263157907</v>
      </c>
    </row>
    <row r="14" spans="1:29" x14ac:dyDescent="0.25">
      <c r="A14">
        <f t="shared" si="5"/>
        <v>7</v>
      </c>
      <c r="B14" s="88" t="str">
        <f>IF(OR(B13="Total",B13=""),"",IF(VLOOKUP(A14,Journal!$B$7:$E$84,4)=0,"Total",VLOOKUP(A14,Journal!$B$7:$D$84,3)))</f>
        <v/>
      </c>
      <c r="C14" s="86" t="str">
        <f>IF(B14="","",VLOOKUP(A14,Journal!$B$7:$E$84,4))</f>
        <v/>
      </c>
      <c r="D14" s="114" t="str">
        <f>IF(B14="","",VLOOKUP(A14,Journal!$B$7:$J$84,9))</f>
        <v/>
      </c>
      <c r="E14" s="116"/>
      <c r="F14" s="116"/>
      <c r="G14" s="115"/>
      <c r="H14" s="84" t="str">
        <f>IF(B14="","",VLOOKUP(A14,Journal!$B$7:$L$84,11))</f>
        <v/>
      </c>
      <c r="I14" s="84" t="str">
        <f>IF(B14="","",VLOOKUP(A14,Journal!$B$7:$M$84,12))</f>
        <v/>
      </c>
      <c r="J14" s="105">
        <f>IF(B14="Total",SUM(J$8:J13)+0.0001,IF(OR(B14="",I$2=I14),0,VLOOKUP(A14,Journal!$B$7:M$84,8)))</f>
        <v>0</v>
      </c>
      <c r="K14" s="102">
        <f>IF(B14="Total",SUM(K$8:K13)+0.0001,IF(OR(B14="",J14&lt;&gt;0),0,VLOOKUP(A14,Journal!$B$7:M$84,8)))</f>
        <v>0</v>
      </c>
      <c r="L14" s="87">
        <f t="shared" si="6"/>
        <v>0</v>
      </c>
      <c r="M14" s="103"/>
      <c r="N14" s="120" t="s">
        <v>145</v>
      </c>
      <c r="P14">
        <f t="shared" si="2"/>
        <v>1.0000000000000001E-5</v>
      </c>
      <c r="R14" s="15">
        <f t="shared" si="3"/>
        <v>7</v>
      </c>
      <c r="S14" s="126">
        <f>IF(VLOOKUP(A14,Journal!$A$7:$E$70,5)=0,S13+1,VLOOKUP(A14,Journal!$A$7:$E$70,5))</f>
        <v>45664</v>
      </c>
      <c r="T14" s="125">
        <f>IF(H$2=VLOOKUP(A14,Journal!$A$7:$F$70,6),VLOOKUP(A14,Journal!$A$7:M$70,9),0)</f>
        <v>0</v>
      </c>
      <c r="U14" s="125">
        <f>IF(H$2=VLOOKUP(A14,Journal!$A$7:$G$70,7),VLOOKUP(A14,Journal!$A$7:M$70,9),0)</f>
        <v>0</v>
      </c>
      <c r="V14" s="125">
        <f t="shared" si="4"/>
        <v>40</v>
      </c>
      <c r="X14">
        <f>IF(J$2&gt;S14,1,0)</f>
        <v>0</v>
      </c>
      <c r="Y14" s="143">
        <f t="shared" si="1"/>
        <v>-999.89473684210543</v>
      </c>
    </row>
    <row r="15" spans="1:29" x14ac:dyDescent="0.25">
      <c r="A15">
        <f t="shared" si="5"/>
        <v>8</v>
      </c>
      <c r="B15" s="88" t="str">
        <f>IF(OR(B14="Total",B14=""),"",IF(VLOOKUP(A15,Journal!$B$7:$E$84,4)=0,"Total",VLOOKUP(A15,Journal!$B$7:$D$84,3)))</f>
        <v/>
      </c>
      <c r="C15" s="86" t="str">
        <f>IF(B15="","",VLOOKUP(A15,Journal!$B$7:$E$84,4))</f>
        <v/>
      </c>
      <c r="D15" s="114" t="str">
        <f>IF(B15="","",VLOOKUP(A15,Journal!$B$7:$J$84,9))</f>
        <v/>
      </c>
      <c r="E15" s="116"/>
      <c r="F15" s="116"/>
      <c r="G15" s="115"/>
      <c r="H15" s="84" t="str">
        <f>IF(B15="","",VLOOKUP(A15,Journal!$B$7:$L$84,11))</f>
        <v/>
      </c>
      <c r="I15" s="84" t="str">
        <f>IF(B15="","",VLOOKUP(A15,Journal!$B$7:$M$84,12))</f>
        <v/>
      </c>
      <c r="J15" s="105">
        <f>IF(B15="Total",SUM(J$8:J14)+0.0001,IF(OR(B15="",I$2=I15),0,VLOOKUP(A15,Journal!$B$7:M$84,8)))</f>
        <v>0</v>
      </c>
      <c r="K15" s="102">
        <f>IF(B15="Total",SUM(K$8:K14)+0.0001,IF(OR(B15="",J15&lt;&gt;0),0,VLOOKUP(A15,Journal!$B$7:M$84,8)))</f>
        <v>0</v>
      </c>
      <c r="L15" s="87">
        <f t="shared" si="6"/>
        <v>0</v>
      </c>
      <c r="M15" s="103"/>
      <c r="N15" s="13" t="str">
        <f>CONCATENATE(N16," ",Y5," ",N17)</f>
        <v>Der Ausdruck dieses Kontoauszugs benötigt rund 1 Seite(n). Zum Ausdrucken passen Sie bitte den Druckbereich für dieses Konto an, indem Sie zunächst von Feld B3 bis zum Feld mit dem Total alle Zellen markieren und klicken Sie anschliessend unter Seitenlayout Druckbereich/Druckbereich festlegen (Excel 97/2003 unter Datei/Druckbereich/Druckbereich festlegen). Um den Druckbereich wieder auf eine Seite zurückzusetzen markieren Sie alles von Zelle B3 bis zur Zelle L39. Tipp: Wenn Sie alle Konten der Buchhaltung ausdrucken wollen, drucken Sie zunächst alle jene aus, welche auf einer Seite Platz haben.</v>
      </c>
      <c r="P15">
        <f t="shared" si="2"/>
        <v>1.0000000000000001E-5</v>
      </c>
      <c r="R15" s="15">
        <f t="shared" si="3"/>
        <v>8</v>
      </c>
      <c r="S15" s="126">
        <f>IF(VLOOKUP(A15,Journal!$A$7:$E$70,5)=0,S14+1,VLOOKUP(A15,Journal!$A$7:$E$70,5))</f>
        <v>45665</v>
      </c>
      <c r="T15" s="125">
        <f>IF(H$2=VLOOKUP(A15,Journal!$A$7:$F$70,6),VLOOKUP(A15,Journal!$A$7:M$70,9),0)</f>
        <v>0</v>
      </c>
      <c r="U15" s="125">
        <f>IF(H$2=VLOOKUP(A15,Journal!$A$7:$G$70,7),VLOOKUP(A15,Journal!$A$7:M$70,9),0)</f>
        <v>0</v>
      </c>
      <c r="V15" s="125">
        <f t="shared" si="4"/>
        <v>40</v>
      </c>
      <c r="X15">
        <f t="shared" si="0"/>
        <v>0</v>
      </c>
      <c r="Y15" s="143">
        <f t="shared" si="1"/>
        <v>-999.86842105263179</v>
      </c>
    </row>
    <row r="16" spans="1:29" x14ac:dyDescent="0.25">
      <c r="A16">
        <f t="shared" si="5"/>
        <v>9</v>
      </c>
      <c r="B16" s="88" t="str">
        <f>IF(OR(B15="Total",B15=""),"",IF(VLOOKUP(A16,Journal!$B$7:$E$84,4)=0,"Total",VLOOKUP(A16,Journal!$B$7:$D$84,3)))</f>
        <v/>
      </c>
      <c r="C16" s="86" t="str">
        <f>IF(B16="","",VLOOKUP(A16,Journal!$B$7:$E$84,4))</f>
        <v/>
      </c>
      <c r="D16" s="114" t="str">
        <f>IF(B16="","",VLOOKUP(A16,Journal!$B$7:$J$84,9))</f>
        <v/>
      </c>
      <c r="E16" s="116"/>
      <c r="F16" s="116"/>
      <c r="G16" s="115"/>
      <c r="H16" s="84" t="str">
        <f>IF(B16="","",VLOOKUP(A16,Journal!$B$7:$L$84,11))</f>
        <v/>
      </c>
      <c r="I16" s="84" t="str">
        <f>IF(B16="","",VLOOKUP(A16,Journal!$B$7:$M$84,12))</f>
        <v/>
      </c>
      <c r="J16" s="105">
        <f>IF(B16="Total",SUM(J$8:J15)+0.0001,IF(OR(B16="",I$2=I16),0,VLOOKUP(A16,Journal!$B$7:M$84,8)))</f>
        <v>0</v>
      </c>
      <c r="K16" s="102">
        <f>IF(B16="Total",SUM(K$8:K15)+0.0001,IF(OR(B16="",J16&lt;&gt;0),0,VLOOKUP(A16,Journal!$B$7:M$84,8)))</f>
        <v>0</v>
      </c>
      <c r="L16" s="87">
        <f t="shared" si="6"/>
        <v>0</v>
      </c>
      <c r="M16" s="103"/>
      <c r="N16" s="13" t="s">
        <v>34</v>
      </c>
      <c r="P16">
        <f t="shared" si="2"/>
        <v>1.0000000000000001E-5</v>
      </c>
      <c r="R16" s="15">
        <f t="shared" si="3"/>
        <v>9</v>
      </c>
      <c r="S16" s="126">
        <f>IF(VLOOKUP(A16,Journal!$A$7:$E$70,5)=0,S15+1,VLOOKUP(A16,Journal!$A$7:$E$70,5))</f>
        <v>45666</v>
      </c>
      <c r="T16" s="125">
        <f>IF(H$2=VLOOKUP(A16,Journal!$A$7:$F$70,6),VLOOKUP(A16,Journal!$A$7:M$70,9),0)</f>
        <v>0</v>
      </c>
      <c r="U16" s="125">
        <f>IF(H$2=VLOOKUP(A16,Journal!$A$7:$G$70,7),VLOOKUP(A16,Journal!$A$7:M$70,9),0)</f>
        <v>0</v>
      </c>
      <c r="V16" s="125">
        <f t="shared" si="4"/>
        <v>40</v>
      </c>
      <c r="X16">
        <f t="shared" si="0"/>
        <v>0</v>
      </c>
      <c r="Y16" s="143">
        <f t="shared" si="1"/>
        <v>-999.84210526315815</v>
      </c>
    </row>
    <row r="17" spans="1:25" x14ac:dyDescent="0.25">
      <c r="A17">
        <f t="shared" si="5"/>
        <v>10</v>
      </c>
      <c r="B17" s="88" t="str">
        <f>IF(OR(B16="Total",B16=""),"",IF(VLOOKUP(A17,Journal!$B$7:$E$84,4)=0,"Total",VLOOKUP(A17,Journal!$B$7:$D$84,3)))</f>
        <v/>
      </c>
      <c r="C17" s="86" t="str">
        <f>IF(B17="","",VLOOKUP(A17,Journal!$B$7:$E$84,4))</f>
        <v/>
      </c>
      <c r="D17" s="114" t="str">
        <f>IF(B17="","",VLOOKUP(A17,Journal!$B$7:$J$84,9))</f>
        <v/>
      </c>
      <c r="E17" s="116"/>
      <c r="F17" s="116"/>
      <c r="G17" s="115"/>
      <c r="H17" s="84" t="str">
        <f>IF(B17="","",VLOOKUP(A17,Journal!$B$7:$L$84,11))</f>
        <v/>
      </c>
      <c r="I17" s="84" t="str">
        <f>IF(B17="","",VLOOKUP(A17,Journal!$B$7:$M$84,12))</f>
        <v/>
      </c>
      <c r="J17" s="105">
        <f>IF(B17="Total",SUM(J$8:J16)+0.0001,IF(OR(B17="",I$2=I17),0,VLOOKUP(A17,Journal!$B$7:M$84,8)))</f>
        <v>0</v>
      </c>
      <c r="K17" s="102">
        <f>IF(B17="Total",SUM(K$8:K16)+0.0001,IF(OR(B17="",J17&lt;&gt;0),0,VLOOKUP(A17,Journal!$B$7:M$84,8)))</f>
        <v>0</v>
      </c>
      <c r="L17" s="87">
        <f t="shared" si="6"/>
        <v>0</v>
      </c>
      <c r="M17" s="103"/>
      <c r="N17" s="13" t="s">
        <v>99</v>
      </c>
      <c r="P17">
        <f t="shared" si="2"/>
        <v>1.0000000000000001E-5</v>
      </c>
      <c r="R17" s="15">
        <f t="shared" si="3"/>
        <v>10</v>
      </c>
      <c r="S17" s="126">
        <f>IF(VLOOKUP(A17,Journal!$A$7:$E$70,5)=0,S16+1,VLOOKUP(A17,Journal!$A$7:$E$70,5))</f>
        <v>45667</v>
      </c>
      <c r="T17" s="125">
        <f>IF(H$2=VLOOKUP(A17,Journal!$A$7:$F$70,6),VLOOKUP(A17,Journal!$A$7:M$70,9),0)</f>
        <v>0</v>
      </c>
      <c r="U17" s="125">
        <f>IF(H$2=VLOOKUP(A17,Journal!$A$7:$G$70,7),VLOOKUP(A17,Journal!$A$7:M$70,9),0)</f>
        <v>0</v>
      </c>
      <c r="V17" s="125">
        <f t="shared" si="4"/>
        <v>40</v>
      </c>
      <c r="X17">
        <f t="shared" si="0"/>
        <v>0</v>
      </c>
      <c r="Y17" s="143">
        <f t="shared" si="1"/>
        <v>-999.8157894736845</v>
      </c>
    </row>
    <row r="18" spans="1:25" x14ac:dyDescent="0.25">
      <c r="A18">
        <f t="shared" si="5"/>
        <v>11</v>
      </c>
      <c r="B18" s="88" t="str">
        <f>IF(OR(B17="Total",B17=""),"",IF(VLOOKUP(A18,Journal!$B$7:$E$84,4)=0,"Total",VLOOKUP(A18,Journal!$B$7:$D$84,3)))</f>
        <v/>
      </c>
      <c r="C18" s="86" t="str">
        <f>IF(B18="","",VLOOKUP(A18,Journal!$B$7:$E$84,4))</f>
        <v/>
      </c>
      <c r="D18" s="114" t="str">
        <f>IF(B18="","",VLOOKUP(A18,Journal!$B$7:$J$84,9))</f>
        <v/>
      </c>
      <c r="E18" s="116"/>
      <c r="F18" s="116"/>
      <c r="G18" s="115"/>
      <c r="H18" s="84" t="str">
        <f>IF(B18="","",VLOOKUP(A18,Journal!$B$7:$L$84,11))</f>
        <v/>
      </c>
      <c r="I18" s="84" t="str">
        <f>IF(B18="","",VLOOKUP(A18,Journal!$B$7:$M$84,12))</f>
        <v/>
      </c>
      <c r="J18" s="105">
        <f>IF(B18="Total",SUM(J$8:J17)+0.0001,IF(OR(B18="",I$2=I18),0,VLOOKUP(A18,Journal!$B$7:M$84,8)))</f>
        <v>0</v>
      </c>
      <c r="K18" s="102">
        <f>IF(B18="Total",SUM(K$8:K17)+0.0001,IF(OR(B18="",J18&lt;&gt;0),0,VLOOKUP(A18,Journal!$B$7:M$84,8)))</f>
        <v>0</v>
      </c>
      <c r="L18" s="87">
        <f t="shared" si="6"/>
        <v>0</v>
      </c>
      <c r="M18" s="103"/>
      <c r="P18">
        <f t="shared" si="2"/>
        <v>1.0000000000000001E-5</v>
      </c>
      <c r="R18" s="15">
        <f t="shared" si="3"/>
        <v>11</v>
      </c>
      <c r="S18" s="126">
        <f>IF(VLOOKUP(A18,Journal!$A$7:$E$70,5)=0,S17+1,VLOOKUP(A18,Journal!$A$7:$E$70,5))</f>
        <v>45668</v>
      </c>
      <c r="T18" s="125">
        <f>IF(H$2=VLOOKUP(A18,Journal!$A$7:$F$70,6),VLOOKUP(A18,Journal!$A$7:M$70,9),0)</f>
        <v>0</v>
      </c>
      <c r="U18" s="125">
        <f>IF(H$2=VLOOKUP(A18,Journal!$A$7:$G$70,7),VLOOKUP(A18,Journal!$A$7:M$70,9),0)</f>
        <v>0</v>
      </c>
      <c r="V18" s="125">
        <f t="shared" si="4"/>
        <v>40</v>
      </c>
      <c r="X18">
        <f t="shared" si="0"/>
        <v>0</v>
      </c>
      <c r="Y18" s="143">
        <f t="shared" si="1"/>
        <v>-999.78947368421086</v>
      </c>
    </row>
    <row r="19" spans="1:25" x14ac:dyDescent="0.25">
      <c r="A19">
        <f t="shared" si="5"/>
        <v>12</v>
      </c>
      <c r="B19" s="88" t="str">
        <f>IF(OR(B18="Total",B18=""),"",IF(VLOOKUP(A19,Journal!$B$7:$E$84,4)=0,"Total",VLOOKUP(A19,Journal!$B$7:$D$84,3)))</f>
        <v/>
      </c>
      <c r="C19" s="86" t="str">
        <f>IF(B19="","",VLOOKUP(A19,Journal!$B$7:$E$84,4))</f>
        <v/>
      </c>
      <c r="D19" s="114" t="str">
        <f>IF(B19="","",VLOOKUP(A19,Journal!$B$7:$J$84,9))</f>
        <v/>
      </c>
      <c r="E19" s="116"/>
      <c r="F19" s="116"/>
      <c r="G19" s="115"/>
      <c r="H19" s="84" t="str">
        <f>IF(B19="","",VLOOKUP(A19,Journal!$B$7:$L$84,11))</f>
        <v/>
      </c>
      <c r="I19" s="84" t="str">
        <f>IF(B19="","",VLOOKUP(A19,Journal!$B$7:$M$84,12))</f>
        <v/>
      </c>
      <c r="J19" s="105">
        <f>IF(B19="Total",SUM(J$8:J18)+0.0001,IF(OR(B19="",I$2=I19),0,VLOOKUP(A19,Journal!$B$7:M$84,8)))</f>
        <v>0</v>
      </c>
      <c r="K19" s="102">
        <f>IF(B19="Total",SUM(K$8:K18)+0.0001,IF(OR(B19="",J19&lt;&gt;0),0,VLOOKUP(A19,Journal!$B$7:M$84,8)))</f>
        <v>0</v>
      </c>
      <c r="L19" s="87">
        <f t="shared" si="6"/>
        <v>0</v>
      </c>
      <c r="M19" s="103"/>
      <c r="P19">
        <f t="shared" si="2"/>
        <v>1.0000000000000001E-5</v>
      </c>
      <c r="Q19" s="92"/>
      <c r="R19" s="15">
        <f t="shared" si="3"/>
        <v>12</v>
      </c>
      <c r="S19" s="126">
        <f>IF(VLOOKUP(A19,Journal!$A$7:$E$70,5)=0,S18+1,VLOOKUP(A19,Journal!$A$7:$E$70,5))</f>
        <v>45669</v>
      </c>
      <c r="T19" s="125">
        <f>IF(H$2=VLOOKUP(A19,Journal!$A$7:$F$70,6),VLOOKUP(A19,Journal!$A$7:M$70,9),0)</f>
        <v>0</v>
      </c>
      <c r="U19" s="125">
        <f>IF(H$2=VLOOKUP(A19,Journal!$A$7:$G$70,7),VLOOKUP(A19,Journal!$A$7:M$70,9),0)</f>
        <v>0</v>
      </c>
      <c r="V19" s="125">
        <f t="shared" si="4"/>
        <v>40</v>
      </c>
      <c r="X19">
        <f t="shared" si="0"/>
        <v>0</v>
      </c>
      <c r="Y19" s="143">
        <f t="shared" si="1"/>
        <v>-999.76315789473722</v>
      </c>
    </row>
    <row r="20" spans="1:25" x14ac:dyDescent="0.25">
      <c r="A20">
        <f t="shared" si="5"/>
        <v>13</v>
      </c>
      <c r="B20" s="88" t="str">
        <f>IF(OR(B19="Total",B19=""),"",IF(VLOOKUP(A20,Journal!$B$7:$E$84,4)=0,"Total",VLOOKUP(A20,Journal!$B$7:$D$84,3)))</f>
        <v/>
      </c>
      <c r="C20" s="86" t="str">
        <f>IF(B20="","",VLOOKUP(A20,Journal!$B$7:$E$84,4))</f>
        <v/>
      </c>
      <c r="D20" s="114" t="str">
        <f>IF(B20="","",VLOOKUP(A20,Journal!$B$7:$J$84,9))</f>
        <v/>
      </c>
      <c r="E20" s="116"/>
      <c r="F20" s="116"/>
      <c r="G20" s="115"/>
      <c r="H20" s="84" t="str">
        <f>IF(B20="","",VLOOKUP(A20,Journal!$B$7:$L$84,11))</f>
        <v/>
      </c>
      <c r="I20" s="84" t="str">
        <f>IF(B20="","",VLOOKUP(A20,Journal!$B$7:$M$84,12))</f>
        <v/>
      </c>
      <c r="J20" s="105">
        <f>IF(B20="Total",SUM(J$8:J19)+0.0001,IF(OR(B20="",I$2=I20),0,VLOOKUP(A20,Journal!$B$7:M$84,8)))</f>
        <v>0</v>
      </c>
      <c r="K20" s="102">
        <f>IF(B20="Total",SUM(K$8:K19)+0.0001,IF(OR(B20="",J20&lt;&gt;0),0,VLOOKUP(A20,Journal!$B$7:M$84,8)))</f>
        <v>0</v>
      </c>
      <c r="L20" s="87">
        <f t="shared" si="6"/>
        <v>0</v>
      </c>
      <c r="M20" s="103"/>
      <c r="P20">
        <f t="shared" si="2"/>
        <v>1.0000000000000001E-5</v>
      </c>
      <c r="R20" s="15">
        <f t="shared" si="3"/>
        <v>13</v>
      </c>
      <c r="S20" s="126">
        <f>IF(VLOOKUP(A20,Journal!$A$7:$E$70,5)=0,S19+1,VLOOKUP(A20,Journal!$A$7:$E$70,5))</f>
        <v>45670</v>
      </c>
      <c r="T20" s="125">
        <f>IF(H$2=VLOOKUP(A20,Journal!$A$7:$F$70,6),VLOOKUP(A20,Journal!$A$7:M$70,9),0)</f>
        <v>0</v>
      </c>
      <c r="U20" s="125">
        <f>IF(H$2=VLOOKUP(A20,Journal!$A$7:$G$70,7),VLOOKUP(A20,Journal!$A$7:M$70,9),0)</f>
        <v>0</v>
      </c>
      <c r="V20" s="125">
        <f t="shared" si="4"/>
        <v>40</v>
      </c>
      <c r="X20">
        <f t="shared" si="0"/>
        <v>0</v>
      </c>
      <c r="Y20" s="143">
        <f t="shared" si="1"/>
        <v>-999.73684210526358</v>
      </c>
    </row>
    <row r="21" spans="1:25" x14ac:dyDescent="0.25">
      <c r="A21">
        <f t="shared" si="5"/>
        <v>14</v>
      </c>
      <c r="B21" s="88" t="str">
        <f>IF(OR(B20="Total",B20=""),"",IF(VLOOKUP(A21,Journal!$B$7:$E$84,4)=0,"Total",VLOOKUP(A21,Journal!$B$7:$D$84,3)))</f>
        <v/>
      </c>
      <c r="C21" s="86" t="str">
        <f>IF(B21="","",VLOOKUP(A21,Journal!$B$7:$E$84,4))</f>
        <v/>
      </c>
      <c r="D21" s="114" t="str">
        <f>IF(B21="","",VLOOKUP(A21,Journal!$B$7:$J$84,9))</f>
        <v/>
      </c>
      <c r="E21" s="116"/>
      <c r="F21" s="116"/>
      <c r="G21" s="115"/>
      <c r="H21" s="84" t="str">
        <f>IF(B21="","",VLOOKUP(A21,Journal!$B$7:$L$84,11))</f>
        <v/>
      </c>
      <c r="I21" s="84" t="str">
        <f>IF(B21="","",VLOOKUP(A21,Journal!$B$7:$M$84,12))</f>
        <v/>
      </c>
      <c r="J21" s="105">
        <f>IF(B21="Total",SUM(J$8:J20)+0.0001,IF(OR(B21="",I$2=I21),0,VLOOKUP(A21,Journal!$B$7:M$84,8)))</f>
        <v>0</v>
      </c>
      <c r="K21" s="102">
        <f>IF(B21="Total",SUM(K$8:K20)+0.0001,IF(OR(B21="",J21&lt;&gt;0),0,VLOOKUP(A21,Journal!$B$7:M$84,8)))</f>
        <v>0</v>
      </c>
      <c r="L21" s="87">
        <f t="shared" si="6"/>
        <v>0</v>
      </c>
      <c r="M21" s="103"/>
      <c r="P21">
        <f t="shared" si="2"/>
        <v>1.0000000000000001E-5</v>
      </c>
      <c r="R21" s="15">
        <f t="shared" si="3"/>
        <v>14</v>
      </c>
      <c r="S21" s="126">
        <f>IF(VLOOKUP(A21,Journal!$A$7:$E$70,5)=0,S20+1,VLOOKUP(A21,Journal!$A$7:$E$70,5))</f>
        <v>45671</v>
      </c>
      <c r="T21" s="125">
        <f>IF(H$2=VLOOKUP(A21,Journal!$A$7:$F$70,6),VLOOKUP(A21,Journal!$A$7:M$70,9),0)</f>
        <v>0</v>
      </c>
      <c r="U21" s="125">
        <f>IF(H$2=VLOOKUP(A21,Journal!$A$7:$G$70,7),VLOOKUP(A21,Journal!$A$7:M$70,9),0)</f>
        <v>0</v>
      </c>
      <c r="V21" s="125">
        <f t="shared" si="4"/>
        <v>40</v>
      </c>
      <c r="X21">
        <f t="shared" si="0"/>
        <v>0</v>
      </c>
      <c r="Y21" s="143">
        <f t="shared" si="1"/>
        <v>-999.71052631578993</v>
      </c>
    </row>
    <row r="22" spans="1:25" x14ac:dyDescent="0.25">
      <c r="A22">
        <f t="shared" si="5"/>
        <v>15</v>
      </c>
      <c r="B22" s="88" t="str">
        <f>IF(OR(B21="Total",B21=""),"",IF(VLOOKUP(A22,Journal!$B$7:$E$84,4)=0,"Total",VLOOKUP(A22,Journal!$B$7:$D$84,3)))</f>
        <v/>
      </c>
      <c r="C22" s="86" t="str">
        <f>IF(B22="","",VLOOKUP(A22,Journal!$B$7:$E$84,4))</f>
        <v/>
      </c>
      <c r="D22" s="114" t="str">
        <f>IF(B22="","",VLOOKUP(A22,Journal!$B$7:$J$84,9))</f>
        <v/>
      </c>
      <c r="E22" s="116"/>
      <c r="F22" s="116"/>
      <c r="G22" s="115"/>
      <c r="H22" s="84" t="str">
        <f>IF(B22="","",VLOOKUP(A22,Journal!$B$7:$L$84,11))</f>
        <v/>
      </c>
      <c r="I22" s="84" t="str">
        <f>IF(B22="","",VLOOKUP(A22,Journal!$B$7:$M$84,12))</f>
        <v/>
      </c>
      <c r="J22" s="105">
        <f>IF(B22="Total",SUM(J$8:J21)+0.0001,IF(OR(B22="",I$2=I22),0,VLOOKUP(A22,Journal!$B$7:M$84,8)))</f>
        <v>0</v>
      </c>
      <c r="K22" s="102">
        <f>IF(B22="Total",SUM(K$8:K21)+0.0001,IF(OR(B22="",J22&lt;&gt;0),0,VLOOKUP(A22,Journal!$B$7:M$84,8)))</f>
        <v>0</v>
      </c>
      <c r="L22" s="87">
        <f t="shared" si="6"/>
        <v>0</v>
      </c>
      <c r="M22" s="103"/>
      <c r="P22">
        <f t="shared" si="2"/>
        <v>1.0000000000000001E-5</v>
      </c>
      <c r="R22" s="15">
        <f t="shared" si="3"/>
        <v>15</v>
      </c>
      <c r="S22" s="126">
        <f>IF(VLOOKUP(A22,Journal!$A$7:$E$70,5)=0,S21+1,VLOOKUP(A22,Journal!$A$7:$E$70,5))</f>
        <v>45672</v>
      </c>
      <c r="T22" s="125">
        <f>IF(H$2=VLOOKUP(A22,Journal!$A$7:$F$70,6),VLOOKUP(A22,Journal!$A$7:M$70,9),0)</f>
        <v>0</v>
      </c>
      <c r="U22" s="125">
        <f>IF(H$2=VLOOKUP(A22,Journal!$A$7:$G$70,7),VLOOKUP(A22,Journal!$A$7:M$70,9),0)</f>
        <v>0</v>
      </c>
      <c r="V22" s="125">
        <f t="shared" si="4"/>
        <v>40</v>
      </c>
      <c r="X22">
        <f t="shared" si="0"/>
        <v>0</v>
      </c>
      <c r="Y22" s="143">
        <f t="shared" si="1"/>
        <v>-999.68421052631629</v>
      </c>
    </row>
    <row r="23" spans="1:25" x14ac:dyDescent="0.25">
      <c r="A23">
        <f t="shared" si="5"/>
        <v>16</v>
      </c>
      <c r="B23" s="88" t="str">
        <f>IF(OR(B22="Total",B22=""),"",IF(VLOOKUP(A23,Journal!$B$7:$E$84,4)=0,"Total",VLOOKUP(A23,Journal!$B$7:$D$84,3)))</f>
        <v/>
      </c>
      <c r="C23" s="86" t="str">
        <f>IF(B23="","",VLOOKUP(A23,Journal!$B$7:$E$84,4))</f>
        <v/>
      </c>
      <c r="D23" s="114" t="str">
        <f>IF(B23="","",VLOOKUP(A23,Journal!$B$7:$J$84,9))</f>
        <v/>
      </c>
      <c r="E23" s="116"/>
      <c r="F23" s="116"/>
      <c r="G23" s="115"/>
      <c r="H23" s="84" t="str">
        <f>IF(B23="","",VLOOKUP(A23,Journal!$B$7:$L$84,11))</f>
        <v/>
      </c>
      <c r="I23" s="84" t="str">
        <f>IF(B23="","",VLOOKUP(A23,Journal!$B$7:$M$84,12))</f>
        <v/>
      </c>
      <c r="J23" s="105">
        <f>IF(B23="Total",SUM(J$8:J22)+0.0001,IF(OR(B23="",I$2=I23),0,VLOOKUP(A23,Journal!$B$7:M$84,8)))</f>
        <v>0</v>
      </c>
      <c r="K23" s="102">
        <f>IF(B23="Total",SUM(K$8:K22)+0.0001,IF(OR(B23="",J23&lt;&gt;0),0,VLOOKUP(A23,Journal!$B$7:M$84,8)))</f>
        <v>0</v>
      </c>
      <c r="L23" s="87">
        <f t="shared" si="6"/>
        <v>0</v>
      </c>
      <c r="M23" s="103"/>
      <c r="P23">
        <f t="shared" si="2"/>
        <v>1.0000000000000001E-5</v>
      </c>
      <c r="R23" s="15">
        <f t="shared" si="3"/>
        <v>16</v>
      </c>
      <c r="S23" s="126">
        <f>IF(VLOOKUP(A23,Journal!$A$7:$E$70,5)=0,S22+1,VLOOKUP(A23,Journal!$A$7:$E$70,5))</f>
        <v>45673</v>
      </c>
      <c r="T23" s="125">
        <f>IF(H$2=VLOOKUP(A23,Journal!$A$7:$F$70,6),VLOOKUP(A23,Journal!$A$7:M$70,9),0)</f>
        <v>0</v>
      </c>
      <c r="U23" s="125">
        <f>IF(H$2=VLOOKUP(A23,Journal!$A$7:$G$70,7),VLOOKUP(A23,Journal!$A$7:M$70,9),0)</f>
        <v>0</v>
      </c>
      <c r="V23" s="125">
        <f t="shared" si="4"/>
        <v>40</v>
      </c>
      <c r="X23">
        <f t="shared" si="0"/>
        <v>0</v>
      </c>
      <c r="Y23" s="143">
        <f t="shared" si="1"/>
        <v>-999.65789473684265</v>
      </c>
    </row>
    <row r="24" spans="1:25" x14ac:dyDescent="0.25">
      <c r="A24">
        <f t="shared" si="5"/>
        <v>17</v>
      </c>
      <c r="B24" s="88" t="str">
        <f>IF(OR(B23="Total",B23=""),"",IF(VLOOKUP(A24,Journal!$B$7:$E$84,4)=0,"Total",VLOOKUP(A24,Journal!$B$7:$D$84,3)))</f>
        <v/>
      </c>
      <c r="C24" s="86" t="str">
        <f>IF(B24="","",VLOOKUP(A24,Journal!$B$7:$E$84,4))</f>
        <v/>
      </c>
      <c r="D24" s="114" t="str">
        <f>IF(B24="","",VLOOKUP(A24,Journal!$B$7:$J$84,9))</f>
        <v/>
      </c>
      <c r="E24" s="116"/>
      <c r="F24" s="116"/>
      <c r="G24" s="115"/>
      <c r="H24" s="84" t="str">
        <f>IF(B24="","",VLOOKUP(A24,Journal!$B$7:$L$84,11))</f>
        <v/>
      </c>
      <c r="I24" s="84" t="str">
        <f>IF(B24="","",VLOOKUP(A24,Journal!$B$7:$M$84,12))</f>
        <v/>
      </c>
      <c r="J24" s="105">
        <f>IF(B24="Total",SUM(J$8:J23)+0.0001,IF(OR(B24="",I$2=I24),0,VLOOKUP(A24,Journal!$B$7:M$84,8)))</f>
        <v>0</v>
      </c>
      <c r="K24" s="102">
        <f>IF(B24="Total",SUM(K$8:K23)+0.0001,IF(OR(B24="",J24&lt;&gt;0),0,VLOOKUP(A24,Journal!$B$7:M$84,8)))</f>
        <v>0</v>
      </c>
      <c r="L24" s="87">
        <f t="shared" si="6"/>
        <v>0</v>
      </c>
      <c r="M24" s="103"/>
      <c r="P24">
        <f t="shared" si="2"/>
        <v>1.0000000000000001E-5</v>
      </c>
      <c r="R24" s="15">
        <f t="shared" si="3"/>
        <v>17</v>
      </c>
      <c r="S24" s="126">
        <f>IF(VLOOKUP(A24,Journal!$A$7:$E$70,5)=0,S23+1,VLOOKUP(A24,Journal!$A$7:$E$70,5))</f>
        <v>45674</v>
      </c>
      <c r="T24" s="125">
        <f>IF(H$2=VLOOKUP(A24,Journal!$A$7:$F$70,6),VLOOKUP(A24,Journal!$A$7:M$70,9),0)</f>
        <v>0</v>
      </c>
      <c r="U24" s="125">
        <f>IF(H$2=VLOOKUP(A24,Journal!$A$7:$G$70,7),VLOOKUP(A24,Journal!$A$7:M$70,9),0)</f>
        <v>0</v>
      </c>
      <c r="V24" s="125">
        <f t="shared" si="4"/>
        <v>40</v>
      </c>
      <c r="X24">
        <f t="shared" si="0"/>
        <v>0</v>
      </c>
      <c r="Y24" s="143">
        <f t="shared" si="1"/>
        <v>-999.63157894736901</v>
      </c>
    </row>
    <row r="25" spans="1:25" x14ac:dyDescent="0.25">
      <c r="A25">
        <f t="shared" si="5"/>
        <v>18</v>
      </c>
      <c r="B25" s="88" t="str">
        <f>IF(OR(B24="Total",B24=""),"",IF(VLOOKUP(A25,Journal!$B$7:$E$84,4)=0,"Total",VLOOKUP(A25,Journal!$B$7:$D$84,3)))</f>
        <v/>
      </c>
      <c r="C25" s="86" t="str">
        <f>IF(B25="","",VLOOKUP(A25,Journal!$B$7:$E$84,4))</f>
        <v/>
      </c>
      <c r="D25" s="114" t="str">
        <f>IF(B25="","",VLOOKUP(A25,Journal!$B$7:$J$84,9))</f>
        <v/>
      </c>
      <c r="E25" s="116"/>
      <c r="F25" s="116"/>
      <c r="G25" s="115"/>
      <c r="H25" s="84" t="str">
        <f>IF(B25="","",VLOOKUP(A25,Journal!$B$7:$L$84,11))</f>
        <v/>
      </c>
      <c r="I25" s="84" t="str">
        <f>IF(B25="","",VLOOKUP(A25,Journal!$B$7:$M$84,12))</f>
        <v/>
      </c>
      <c r="J25" s="105">
        <f>IF(B25="Total",SUM(J$8:J24)+0.0001,IF(OR(B25="",I$2=I25),0,VLOOKUP(A25,Journal!$B$7:M$84,8)))</f>
        <v>0</v>
      </c>
      <c r="K25" s="102">
        <f>IF(B25="Total",SUM(K$8:K24)+0.0001,IF(OR(B25="",J25&lt;&gt;0),0,VLOOKUP(A25,Journal!$B$7:M$84,8)))</f>
        <v>0</v>
      </c>
      <c r="L25" s="87">
        <f t="shared" si="6"/>
        <v>0</v>
      </c>
      <c r="M25" s="103"/>
      <c r="P25">
        <f t="shared" si="2"/>
        <v>1.0000000000000001E-5</v>
      </c>
      <c r="R25" s="15">
        <f t="shared" si="3"/>
        <v>18</v>
      </c>
      <c r="S25" s="126">
        <f>IF(VLOOKUP(A25,Journal!$A$7:$E$70,5)=0,S24+1,VLOOKUP(A25,Journal!$A$7:$E$70,5))</f>
        <v>45675</v>
      </c>
      <c r="T25" s="125">
        <f>IF(H$2=VLOOKUP(A25,Journal!$A$7:$F$70,6),VLOOKUP(A25,Journal!$A$7:M$70,9),0)</f>
        <v>0</v>
      </c>
      <c r="U25" s="125">
        <f>IF(H$2=VLOOKUP(A25,Journal!$A$7:$G$70,7),VLOOKUP(A25,Journal!$A$7:M$70,9),0)</f>
        <v>0</v>
      </c>
      <c r="V25" s="125">
        <f t="shared" si="4"/>
        <v>40</v>
      </c>
      <c r="X25">
        <f t="shared" si="0"/>
        <v>0</v>
      </c>
      <c r="Y25" s="143">
        <f t="shared" si="1"/>
        <v>-999.60526315789537</v>
      </c>
    </row>
    <row r="26" spans="1:25" x14ac:dyDescent="0.25">
      <c r="A26">
        <f t="shared" si="5"/>
        <v>19</v>
      </c>
      <c r="B26" s="88" t="str">
        <f>IF(OR(B25="Total",B25=""),"",IF(VLOOKUP(A26,Journal!$B$7:$E$84,4)=0,"Total",VLOOKUP(A26,Journal!$B$7:$D$84,3)))</f>
        <v/>
      </c>
      <c r="C26" s="86" t="str">
        <f>IF(B26="","",VLOOKUP(A26,Journal!$B$7:$E$84,4))</f>
        <v/>
      </c>
      <c r="D26" s="114" t="str">
        <f>IF(B26="","",VLOOKUP(A26,Journal!$B$7:$J$84,9))</f>
        <v/>
      </c>
      <c r="E26" s="116"/>
      <c r="F26" s="116"/>
      <c r="G26" s="115"/>
      <c r="H26" s="84" t="str">
        <f>IF(B26="","",VLOOKUP(A26,Journal!$B$7:$L$84,11))</f>
        <v/>
      </c>
      <c r="I26" s="84" t="str">
        <f>IF(B26="","",VLOOKUP(A26,Journal!$B$7:$M$84,12))</f>
        <v/>
      </c>
      <c r="J26" s="105">
        <f>IF(B26="Total",SUM(J$8:J25)+0.0001,IF(OR(B26="",I$2=I26),0,VLOOKUP(A26,Journal!$B$7:M$84,8)))</f>
        <v>0</v>
      </c>
      <c r="K26" s="102">
        <f>IF(B26="Total",SUM(K$8:K25)+0.0001,IF(OR(B26="",J26&lt;&gt;0),0,VLOOKUP(A26,Journal!$B$7:M$84,8)))</f>
        <v>0</v>
      </c>
      <c r="L26" s="87">
        <f t="shared" si="6"/>
        <v>0</v>
      </c>
      <c r="M26" s="103"/>
      <c r="P26">
        <f t="shared" si="2"/>
        <v>1.0000000000000001E-5</v>
      </c>
      <c r="R26" s="15">
        <f t="shared" si="3"/>
        <v>19</v>
      </c>
      <c r="S26" s="126">
        <f>IF(VLOOKUP(A26,Journal!$A$7:$E$70,5)=0,S25+1,VLOOKUP(A26,Journal!$A$7:$E$70,5))</f>
        <v>45676</v>
      </c>
      <c r="T26" s="125">
        <f>IF(H$2=VLOOKUP(A26,Journal!$A$7:$F$70,6),VLOOKUP(A26,Journal!$A$7:M$70,9),0)</f>
        <v>0</v>
      </c>
      <c r="U26" s="125">
        <f>IF(H$2=VLOOKUP(A26,Journal!$A$7:$G$70,7),VLOOKUP(A26,Journal!$A$7:M$70,9),0)</f>
        <v>0</v>
      </c>
      <c r="V26" s="125">
        <f t="shared" si="4"/>
        <v>40</v>
      </c>
      <c r="X26">
        <f t="shared" si="0"/>
        <v>0</v>
      </c>
      <c r="Y26" s="143">
        <f t="shared" si="1"/>
        <v>-999.57894736842172</v>
      </c>
    </row>
    <row r="27" spans="1:25" x14ac:dyDescent="0.25">
      <c r="A27">
        <f t="shared" si="5"/>
        <v>20</v>
      </c>
      <c r="B27" s="88" t="str">
        <f>IF(OR(B26="Total",B26=""),"",IF(VLOOKUP(A27,Journal!$B$7:$E$84,4)=0,"Total",VLOOKUP(A27,Journal!$B$7:$D$84,3)))</f>
        <v/>
      </c>
      <c r="C27" s="86" t="str">
        <f>IF(B27="","",VLOOKUP(A27,Journal!$B$7:$E$84,4))</f>
        <v/>
      </c>
      <c r="D27" s="114" t="str">
        <f>IF(B27="","",VLOOKUP(A27,Journal!$B$7:$J$84,9))</f>
        <v/>
      </c>
      <c r="E27" s="116"/>
      <c r="F27" s="116"/>
      <c r="G27" s="115"/>
      <c r="H27" s="84" t="str">
        <f>IF(B27="","",VLOOKUP(A27,Journal!$B$7:$L$84,11))</f>
        <v/>
      </c>
      <c r="I27" s="84" t="str">
        <f>IF(B27="","",VLOOKUP(A27,Journal!$B$7:$M$84,12))</f>
        <v/>
      </c>
      <c r="J27" s="105">
        <f>IF(B27="Total",SUM(J$8:J26)+0.0001,IF(OR(B27="",I$2=I27),0,VLOOKUP(A27,Journal!$B$7:M$84,8)))</f>
        <v>0</v>
      </c>
      <c r="K27" s="102">
        <f>IF(B27="Total",SUM(K$8:K26)+0.0001,IF(OR(B27="",J27&lt;&gt;0),0,VLOOKUP(A27,Journal!$B$7:M$84,8)))</f>
        <v>0</v>
      </c>
      <c r="L27" s="87">
        <f t="shared" si="6"/>
        <v>0</v>
      </c>
      <c r="M27" s="103"/>
      <c r="N27" s="93"/>
      <c r="P27">
        <f t="shared" si="2"/>
        <v>1.0000000000000001E-5</v>
      </c>
      <c r="R27" s="15">
        <f t="shared" si="3"/>
        <v>20</v>
      </c>
      <c r="S27" s="126">
        <f>IF(VLOOKUP(A27,Journal!$A$7:$E$70,5)=0,S26+1,VLOOKUP(A27,Journal!$A$7:$E$70,5))</f>
        <v>45677</v>
      </c>
      <c r="T27" s="125">
        <f>IF(H$2=VLOOKUP(A27,Journal!$A$7:$F$70,6),VLOOKUP(A27,Journal!$A$7:M$70,9),0)</f>
        <v>0</v>
      </c>
      <c r="U27" s="125">
        <f>IF(H$2=VLOOKUP(A27,Journal!$A$7:$G$70,7),VLOOKUP(A27,Journal!$A$7:M$70,9),0)</f>
        <v>0</v>
      </c>
      <c r="V27" s="125">
        <f t="shared" si="4"/>
        <v>40</v>
      </c>
      <c r="X27">
        <f t="shared" si="0"/>
        <v>0</v>
      </c>
      <c r="Y27" s="143">
        <f t="shared" si="1"/>
        <v>-999.55263157894808</v>
      </c>
    </row>
    <row r="28" spans="1:25" x14ac:dyDescent="0.25">
      <c r="A28">
        <f t="shared" si="5"/>
        <v>21</v>
      </c>
      <c r="B28" s="88" t="str">
        <f>IF(OR(B27="Total",B27=""),"",IF(VLOOKUP(A28,Journal!$B$7:$E$84,4)=0,"Total",VLOOKUP(A28,Journal!$B$7:$D$84,3)))</f>
        <v/>
      </c>
      <c r="C28" s="86" t="str">
        <f>IF(B28="","",VLOOKUP(A28,Journal!$B$7:$E$84,4))</f>
        <v/>
      </c>
      <c r="D28" s="114" t="str">
        <f>IF(B28="","",VLOOKUP(A28,Journal!$B$7:$J$84,9))</f>
        <v/>
      </c>
      <c r="E28" s="116"/>
      <c r="F28" s="116"/>
      <c r="G28" s="115"/>
      <c r="H28" s="84" t="str">
        <f>IF(B28="","",VLOOKUP(A28,Journal!$B$7:$L$84,11))</f>
        <v/>
      </c>
      <c r="I28" s="84" t="str">
        <f>IF(B28="","",VLOOKUP(A28,Journal!$B$7:$M$84,12))</f>
        <v/>
      </c>
      <c r="J28" s="105">
        <f>IF(B28="Total",SUM(J$8:J27)+0.0001,IF(OR(B28="",I$2=I28),0,VLOOKUP(A28,Journal!$B$7:M$84,8)))</f>
        <v>0</v>
      </c>
      <c r="K28" s="102">
        <f>IF(B28="Total",SUM(K$8:K27)+0.0001,IF(OR(B28="",J28&lt;&gt;0),0,VLOOKUP(A28,Journal!$B$7:M$84,8)))</f>
        <v>0</v>
      </c>
      <c r="L28" s="87">
        <f t="shared" si="6"/>
        <v>0</v>
      </c>
      <c r="M28" s="103"/>
      <c r="P28">
        <f t="shared" si="2"/>
        <v>1.0000000000000001E-5</v>
      </c>
      <c r="R28" s="15">
        <f t="shared" si="3"/>
        <v>21</v>
      </c>
      <c r="S28" s="126">
        <f>IF(VLOOKUP(A28,Journal!$A$7:$E$70,5)=0,S27+1,VLOOKUP(A28,Journal!$A$7:$E$70,5))</f>
        <v>45678</v>
      </c>
      <c r="T28" s="125">
        <f>IF(H$2=VLOOKUP(A28,Journal!$A$7:$F$70,6),VLOOKUP(A28,Journal!$A$7:M$70,9),0)</f>
        <v>0</v>
      </c>
      <c r="U28" s="125">
        <f>IF(H$2=VLOOKUP(A28,Journal!$A$7:$G$70,7),VLOOKUP(A28,Journal!$A$7:M$70,9),0)</f>
        <v>0</v>
      </c>
      <c r="V28" s="125">
        <f t="shared" si="4"/>
        <v>40</v>
      </c>
      <c r="X28">
        <f t="shared" si="0"/>
        <v>0</v>
      </c>
      <c r="Y28" s="143">
        <f t="shared" si="1"/>
        <v>-999.52631578947444</v>
      </c>
    </row>
    <row r="29" spans="1:25" x14ac:dyDescent="0.25">
      <c r="A29">
        <f t="shared" si="5"/>
        <v>22</v>
      </c>
      <c r="B29" s="88" t="str">
        <f>IF(OR(B28="Total",B28=""),"",IF(VLOOKUP(A29,Journal!$B$7:$E$84,4)=0,"Total",VLOOKUP(A29,Journal!$B$7:$D$84,3)))</f>
        <v/>
      </c>
      <c r="C29" s="86" t="str">
        <f>IF(B29="","",VLOOKUP(A29,Journal!$B$7:$E$84,4))</f>
        <v/>
      </c>
      <c r="D29" s="114" t="str">
        <f>IF(B29="","",VLOOKUP(A29,Journal!$B$7:$J$84,9))</f>
        <v/>
      </c>
      <c r="E29" s="116"/>
      <c r="F29" s="116"/>
      <c r="G29" s="115"/>
      <c r="H29" s="84" t="str">
        <f>IF(B29="","",VLOOKUP(A29,Journal!$B$7:$L$84,11))</f>
        <v/>
      </c>
      <c r="I29" s="84" t="str">
        <f>IF(B29="","",VLOOKUP(A29,Journal!$B$7:$M$84,12))</f>
        <v/>
      </c>
      <c r="J29" s="105">
        <f>IF(B29="Total",SUM(J$8:J28)+0.0001,IF(OR(B29="",I$2=I29),0,VLOOKUP(A29,Journal!$B$7:M$84,8)))</f>
        <v>0</v>
      </c>
      <c r="K29" s="102">
        <f>IF(B29="Total",SUM(K$8:K28)+0.0001,IF(OR(B29="",J29&lt;&gt;0),0,VLOOKUP(A29,Journal!$B$7:M$84,8)))</f>
        <v>0</v>
      </c>
      <c r="L29" s="87">
        <f t="shared" si="6"/>
        <v>0</v>
      </c>
      <c r="M29" s="103"/>
      <c r="P29">
        <f t="shared" si="2"/>
        <v>1.0000000000000001E-5</v>
      </c>
      <c r="R29" s="15">
        <f t="shared" si="3"/>
        <v>22</v>
      </c>
      <c r="S29" s="126">
        <f>IF(VLOOKUP(A29,Journal!$A$7:$E$70,5)=0,S28+1,VLOOKUP(A29,Journal!$A$7:$E$70,5))</f>
        <v>45679</v>
      </c>
      <c r="T29" s="125">
        <f>IF(H$2=VLOOKUP(A29,Journal!$A$7:$F$70,6),VLOOKUP(A29,Journal!$A$7:M$70,9),0)</f>
        <v>0</v>
      </c>
      <c r="U29" s="125">
        <f>IF(H$2=VLOOKUP(A29,Journal!$A$7:$G$70,7),VLOOKUP(A29,Journal!$A$7:M$70,9),0)</f>
        <v>0</v>
      </c>
      <c r="V29" s="125">
        <f t="shared" si="4"/>
        <v>40</v>
      </c>
      <c r="X29">
        <f t="shared" si="0"/>
        <v>0</v>
      </c>
      <c r="Y29" s="143">
        <f t="shared" si="1"/>
        <v>-999.5000000000008</v>
      </c>
    </row>
    <row r="30" spans="1:25" x14ac:dyDescent="0.25">
      <c r="A30">
        <f t="shared" si="5"/>
        <v>23</v>
      </c>
      <c r="B30" s="88" t="str">
        <f>IF(OR(B29="Total",B29=""),"",IF(VLOOKUP(A30,Journal!$B$7:$E$84,4)=0,"Total",VLOOKUP(A30,Journal!$B$7:$D$84,3)))</f>
        <v/>
      </c>
      <c r="C30" s="86" t="str">
        <f>IF(B30="","",VLOOKUP(A30,Journal!$B$7:$E$84,4))</f>
        <v/>
      </c>
      <c r="D30" s="114" t="str">
        <f>IF(B30="","",VLOOKUP(A30,Journal!$B$7:$J$84,9))</f>
        <v/>
      </c>
      <c r="E30" s="116"/>
      <c r="F30" s="116"/>
      <c r="G30" s="115"/>
      <c r="H30" s="84" t="str">
        <f>IF(B30="","",VLOOKUP(A30,Journal!$B$7:$L$84,11))</f>
        <v/>
      </c>
      <c r="I30" s="84" t="str">
        <f>IF(B30="","",VLOOKUP(A30,Journal!$B$7:$M$84,12))</f>
        <v/>
      </c>
      <c r="J30" s="105">
        <f>IF(B30="Total",SUM(J$8:J29)+0.0001,IF(OR(B30="",I$2=I30),0,VLOOKUP(A30,Journal!$B$7:M$84,8)))</f>
        <v>0</v>
      </c>
      <c r="K30" s="102">
        <f>IF(B30="Total",SUM(K$8:K29)+0.0001,IF(OR(B30="",J30&lt;&gt;0),0,VLOOKUP(A30,Journal!$B$7:M$84,8)))</f>
        <v>0</v>
      </c>
      <c r="L30" s="87">
        <f t="shared" si="6"/>
        <v>0</v>
      </c>
      <c r="M30" s="103"/>
      <c r="P30">
        <f t="shared" si="2"/>
        <v>1.0000000000000001E-5</v>
      </c>
      <c r="R30" s="15">
        <f t="shared" si="3"/>
        <v>23</v>
      </c>
      <c r="S30" s="126">
        <f>IF(VLOOKUP(A30,Journal!$A$7:$E$70,5)=0,S29+1,VLOOKUP(A30,Journal!$A$7:$E$70,5))</f>
        <v>45680</v>
      </c>
      <c r="T30" s="125">
        <f>IF(H$2=VLOOKUP(A30,Journal!$A$7:$F$70,6),VLOOKUP(A30,Journal!$A$7:M$70,9),0)</f>
        <v>0</v>
      </c>
      <c r="U30" s="125">
        <f>IF(H$2=VLOOKUP(A30,Journal!$A$7:$G$70,7),VLOOKUP(A30,Journal!$A$7:M$70,9),0)</f>
        <v>0</v>
      </c>
      <c r="V30" s="125">
        <f t="shared" si="4"/>
        <v>40</v>
      </c>
      <c r="X30">
        <f t="shared" si="0"/>
        <v>0</v>
      </c>
      <c r="Y30" s="143">
        <f t="shared" si="1"/>
        <v>-999.47368421052715</v>
      </c>
    </row>
    <row r="31" spans="1:25" x14ac:dyDescent="0.25">
      <c r="A31">
        <f t="shared" si="5"/>
        <v>24</v>
      </c>
      <c r="B31" s="88" t="str">
        <f>IF(OR(B30="Total",B30=""),"",IF(VLOOKUP(A31,Journal!$B$7:$E$84,4)=0,"Total",VLOOKUP(A31,Journal!$B$7:$D$84,3)))</f>
        <v/>
      </c>
      <c r="C31" s="86" t="str">
        <f>IF(B31="","",VLOOKUP(A31,Journal!$B$7:$E$84,4))</f>
        <v/>
      </c>
      <c r="D31" s="114" t="str">
        <f>IF(B31="","",VLOOKUP(A31,Journal!$B$7:$J$84,9))</f>
        <v/>
      </c>
      <c r="E31" s="116"/>
      <c r="F31" s="116"/>
      <c r="G31" s="115"/>
      <c r="H31" s="84" t="str">
        <f>IF(B31="","",VLOOKUP(A31,Journal!$B$7:$L$84,11))</f>
        <v/>
      </c>
      <c r="I31" s="84" t="str">
        <f>IF(B31="","",VLOOKUP(A31,Journal!$B$7:$M$84,12))</f>
        <v/>
      </c>
      <c r="J31" s="105">
        <f>IF(B31="Total",SUM(J$8:J30)+0.0001,IF(OR(B31="",I$2=I31),0,VLOOKUP(A31,Journal!$B$7:M$84,8)))</f>
        <v>0</v>
      </c>
      <c r="K31" s="102">
        <f>IF(B31="Total",SUM(K$8:K30)+0.0001,IF(OR(B31="",J31&lt;&gt;0),0,VLOOKUP(A31,Journal!$B$7:M$84,8)))</f>
        <v>0</v>
      </c>
      <c r="L31" s="87">
        <f t="shared" si="6"/>
        <v>0</v>
      </c>
      <c r="M31" s="103"/>
      <c r="P31">
        <f t="shared" si="2"/>
        <v>1.0000000000000001E-5</v>
      </c>
      <c r="R31" s="15">
        <f t="shared" si="3"/>
        <v>24</v>
      </c>
      <c r="S31" s="126">
        <f>IF(VLOOKUP(A31,Journal!$A$7:$E$70,5)=0,S30+1,VLOOKUP(A31,Journal!$A$7:$E$70,5))</f>
        <v>45681</v>
      </c>
      <c r="T31" s="125">
        <f>IF(H$2=VLOOKUP(A31,Journal!$A$7:$F$70,6),VLOOKUP(A31,Journal!$A$7:M$70,9),0)</f>
        <v>0</v>
      </c>
      <c r="U31" s="125">
        <f>IF(H$2=VLOOKUP(A31,Journal!$A$7:$G$70,7),VLOOKUP(A31,Journal!$A$7:M$70,9),0)</f>
        <v>0</v>
      </c>
      <c r="V31" s="125">
        <f t="shared" si="4"/>
        <v>40</v>
      </c>
      <c r="X31">
        <f t="shared" si="0"/>
        <v>0</v>
      </c>
      <c r="Y31" s="143">
        <f t="shared" si="1"/>
        <v>-999.44736842105351</v>
      </c>
    </row>
    <row r="32" spans="1:25" x14ac:dyDescent="0.25">
      <c r="A32">
        <f t="shared" si="5"/>
        <v>25</v>
      </c>
      <c r="B32" s="88" t="str">
        <f>IF(OR(B31="Total",B31=""),"",IF(VLOOKUP(A32,Journal!$B$7:$E$84,4)=0,"Total",VLOOKUP(A32,Journal!$B$7:$D$84,3)))</f>
        <v/>
      </c>
      <c r="C32" s="86" t="str">
        <f>IF(B32="","",VLOOKUP(A32,Journal!$B$7:$E$84,4))</f>
        <v/>
      </c>
      <c r="D32" s="114" t="str">
        <f>IF(B32="","",VLOOKUP(A32,Journal!$B$7:$J$84,9))</f>
        <v/>
      </c>
      <c r="E32" s="116"/>
      <c r="F32" s="116"/>
      <c r="G32" s="115"/>
      <c r="H32" s="84" t="str">
        <f>IF(B32="","",VLOOKUP(A32,Journal!$B$7:$L$84,11))</f>
        <v/>
      </c>
      <c r="I32" s="84" t="str">
        <f>IF(B32="","",VLOOKUP(A32,Journal!$B$7:$M$84,12))</f>
        <v/>
      </c>
      <c r="J32" s="105">
        <f>IF(B32="Total",SUM(J$8:J31)+0.0001,IF(OR(B32="",I$2=I32),0,VLOOKUP(A32,Journal!$B$7:M$84,8)))</f>
        <v>0</v>
      </c>
      <c r="K32" s="102">
        <f>IF(B32="Total",SUM(K$8:K31)+0.0001,IF(OR(B32="",J32&lt;&gt;0),0,VLOOKUP(A32,Journal!$B$7:M$84,8)))</f>
        <v>0</v>
      </c>
      <c r="L32" s="87">
        <f t="shared" si="6"/>
        <v>0</v>
      </c>
      <c r="M32" s="103"/>
      <c r="P32">
        <f t="shared" si="2"/>
        <v>1.0000000000000001E-5</v>
      </c>
      <c r="R32" s="15">
        <f t="shared" si="3"/>
        <v>25</v>
      </c>
      <c r="S32" s="126">
        <f>IF(VLOOKUP(A32,Journal!$A$7:$E$70,5)=0,S31+1,VLOOKUP(A32,Journal!$A$7:$E$70,5))</f>
        <v>45682</v>
      </c>
      <c r="T32" s="125">
        <f>IF(H$2=VLOOKUP(A32,Journal!$A$7:$F$70,6),VLOOKUP(A32,Journal!$A$7:M$70,9),0)</f>
        <v>0</v>
      </c>
      <c r="U32" s="125">
        <f>IF(H$2=VLOOKUP(A32,Journal!$A$7:$G$70,7),VLOOKUP(A32,Journal!$A$7:M$70,9),0)</f>
        <v>0</v>
      </c>
      <c r="V32" s="125">
        <f t="shared" si="4"/>
        <v>40</v>
      </c>
      <c r="X32">
        <f t="shared" si="0"/>
        <v>0</v>
      </c>
      <c r="Y32" s="143">
        <f t="shared" si="1"/>
        <v>-999.42105263157987</v>
      </c>
    </row>
    <row r="33" spans="1:25" x14ac:dyDescent="0.25">
      <c r="A33">
        <f t="shared" si="5"/>
        <v>26</v>
      </c>
      <c r="B33" s="88" t="str">
        <f>IF(OR(B32="Total",B32=""),"",IF(VLOOKUP(A33,Journal!$B$7:$E$84,4)=0,"Total",VLOOKUP(A33,Journal!$B$7:$D$84,3)))</f>
        <v/>
      </c>
      <c r="C33" s="86" t="str">
        <f>IF(B33="","",VLOOKUP(A33,Journal!$B$7:$E$84,4))</f>
        <v/>
      </c>
      <c r="D33" s="114" t="str">
        <f>IF(B33="","",VLOOKUP(A33,Journal!$B$7:$J$84,9))</f>
        <v/>
      </c>
      <c r="E33" s="116"/>
      <c r="F33" s="116"/>
      <c r="G33" s="115"/>
      <c r="H33" s="84" t="str">
        <f>IF(B33="","",VLOOKUP(A33,Journal!$B$7:$L$84,11))</f>
        <v/>
      </c>
      <c r="I33" s="84" t="str">
        <f>IF(B33="","",VLOOKUP(A33,Journal!$B$7:$M$84,12))</f>
        <v/>
      </c>
      <c r="J33" s="105">
        <f>IF(B33="Total",SUM(J$8:J32)+0.0001,IF(OR(B33="",I$2=I33),0,VLOOKUP(A33,Journal!$B$7:M$84,8)))</f>
        <v>0</v>
      </c>
      <c r="K33" s="102">
        <f>IF(B33="Total",SUM(K$8:K32)+0.0001,IF(OR(B33="",J33&lt;&gt;0),0,VLOOKUP(A33,Journal!$B$7:M$84,8)))</f>
        <v>0</v>
      </c>
      <c r="L33" s="87">
        <f t="shared" si="6"/>
        <v>0</v>
      </c>
      <c r="M33" s="103"/>
      <c r="P33">
        <f t="shared" si="2"/>
        <v>1.0000000000000001E-5</v>
      </c>
      <c r="R33" s="15">
        <f t="shared" si="3"/>
        <v>26</v>
      </c>
      <c r="S33" s="126">
        <f>IF(VLOOKUP(A33,Journal!$A$7:$E$70,5)=0,S32+1,VLOOKUP(A33,Journal!$A$7:$E$70,5))</f>
        <v>45683</v>
      </c>
      <c r="T33" s="125">
        <f>IF(H$2=VLOOKUP(A33,Journal!$A$7:$F$70,6),VLOOKUP(A33,Journal!$A$7:M$70,9),0)</f>
        <v>0</v>
      </c>
      <c r="U33" s="125">
        <f>IF(H$2=VLOOKUP(A33,Journal!$A$7:$G$70,7),VLOOKUP(A33,Journal!$A$7:M$70,9),0)</f>
        <v>0</v>
      </c>
      <c r="V33" s="125">
        <f t="shared" si="4"/>
        <v>40</v>
      </c>
      <c r="X33">
        <f t="shared" si="0"/>
        <v>0</v>
      </c>
      <c r="Y33" s="143">
        <f t="shared" si="1"/>
        <v>-999.39473684210623</v>
      </c>
    </row>
    <row r="34" spans="1:25" x14ac:dyDescent="0.25">
      <c r="A34">
        <f t="shared" si="5"/>
        <v>27</v>
      </c>
      <c r="B34" s="88" t="str">
        <f>IF(OR(B33="Total",B33=""),"",IF(VLOOKUP(A34,Journal!$B$7:$E$84,4)=0,"Total",VLOOKUP(A34,Journal!$B$7:$D$84,3)))</f>
        <v/>
      </c>
      <c r="C34" s="86" t="str">
        <f>IF(B34="","",VLOOKUP(A34,Journal!$B$7:$E$84,4))</f>
        <v/>
      </c>
      <c r="D34" s="114" t="str">
        <f>IF(B34="","",VLOOKUP(A34,Journal!$B$7:$J$84,9))</f>
        <v/>
      </c>
      <c r="E34" s="116"/>
      <c r="F34" s="116"/>
      <c r="G34" s="115"/>
      <c r="H34" s="84" t="str">
        <f>IF(B34="","",VLOOKUP(A34,Journal!$B$7:$L$84,11))</f>
        <v/>
      </c>
      <c r="I34" s="84" t="str">
        <f>IF(B34="","",VLOOKUP(A34,Journal!$B$7:$M$84,12))</f>
        <v/>
      </c>
      <c r="J34" s="105">
        <f>IF(B34="Total",SUM(J$8:J33)+0.0001,IF(OR(B34="",I$2=I34),0,VLOOKUP(A34,Journal!$B$7:M$84,8)))</f>
        <v>0</v>
      </c>
      <c r="K34" s="102">
        <f>IF(B34="Total",SUM(K$8:K33)+0.0001,IF(OR(B34="",J34&lt;&gt;0),0,VLOOKUP(A34,Journal!$B$7:M$84,8)))</f>
        <v>0</v>
      </c>
      <c r="L34" s="87">
        <f t="shared" si="6"/>
        <v>0</v>
      </c>
      <c r="M34" s="103"/>
      <c r="P34">
        <f t="shared" si="2"/>
        <v>1.0000000000000001E-5</v>
      </c>
      <c r="R34" s="15">
        <f t="shared" si="3"/>
        <v>27</v>
      </c>
      <c r="S34" s="126">
        <f>IF(VLOOKUP(A34,Journal!$A$7:$E$70,5)=0,S33+1,VLOOKUP(A34,Journal!$A$7:$E$70,5))</f>
        <v>45684</v>
      </c>
      <c r="T34" s="125">
        <f>IF(H$2=VLOOKUP(A34,Journal!$A$7:$F$70,6),VLOOKUP(A34,Journal!$A$7:M$70,9),0)</f>
        <v>0</v>
      </c>
      <c r="U34" s="125">
        <f>IF(H$2=VLOOKUP(A34,Journal!$A$7:$G$70,7),VLOOKUP(A34,Journal!$A$7:M$70,9),0)</f>
        <v>0</v>
      </c>
      <c r="V34" s="125">
        <f t="shared" si="4"/>
        <v>40</v>
      </c>
      <c r="X34">
        <f t="shared" si="0"/>
        <v>0</v>
      </c>
      <c r="Y34" s="143">
        <f t="shared" si="1"/>
        <v>-999.36842105263258</v>
      </c>
    </row>
    <row r="35" spans="1:25" x14ac:dyDescent="0.25">
      <c r="A35">
        <f t="shared" si="5"/>
        <v>28</v>
      </c>
      <c r="B35" s="88" t="str">
        <f>IF(OR(B34="Total",B34=""),"",IF(VLOOKUP(A35,Journal!$B$7:$E$84,4)=0,"Total",VLOOKUP(A35,Journal!$B$7:$D$84,3)))</f>
        <v/>
      </c>
      <c r="C35" s="86" t="str">
        <f>IF(B35="","",VLOOKUP(A35,Journal!$B$7:$E$84,4))</f>
        <v/>
      </c>
      <c r="D35" s="114" t="str">
        <f>IF(B35="","",VLOOKUP(A35,Journal!$B$7:$J$84,9))</f>
        <v/>
      </c>
      <c r="E35" s="116"/>
      <c r="F35" s="116"/>
      <c r="G35" s="115"/>
      <c r="H35" s="84" t="str">
        <f>IF(B35="","",VLOOKUP(A35,Journal!$B$7:$L$84,11))</f>
        <v/>
      </c>
      <c r="I35" s="84" t="str">
        <f>IF(B35="","",VLOOKUP(A35,Journal!$B$7:$M$84,12))</f>
        <v/>
      </c>
      <c r="J35" s="105">
        <f>IF(B35="Total",SUM(J$8:J34)+0.0001,IF(OR(B35="",I$2=I35),0,VLOOKUP(A35,Journal!$B$7:M$84,8)))</f>
        <v>0</v>
      </c>
      <c r="K35" s="102">
        <f>IF(B35="Total",SUM(K$8:K34)+0.0001,IF(OR(B35="",J35&lt;&gt;0),0,VLOOKUP(A35,Journal!$B$7:M$84,8)))</f>
        <v>0</v>
      </c>
      <c r="L35" s="87">
        <f t="shared" si="6"/>
        <v>0</v>
      </c>
      <c r="M35" s="103"/>
      <c r="P35">
        <f t="shared" si="2"/>
        <v>1.0000000000000001E-5</v>
      </c>
      <c r="R35" s="15">
        <f t="shared" si="3"/>
        <v>28</v>
      </c>
      <c r="S35" s="126">
        <f>IF(VLOOKUP(A35,Journal!$A$7:$E$70,5)=0,S34+1,VLOOKUP(A35,Journal!$A$7:$E$70,5))</f>
        <v>45685</v>
      </c>
      <c r="T35" s="125">
        <f>IF(H$2=VLOOKUP(A35,Journal!$A$7:$F$70,6),VLOOKUP(A35,Journal!$A$7:M$70,9),0)</f>
        <v>0</v>
      </c>
      <c r="U35" s="125">
        <f>IF(H$2=VLOOKUP(A35,Journal!$A$7:$G$70,7),VLOOKUP(A35,Journal!$A$7:M$70,9),0)</f>
        <v>0</v>
      </c>
      <c r="V35" s="125">
        <f t="shared" si="4"/>
        <v>40</v>
      </c>
      <c r="X35">
        <f t="shared" si="0"/>
        <v>0</v>
      </c>
      <c r="Y35" s="143">
        <f t="shared" si="1"/>
        <v>-999.34210526315894</v>
      </c>
    </row>
    <row r="36" spans="1:25" x14ac:dyDescent="0.25">
      <c r="A36">
        <f t="shared" si="5"/>
        <v>29</v>
      </c>
      <c r="B36" s="88" t="str">
        <f>IF(OR(B35="Total",B35=""),"",IF(VLOOKUP(A36,Journal!$B$7:$E$84,4)=0,"Total",VLOOKUP(A36,Journal!$B$7:$D$84,3)))</f>
        <v/>
      </c>
      <c r="C36" s="86" t="str">
        <f>IF(B36="","",VLOOKUP(A36,Journal!$B$7:$E$84,4))</f>
        <v/>
      </c>
      <c r="D36" s="114" t="str">
        <f>IF(B36="","",VLOOKUP(A36,Journal!$B$7:$J$84,9))</f>
        <v/>
      </c>
      <c r="E36" s="116"/>
      <c r="F36" s="116"/>
      <c r="G36" s="115"/>
      <c r="H36" s="84" t="str">
        <f>IF(B36="","",VLOOKUP(A36,Journal!$B$7:$L$84,11))</f>
        <v/>
      </c>
      <c r="I36" s="84" t="str">
        <f>IF(B36="","",VLOOKUP(A36,Journal!$B$7:$M$84,12))</f>
        <v/>
      </c>
      <c r="J36" s="105">
        <f>IF(B36="Total",SUM(J$8:J35)+0.0001,IF(OR(B36="",I$2=I36),0,VLOOKUP(A36,Journal!$B$7:M$84,8)))</f>
        <v>0</v>
      </c>
      <c r="K36" s="102">
        <f>IF(B36="Total",SUM(K$8:K35)+0.0001,IF(OR(B36="",J36&lt;&gt;0),0,VLOOKUP(A36,Journal!$B$7:M$84,8)))</f>
        <v>0</v>
      </c>
      <c r="L36" s="87">
        <f t="shared" si="6"/>
        <v>0</v>
      </c>
      <c r="M36" s="103"/>
      <c r="P36">
        <f t="shared" si="2"/>
        <v>1.0000000000000001E-5</v>
      </c>
      <c r="R36" s="15">
        <f t="shared" si="3"/>
        <v>29</v>
      </c>
      <c r="S36" s="126">
        <f>IF(VLOOKUP(A36,Journal!$A$7:$E$70,5)=0,S35+1,VLOOKUP(A36,Journal!$A$7:$E$70,5))</f>
        <v>45686</v>
      </c>
      <c r="T36" s="125">
        <f>IF(H$2=VLOOKUP(A36,Journal!$A$7:$F$70,6),VLOOKUP(A36,Journal!$A$7:M$70,9),0)</f>
        <v>0</v>
      </c>
      <c r="U36" s="125">
        <f>IF(H$2=VLOOKUP(A36,Journal!$A$7:$G$70,7),VLOOKUP(A36,Journal!$A$7:M$70,9),0)</f>
        <v>0</v>
      </c>
      <c r="V36" s="125">
        <f t="shared" si="4"/>
        <v>40</v>
      </c>
      <c r="X36">
        <f t="shared" si="0"/>
        <v>0</v>
      </c>
      <c r="Y36" s="143">
        <f t="shared" si="1"/>
        <v>-999.3157894736853</v>
      </c>
    </row>
    <row r="37" spans="1:25" x14ac:dyDescent="0.25">
      <c r="A37">
        <f t="shared" si="5"/>
        <v>30</v>
      </c>
      <c r="B37" s="88" t="str">
        <f>IF(OR(B36="Total",B36=""),"",IF(VLOOKUP(A37,Journal!$B$7:$E$84,4)=0,"Total",VLOOKUP(A37,Journal!$B$7:$D$84,3)))</f>
        <v/>
      </c>
      <c r="C37" s="86" t="str">
        <f>IF(B37="","",VLOOKUP(A37,Journal!$B$7:$E$84,4))</f>
        <v/>
      </c>
      <c r="D37" s="114" t="str">
        <f>IF(B37="","",VLOOKUP(A37,Journal!$B$7:$J$84,9))</f>
        <v/>
      </c>
      <c r="E37" s="116"/>
      <c r="F37" s="116"/>
      <c r="G37" s="115"/>
      <c r="H37" s="84" t="str">
        <f>IF(B37="","",VLOOKUP(A37,Journal!$B$7:$L$84,11))</f>
        <v/>
      </c>
      <c r="I37" s="84" t="str">
        <f>IF(B37="","",VLOOKUP(A37,Journal!$B$7:$M$84,12))</f>
        <v/>
      </c>
      <c r="J37" s="105">
        <f>IF(B37="Total",SUM(J$8:J36)+0.0001,IF(OR(B37="",I$2=I37),0,VLOOKUP(A37,Journal!$B$7:M$84,8)))</f>
        <v>0</v>
      </c>
      <c r="K37" s="102">
        <f>IF(B37="Total",SUM(K$8:K36)+0.0001,IF(OR(B37="",J37&lt;&gt;0),0,VLOOKUP(A37,Journal!$B$7:M$84,8)))</f>
        <v>0</v>
      </c>
      <c r="L37" s="87">
        <f t="shared" si="6"/>
        <v>0</v>
      </c>
      <c r="M37" s="103"/>
      <c r="P37">
        <f t="shared" si="2"/>
        <v>1.0000000000000001E-5</v>
      </c>
      <c r="R37" s="15">
        <f t="shared" si="3"/>
        <v>30</v>
      </c>
      <c r="S37" s="126">
        <f>IF(VLOOKUP(A37,Journal!$A$7:$E$70,5)=0,S36+1,VLOOKUP(A37,Journal!$A$7:$E$70,5))</f>
        <v>45687</v>
      </c>
      <c r="T37" s="125">
        <f>IF(H$2=VLOOKUP(A37,Journal!$A$7:$F$70,6),VLOOKUP(A37,Journal!$A$7:M$70,9),0)</f>
        <v>0</v>
      </c>
      <c r="U37" s="125">
        <f>IF(H$2=VLOOKUP(A37,Journal!$A$7:$G$70,7),VLOOKUP(A37,Journal!$A$7:M$70,9),0)</f>
        <v>0</v>
      </c>
      <c r="V37" s="125">
        <f t="shared" si="4"/>
        <v>40</v>
      </c>
      <c r="X37">
        <f t="shared" si="0"/>
        <v>0</v>
      </c>
      <c r="Y37" s="143">
        <f t="shared" si="1"/>
        <v>-999.28947368421166</v>
      </c>
    </row>
    <row r="38" spans="1:25" x14ac:dyDescent="0.25">
      <c r="A38">
        <f t="shared" si="5"/>
        <v>31</v>
      </c>
      <c r="B38" s="88" t="str">
        <f>IF(OR(B37="Total",B37=""),"",IF(VLOOKUP(A38,Journal!$B$7:$E$84,4)=0,"Total",VLOOKUP(A38,Journal!$B$7:$D$84,3)))</f>
        <v/>
      </c>
      <c r="C38" s="86" t="str">
        <f>IF(B38="","",VLOOKUP(A38,Journal!$B$7:$E$84,4))</f>
        <v/>
      </c>
      <c r="D38" s="114" t="str">
        <f>IF(B38="","",VLOOKUP(A38,Journal!$B$7:$J$84,9))</f>
        <v/>
      </c>
      <c r="E38" s="116"/>
      <c r="F38" s="116"/>
      <c r="G38" s="115"/>
      <c r="H38" s="84" t="str">
        <f>IF(B38="","",VLOOKUP(A38,Journal!$B$7:$L$84,11))</f>
        <v/>
      </c>
      <c r="I38" s="84" t="str">
        <f>IF(B38="","",VLOOKUP(A38,Journal!$B$7:$M$84,12))</f>
        <v/>
      </c>
      <c r="J38" s="105">
        <f>IF(B38="Total",SUM(J$8:J37)+0.0001,IF(OR(B38="",I$2=I38),0,VLOOKUP(A38,Journal!$B$7:M$84,8)))</f>
        <v>0</v>
      </c>
      <c r="K38" s="102">
        <f>IF(B38="Total",SUM(K$8:K37)+0.0001,IF(OR(B38="",J38&lt;&gt;0),0,VLOOKUP(A38,Journal!$B$7:M$84,8)))</f>
        <v>0</v>
      </c>
      <c r="L38" s="87">
        <f t="shared" si="6"/>
        <v>0</v>
      </c>
      <c r="M38" s="103"/>
      <c r="P38">
        <f>IF(L37=L38,L37+0.00001,L38)</f>
        <v>1.0000000000000001E-5</v>
      </c>
      <c r="R38" s="15">
        <f t="shared" si="3"/>
        <v>31</v>
      </c>
      <c r="S38" s="126">
        <f>IF(VLOOKUP(A38,Journal!$A$7:$E$70,5)=0,S37+1,VLOOKUP(A38,Journal!$A$7:$E$70,5))</f>
        <v>45688</v>
      </c>
      <c r="T38" s="125">
        <f>IF(H$2=VLOOKUP(A38,Journal!$A$7:$F$70,6),VLOOKUP(A38,Journal!$A$7:M$70,9),0)</f>
        <v>0</v>
      </c>
      <c r="U38" s="125">
        <f>IF(H$2=VLOOKUP(A38,Journal!$A$7:$G$70,7),VLOOKUP(A38,Journal!$A$7:M$70,9),0)</f>
        <v>0</v>
      </c>
      <c r="V38" s="125">
        <f t="shared" si="4"/>
        <v>40</v>
      </c>
      <c r="X38">
        <f t="shared" si="0"/>
        <v>0</v>
      </c>
      <c r="Y38" s="143">
        <f t="shared" si="1"/>
        <v>-999.26315789473801</v>
      </c>
    </row>
    <row r="39" spans="1:25" x14ac:dyDescent="0.25">
      <c r="A39">
        <f t="shared" si="5"/>
        <v>32</v>
      </c>
      <c r="B39" s="88" t="str">
        <f>IF(OR(B38="Total",B38=""),"",IF(VLOOKUP(A39,Journal!$B$7:$E$84,4)=0,"Total",VLOOKUP(A39,Journal!$B$7:$D$84,3)))</f>
        <v/>
      </c>
      <c r="C39" s="86" t="str">
        <f>IF(B39="","",VLOOKUP(A39,Journal!$B$7:$E$84,4))</f>
        <v/>
      </c>
      <c r="D39" s="114" t="str">
        <f>IF(B39="","",VLOOKUP(A39,Journal!$B$7:$J$84,9))</f>
        <v/>
      </c>
      <c r="E39" s="116"/>
      <c r="F39" s="116"/>
      <c r="G39" s="115"/>
      <c r="H39" s="84" t="str">
        <f>IF(B39="","",VLOOKUP(A39,Journal!$B$7:$L$84,11))</f>
        <v/>
      </c>
      <c r="I39" s="84" t="str">
        <f>IF(B39="","",VLOOKUP(A39,Journal!$B$7:$M$84,12))</f>
        <v/>
      </c>
      <c r="J39" s="105">
        <f>IF(B39="Total",SUM(J$8:J38)+0.0001,IF(OR(B39="",I$2=I39),0,VLOOKUP(A39,Journal!$B$7:M$84,8)))</f>
        <v>0</v>
      </c>
      <c r="K39" s="102">
        <f>IF(B39="Total",SUM(K$8:K38)+0.0001,IF(OR(B39="",J39&lt;&gt;0),0,VLOOKUP(A39,Journal!$B$7:M$84,8)))</f>
        <v>0</v>
      </c>
      <c r="L39" s="87">
        <f t="shared" si="6"/>
        <v>0</v>
      </c>
      <c r="M39" s="103"/>
      <c r="P39">
        <f t="shared" si="2"/>
        <v>1.0000000000000001E-5</v>
      </c>
      <c r="R39" s="15">
        <f t="shared" si="3"/>
        <v>32</v>
      </c>
      <c r="S39" s="126">
        <f>IF(VLOOKUP(A39,Journal!$A$7:$E$70,5)=0,S38+1,VLOOKUP(A39,Journal!$A$7:$E$70,5))</f>
        <v>45689</v>
      </c>
      <c r="T39" s="125">
        <f>IF(H$2=VLOOKUP(A39,Journal!$A$7:$F$70,6),VLOOKUP(A39,Journal!$A$7:M$70,9),0)</f>
        <v>0</v>
      </c>
      <c r="U39" s="125">
        <f>IF(H$2=VLOOKUP(A39,Journal!$A$7:$G$70,7),VLOOKUP(A39,Journal!$A$7:M$70,9),0)</f>
        <v>0</v>
      </c>
      <c r="V39" s="125">
        <f t="shared" si="4"/>
        <v>40</v>
      </c>
      <c r="X39">
        <f t="shared" si="0"/>
        <v>0</v>
      </c>
      <c r="Y39" s="143">
        <f t="shared" si="1"/>
        <v>-999.23684210526437</v>
      </c>
    </row>
    <row r="40" spans="1:25" x14ac:dyDescent="0.25">
      <c r="A40">
        <f t="shared" si="5"/>
        <v>33</v>
      </c>
      <c r="B40" s="88" t="str">
        <f>IF(OR(B39="Total",B39=""),"",IF(VLOOKUP(A40,Journal!$B$7:$E$84,4)=0,"Total",VLOOKUP(A40,Journal!$B$7:$D$84,3)))</f>
        <v/>
      </c>
      <c r="C40" s="86" t="str">
        <f>IF(B40="","",VLOOKUP(A40,Journal!$B$7:$E$84,4))</f>
        <v/>
      </c>
      <c r="D40" s="114" t="str">
        <f>IF(B40="","",VLOOKUP(A40,Journal!$B$7:$J$84,9))</f>
        <v/>
      </c>
      <c r="E40" s="116"/>
      <c r="F40" s="116"/>
      <c r="G40" s="115"/>
      <c r="H40" s="84" t="str">
        <f>IF(B40="","",VLOOKUP(A40,Journal!$B$7:$L$84,11))</f>
        <v/>
      </c>
      <c r="I40" s="84" t="str">
        <f>IF(B40="","",VLOOKUP(A40,Journal!$B$7:$M$84,12))</f>
        <v/>
      </c>
      <c r="J40" s="105">
        <f>IF(B40="Total",SUM(J$8:J39)+0.0001,IF(OR(B40="",I$2=I40),0,VLOOKUP(A40,Journal!$B$7:M$84,8)))</f>
        <v>0</v>
      </c>
      <c r="K40" s="102">
        <f>IF(B40="Total",SUM(K$8:K39)+0.0001,IF(OR(B40="",J40&lt;&gt;0),0,VLOOKUP(A40,Journal!$B$7:M$84,8)))</f>
        <v>0</v>
      </c>
      <c r="L40" s="87">
        <f t="shared" si="6"/>
        <v>0</v>
      </c>
      <c r="M40" s="103"/>
      <c r="P40">
        <f t="shared" si="2"/>
        <v>1.0000000000000001E-5</v>
      </c>
      <c r="R40" s="15">
        <f t="shared" si="3"/>
        <v>33</v>
      </c>
      <c r="S40" s="126">
        <f>IF(VLOOKUP(A40,Journal!$A$7:$E$70,5)=0,S39+1,VLOOKUP(A40,Journal!$A$7:$E$70,5))</f>
        <v>45690</v>
      </c>
      <c r="T40" s="125">
        <f>IF(H$2=VLOOKUP(A40,Journal!$A$7:$F$70,6),VLOOKUP(A40,Journal!$A$7:M$70,9),0)</f>
        <v>0</v>
      </c>
      <c r="U40" s="125">
        <f>IF(H$2=VLOOKUP(A40,Journal!$A$7:$G$70,7),VLOOKUP(A40,Journal!$A$7:M$70,9),0)</f>
        <v>0</v>
      </c>
      <c r="V40" s="125">
        <f t="shared" si="4"/>
        <v>40</v>
      </c>
      <c r="X40">
        <f t="shared" si="0"/>
        <v>0</v>
      </c>
      <c r="Y40" s="143">
        <f>IF(Y39&gt;-1,2,IF(B39="Total",-1000,Y39+Y$4))</f>
        <v>-999.21052631579073</v>
      </c>
    </row>
    <row r="41" spans="1:25" x14ac:dyDescent="0.25">
      <c r="A41">
        <f t="shared" si="5"/>
        <v>34</v>
      </c>
      <c r="B41" s="88" t="str">
        <f>IF(OR(B40="Total",B40=""),"",IF(VLOOKUP(A41,Journal!$B$7:$E$84,4)=0,"Total",VLOOKUP(A41,Journal!$B$7:$D$84,3)))</f>
        <v/>
      </c>
      <c r="C41" s="86" t="str">
        <f>IF(B41="","",VLOOKUP(A41,Journal!$B$7:$E$84,4))</f>
        <v/>
      </c>
      <c r="D41" s="114" t="str">
        <f>IF(B41="","",VLOOKUP(A41,Journal!$B$7:$J$84,9))</f>
        <v/>
      </c>
      <c r="E41" s="116"/>
      <c r="F41" s="116"/>
      <c r="G41" s="115"/>
      <c r="H41" s="84" t="str">
        <f>IF(B41="","",VLOOKUP(A41,Journal!$B$7:$L$84,11))</f>
        <v/>
      </c>
      <c r="I41" s="84" t="str">
        <f>IF(B41="","",VLOOKUP(A41,Journal!$B$7:$M$84,12))</f>
        <v/>
      </c>
      <c r="J41" s="105">
        <f>IF(B41="Total",SUM(J$8:J40)+0.0001,IF(OR(B41="",I$2=I41),0,VLOOKUP(A41,Journal!$B$7:M$84,8)))</f>
        <v>0</v>
      </c>
      <c r="K41" s="102">
        <f>IF(B41="Total",SUM(K$8:K40)+0.0001,IF(OR(B41="",J41&lt;&gt;0),0,VLOOKUP(A41,Journal!$B$7:M$84,8)))</f>
        <v>0</v>
      </c>
      <c r="L41" s="87">
        <f>IF(B41="Total",L40,IF(B41="",0,IF($M$1=1,L40+J41-K41,L40-J41+K41)))</f>
        <v>0</v>
      </c>
      <c r="M41" s="103"/>
      <c r="P41">
        <f t="shared" si="2"/>
        <v>1.0000000000000001E-5</v>
      </c>
      <c r="R41" s="15">
        <f t="shared" si="3"/>
        <v>34</v>
      </c>
      <c r="S41" s="126">
        <f>IF(VLOOKUP(A41,Journal!$A$7:$E$70,5)=0,S40+1,VLOOKUP(A41,Journal!$A$7:$E$70,5))</f>
        <v>45691</v>
      </c>
      <c r="T41" s="125">
        <f>IF(H$2=VLOOKUP(A41,Journal!$A$7:$F$70,6),VLOOKUP(A41,Journal!$A$7:M$70,9),0)</f>
        <v>0</v>
      </c>
      <c r="U41" s="125">
        <f>IF(H$2=VLOOKUP(A41,Journal!$A$7:$G$70,7),VLOOKUP(A41,Journal!$A$7:M$70,9),0)</f>
        <v>0</v>
      </c>
      <c r="V41" s="125">
        <f t="shared" si="4"/>
        <v>40</v>
      </c>
      <c r="X41">
        <f t="shared" si="0"/>
        <v>0</v>
      </c>
      <c r="Y41" s="143">
        <f t="shared" si="1"/>
        <v>-999.18421052631709</v>
      </c>
    </row>
    <row r="42" spans="1:25" x14ac:dyDescent="0.25">
      <c r="A42">
        <f t="shared" si="5"/>
        <v>35</v>
      </c>
      <c r="B42" s="88" t="str">
        <f>IF(OR(B41="Total",B41=""),"",IF(VLOOKUP(A42,Journal!$B$7:$E$84,4)=0,"Total",VLOOKUP(A42,Journal!$B$7:$D$84,3)))</f>
        <v/>
      </c>
      <c r="C42" s="86" t="str">
        <f>IF(B42="","",VLOOKUP(A42,Journal!$B$7:$E$84,4))</f>
        <v/>
      </c>
      <c r="D42" s="114" t="str">
        <f>IF(B42="","",VLOOKUP(A42,Journal!$B$7:$J$84,9))</f>
        <v/>
      </c>
      <c r="E42" s="116"/>
      <c r="F42" s="116"/>
      <c r="G42" s="115"/>
      <c r="H42" s="84" t="str">
        <f>IF(B42="","",VLOOKUP(A42,Journal!$B$7:$L$84,11))</f>
        <v/>
      </c>
      <c r="I42" s="84" t="str">
        <f>IF(B42="","",VLOOKUP(A42,Journal!$B$7:$M$84,12))</f>
        <v/>
      </c>
      <c r="J42" s="105">
        <f>IF(B42="Total",SUM(J$8:J41)+0.0001,IF(OR(B42="",I$2=I42),0,VLOOKUP(A42,Journal!$B$7:M$84,8)))</f>
        <v>0</v>
      </c>
      <c r="K42" s="102">
        <f>IF(B42="Total",SUM(K$8:K41)+0.0001,IF(OR(B42="",J42&lt;&gt;0),0,VLOOKUP(A42,Journal!$B$7:M$84,8)))</f>
        <v>0</v>
      </c>
      <c r="L42" s="87">
        <f t="shared" si="6"/>
        <v>0</v>
      </c>
      <c r="M42" s="103"/>
      <c r="P42">
        <f t="shared" si="2"/>
        <v>1.0000000000000001E-5</v>
      </c>
      <c r="R42" s="15">
        <f t="shared" si="3"/>
        <v>35</v>
      </c>
      <c r="S42" s="126">
        <f>IF(VLOOKUP(A42,Journal!$A$7:$E$70,5)=0,S41+1,VLOOKUP(A42,Journal!$A$7:$E$70,5))</f>
        <v>45692</v>
      </c>
      <c r="T42" s="125">
        <f>IF(H$2=VLOOKUP(A42,Journal!$A$7:$F$70,6),VLOOKUP(A42,Journal!$A$7:M$70,9),0)</f>
        <v>0</v>
      </c>
      <c r="U42" s="125">
        <f>IF(H$2=VLOOKUP(A42,Journal!$A$7:$G$70,7),VLOOKUP(A42,Journal!$A$7:M$70,9),0)</f>
        <v>0</v>
      </c>
      <c r="V42" s="125">
        <f t="shared" si="4"/>
        <v>40</v>
      </c>
      <c r="X42">
        <f t="shared" si="0"/>
        <v>0</v>
      </c>
      <c r="Y42" s="143">
        <f t="shared" si="1"/>
        <v>-999.15789473684345</v>
      </c>
    </row>
    <row r="43" spans="1:25" x14ac:dyDescent="0.25">
      <c r="A43">
        <f t="shared" si="5"/>
        <v>36</v>
      </c>
      <c r="B43" s="88" t="str">
        <f>IF(OR(B42="Total",B42=""),"",IF(VLOOKUP(A43,Journal!$B$7:$E$84,4)=0,"Total",VLOOKUP(A43,Journal!$B$7:$D$84,3)))</f>
        <v/>
      </c>
      <c r="C43" s="86" t="str">
        <f>IF(B43="","",VLOOKUP(A43,Journal!$B$7:$E$84,4))</f>
        <v/>
      </c>
      <c r="D43" s="114" t="str">
        <f>IF(B43="","",VLOOKUP(A43,Journal!$B$7:$J$84,9))</f>
        <v/>
      </c>
      <c r="E43" s="116"/>
      <c r="F43" s="116"/>
      <c r="G43" s="115"/>
      <c r="H43" s="84" t="str">
        <f>IF(B43="","",VLOOKUP(A43,Journal!$B$7:$L$84,11))</f>
        <v/>
      </c>
      <c r="I43" s="84" t="str">
        <f>IF(B43="","",VLOOKUP(A43,Journal!$B$7:$M$84,12))</f>
        <v/>
      </c>
      <c r="J43" s="105">
        <f>IF(B43="Total",SUM(J$8:J42)+0.0001,IF(OR(B43="",I$2=I43),0,VLOOKUP(A43,Journal!$B$7:M$84,8)))</f>
        <v>0</v>
      </c>
      <c r="K43" s="102">
        <f>IF(B43="Total",SUM(K$8:K42)+0.0001,IF(OR(B43="",J43&lt;&gt;0),0,VLOOKUP(A43,Journal!$B$7:M$84,8)))</f>
        <v>0</v>
      </c>
      <c r="L43" s="87">
        <f t="shared" si="6"/>
        <v>0</v>
      </c>
      <c r="M43" s="103"/>
      <c r="P43">
        <f t="shared" si="2"/>
        <v>1.0000000000000001E-5</v>
      </c>
      <c r="R43" s="15">
        <f t="shared" si="3"/>
        <v>36</v>
      </c>
      <c r="S43" s="126">
        <f>IF(VLOOKUP(A43,Journal!$A$7:$E$70,5)=0,S42+1,VLOOKUP(A43,Journal!$A$7:$E$70,5))</f>
        <v>45693</v>
      </c>
      <c r="T43" s="125">
        <f>IF(H$2=VLOOKUP(A43,Journal!$A$7:$F$70,6),VLOOKUP(A43,Journal!$A$7:M$70,9),0)</f>
        <v>0</v>
      </c>
      <c r="U43" s="125">
        <f>IF(H$2=VLOOKUP(A43,Journal!$A$7:$G$70,7),VLOOKUP(A43,Journal!$A$7:M$70,9),0)</f>
        <v>0</v>
      </c>
      <c r="V43" s="125">
        <f t="shared" si="4"/>
        <v>40</v>
      </c>
      <c r="X43">
        <f t="shared" si="0"/>
        <v>0</v>
      </c>
      <c r="Y43" s="143">
        <f t="shared" si="1"/>
        <v>-999.1315789473698</v>
      </c>
    </row>
    <row r="44" spans="1:25" x14ac:dyDescent="0.25">
      <c r="A44">
        <f t="shared" si="5"/>
        <v>37</v>
      </c>
      <c r="B44" s="88" t="str">
        <f>IF(OR(B43="Total",B43=""),"",IF(VLOOKUP(A44,Journal!$B$7:$E$84,4)=0,"Total",VLOOKUP(A44,Journal!$B$7:$D$84,3)))</f>
        <v/>
      </c>
      <c r="C44" s="86" t="str">
        <f>IF(B44="","",VLOOKUP(A44,Journal!$B$7:$E$84,4))</f>
        <v/>
      </c>
      <c r="D44" s="114" t="str">
        <f>IF(B44="","",VLOOKUP(A44,Journal!$B$7:$J$84,9))</f>
        <v/>
      </c>
      <c r="E44" s="116"/>
      <c r="F44" s="116"/>
      <c r="G44" s="115"/>
      <c r="H44" s="84" t="str">
        <f>IF(B44="","",VLOOKUP(A44,Journal!$B$7:$L$84,11))</f>
        <v/>
      </c>
      <c r="I44" s="84" t="str">
        <f>IF(B44="","",VLOOKUP(A44,Journal!$B$7:$M$84,12))</f>
        <v/>
      </c>
      <c r="J44" s="105">
        <f>IF(B44="Total",SUM(J$8:J43)+0.0001,IF(OR(B44="",I$2=I44),0,VLOOKUP(A44,Journal!$B$7:M$84,8)))</f>
        <v>0</v>
      </c>
      <c r="K44" s="102">
        <f>IF(B44="Total",SUM(K$8:K43)+0.0001,IF(OR(B44="",J44&lt;&gt;0),0,VLOOKUP(A44,Journal!$B$7:M$84,8)))</f>
        <v>0</v>
      </c>
      <c r="L44" s="87">
        <f t="shared" si="6"/>
        <v>0</v>
      </c>
      <c r="M44" s="103"/>
      <c r="P44">
        <f t="shared" si="2"/>
        <v>1.0000000000000001E-5</v>
      </c>
      <c r="R44" s="15">
        <f t="shared" si="3"/>
        <v>37</v>
      </c>
      <c r="S44" s="126">
        <f>IF(VLOOKUP(A44,Journal!$A$7:$E$70,5)=0,S43+1,VLOOKUP(A44,Journal!$A$7:$E$70,5))</f>
        <v>45694</v>
      </c>
      <c r="T44" s="125">
        <f>IF(H$2=VLOOKUP(A44,Journal!$A$7:$F$70,6),VLOOKUP(A44,Journal!$A$7:M$70,9),0)</f>
        <v>0</v>
      </c>
      <c r="U44" s="125">
        <f>IF(H$2=VLOOKUP(A44,Journal!$A$7:$G$70,7),VLOOKUP(A44,Journal!$A$7:M$70,9),0)</f>
        <v>0</v>
      </c>
      <c r="V44" s="125">
        <f t="shared" si="4"/>
        <v>40</v>
      </c>
      <c r="X44">
        <f t="shared" si="0"/>
        <v>0</v>
      </c>
      <c r="Y44" s="143">
        <f t="shared" si="1"/>
        <v>-999.10526315789616</v>
      </c>
    </row>
    <row r="45" spans="1:25" x14ac:dyDescent="0.25">
      <c r="A45">
        <f t="shared" si="5"/>
        <v>38</v>
      </c>
      <c r="B45" s="88" t="str">
        <f>IF(OR(B44="Total",B44=""),"",IF(VLOOKUP(A45,Journal!$B$7:$E$84,4)=0,"Total",VLOOKUP(A45,Journal!$B$7:$D$84,3)))</f>
        <v/>
      </c>
      <c r="C45" s="86" t="str">
        <f>IF(B45="","",VLOOKUP(A45,Journal!$B$7:$E$84,4))</f>
        <v/>
      </c>
      <c r="D45" s="114" t="str">
        <f>IF(B45="","",VLOOKUP(A45,Journal!$B$7:$J$84,9))</f>
        <v/>
      </c>
      <c r="E45" s="116"/>
      <c r="F45" s="116"/>
      <c r="G45" s="115"/>
      <c r="H45" s="84" t="str">
        <f>IF(B45="","",VLOOKUP(A45,Journal!$B$7:$L$84,11))</f>
        <v/>
      </c>
      <c r="I45" s="84" t="str">
        <f>IF(B45="","",VLOOKUP(A45,Journal!$B$7:$M$84,12))</f>
        <v/>
      </c>
      <c r="J45" s="105">
        <f>IF(B45="Total",SUM(J$8:J44)+0.0001,IF(OR(B45="",I$2=I45),0,VLOOKUP(A45,Journal!$B$7:M$84,8)))</f>
        <v>0</v>
      </c>
      <c r="K45" s="102">
        <f>IF(B45="Total",SUM(K$8:K44)+0.0001,IF(OR(B45="",J45&lt;&gt;0),0,VLOOKUP(A45,Journal!$B$7:M$84,8)))</f>
        <v>0</v>
      </c>
      <c r="L45" s="87">
        <f t="shared" si="6"/>
        <v>0</v>
      </c>
      <c r="M45" s="103"/>
      <c r="P45">
        <f t="shared" si="2"/>
        <v>1.0000000000000001E-5</v>
      </c>
      <c r="R45" s="15">
        <f t="shared" si="3"/>
        <v>38</v>
      </c>
      <c r="S45" s="126">
        <f>IF(VLOOKUP(A45,Journal!$A$7:$E$70,5)=0,S44+1,VLOOKUP(A45,Journal!$A$7:$E$70,5))</f>
        <v>45695</v>
      </c>
      <c r="T45" s="125">
        <f>IF(H$2=VLOOKUP(A45,Journal!$A$7:$F$70,6),VLOOKUP(A45,Journal!$A$7:M$70,9),0)</f>
        <v>0</v>
      </c>
      <c r="U45" s="125">
        <f>IF(H$2=VLOOKUP(A45,Journal!$A$7:$G$70,7),VLOOKUP(A45,Journal!$A$7:M$70,9),0)</f>
        <v>0</v>
      </c>
      <c r="V45" s="125">
        <f t="shared" si="4"/>
        <v>40</v>
      </c>
      <c r="X45">
        <f t="shared" si="0"/>
        <v>0</v>
      </c>
      <c r="Y45" s="143">
        <f t="shared" si="1"/>
        <v>-999.07894736842252</v>
      </c>
    </row>
    <row r="46" spans="1:25" x14ac:dyDescent="0.25">
      <c r="A46">
        <f t="shared" si="5"/>
        <v>39</v>
      </c>
      <c r="B46" s="88" t="str">
        <f>IF(OR(B45="Total",B45=""),"",IF(VLOOKUP(A46,Journal!$B$7:$E$84,4)=0,"Total",VLOOKUP(A46,Journal!$B$7:$D$84,3)))</f>
        <v/>
      </c>
      <c r="C46" s="86" t="str">
        <f>IF(B46="","",VLOOKUP(A46,Journal!$B$7:$E$84,4))</f>
        <v/>
      </c>
      <c r="D46" s="114" t="str">
        <f>IF(B46="","",VLOOKUP(A46,Journal!$B$7:$J$84,9))</f>
        <v/>
      </c>
      <c r="E46" s="116"/>
      <c r="F46" s="116"/>
      <c r="G46" s="115"/>
      <c r="H46" s="84" t="str">
        <f>IF(B46="","",VLOOKUP(A46,Journal!$B$7:$L$84,11))</f>
        <v/>
      </c>
      <c r="I46" s="84" t="str">
        <f>IF(B46="","",VLOOKUP(A46,Journal!$B$7:$M$84,12))</f>
        <v/>
      </c>
      <c r="J46" s="105">
        <f>IF(B46="Total",SUM(J$8:J45)+0.0001,IF(OR(B46="",I$2=I46),0,VLOOKUP(A46,Journal!$B$7:M$84,8)))</f>
        <v>0</v>
      </c>
      <c r="K46" s="102">
        <f>IF(B46="Total",SUM(K$8:K45)+0.0001,IF(OR(B46="",J46&lt;&gt;0),0,VLOOKUP(A46,Journal!$B$7:M$84,8)))</f>
        <v>0</v>
      </c>
      <c r="L46" s="87">
        <f t="shared" si="6"/>
        <v>0</v>
      </c>
      <c r="M46" s="103"/>
      <c r="P46">
        <f t="shared" si="2"/>
        <v>1.0000000000000001E-5</v>
      </c>
      <c r="R46" s="15">
        <f t="shared" si="3"/>
        <v>39</v>
      </c>
      <c r="S46" s="126">
        <f>IF(VLOOKUP(A46,Journal!$A$7:$E$70,5)=0,S45+1,VLOOKUP(A46,Journal!$A$7:$E$70,5))</f>
        <v>45696</v>
      </c>
      <c r="T46" s="125">
        <f>IF(H$2=VLOOKUP(A46,Journal!$A$7:$F$70,6),VLOOKUP(A46,Journal!$A$7:M$70,9),0)</f>
        <v>0</v>
      </c>
      <c r="U46" s="125">
        <f>IF(H$2=VLOOKUP(A46,Journal!$A$7:$G$70,7),VLOOKUP(A46,Journal!$A$7:M$70,9),0)</f>
        <v>0</v>
      </c>
      <c r="V46" s="125">
        <f t="shared" si="4"/>
        <v>40</v>
      </c>
      <c r="X46">
        <f t="shared" si="0"/>
        <v>0</v>
      </c>
      <c r="Y46" s="143">
        <f t="shared" si="1"/>
        <v>-999.05263157894888</v>
      </c>
    </row>
    <row r="47" spans="1:25" x14ac:dyDescent="0.25">
      <c r="A47">
        <f t="shared" si="5"/>
        <v>40</v>
      </c>
      <c r="B47" s="88" t="str">
        <f>IF(OR(B46="Total",B46=""),"",IF(VLOOKUP(A47,Journal!$B$7:$E$84,4)=0,"Total",VLOOKUP(A47,Journal!$B$7:$D$84,3)))</f>
        <v/>
      </c>
      <c r="C47" s="86" t="str">
        <f>IF(B47="","",VLOOKUP(A47,Journal!$B$7:$E$84,4))</f>
        <v/>
      </c>
      <c r="D47" s="114" t="str">
        <f>IF(B47="","",VLOOKUP(A47,Journal!$B$7:$J$84,9))</f>
        <v/>
      </c>
      <c r="E47" s="116"/>
      <c r="F47" s="116"/>
      <c r="G47" s="115"/>
      <c r="H47" s="84" t="str">
        <f>IF(B47="","",VLOOKUP(A47,Journal!$B$7:$L$84,11))</f>
        <v/>
      </c>
      <c r="I47" s="84" t="str">
        <f>IF(B47="","",VLOOKUP(A47,Journal!$B$7:$M$84,12))</f>
        <v/>
      </c>
      <c r="J47" s="105">
        <f>IF(B47="Total",SUM(J$8:J46)+0.0001,IF(OR(B47="",I$2=I47),0,VLOOKUP(A47,Journal!$B$7:M$84,8)))</f>
        <v>0</v>
      </c>
      <c r="K47" s="102">
        <f>IF(B47="Total",SUM(K$8:K46)+0.0001,IF(OR(B47="",J47&lt;&gt;0),0,VLOOKUP(A47,Journal!$B$7:M$84,8)))</f>
        <v>0</v>
      </c>
      <c r="L47" s="87">
        <f t="shared" si="6"/>
        <v>0</v>
      </c>
      <c r="M47" s="103"/>
      <c r="P47">
        <f t="shared" si="2"/>
        <v>1.0000000000000001E-5</v>
      </c>
      <c r="R47" s="15">
        <f t="shared" si="3"/>
        <v>40</v>
      </c>
      <c r="S47" s="126">
        <f>IF(VLOOKUP(A47,Journal!$A$7:$E$70,5)=0,S46+1,VLOOKUP(A47,Journal!$A$7:$E$70,5))</f>
        <v>45697</v>
      </c>
      <c r="T47" s="125">
        <f>IF(H$2=VLOOKUP(A47,Journal!$A$7:$F$70,6),VLOOKUP(A47,Journal!$A$7:M$70,9),0)</f>
        <v>0</v>
      </c>
      <c r="U47" s="125">
        <f>IF(H$2=VLOOKUP(A47,Journal!$A$7:$G$70,7),VLOOKUP(A47,Journal!$A$7:M$70,9),0)</f>
        <v>0</v>
      </c>
      <c r="V47" s="125">
        <f t="shared" si="4"/>
        <v>40</v>
      </c>
      <c r="X47">
        <f t="shared" si="0"/>
        <v>0</v>
      </c>
      <c r="Y47" s="143">
        <f t="shared" si="1"/>
        <v>-999.02631578947523</v>
      </c>
    </row>
    <row r="48" spans="1:25" x14ac:dyDescent="0.25">
      <c r="A48">
        <f t="shared" si="5"/>
        <v>41</v>
      </c>
      <c r="B48" s="88" t="str">
        <f>IF(OR(B47="Total",B47=""),"",IF(VLOOKUP(A48,Journal!$B$7:$E$84,4)=0,"Total",VLOOKUP(A48,Journal!$B$7:$D$84,3)))</f>
        <v/>
      </c>
      <c r="C48" s="86" t="str">
        <f>IF(B48="","",VLOOKUP(A48,Journal!$B$7:$E$84,4))</f>
        <v/>
      </c>
      <c r="D48" s="114" t="str">
        <f>IF(B48="","",VLOOKUP(A48,Journal!$B$7:$J$84,9))</f>
        <v/>
      </c>
      <c r="E48" s="116"/>
      <c r="F48" s="116"/>
      <c r="G48" s="115"/>
      <c r="H48" s="84" t="str">
        <f>IF(B48="","",VLOOKUP(A48,Journal!$B$7:$L$84,11))</f>
        <v/>
      </c>
      <c r="I48" s="84" t="str">
        <f>IF(B48="","",VLOOKUP(A48,Journal!$B$7:$M$84,12))</f>
        <v/>
      </c>
      <c r="J48" s="105">
        <f>IF(B48="Total",SUM(J$8:J47)+0.0001,IF(OR(B48="",I$2=I48),0,VLOOKUP(A48,Journal!$B$7:M$84,8)))</f>
        <v>0</v>
      </c>
      <c r="K48" s="102">
        <f>IF(B48="Total",SUM(K$8:K47)+0.0001,IF(OR(B48="",J48&lt;&gt;0),0,VLOOKUP(A48,Journal!$B$7:M$84,8)))</f>
        <v>0</v>
      </c>
      <c r="L48" s="87">
        <f t="shared" si="6"/>
        <v>0</v>
      </c>
      <c r="M48" s="103"/>
      <c r="P48">
        <f t="shared" si="2"/>
        <v>1.0000000000000001E-5</v>
      </c>
      <c r="R48" s="15">
        <f t="shared" si="3"/>
        <v>41</v>
      </c>
      <c r="S48" s="126">
        <f>IF(VLOOKUP(A48,Journal!$A$7:$E$70,5)=0,S47+1,VLOOKUP(A48,Journal!$A$7:$E$70,5))</f>
        <v>45698</v>
      </c>
      <c r="T48" s="125">
        <f>IF(H$2=VLOOKUP(A48,Journal!$A$7:$F$70,6),VLOOKUP(A48,Journal!$A$7:M$70,9),0)</f>
        <v>0</v>
      </c>
      <c r="U48" s="125">
        <f>IF(H$2=VLOOKUP(A48,Journal!$A$7:$G$70,7),VLOOKUP(A48,Journal!$A$7:M$70,9),0)</f>
        <v>0</v>
      </c>
      <c r="V48" s="125">
        <f t="shared" si="4"/>
        <v>40</v>
      </c>
      <c r="X48">
        <f t="shared" si="0"/>
        <v>0</v>
      </c>
      <c r="Y48" s="143">
        <f t="shared" si="1"/>
        <v>-999.00000000000159</v>
      </c>
    </row>
    <row r="49" spans="1:25" x14ac:dyDescent="0.25">
      <c r="A49">
        <f t="shared" si="5"/>
        <v>42</v>
      </c>
      <c r="B49" s="88" t="str">
        <f>IF(OR(B48="Total",B48=""),"",IF(VLOOKUP(A49,Journal!$B$7:$E$84,4)=0,"Total",VLOOKUP(A49,Journal!$B$7:$D$84,3)))</f>
        <v/>
      </c>
      <c r="C49" s="86" t="str">
        <f>IF(B49="","",VLOOKUP(A49,Journal!$B$7:$E$84,4))</f>
        <v/>
      </c>
      <c r="D49" s="114" t="str">
        <f>IF(B49="","",VLOOKUP(A49,Journal!$B$7:$J$84,9))</f>
        <v/>
      </c>
      <c r="E49" s="116"/>
      <c r="F49" s="116"/>
      <c r="G49" s="115"/>
      <c r="H49" s="84" t="str">
        <f>IF(B49="","",VLOOKUP(A49,Journal!$B$7:$L$84,11))</f>
        <v/>
      </c>
      <c r="I49" s="84" t="str">
        <f>IF(B49="","",VLOOKUP(A49,Journal!$B$7:$M$84,12))</f>
        <v/>
      </c>
      <c r="J49" s="105">
        <f>IF(B49="Total",SUM(J$8:J48)+0.0001,IF(OR(B49="",I$2=I49),0,VLOOKUP(A49,Journal!$B$7:M$84,8)))</f>
        <v>0</v>
      </c>
      <c r="K49" s="102">
        <f>IF(B49="Total",SUM(K$8:K48)+0.0001,IF(OR(B49="",J49&lt;&gt;0),0,VLOOKUP(A49,Journal!$B$7:M$84,8)))</f>
        <v>0</v>
      </c>
      <c r="L49" s="87">
        <f t="shared" si="6"/>
        <v>0</v>
      </c>
      <c r="M49" s="103"/>
      <c r="P49">
        <f t="shared" si="2"/>
        <v>1.0000000000000001E-5</v>
      </c>
      <c r="R49" s="15">
        <f t="shared" si="3"/>
        <v>42</v>
      </c>
      <c r="S49" s="126">
        <f>IF(VLOOKUP(A49,Journal!$A$7:$E$70,5)=0,S48+1,VLOOKUP(A49,Journal!$A$7:$E$70,5))</f>
        <v>45699</v>
      </c>
      <c r="T49" s="125">
        <f>IF(H$2=VLOOKUP(A49,Journal!$A$7:$F$70,6),VLOOKUP(A49,Journal!$A$7:M$70,9),0)</f>
        <v>0</v>
      </c>
      <c r="U49" s="125">
        <f>IF(H$2=VLOOKUP(A49,Journal!$A$7:$G$70,7),VLOOKUP(A49,Journal!$A$7:M$70,9),0)</f>
        <v>0</v>
      </c>
      <c r="V49" s="125">
        <f t="shared" si="4"/>
        <v>40</v>
      </c>
      <c r="X49">
        <f t="shared" si="0"/>
        <v>0</v>
      </c>
      <c r="Y49" s="143">
        <f t="shared" si="1"/>
        <v>-998.97368421052795</v>
      </c>
    </row>
    <row r="50" spans="1:25" x14ac:dyDescent="0.25">
      <c r="A50">
        <f t="shared" si="5"/>
        <v>43</v>
      </c>
      <c r="B50" s="88" t="str">
        <f>IF(OR(B49="Total",B49=""),"",IF(VLOOKUP(A50,Journal!$B$7:$E$84,4)=0,"Total",VLOOKUP(A50,Journal!$B$7:$D$84,3)))</f>
        <v/>
      </c>
      <c r="C50" s="86" t="str">
        <f>IF(B50="","",VLOOKUP(A50,Journal!$B$7:$E$84,4))</f>
        <v/>
      </c>
      <c r="D50" s="114" t="str">
        <f>IF(B50="","",VLOOKUP(A50,Journal!$B$7:$J$84,9))</f>
        <v/>
      </c>
      <c r="E50" s="116"/>
      <c r="F50" s="116"/>
      <c r="G50" s="115"/>
      <c r="H50" s="84" t="str">
        <f>IF(B50="","",VLOOKUP(A50,Journal!$B$7:$L$84,11))</f>
        <v/>
      </c>
      <c r="I50" s="84" t="str">
        <f>IF(B50="","",VLOOKUP(A50,Journal!$B$7:$M$84,12))</f>
        <v/>
      </c>
      <c r="J50" s="105">
        <f>IF(B50="Total",SUM(J$8:J49)+0.0001,IF(OR(B50="",I$2=I50),0,VLOOKUP(A50,Journal!$B$7:M$84,8)))</f>
        <v>0</v>
      </c>
      <c r="K50" s="102">
        <f>IF(B50="Total",SUM(K$8:K49)+0.0001,IF(OR(B50="",J50&lt;&gt;0),0,VLOOKUP(A50,Journal!$B$7:M$84,8)))</f>
        <v>0</v>
      </c>
      <c r="L50" s="87">
        <f t="shared" si="6"/>
        <v>0</v>
      </c>
      <c r="M50" s="103"/>
      <c r="P50">
        <f t="shared" si="2"/>
        <v>1.0000000000000001E-5</v>
      </c>
      <c r="R50" s="15">
        <f t="shared" si="3"/>
        <v>43</v>
      </c>
      <c r="S50" s="126">
        <f>IF(VLOOKUP(A50,Journal!$A$7:$E$70,5)=0,S49+1,VLOOKUP(A50,Journal!$A$7:$E$70,5))</f>
        <v>45700</v>
      </c>
      <c r="T50" s="125">
        <f>IF(H$2=VLOOKUP(A50,Journal!$A$7:$F$70,6),VLOOKUP(A50,Journal!$A$7:M$70,9),0)</f>
        <v>0</v>
      </c>
      <c r="U50" s="125">
        <f>IF(H$2=VLOOKUP(A50,Journal!$A$7:$G$70,7),VLOOKUP(A50,Journal!$A$7:M$70,9),0)</f>
        <v>0</v>
      </c>
      <c r="V50" s="125">
        <f t="shared" si="4"/>
        <v>40</v>
      </c>
      <c r="X50">
        <f t="shared" si="0"/>
        <v>0</v>
      </c>
      <c r="Y50" s="143">
        <f t="shared" si="1"/>
        <v>-998.94736842105431</v>
      </c>
    </row>
    <row r="51" spans="1:25" x14ac:dyDescent="0.25">
      <c r="A51">
        <f t="shared" si="5"/>
        <v>44</v>
      </c>
      <c r="B51" s="88" t="str">
        <f>IF(OR(B50="Total",B50=""),"",IF(VLOOKUP(A51,Journal!$B$7:$E$84,4)=0,"Total",VLOOKUP(A51,Journal!$B$7:$D$84,3)))</f>
        <v/>
      </c>
      <c r="C51" s="86" t="str">
        <f>IF(B51="","",VLOOKUP(A51,Journal!$B$7:$E$84,4))</f>
        <v/>
      </c>
      <c r="D51" s="114" t="str">
        <f>IF(B51="","",VLOOKUP(A51,Journal!$B$7:$J$84,9))</f>
        <v/>
      </c>
      <c r="E51" s="116"/>
      <c r="F51" s="116"/>
      <c r="G51" s="115"/>
      <c r="H51" s="84" t="str">
        <f>IF(B51="","",VLOOKUP(A51,Journal!$B$7:$L$84,11))</f>
        <v/>
      </c>
      <c r="I51" s="84" t="str">
        <f>IF(B51="","",VLOOKUP(A51,Journal!$B$7:$M$84,12))</f>
        <v/>
      </c>
      <c r="J51" s="105">
        <f>IF(B51="Total",SUM(J$8:J50)+0.0001,IF(OR(B51="",I$2=I51),0,VLOOKUP(A51,Journal!$B$7:M$84,8)))</f>
        <v>0</v>
      </c>
      <c r="K51" s="102">
        <f>IF(B51="Total",SUM(K$8:K50)+0.0001,IF(OR(B51="",J51&lt;&gt;0),0,VLOOKUP(A51,Journal!$B$7:M$84,8)))</f>
        <v>0</v>
      </c>
      <c r="L51" s="87">
        <f t="shared" si="6"/>
        <v>0</v>
      </c>
      <c r="M51" s="103"/>
      <c r="P51">
        <f t="shared" si="2"/>
        <v>1.0000000000000001E-5</v>
      </c>
      <c r="R51" s="15">
        <f t="shared" si="3"/>
        <v>44</v>
      </c>
      <c r="S51" s="126">
        <f>IF(VLOOKUP(A51,Journal!$A$7:$E$70,5)=0,S50+1,VLOOKUP(A51,Journal!$A$7:$E$70,5))</f>
        <v>45701</v>
      </c>
      <c r="T51" s="125">
        <f>IF(H$2=VLOOKUP(A51,Journal!$A$7:$F$70,6),VLOOKUP(A51,Journal!$A$7:M$70,9),0)</f>
        <v>0</v>
      </c>
      <c r="U51" s="125">
        <f>IF(H$2=VLOOKUP(A51,Journal!$A$7:$G$70,7),VLOOKUP(A51,Journal!$A$7:M$70,9),0)</f>
        <v>0</v>
      </c>
      <c r="V51" s="125">
        <f t="shared" si="4"/>
        <v>40</v>
      </c>
      <c r="X51">
        <f t="shared" si="0"/>
        <v>0</v>
      </c>
      <c r="Y51" s="143">
        <f t="shared" si="1"/>
        <v>-998.92105263158066</v>
      </c>
    </row>
    <row r="52" spans="1:25" x14ac:dyDescent="0.25">
      <c r="A52">
        <f t="shared" si="5"/>
        <v>45</v>
      </c>
      <c r="B52" s="88" t="str">
        <f>IF(OR(B51="Total",B51=""),"",IF(VLOOKUP(A52,Journal!$B$7:$E$84,4)=0,"Total",VLOOKUP(A52,Journal!$B$7:$D$84,3)))</f>
        <v/>
      </c>
      <c r="C52" s="86" t="str">
        <f>IF(B52="","",VLOOKUP(A52,Journal!$B$7:$E$84,4))</f>
        <v/>
      </c>
      <c r="D52" s="114" t="str">
        <f>IF(B52="","",VLOOKUP(A52,Journal!$B$7:$J$84,9))</f>
        <v/>
      </c>
      <c r="E52" s="116"/>
      <c r="F52" s="116"/>
      <c r="G52" s="115"/>
      <c r="H52" s="84" t="str">
        <f>IF(B52="","",VLOOKUP(A52,Journal!$B$7:$L$84,11))</f>
        <v/>
      </c>
      <c r="I52" s="84" t="str">
        <f>IF(B52="","",VLOOKUP(A52,Journal!$B$7:$M$84,12))</f>
        <v/>
      </c>
      <c r="J52" s="105">
        <f>IF(B52="Total",SUM(J$8:J51)+0.0001,IF(OR(B52="",I$2=I52),0,VLOOKUP(A52,Journal!$B$7:M$84,8)))</f>
        <v>0</v>
      </c>
      <c r="K52" s="102">
        <f>IF(B52="Total",SUM(K$8:K51)+0.0001,IF(OR(B52="",J52&lt;&gt;0),0,VLOOKUP(A52,Journal!$B$7:M$84,8)))</f>
        <v>0</v>
      </c>
      <c r="L52" s="87">
        <f t="shared" si="6"/>
        <v>0</v>
      </c>
      <c r="M52" s="103"/>
      <c r="P52">
        <f t="shared" si="2"/>
        <v>1.0000000000000001E-5</v>
      </c>
      <c r="R52" s="15">
        <f t="shared" si="3"/>
        <v>45</v>
      </c>
      <c r="S52" s="126">
        <f>IF(VLOOKUP(A52,Journal!$A$7:$E$70,5)=0,S51+1,VLOOKUP(A52,Journal!$A$7:$E$70,5))</f>
        <v>45702</v>
      </c>
      <c r="T52" s="125">
        <f>IF(H$2=VLOOKUP(A52,Journal!$A$7:$F$70,6),VLOOKUP(A52,Journal!$A$7:M$70,9),0)</f>
        <v>0</v>
      </c>
      <c r="U52" s="125">
        <f>IF(H$2=VLOOKUP(A52,Journal!$A$7:$G$70,7),VLOOKUP(A52,Journal!$A$7:M$70,9),0)</f>
        <v>0</v>
      </c>
      <c r="V52" s="125">
        <f t="shared" si="4"/>
        <v>40</v>
      </c>
      <c r="X52">
        <f t="shared" si="0"/>
        <v>0</v>
      </c>
      <c r="Y52" s="143">
        <f t="shared" si="1"/>
        <v>-998.89473684210702</v>
      </c>
    </row>
    <row r="53" spans="1:25" x14ac:dyDescent="0.25">
      <c r="A53">
        <f t="shared" si="5"/>
        <v>46</v>
      </c>
      <c r="B53" s="88" t="str">
        <f>IF(OR(B52="Total",B52=""),"",IF(VLOOKUP(A53,Journal!$B$7:$E$84,4)=0,"Total",VLOOKUP(A53,Journal!$B$7:$D$84,3)))</f>
        <v/>
      </c>
      <c r="C53" s="86" t="str">
        <f>IF(B53="","",VLOOKUP(A53,Journal!$B$7:$E$84,4))</f>
        <v/>
      </c>
      <c r="D53" s="114" t="str">
        <f>IF(B53="","",VLOOKUP(A53,Journal!$B$7:$J$84,9))</f>
        <v/>
      </c>
      <c r="E53" s="116"/>
      <c r="F53" s="116"/>
      <c r="G53" s="115"/>
      <c r="H53" s="84" t="str">
        <f>IF(B53="","",VLOOKUP(A53,Journal!$B$7:$L$84,11))</f>
        <v/>
      </c>
      <c r="I53" s="84" t="str">
        <f>IF(B53="","",VLOOKUP(A53,Journal!$B$7:$M$84,12))</f>
        <v/>
      </c>
      <c r="J53" s="105">
        <f>IF(B53="Total",SUM(J$8:J52)+0.0001,IF(OR(B53="",I$2=I53),0,VLOOKUP(A53,Journal!$B$7:M$84,8)))</f>
        <v>0</v>
      </c>
      <c r="K53" s="102">
        <f>IF(B53="Total",SUM(K$8:K52)+0.0001,IF(OR(B53="",J53&lt;&gt;0),0,VLOOKUP(A53,Journal!$B$7:M$84,8)))</f>
        <v>0</v>
      </c>
      <c r="L53" s="87">
        <f t="shared" si="6"/>
        <v>0</v>
      </c>
      <c r="M53" s="103"/>
      <c r="P53">
        <f t="shared" si="2"/>
        <v>1.0000000000000001E-5</v>
      </c>
      <c r="R53" s="15">
        <f t="shared" si="3"/>
        <v>46</v>
      </c>
      <c r="S53" s="126">
        <f>IF(VLOOKUP(A53,Journal!$A$7:$E$70,5)=0,S52+1,VLOOKUP(A53,Journal!$A$7:$E$70,5))</f>
        <v>45703</v>
      </c>
      <c r="T53" s="125">
        <f>IF(H$2=VLOOKUP(A53,Journal!$A$7:$F$70,6),VLOOKUP(A53,Journal!$A$7:M$70,9),0)</f>
        <v>0</v>
      </c>
      <c r="U53" s="125">
        <f>IF(H$2=VLOOKUP(A53,Journal!$A$7:$G$70,7),VLOOKUP(A53,Journal!$A$7:M$70,9),0)</f>
        <v>0</v>
      </c>
      <c r="V53" s="125">
        <f t="shared" si="4"/>
        <v>40</v>
      </c>
      <c r="X53">
        <f t="shared" si="0"/>
        <v>0</v>
      </c>
      <c r="Y53" s="143">
        <f t="shared" si="1"/>
        <v>-998.86842105263338</v>
      </c>
    </row>
    <row r="54" spans="1:25" x14ac:dyDescent="0.25">
      <c r="A54">
        <f t="shared" si="5"/>
        <v>47</v>
      </c>
      <c r="B54" s="88" t="str">
        <f>IF(OR(B53="Total",B53=""),"",IF(VLOOKUP(A54,Journal!$B$7:$E$84,4)=0,"Total",VLOOKUP(A54,Journal!$B$7:$D$84,3)))</f>
        <v/>
      </c>
      <c r="C54" s="86" t="str">
        <f>IF(B54="","",VLOOKUP(A54,Journal!$B$7:$E$84,4))</f>
        <v/>
      </c>
      <c r="D54" s="114" t="str">
        <f>IF(B54="","",VLOOKUP(A54,Journal!$B$7:$J$84,9))</f>
        <v/>
      </c>
      <c r="E54" s="116"/>
      <c r="F54" s="116"/>
      <c r="G54" s="115"/>
      <c r="H54" s="84" t="str">
        <f>IF(B54="","",VLOOKUP(A54,Journal!$B$7:$L$84,11))</f>
        <v/>
      </c>
      <c r="I54" s="84" t="str">
        <f>IF(B54="","",VLOOKUP(A54,Journal!$B$7:$M$84,12))</f>
        <v/>
      </c>
      <c r="J54" s="105">
        <f>IF(B54="Total",SUM(J$8:J53)+0.0001,IF(OR(B54="",I$2=I54),0,VLOOKUP(A54,Journal!$B$7:M$84,8)))</f>
        <v>0</v>
      </c>
      <c r="K54" s="102">
        <f>IF(B54="Total",SUM(K$8:K53)+0.0001,IF(OR(B54="",J54&lt;&gt;0),0,VLOOKUP(A54,Journal!$B$7:M$84,8)))</f>
        <v>0</v>
      </c>
      <c r="L54" s="87">
        <f t="shared" si="6"/>
        <v>0</v>
      </c>
      <c r="M54" s="103"/>
      <c r="P54">
        <f t="shared" si="2"/>
        <v>1.0000000000000001E-5</v>
      </c>
      <c r="R54" s="15">
        <f t="shared" si="3"/>
        <v>47</v>
      </c>
      <c r="S54" s="126">
        <f>IF(VLOOKUP(A54,Journal!$A$7:$E$70,5)=0,S53+1,VLOOKUP(A54,Journal!$A$7:$E$70,5))</f>
        <v>45704</v>
      </c>
      <c r="T54" s="125">
        <f>IF(H$2=VLOOKUP(A54,Journal!$A$7:$F$70,6),VLOOKUP(A54,Journal!$A$7:M$70,9),0)</f>
        <v>0</v>
      </c>
      <c r="U54" s="125">
        <f>IF(H$2=VLOOKUP(A54,Journal!$A$7:$G$70,7),VLOOKUP(A54,Journal!$A$7:M$70,9),0)</f>
        <v>0</v>
      </c>
      <c r="V54" s="125">
        <f t="shared" si="4"/>
        <v>40</v>
      </c>
      <c r="X54">
        <f t="shared" si="0"/>
        <v>0</v>
      </c>
      <c r="Y54" s="143">
        <f t="shared" si="1"/>
        <v>-998.84210526315974</v>
      </c>
    </row>
    <row r="55" spans="1:25" x14ac:dyDescent="0.25">
      <c r="A55">
        <f t="shared" si="5"/>
        <v>48</v>
      </c>
      <c r="B55" s="88" t="str">
        <f>IF(OR(B54="Total",B54=""),"",IF(VLOOKUP(A55,Journal!$B$7:$E$84,4)=0,"Total",VLOOKUP(A55,Journal!$B$7:$D$84,3)))</f>
        <v/>
      </c>
      <c r="C55" s="86" t="str">
        <f>IF(B55="","",VLOOKUP(A55,Journal!$B$7:$E$84,4))</f>
        <v/>
      </c>
      <c r="D55" s="114" t="str">
        <f>IF(B55="","",VLOOKUP(A55,Journal!$B$7:$J$84,9))</f>
        <v/>
      </c>
      <c r="E55" s="116"/>
      <c r="F55" s="116"/>
      <c r="G55" s="115"/>
      <c r="H55" s="84" t="str">
        <f>IF(B55="","",VLOOKUP(A55,Journal!$B$7:$L$84,11))</f>
        <v/>
      </c>
      <c r="I55" s="84" t="str">
        <f>IF(B55="","",VLOOKUP(A55,Journal!$B$7:$M$84,12))</f>
        <v/>
      </c>
      <c r="J55" s="105">
        <f>IF(B55="Total",SUM(J$8:J54)+0.0001,IF(OR(B55="",I$2=I55),0,VLOOKUP(A55,Journal!$B$7:M$84,8)))</f>
        <v>0</v>
      </c>
      <c r="K55" s="102">
        <f>IF(B55="Total",SUM(K$8:K54)+0.0001,IF(OR(B55="",J55&lt;&gt;0),0,VLOOKUP(A55,Journal!$B$7:M$84,8)))</f>
        <v>0</v>
      </c>
      <c r="L55" s="87">
        <f t="shared" si="6"/>
        <v>0</v>
      </c>
      <c r="M55" s="103"/>
      <c r="P55">
        <f t="shared" si="2"/>
        <v>1.0000000000000001E-5</v>
      </c>
      <c r="R55" s="15">
        <f t="shared" si="3"/>
        <v>48</v>
      </c>
      <c r="S55" s="126">
        <f>IF(VLOOKUP(A55,Journal!$A$7:$E$70,5)=0,S54+1,VLOOKUP(A55,Journal!$A$7:$E$70,5))</f>
        <v>45705</v>
      </c>
      <c r="T55" s="125">
        <f>IF(H$2=VLOOKUP(A55,Journal!$A$7:$F$70,6),VLOOKUP(A55,Journal!$A$7:M$70,9),0)</f>
        <v>0</v>
      </c>
      <c r="U55" s="125">
        <f>IF(H$2=VLOOKUP(A55,Journal!$A$7:$G$70,7),VLOOKUP(A55,Journal!$A$7:M$70,9),0)</f>
        <v>0</v>
      </c>
      <c r="V55" s="125">
        <f t="shared" si="4"/>
        <v>40</v>
      </c>
      <c r="X55">
        <f t="shared" si="0"/>
        <v>0</v>
      </c>
      <c r="Y55" s="143">
        <f t="shared" si="1"/>
        <v>-998.8157894736861</v>
      </c>
    </row>
    <row r="56" spans="1:25" x14ac:dyDescent="0.25">
      <c r="A56">
        <f t="shared" si="5"/>
        <v>49</v>
      </c>
      <c r="B56" s="88" t="str">
        <f>IF(OR(B55="Total",B55=""),"",IF(VLOOKUP(A56,Journal!$B$7:$E$84,4)=0,"Total",VLOOKUP(A56,Journal!$B$7:$D$84,3)))</f>
        <v/>
      </c>
      <c r="C56" s="86" t="str">
        <f>IF(B56="","",VLOOKUP(A56,Journal!$B$7:$E$84,4))</f>
        <v/>
      </c>
      <c r="D56" s="114" t="str">
        <f>IF(B56="","",VLOOKUP(A56,Journal!$B$7:$J$84,9))</f>
        <v/>
      </c>
      <c r="E56" s="116"/>
      <c r="F56" s="116"/>
      <c r="G56" s="115"/>
      <c r="H56" s="84" t="str">
        <f>IF(B56="","",VLOOKUP(A56,Journal!$B$7:$L$84,11))</f>
        <v/>
      </c>
      <c r="I56" s="84" t="str">
        <f>IF(B56="","",VLOOKUP(A56,Journal!$B$7:$M$84,12))</f>
        <v/>
      </c>
      <c r="J56" s="105">
        <f>IF(B56="Total",SUM(J$8:J55)+0.0001,IF(OR(B56="",I$2=I56),0,VLOOKUP(A56,Journal!$B$7:M$84,8)))</f>
        <v>0</v>
      </c>
      <c r="K56" s="102">
        <f>IF(B56="Total",SUM(K$8:K55)+0.0001,IF(OR(B56="",J56&lt;&gt;0),0,VLOOKUP(A56,Journal!$B$7:M$84,8)))</f>
        <v>0</v>
      </c>
      <c r="L56" s="87">
        <f t="shared" si="6"/>
        <v>0</v>
      </c>
      <c r="M56" s="103"/>
      <c r="P56">
        <f t="shared" si="2"/>
        <v>1.0000000000000001E-5</v>
      </c>
      <c r="R56" s="15">
        <f t="shared" si="3"/>
        <v>49</v>
      </c>
      <c r="S56" s="126">
        <f>IF(VLOOKUP(A56,Journal!$A$7:$E$70,5)=0,S55+1,VLOOKUP(A56,Journal!$A$7:$E$70,5))</f>
        <v>45706</v>
      </c>
      <c r="T56" s="125">
        <f>IF(H$2=VLOOKUP(A56,Journal!$A$7:$F$70,6),VLOOKUP(A56,Journal!$A$7:M$70,9),0)</f>
        <v>0</v>
      </c>
      <c r="U56" s="125">
        <f>IF(H$2=VLOOKUP(A56,Journal!$A$7:$G$70,7),VLOOKUP(A56,Journal!$A$7:M$70,9),0)</f>
        <v>0</v>
      </c>
      <c r="V56" s="125">
        <f t="shared" si="4"/>
        <v>40</v>
      </c>
      <c r="X56">
        <f t="shared" si="0"/>
        <v>0</v>
      </c>
      <c r="Y56" s="143">
        <f t="shared" si="1"/>
        <v>-998.78947368421245</v>
      </c>
    </row>
    <row r="57" spans="1:25" x14ac:dyDescent="0.25">
      <c r="A57">
        <f t="shared" si="5"/>
        <v>50</v>
      </c>
      <c r="B57" s="88" t="str">
        <f>IF(OR(B56="Total",B56=""),"",IF(VLOOKUP(A57,Journal!$B$7:$E$84,4)=0,"Total",VLOOKUP(A57,Journal!$B$7:$D$84,3)))</f>
        <v/>
      </c>
      <c r="C57" s="86" t="str">
        <f>IF(B57="","",VLOOKUP(A57,Journal!$B$7:$E$84,4))</f>
        <v/>
      </c>
      <c r="D57" s="114" t="str">
        <f>IF(B57="","",VLOOKUP(A57,Journal!$B$7:$J$84,9))</f>
        <v/>
      </c>
      <c r="E57" s="116"/>
      <c r="F57" s="116"/>
      <c r="G57" s="115"/>
      <c r="H57" s="84" t="str">
        <f>IF(B57="","",VLOOKUP(A57,Journal!$B$7:$L$84,11))</f>
        <v/>
      </c>
      <c r="I57" s="84" t="str">
        <f>IF(B57="","",VLOOKUP(A57,Journal!$B$7:$M$84,12))</f>
        <v/>
      </c>
      <c r="J57" s="105">
        <f>IF(B57="Total",SUM(J$8:J56)+0.0001,IF(OR(B57="",I$2=I57),0,VLOOKUP(A57,Journal!$B$7:M$84,8)))</f>
        <v>0</v>
      </c>
      <c r="K57" s="102">
        <f>IF(B57="Total",SUM(K$8:K56)+0.0001,IF(OR(B57="",J57&lt;&gt;0),0,VLOOKUP(A57,Journal!$B$7:M$84,8)))</f>
        <v>0</v>
      </c>
      <c r="L57" s="87">
        <f t="shared" si="6"/>
        <v>0</v>
      </c>
      <c r="M57" s="103"/>
      <c r="P57">
        <f t="shared" si="2"/>
        <v>1.0000000000000001E-5</v>
      </c>
      <c r="R57" s="15">
        <f t="shared" si="3"/>
        <v>50</v>
      </c>
      <c r="S57" s="126">
        <f>IF(VLOOKUP(A57,Journal!$A$7:$E$70,5)=0,S56+1,VLOOKUP(A57,Journal!$A$7:$E$70,5))</f>
        <v>45707</v>
      </c>
      <c r="T57" s="125">
        <f>IF(H$2=VLOOKUP(A57,Journal!$A$7:$F$70,6),VLOOKUP(A57,Journal!$A$7:M$70,9),0)</f>
        <v>0</v>
      </c>
      <c r="U57" s="125">
        <f>IF(H$2=VLOOKUP(A57,Journal!$A$7:$G$70,7),VLOOKUP(A57,Journal!$A$7:M$70,9),0)</f>
        <v>0</v>
      </c>
      <c r="V57" s="125">
        <f t="shared" si="4"/>
        <v>40</v>
      </c>
      <c r="X57">
        <f t="shared" si="0"/>
        <v>0</v>
      </c>
      <c r="Y57" s="143">
        <f t="shared" si="1"/>
        <v>-998.76315789473881</v>
      </c>
    </row>
    <row r="58" spans="1:25" x14ac:dyDescent="0.25">
      <c r="A58">
        <f t="shared" si="5"/>
        <v>51</v>
      </c>
      <c r="B58" s="88" t="str">
        <f>IF(OR(B57="Total",B57=""),"",IF(VLOOKUP(A58,Journal!$B$7:$E$84,4)=0,"Total",VLOOKUP(A58,Journal!$B$7:$D$84,3)))</f>
        <v/>
      </c>
      <c r="C58" s="86" t="str">
        <f>IF(B58="","",VLOOKUP(A58,Journal!$B$7:$E$84,4))</f>
        <v/>
      </c>
      <c r="D58" s="114" t="str">
        <f>IF(B58="","",VLOOKUP(A58,Journal!$B$7:$J$84,9))</f>
        <v/>
      </c>
      <c r="E58" s="116"/>
      <c r="F58" s="116"/>
      <c r="G58" s="115"/>
      <c r="H58" s="84" t="str">
        <f>IF(B58="","",VLOOKUP(A58,Journal!$B$7:$L$84,11))</f>
        <v/>
      </c>
      <c r="I58" s="84" t="str">
        <f>IF(B58="","",VLOOKUP(A58,Journal!$B$7:$M$84,12))</f>
        <v/>
      </c>
      <c r="J58" s="105">
        <f>IF(B58="Total",SUM(J$8:J57)+0.0001,IF(OR(B58="",I$2=I58),0,VLOOKUP(A58,Journal!$B$7:M$84,8)))</f>
        <v>0</v>
      </c>
      <c r="K58" s="102">
        <f>IF(B58="Total",SUM(K$8:K57)+0.0001,IF(OR(B58="",J58&lt;&gt;0),0,VLOOKUP(A58,Journal!$B$7:M$84,8)))</f>
        <v>0</v>
      </c>
      <c r="L58" s="87">
        <f t="shared" si="6"/>
        <v>0</v>
      </c>
      <c r="M58" s="103"/>
      <c r="P58">
        <f t="shared" si="2"/>
        <v>1.0000000000000001E-5</v>
      </c>
      <c r="R58" s="15">
        <f t="shared" si="3"/>
        <v>51</v>
      </c>
      <c r="S58" s="126">
        <f>IF(VLOOKUP(A58,Journal!$A$7:$E$70,5)=0,S57+1,VLOOKUP(A58,Journal!$A$7:$E$70,5))</f>
        <v>45708</v>
      </c>
      <c r="T58" s="125">
        <f>IF(H$2=VLOOKUP(A58,Journal!$A$7:$F$70,6),VLOOKUP(A58,Journal!$A$7:M$70,9),0)</f>
        <v>0</v>
      </c>
      <c r="U58" s="125">
        <f>IF(H$2=VLOOKUP(A58,Journal!$A$7:$G$70,7),VLOOKUP(A58,Journal!$A$7:M$70,9),0)</f>
        <v>0</v>
      </c>
      <c r="V58" s="125">
        <f t="shared" si="4"/>
        <v>40</v>
      </c>
      <c r="X58">
        <f t="shared" si="0"/>
        <v>0</v>
      </c>
      <c r="Y58" s="143">
        <f t="shared" si="1"/>
        <v>-998.73684210526517</v>
      </c>
    </row>
    <row r="59" spans="1:25" x14ac:dyDescent="0.25">
      <c r="A59">
        <f t="shared" si="5"/>
        <v>52</v>
      </c>
      <c r="B59" s="88" t="str">
        <f>IF(OR(B58="Total",B58=""),"",IF(VLOOKUP(A59,Journal!$B$7:$E$84,4)=0,"Total",VLOOKUP(A59,Journal!$B$7:$D$84,3)))</f>
        <v/>
      </c>
      <c r="C59" s="86" t="str">
        <f>IF(B59="","",VLOOKUP(A59,Journal!$B$7:$E$84,4))</f>
        <v/>
      </c>
      <c r="D59" s="114" t="str">
        <f>IF(B59="","",VLOOKUP(A59,Journal!$B$7:$J$84,9))</f>
        <v/>
      </c>
      <c r="E59" s="116"/>
      <c r="F59" s="116"/>
      <c r="G59" s="115"/>
      <c r="H59" s="84" t="str">
        <f>IF(B59="","",VLOOKUP(A59,Journal!$B$7:$L$84,11))</f>
        <v/>
      </c>
      <c r="I59" s="84" t="str">
        <f>IF(B59="","",VLOOKUP(A59,Journal!$B$7:$M$84,12))</f>
        <v/>
      </c>
      <c r="J59" s="105">
        <f>IF(B59="Total",SUM(J$8:J58)+0.0001,IF(OR(B59="",I$2=I59),0,VLOOKUP(A59,Journal!$B$7:M$84,8)))</f>
        <v>0</v>
      </c>
      <c r="K59" s="102">
        <f>IF(B59="Total",SUM(K$8:K58)+0.0001,IF(OR(B59="",J59&lt;&gt;0),0,VLOOKUP(A59,Journal!$B$7:M$84,8)))</f>
        <v>0</v>
      </c>
      <c r="L59" s="87">
        <f t="shared" si="6"/>
        <v>0</v>
      </c>
      <c r="M59" s="103"/>
      <c r="P59">
        <f t="shared" si="2"/>
        <v>1.0000000000000001E-5</v>
      </c>
      <c r="R59" s="15">
        <f t="shared" si="3"/>
        <v>52</v>
      </c>
      <c r="S59" s="126">
        <f>IF(VLOOKUP(A59,Journal!$A$7:$E$70,5)=0,S58+1,VLOOKUP(A59,Journal!$A$7:$E$70,5))</f>
        <v>45709</v>
      </c>
      <c r="T59" s="125">
        <f>IF(H$2=VLOOKUP(A59,Journal!$A$7:$F$70,6),VLOOKUP(A59,Journal!$A$7:M$70,9),0)</f>
        <v>0</v>
      </c>
      <c r="U59" s="125">
        <f>IF(H$2=VLOOKUP(A59,Journal!$A$7:$G$70,7),VLOOKUP(A59,Journal!$A$7:M$70,9),0)</f>
        <v>0</v>
      </c>
      <c r="V59" s="125">
        <f t="shared" si="4"/>
        <v>40</v>
      </c>
      <c r="X59">
        <f t="shared" si="0"/>
        <v>0</v>
      </c>
      <c r="Y59" s="143">
        <f t="shared" si="1"/>
        <v>-998.71052631579153</v>
      </c>
    </row>
    <row r="60" spans="1:25" x14ac:dyDescent="0.25">
      <c r="A60">
        <f t="shared" si="5"/>
        <v>53</v>
      </c>
      <c r="B60" s="88" t="str">
        <f>IF(OR(B59="Total",B59=""),"",IF(VLOOKUP(A60,Journal!$B$7:$E$84,4)=0,"Total",VLOOKUP(A60,Journal!$B$7:$D$84,3)))</f>
        <v/>
      </c>
      <c r="C60" s="86" t="str">
        <f>IF(B60="","",VLOOKUP(A60,Journal!$B$7:$E$84,4))</f>
        <v/>
      </c>
      <c r="D60" s="114" t="str">
        <f>IF(B60="","",VLOOKUP(A60,Journal!$B$7:$J$84,9))</f>
        <v/>
      </c>
      <c r="E60" s="116"/>
      <c r="F60" s="116"/>
      <c r="G60" s="115"/>
      <c r="H60" s="84" t="str">
        <f>IF(B60="","",VLOOKUP(A60,Journal!$B$7:$L$84,11))</f>
        <v/>
      </c>
      <c r="I60" s="84" t="str">
        <f>IF(B60="","",VLOOKUP(A60,Journal!$B$7:$M$84,12))</f>
        <v/>
      </c>
      <c r="J60" s="105">
        <f>IF(B60="Total",SUM(J$8:J59)+0.0001,IF(OR(B60="",I$2=I60),0,VLOOKUP(A60,Journal!$B$7:M$84,8)))</f>
        <v>0</v>
      </c>
      <c r="K60" s="102">
        <f>IF(B60="Total",SUM(K$8:K59)+0.0001,IF(OR(B60="",J60&lt;&gt;0),0,VLOOKUP(A60,Journal!$B$7:M$84,8)))</f>
        <v>0</v>
      </c>
      <c r="L60" s="87">
        <f t="shared" si="6"/>
        <v>0</v>
      </c>
      <c r="M60" s="103"/>
      <c r="P60">
        <f t="shared" si="2"/>
        <v>1.0000000000000001E-5</v>
      </c>
      <c r="R60" s="15">
        <f t="shared" si="3"/>
        <v>53</v>
      </c>
      <c r="S60" s="126">
        <f>IF(VLOOKUP(A60,Journal!$A$7:$E$70,5)=0,S59+1,VLOOKUP(A60,Journal!$A$7:$E$70,5))</f>
        <v>45710</v>
      </c>
      <c r="T60" s="125">
        <f>IF(H$2=VLOOKUP(A60,Journal!$A$7:$F$70,6),VLOOKUP(A60,Journal!$A$7:M$70,9),0)</f>
        <v>0</v>
      </c>
      <c r="U60" s="125">
        <f>IF(H$2=VLOOKUP(A60,Journal!$A$7:$G$70,7),VLOOKUP(A60,Journal!$A$7:M$70,9),0)</f>
        <v>0</v>
      </c>
      <c r="V60" s="125">
        <f t="shared" si="4"/>
        <v>40</v>
      </c>
      <c r="X60">
        <f t="shared" si="0"/>
        <v>0</v>
      </c>
      <c r="Y60" s="143">
        <f t="shared" si="1"/>
        <v>-998.68421052631788</v>
      </c>
    </row>
    <row r="61" spans="1:25" x14ac:dyDescent="0.25">
      <c r="A61">
        <f t="shared" si="5"/>
        <v>54</v>
      </c>
      <c r="B61" s="88" t="str">
        <f>IF(OR(B60="Total",B60=""),"",IF(VLOOKUP(A61,Journal!$B$7:$E$84,4)=0,"Total",VLOOKUP(A61,Journal!$B$7:$D$84,3)))</f>
        <v/>
      </c>
      <c r="C61" s="86" t="str">
        <f>IF(B61="","",VLOOKUP(A61,Journal!$B$7:$E$84,4))</f>
        <v/>
      </c>
      <c r="D61" s="114" t="str">
        <f>IF(B61="","",VLOOKUP(A61,Journal!$B$7:$J$84,9))</f>
        <v/>
      </c>
      <c r="E61" s="116"/>
      <c r="F61" s="116"/>
      <c r="G61" s="115"/>
      <c r="H61" s="84" t="str">
        <f>IF(B61="","",VLOOKUP(A61,Journal!$B$7:$L$84,11))</f>
        <v/>
      </c>
      <c r="I61" s="84" t="str">
        <f>IF(B61="","",VLOOKUP(A61,Journal!$B$7:$M$84,12))</f>
        <v/>
      </c>
      <c r="J61" s="105">
        <f>IF(B61="Total",SUM(J$8:J60)+0.0001,IF(OR(B61="",I$2=I61),0,VLOOKUP(A61,Journal!$B$7:M$84,8)))</f>
        <v>0</v>
      </c>
      <c r="K61" s="102">
        <f>IF(B61="Total",SUM(K$8:K60)+0.0001,IF(OR(B61="",J61&lt;&gt;0),0,VLOOKUP(A61,Journal!$B$7:M$84,8)))</f>
        <v>0</v>
      </c>
      <c r="L61" s="87">
        <f t="shared" si="6"/>
        <v>0</v>
      </c>
      <c r="M61" s="103"/>
      <c r="P61">
        <f t="shared" si="2"/>
        <v>1.0000000000000001E-5</v>
      </c>
      <c r="R61" s="15">
        <f t="shared" si="3"/>
        <v>54</v>
      </c>
      <c r="S61" s="126">
        <f>IF(VLOOKUP(A61,Journal!$A$7:$E$70,5)=0,S60+1,VLOOKUP(A61,Journal!$A$7:$E$70,5))</f>
        <v>45711</v>
      </c>
      <c r="T61" s="125">
        <f>IF(H$2=VLOOKUP(A61,Journal!$A$7:$F$70,6),VLOOKUP(A61,Journal!$A$7:M$70,9),0)</f>
        <v>0</v>
      </c>
      <c r="U61" s="125">
        <f>IF(H$2=VLOOKUP(A61,Journal!$A$7:$G$70,7),VLOOKUP(A61,Journal!$A$7:M$70,9),0)</f>
        <v>0</v>
      </c>
      <c r="V61" s="125">
        <f t="shared" si="4"/>
        <v>40</v>
      </c>
      <c r="X61">
        <f t="shared" si="0"/>
        <v>0</v>
      </c>
      <c r="Y61" s="143">
        <f t="shared" si="1"/>
        <v>-998.65789473684424</v>
      </c>
    </row>
    <row r="62" spans="1:25" x14ac:dyDescent="0.25">
      <c r="A62">
        <f t="shared" si="5"/>
        <v>55</v>
      </c>
      <c r="B62" s="88" t="str">
        <f>IF(OR(B61="Total",B61=""),"",IF(VLOOKUP(A62,Journal!$B$7:$E$84,4)=0,"Total",VLOOKUP(A62,Journal!$B$7:$D$84,3)))</f>
        <v/>
      </c>
      <c r="C62" s="86" t="str">
        <f>IF(B62="","",VLOOKUP(A62,Journal!$B$7:$E$84,4))</f>
        <v/>
      </c>
      <c r="D62" s="114" t="str">
        <f>IF(B62="","",VLOOKUP(A62,Journal!$B$7:$J$84,9))</f>
        <v/>
      </c>
      <c r="E62" s="116"/>
      <c r="F62" s="116"/>
      <c r="G62" s="115"/>
      <c r="H62" s="84" t="str">
        <f>IF(B62="","",VLOOKUP(A62,Journal!$B$7:$L$84,11))</f>
        <v/>
      </c>
      <c r="I62" s="84" t="str">
        <f>IF(B62="","",VLOOKUP(A62,Journal!$B$7:$M$84,12))</f>
        <v/>
      </c>
      <c r="J62" s="105">
        <f>IF(B62="Total",SUM(J$8:J61)+0.0001,IF(OR(B62="",I$2=I62),0,VLOOKUP(A62,Journal!$B$7:M$84,8)))</f>
        <v>0</v>
      </c>
      <c r="K62" s="102">
        <f>IF(B62="Total",SUM(K$8:K61)+0.0001,IF(OR(B62="",J62&lt;&gt;0),0,VLOOKUP(A62,Journal!$B$7:M$84,8)))</f>
        <v>0</v>
      </c>
      <c r="L62" s="87">
        <f t="shared" si="6"/>
        <v>0</v>
      </c>
      <c r="M62" s="103"/>
      <c r="P62">
        <f t="shared" si="2"/>
        <v>1.0000000000000001E-5</v>
      </c>
      <c r="R62" s="15">
        <f t="shared" si="3"/>
        <v>55</v>
      </c>
      <c r="S62" s="126">
        <f>IF(VLOOKUP(A62,Journal!$A$7:$E$70,5)=0,S61+1,VLOOKUP(A62,Journal!$A$7:$E$70,5))</f>
        <v>45712</v>
      </c>
      <c r="T62" s="125">
        <f>IF(H$2=VLOOKUP(A62,Journal!$A$7:$F$70,6),VLOOKUP(A62,Journal!$A$7:M$70,9),0)</f>
        <v>0</v>
      </c>
      <c r="U62" s="125">
        <f>IF(H$2=VLOOKUP(A62,Journal!$A$7:$G$70,7),VLOOKUP(A62,Journal!$A$7:M$70,9),0)</f>
        <v>0</v>
      </c>
      <c r="V62" s="125">
        <f t="shared" si="4"/>
        <v>40</v>
      </c>
      <c r="X62">
        <f t="shared" si="0"/>
        <v>0</v>
      </c>
      <c r="Y62" s="143">
        <f t="shared" si="1"/>
        <v>-998.6315789473706</v>
      </c>
    </row>
    <row r="63" spans="1:25" x14ac:dyDescent="0.25">
      <c r="A63">
        <f t="shared" si="5"/>
        <v>56</v>
      </c>
      <c r="B63" s="88" t="str">
        <f>IF(OR(B62="Total",B62=""),"",IF(VLOOKUP(A63,Journal!$B$7:$E$84,4)=0,"Total",VLOOKUP(A63,Journal!$B$7:$D$84,3)))</f>
        <v/>
      </c>
      <c r="C63" s="86" t="str">
        <f>IF(B63="","",VLOOKUP(A63,Journal!$B$7:$E$84,4))</f>
        <v/>
      </c>
      <c r="D63" s="114" t="str">
        <f>IF(B63="","",VLOOKUP(A63,Journal!$B$7:$J$84,9))</f>
        <v/>
      </c>
      <c r="E63" s="116"/>
      <c r="F63" s="116"/>
      <c r="G63" s="115"/>
      <c r="H63" s="84" t="str">
        <f>IF(B63="","",VLOOKUP(A63,Journal!$B$7:$L$84,11))</f>
        <v/>
      </c>
      <c r="I63" s="84" t="str">
        <f>IF(B63="","",VLOOKUP(A63,Journal!$B$7:$M$84,12))</f>
        <v/>
      </c>
      <c r="J63" s="105">
        <f>IF(B63="Total",SUM(J$8:J62)+0.0001,IF(OR(B63="",I$2=I63),0,VLOOKUP(A63,Journal!$B$7:M$84,8)))</f>
        <v>0</v>
      </c>
      <c r="K63" s="102">
        <f>IF(B63="Total",SUM(K$8:K62)+0.0001,IF(OR(B63="",J63&lt;&gt;0),0,VLOOKUP(A63,Journal!$B$7:M$84,8)))</f>
        <v>0</v>
      </c>
      <c r="L63" s="87">
        <f t="shared" si="6"/>
        <v>0</v>
      </c>
      <c r="M63" s="103"/>
      <c r="P63">
        <f t="shared" si="2"/>
        <v>1.0000000000000001E-5</v>
      </c>
      <c r="R63" s="15">
        <f t="shared" si="3"/>
        <v>56</v>
      </c>
      <c r="S63" s="126">
        <f>IF(VLOOKUP(A63,Journal!$A$7:$E$70,5)=0,S62+1,VLOOKUP(A63,Journal!$A$7:$E$70,5))</f>
        <v>45713</v>
      </c>
      <c r="T63" s="125">
        <f>IF(H$2=VLOOKUP(A63,Journal!$A$7:$F$70,6),VLOOKUP(A63,Journal!$A$7:M$70,9),0)</f>
        <v>0</v>
      </c>
      <c r="U63" s="125">
        <f>IF(H$2=VLOOKUP(A63,Journal!$A$7:$G$70,7),VLOOKUP(A63,Journal!$A$7:M$70,9),0)</f>
        <v>0</v>
      </c>
      <c r="V63" s="125">
        <f t="shared" si="4"/>
        <v>40</v>
      </c>
      <c r="X63">
        <f t="shared" si="0"/>
        <v>0</v>
      </c>
      <c r="Y63" s="143">
        <f t="shared" si="1"/>
        <v>-998.60526315789696</v>
      </c>
    </row>
    <row r="64" spans="1:25" x14ac:dyDescent="0.25">
      <c r="A64">
        <f t="shared" si="5"/>
        <v>57</v>
      </c>
      <c r="B64" s="88" t="str">
        <f>IF(OR(B63="Total",B63=""),"",IF(VLOOKUP(A64,Journal!$B$7:$E$84,4)=0,"Total",VLOOKUP(A64,Journal!$B$7:$D$84,3)))</f>
        <v/>
      </c>
      <c r="C64" s="86" t="str">
        <f>IF(B64="","",VLOOKUP(A64,Journal!$B$7:$E$84,4))</f>
        <v/>
      </c>
      <c r="D64" s="114" t="str">
        <f>IF(B64="","",VLOOKUP(A64,Journal!$B$7:$J$84,9))</f>
        <v/>
      </c>
      <c r="E64" s="116"/>
      <c r="F64" s="116"/>
      <c r="G64" s="115"/>
      <c r="H64" s="84" t="str">
        <f>IF(B64="","",VLOOKUP(A64,Journal!$B$7:$L$84,11))</f>
        <v/>
      </c>
      <c r="I64" s="84" t="str">
        <f>IF(B64="","",VLOOKUP(A64,Journal!$B$7:$M$84,12))</f>
        <v/>
      </c>
      <c r="J64" s="105">
        <f>IF(B64="Total",SUM(J$8:J63)+0.0001,IF(OR(B64="",I$2=I64),0,VLOOKUP(A64,Journal!$B$7:M$84,8)))</f>
        <v>0</v>
      </c>
      <c r="K64" s="102">
        <f>IF(B64="Total",SUM(K$8:K63)+0.0001,IF(OR(B64="",J64&lt;&gt;0),0,VLOOKUP(A64,Journal!$B$7:M$84,8)))</f>
        <v>0</v>
      </c>
      <c r="L64" s="87">
        <f t="shared" si="6"/>
        <v>0</v>
      </c>
      <c r="M64" s="103"/>
      <c r="P64">
        <f t="shared" si="2"/>
        <v>1.0000000000000001E-5</v>
      </c>
      <c r="R64" s="15">
        <f t="shared" si="3"/>
        <v>57</v>
      </c>
      <c r="S64" s="126">
        <f>IF(VLOOKUP(A64,Journal!$A$7:$E$70,5)=0,S63+1,VLOOKUP(A64,Journal!$A$7:$E$70,5))</f>
        <v>45714</v>
      </c>
      <c r="T64" s="125">
        <f>IF(H$2=VLOOKUP(A64,Journal!$A$7:$F$70,6),VLOOKUP(A64,Journal!$A$7:M$70,9),0)</f>
        <v>0</v>
      </c>
      <c r="U64" s="125">
        <f>IF(H$2=VLOOKUP(A64,Journal!$A$7:$G$70,7),VLOOKUP(A64,Journal!$A$7:M$70,9),0)</f>
        <v>0</v>
      </c>
      <c r="V64" s="125">
        <f t="shared" si="4"/>
        <v>40</v>
      </c>
      <c r="X64">
        <f>IF(J$2&gt;S64,1,0)</f>
        <v>0</v>
      </c>
      <c r="Y64" s="143">
        <f t="shared" si="1"/>
        <v>-998.57894736842331</v>
      </c>
    </row>
    <row r="65" spans="1:25" x14ac:dyDescent="0.25">
      <c r="A65">
        <f t="shared" si="5"/>
        <v>58</v>
      </c>
      <c r="B65" s="88" t="str">
        <f>IF(OR(B64="Total",B64=""),"",IF(VLOOKUP(A65,Journal!$B$7:$E$84,4)=0,"Total",VLOOKUP(A65,Journal!$B$7:$D$84,3)))</f>
        <v/>
      </c>
      <c r="C65" s="86" t="str">
        <f>IF(B65="","",VLOOKUP(A65,Journal!$B$7:$E$84,4))</f>
        <v/>
      </c>
      <c r="D65" s="114" t="str">
        <f>IF(B65="","",VLOOKUP(A65,Journal!$B$7:$J$84,9))</f>
        <v/>
      </c>
      <c r="E65" s="116"/>
      <c r="F65" s="116"/>
      <c r="G65" s="115"/>
      <c r="H65" s="84" t="str">
        <f>IF(B65="","",VLOOKUP(A65,Journal!$B$7:$L$84,11))</f>
        <v/>
      </c>
      <c r="I65" s="84" t="str">
        <f>IF(B65="","",VLOOKUP(A65,Journal!$B$7:$M$84,12))</f>
        <v/>
      </c>
      <c r="J65" s="105">
        <f>IF(B65="Total",SUM(J$8:J64)+0.0001,IF(OR(B65="",I$2=I65),0,VLOOKUP(A65,Journal!$B$7:M$84,8)))</f>
        <v>0</v>
      </c>
      <c r="K65" s="102">
        <f>IF(B65="Total",SUM(K$8:K64)+0.0001,IF(OR(B65="",J65&lt;&gt;0),0,VLOOKUP(A65,Journal!$B$7:M$84,8)))</f>
        <v>0</v>
      </c>
      <c r="L65" s="87">
        <f t="shared" si="6"/>
        <v>0</v>
      </c>
      <c r="M65" s="103"/>
      <c r="P65">
        <f t="shared" si="2"/>
        <v>1.0000000000000001E-5</v>
      </c>
      <c r="R65" s="15">
        <f t="shared" si="3"/>
        <v>58</v>
      </c>
      <c r="S65" s="126">
        <f>IF(VLOOKUP(A65,Journal!$A$7:$E$70,5)=0,S64+1,VLOOKUP(A65,Journal!$A$7:$E$70,5))</f>
        <v>45715</v>
      </c>
      <c r="T65" s="125">
        <f>IF(H$2=VLOOKUP(A65,Journal!$A$7:$F$70,6),VLOOKUP(A65,Journal!$A$7:M$70,9),0)</f>
        <v>0</v>
      </c>
      <c r="U65" s="125">
        <f>IF(H$2=VLOOKUP(A65,Journal!$A$7:$G$70,7),VLOOKUP(A65,Journal!$A$7:M$70,9),0)</f>
        <v>0</v>
      </c>
      <c r="V65" s="125">
        <f t="shared" si="4"/>
        <v>40</v>
      </c>
      <c r="X65">
        <f t="shared" si="0"/>
        <v>0</v>
      </c>
      <c r="Y65" s="143">
        <f t="shared" si="1"/>
        <v>-998.55263157894967</v>
      </c>
    </row>
    <row r="66" spans="1:25" x14ac:dyDescent="0.25">
      <c r="A66">
        <f t="shared" si="5"/>
        <v>59</v>
      </c>
      <c r="B66" s="88" t="str">
        <f>IF(OR(B65="Total",B65=""),"",IF(VLOOKUP(A66,Journal!$B$7:$E$84,4)=0,"Total",VLOOKUP(A66,Journal!$B$7:$D$84,3)))</f>
        <v/>
      </c>
      <c r="C66" s="86" t="str">
        <f>IF(B66="","",VLOOKUP(A66,Journal!$B$7:$E$84,4))</f>
        <v/>
      </c>
      <c r="D66" s="114" t="str">
        <f>IF(B66="","",VLOOKUP(A66,Journal!$B$7:$J$84,9))</f>
        <v/>
      </c>
      <c r="E66" s="116"/>
      <c r="F66" s="116"/>
      <c r="G66" s="115"/>
      <c r="H66" s="84" t="str">
        <f>IF(B66="","",VLOOKUP(A66,Journal!$B$7:$L$84,11))</f>
        <v/>
      </c>
      <c r="I66" s="84" t="str">
        <f>IF(B66="","",VLOOKUP(A66,Journal!$B$7:$M$84,12))</f>
        <v/>
      </c>
      <c r="J66" s="105">
        <f>IF(B66="Total",SUM(J$8:J65)+0.0001,IF(OR(B66="",I$2=I66),0,VLOOKUP(A66,Journal!$B$7:M$84,8)))</f>
        <v>0</v>
      </c>
      <c r="K66" s="102">
        <f>IF(B66="Total",SUM(K$8:K65)+0.0001,IF(OR(B66="",J66&lt;&gt;0),0,VLOOKUP(A66,Journal!$B$7:M$84,8)))</f>
        <v>0</v>
      </c>
      <c r="L66" s="87">
        <f t="shared" si="6"/>
        <v>0</v>
      </c>
      <c r="M66" s="103"/>
      <c r="P66">
        <f t="shared" si="2"/>
        <v>1.0000000000000001E-5</v>
      </c>
      <c r="R66" s="15">
        <f t="shared" si="3"/>
        <v>59</v>
      </c>
      <c r="S66" s="126">
        <f>IF(VLOOKUP(A66,Journal!$A$7:$E$70,5)=0,S65+1,VLOOKUP(A66,Journal!$A$7:$E$70,5))</f>
        <v>45716</v>
      </c>
      <c r="T66" s="125">
        <f>IF(H$2=VLOOKUP(A66,Journal!$A$7:$F$70,6),VLOOKUP(A66,Journal!$A$7:M$70,9),0)</f>
        <v>0</v>
      </c>
      <c r="U66" s="125">
        <f>IF(H$2=VLOOKUP(A66,Journal!$A$7:$G$70,7),VLOOKUP(A66,Journal!$A$7:M$70,9),0)</f>
        <v>0</v>
      </c>
      <c r="V66" s="125">
        <f t="shared" si="4"/>
        <v>40</v>
      </c>
      <c r="X66">
        <f t="shared" si="0"/>
        <v>0</v>
      </c>
      <c r="Y66" s="143">
        <f t="shared" si="1"/>
        <v>-998.52631578947603</v>
      </c>
    </row>
    <row r="67" spans="1:25" x14ac:dyDescent="0.25">
      <c r="A67">
        <f t="shared" si="5"/>
        <v>60</v>
      </c>
      <c r="B67" s="88" t="str">
        <f>IF(OR(B66="Total",B66=""),"",IF(VLOOKUP(A67,Journal!$B$7:$E$84,4)=0,"Total",VLOOKUP(A67,Journal!$B$7:$D$84,3)))</f>
        <v/>
      </c>
      <c r="C67" s="86" t="str">
        <f>IF(B67="","",VLOOKUP(A67,Journal!$B$7:$E$84,4))</f>
        <v/>
      </c>
      <c r="D67" s="114" t="str">
        <f>IF(B67="","",VLOOKUP(A67,Journal!$B$7:$J$84,9))</f>
        <v/>
      </c>
      <c r="E67" s="116"/>
      <c r="F67" s="116"/>
      <c r="G67" s="115"/>
      <c r="H67" s="84" t="str">
        <f>IF(B67="","",VLOOKUP(A67,Journal!$B$7:$L$84,11))</f>
        <v/>
      </c>
      <c r="I67" s="84" t="str">
        <f>IF(B67="","",VLOOKUP(A67,Journal!$B$7:$M$84,12))</f>
        <v/>
      </c>
      <c r="J67" s="105">
        <f>IF(B67="Total",SUM(J$8:J66)+0.0001,IF(OR(B67="",I$2=I67),0,VLOOKUP(A67,Journal!$B$7:M$84,8)))</f>
        <v>0</v>
      </c>
      <c r="K67" s="102">
        <f>IF(B67="Total",SUM(K$8:K66)+0.0001,IF(OR(B67="",J67&lt;&gt;0),0,VLOOKUP(A67,Journal!$B$7:M$84,8)))</f>
        <v>0</v>
      </c>
      <c r="L67" s="87">
        <f t="shared" si="6"/>
        <v>0</v>
      </c>
      <c r="M67" s="103"/>
      <c r="P67">
        <f t="shared" si="2"/>
        <v>1.0000000000000001E-5</v>
      </c>
      <c r="R67" s="15">
        <f t="shared" si="3"/>
        <v>60</v>
      </c>
      <c r="S67" s="126">
        <f>IF(VLOOKUP(A67,Journal!$A$7:$E$70,5)=0,S66+1,VLOOKUP(A67,Journal!$A$7:$E$70,5))</f>
        <v>45717</v>
      </c>
      <c r="T67" s="125">
        <f>IF(H$2=VLOOKUP(A67,Journal!$A$7:$F$70,6),VLOOKUP(A67,Journal!$A$7:M$70,9),0)</f>
        <v>0</v>
      </c>
      <c r="U67" s="125">
        <f>IF(H$2=VLOOKUP(A67,Journal!$A$7:$G$70,7),VLOOKUP(A67,Journal!$A$7:M$70,9),0)</f>
        <v>0</v>
      </c>
      <c r="V67" s="125">
        <f t="shared" si="4"/>
        <v>40</v>
      </c>
      <c r="X67">
        <f t="shared" si="0"/>
        <v>0</v>
      </c>
      <c r="Y67" s="143">
        <f t="shared" si="1"/>
        <v>-998.50000000000239</v>
      </c>
    </row>
    <row r="68" spans="1:25" x14ac:dyDescent="0.25">
      <c r="A68">
        <f t="shared" si="5"/>
        <v>61</v>
      </c>
      <c r="B68" s="88" t="str">
        <f>IF(OR(B67="Total",B67=""),"",IF(VLOOKUP(A68,Journal!$B$7:$E$84,4)=0,"Total",VLOOKUP(A68,Journal!$B$7:$D$84,3)))</f>
        <v/>
      </c>
      <c r="C68" s="86" t="str">
        <f>IF(B68="","",VLOOKUP(A68,Journal!$B$7:$E$84,4))</f>
        <v/>
      </c>
      <c r="D68" s="114" t="str">
        <f>IF(B68="","",VLOOKUP(A68,Journal!$B$7:$J$84,9))</f>
        <v/>
      </c>
      <c r="E68" s="116"/>
      <c r="F68" s="116"/>
      <c r="G68" s="115"/>
      <c r="H68" s="84" t="str">
        <f>IF(B68="","",VLOOKUP(A68,Journal!$B$7:$L$84,11))</f>
        <v/>
      </c>
      <c r="I68" s="84" t="str">
        <f>IF(B68="","",VLOOKUP(A68,Journal!$B$7:$M$84,12))</f>
        <v/>
      </c>
      <c r="J68" s="105">
        <f>IF(B68="Total",SUM(J$8:J67)+0.0001,IF(OR(B68="",I$2=I68),0,VLOOKUP(A68,Journal!$B$7:M$84,8)))</f>
        <v>0</v>
      </c>
      <c r="K68" s="102">
        <f>IF(B68="Total",SUM(K$8:K67)+0.0001,IF(OR(B68="",J68&lt;&gt;0),0,VLOOKUP(A68,Journal!$B$7:M$84,8)))</f>
        <v>0</v>
      </c>
      <c r="L68" s="87">
        <f t="shared" si="6"/>
        <v>0</v>
      </c>
      <c r="M68" s="103"/>
      <c r="P68">
        <f t="shared" si="2"/>
        <v>1.0000000000000001E-5</v>
      </c>
      <c r="R68" s="15">
        <f t="shared" si="3"/>
        <v>61</v>
      </c>
      <c r="S68" s="126">
        <f>IF(VLOOKUP(A68,Journal!$A$7:$E$70,5)=0,S67+1,VLOOKUP(A68,Journal!$A$7:$E$70,5))</f>
        <v>45718</v>
      </c>
      <c r="T68" s="125">
        <f>IF(H$2=VLOOKUP(A68,Journal!$A$7:$F$70,6),VLOOKUP(A68,Journal!$A$7:M$70,9),0)</f>
        <v>0</v>
      </c>
      <c r="U68" s="125">
        <f>IF(H$2=VLOOKUP(A68,Journal!$A$7:$G$70,7),VLOOKUP(A68,Journal!$A$7:M$70,9),0)</f>
        <v>0</v>
      </c>
      <c r="V68" s="125">
        <f t="shared" si="4"/>
        <v>40</v>
      </c>
      <c r="X68">
        <f t="shared" si="0"/>
        <v>0</v>
      </c>
      <c r="Y68" s="143">
        <f t="shared" si="1"/>
        <v>-998.47368421052875</v>
      </c>
    </row>
    <row r="69" spans="1:25" x14ac:dyDescent="0.25">
      <c r="A69">
        <f t="shared" si="5"/>
        <v>62</v>
      </c>
      <c r="B69" s="88" t="str">
        <f>IF(OR(B68="Total",B68=""),"",IF(VLOOKUP(A69,Journal!$B$7:$E$84,4)=0,"Total",VLOOKUP(A69,Journal!$B$7:$D$84,3)))</f>
        <v/>
      </c>
      <c r="C69" s="86" t="str">
        <f>IF(B69="","",VLOOKUP(A69,Journal!$B$7:$E$84,4))</f>
        <v/>
      </c>
      <c r="D69" s="114" t="str">
        <f>IF(B69="","",VLOOKUP(A69,Journal!$B$7:$J$84,9))</f>
        <v/>
      </c>
      <c r="E69" s="116"/>
      <c r="F69" s="116"/>
      <c r="G69" s="115"/>
      <c r="H69" s="84" t="str">
        <f>IF(B69="","",VLOOKUP(A69,Journal!$B$7:$L$84,11))</f>
        <v/>
      </c>
      <c r="I69" s="84" t="str">
        <f>IF(B69="","",VLOOKUP(A69,Journal!$B$7:$M$84,12))</f>
        <v/>
      </c>
      <c r="J69" s="105">
        <f>IF(B69="Total",SUM(J$8:J68)+0.0001,IF(OR(B69="",I$2=I69),0,VLOOKUP(A69,Journal!$B$7:M$84,8)))</f>
        <v>0</v>
      </c>
      <c r="K69" s="102">
        <f>IF(B69="Total",SUM(K$8:K68)+0.0001,IF(OR(B69="",J69&lt;&gt;0),0,VLOOKUP(A69,Journal!$B$7:M$84,8)))</f>
        <v>0</v>
      </c>
      <c r="L69" s="87">
        <f t="shared" si="6"/>
        <v>0</v>
      </c>
      <c r="M69" s="103"/>
      <c r="P69">
        <f t="shared" si="2"/>
        <v>1.0000000000000001E-5</v>
      </c>
      <c r="R69" s="15">
        <f t="shared" si="3"/>
        <v>62</v>
      </c>
      <c r="S69" s="126">
        <f>IF(VLOOKUP(A69,Journal!$A$7:$E$70,5)=0,S68+1,VLOOKUP(A69,Journal!$A$7:$E$70,5))</f>
        <v>45719</v>
      </c>
      <c r="T69" s="125">
        <f>IF(H$2=VLOOKUP(A69,Journal!$A$7:$F$70,6),VLOOKUP(A69,Journal!$A$7:M$70,9),0)</f>
        <v>0</v>
      </c>
      <c r="U69" s="125">
        <f>IF(H$2=VLOOKUP(A69,Journal!$A$7:$G$70,7),VLOOKUP(A69,Journal!$A$7:M$70,9),0)</f>
        <v>0</v>
      </c>
      <c r="V69" s="125">
        <f t="shared" si="4"/>
        <v>40</v>
      </c>
      <c r="X69">
        <f t="shared" si="0"/>
        <v>0</v>
      </c>
      <c r="Y69" s="143">
        <f t="shared" si="1"/>
        <v>-998.4473684210551</v>
      </c>
    </row>
    <row r="70" spans="1:25" x14ac:dyDescent="0.25">
      <c r="A70">
        <f t="shared" si="5"/>
        <v>63</v>
      </c>
      <c r="B70" s="88" t="str">
        <f>IF(OR(B69="Total",B69=""),"",IF(VLOOKUP(A70,Journal!$B$7:$E$84,4)=0,"Total",VLOOKUP(A70,Journal!$B$7:$D$84,3)))</f>
        <v/>
      </c>
      <c r="C70" s="86" t="str">
        <f>IF(B70="","",VLOOKUP(A70,Journal!$B$7:$E$84,4))</f>
        <v/>
      </c>
      <c r="D70" s="114" t="str">
        <f>IF(B70="","",VLOOKUP(A70,Journal!$B$7:$J$84,9))</f>
        <v/>
      </c>
      <c r="E70" s="116"/>
      <c r="F70" s="116"/>
      <c r="G70" s="115"/>
      <c r="H70" s="84" t="str">
        <f>IF(B70="","",VLOOKUP(A70,Journal!$B$7:$L$84,11))</f>
        <v/>
      </c>
      <c r="I70" s="84" t="str">
        <f>IF(B70="","",VLOOKUP(A70,Journal!$B$7:$M$84,12))</f>
        <v/>
      </c>
      <c r="J70" s="105">
        <f>IF(B70="Total",SUM(J$8:J69)+0.0001,IF(OR(B70="",I$2=I70),0,VLOOKUP(A70,Journal!$B$7:M$84,8)))</f>
        <v>0</v>
      </c>
      <c r="K70" s="102">
        <f>IF(B70="Total",SUM(K$8:K69)+0.0001,IF(OR(B70="",J70&lt;&gt;0),0,VLOOKUP(A70,Journal!$B$7:M$84,8)))</f>
        <v>0</v>
      </c>
      <c r="L70" s="87">
        <f t="shared" si="6"/>
        <v>0</v>
      </c>
      <c r="M70" s="103"/>
      <c r="P70">
        <f t="shared" si="2"/>
        <v>1.0000000000000001E-5</v>
      </c>
      <c r="R70" s="15">
        <f t="shared" si="3"/>
        <v>63</v>
      </c>
      <c r="S70" s="126">
        <f>IF(VLOOKUP(A70,Journal!$A$7:$E$70,5)=0,S69+1,VLOOKUP(A70,Journal!$A$7:$E$70,5))</f>
        <v>45720</v>
      </c>
      <c r="T70" s="125">
        <f>IF(H$2=VLOOKUP(A70,Journal!$A$7:$F$70,6),VLOOKUP(A70,Journal!$A$7:M$70,9),0)</f>
        <v>0</v>
      </c>
      <c r="U70" s="125">
        <f>IF(H$2=VLOOKUP(A70,Journal!$A$7:$G$70,7),VLOOKUP(A70,Journal!$A$7:M$70,9),0)</f>
        <v>0</v>
      </c>
      <c r="V70" s="125">
        <f t="shared" si="4"/>
        <v>40</v>
      </c>
      <c r="X70">
        <f t="shared" si="0"/>
        <v>0</v>
      </c>
      <c r="Y70" s="143">
        <f t="shared" si="1"/>
        <v>-998.42105263158146</v>
      </c>
    </row>
    <row r="71" spans="1:25" x14ac:dyDescent="0.25">
      <c r="A71">
        <f t="shared" si="5"/>
        <v>64</v>
      </c>
      <c r="B71" s="88" t="str">
        <f>IF(OR(B70="Total",B70=""),"",IF(VLOOKUP(A71,Journal!$B$7:$E$84,4)=0,"Total",VLOOKUP(A71,Journal!$B$7:$D$84,3)))</f>
        <v/>
      </c>
      <c r="C71" s="86" t="str">
        <f>IF(B71="","",VLOOKUP(A71,Journal!$B$7:$E$84,4))</f>
        <v/>
      </c>
      <c r="D71" s="114" t="str">
        <f>IF(B71="","",VLOOKUP(A71,Journal!$B$7:$J$84,9))</f>
        <v/>
      </c>
      <c r="E71" s="116"/>
      <c r="F71" s="116"/>
      <c r="G71" s="115"/>
      <c r="H71" s="84" t="str">
        <f>IF(B71="","",VLOOKUP(A71,Journal!$B$7:$L$84,11))</f>
        <v/>
      </c>
      <c r="I71" s="84" t="str">
        <f>IF(B71="","",VLOOKUP(A71,Journal!$B$7:$M$84,12))</f>
        <v/>
      </c>
      <c r="J71" s="105">
        <f>IF(B71="Total",SUM(J$8:J70)+0.0001,IF(OR(B71="",I$2=I71),0,VLOOKUP(A71,Journal!$B$7:M$84,8)))</f>
        <v>0</v>
      </c>
      <c r="K71" s="102">
        <f>IF(B71="Total",SUM(K$8:K70)+0.0001,IF(OR(B71="",J71&lt;&gt;0),0,VLOOKUP(A71,Journal!$B$7:M$84,8)))</f>
        <v>0</v>
      </c>
      <c r="L71" s="87">
        <f t="shared" si="6"/>
        <v>0</v>
      </c>
      <c r="M71" s="103"/>
      <c r="P71">
        <f t="shared" si="2"/>
        <v>1.0000000000000001E-5</v>
      </c>
      <c r="R71" s="15">
        <f t="shared" si="3"/>
        <v>64</v>
      </c>
      <c r="S71" s="126">
        <f>IF(VLOOKUP(A71,Journal!$A$7:$E$70,5)=0,S70+1,VLOOKUP(A71,Journal!$A$7:$E$70,5))</f>
        <v>45721</v>
      </c>
      <c r="T71" s="125">
        <f>IF(H$2=VLOOKUP(A71,Journal!$A$7:$F$70,6),VLOOKUP(A71,Journal!$A$7:M$70,9),0)</f>
        <v>0</v>
      </c>
      <c r="U71" s="125">
        <f>IF(H$2=VLOOKUP(A71,Journal!$A$7:$G$70,7),VLOOKUP(A71,Journal!$A$7:M$70,9),0)</f>
        <v>0</v>
      </c>
      <c r="V71" s="125">
        <f t="shared" si="4"/>
        <v>40</v>
      </c>
      <c r="X71">
        <f t="shared" si="0"/>
        <v>0</v>
      </c>
      <c r="Y71" s="143">
        <f t="shared" si="1"/>
        <v>-998.39473684210782</v>
      </c>
    </row>
    <row r="72" spans="1:25" x14ac:dyDescent="0.25">
      <c r="A72">
        <f t="shared" si="5"/>
        <v>65</v>
      </c>
      <c r="B72" s="88" t="str">
        <f>IF(OR(B71="Total",B71=""),"",IF(VLOOKUP(A72,Journal!$B$7:$E$84,4)=0,"Total",VLOOKUP(A72,Journal!$B$7:$D$84,3)))</f>
        <v/>
      </c>
      <c r="C72" s="86" t="str">
        <f>IF(B72="","",VLOOKUP(A72,Journal!$B$7:$E$84,4))</f>
        <v/>
      </c>
      <c r="D72" s="114" t="str">
        <f>IF(B72="","",VLOOKUP(A72,Journal!$B$7:$J$84,9))</f>
        <v/>
      </c>
      <c r="E72" s="116"/>
      <c r="F72" s="116"/>
      <c r="G72" s="115"/>
      <c r="H72" s="84" t="str">
        <f>IF(B72="","",VLOOKUP(A72,Journal!$B$7:$L$84,11))</f>
        <v/>
      </c>
      <c r="I72" s="84" t="str">
        <f>IF(B72="","",VLOOKUP(A72,Journal!$B$7:$M$84,12))</f>
        <v/>
      </c>
      <c r="J72" s="105">
        <f>IF(B72="Total",SUM(J$8:J71)+0.0001,IF(OR(B72="",I$2=I72),0,VLOOKUP(A72,Journal!$B$7:M$84,8)))</f>
        <v>0</v>
      </c>
      <c r="K72" s="102">
        <f>IF(B72="Total",SUM(K$8:K71)+0.0001,IF(OR(B72="",J72&lt;&gt;0),0,VLOOKUP(A72,Journal!$B$7:M$84,8)))</f>
        <v>0</v>
      </c>
      <c r="L72" s="87">
        <f t="shared" ref="L72:L135" si="7">IF(B72="Total",L71,IF(B72="",0,IF($M$1=1,L71+J72-K72,L71-J72+K72)))</f>
        <v>0</v>
      </c>
      <c r="M72" s="103"/>
      <c r="P72">
        <f t="shared" si="2"/>
        <v>1.0000000000000001E-5</v>
      </c>
      <c r="R72" s="15">
        <f t="shared" si="3"/>
        <v>65</v>
      </c>
      <c r="S72" s="126">
        <f>IF(VLOOKUP(A72,Journal!$A$7:$E$70,5)=0,S71+1,VLOOKUP(A72,Journal!$A$7:$E$70,5))</f>
        <v>45722</v>
      </c>
      <c r="T72" s="125">
        <f>IF(H$2=VLOOKUP(A72,Journal!$A$7:$F$70,6),VLOOKUP(A72,Journal!$A$7:M$70,9),0)</f>
        <v>0</v>
      </c>
      <c r="U72" s="125">
        <f>IF(H$2=VLOOKUP(A72,Journal!$A$7:$G$70,7),VLOOKUP(A72,Journal!$A$7:M$70,9),0)</f>
        <v>0</v>
      </c>
      <c r="V72" s="125">
        <f t="shared" si="4"/>
        <v>40</v>
      </c>
      <c r="X72">
        <f t="shared" si="0"/>
        <v>0</v>
      </c>
      <c r="Y72" s="143">
        <f t="shared" ref="Y72:Y135" si="8">IF(B71="Total",-1000,Y71+Y$4)</f>
        <v>-998.36842105263418</v>
      </c>
    </row>
    <row r="73" spans="1:25" x14ac:dyDescent="0.25">
      <c r="A73">
        <f t="shared" si="5"/>
        <v>66</v>
      </c>
      <c r="B73" s="88" t="str">
        <f>IF(OR(B72="Total",B72=""),"",IF(VLOOKUP(A73,Journal!$B$7:$E$84,4)=0,"Total",VLOOKUP(A73,Journal!$B$7:$D$84,3)))</f>
        <v/>
      </c>
      <c r="C73" s="86" t="str">
        <f>IF(B73="","",VLOOKUP(A73,Journal!$B$7:$E$84,4))</f>
        <v/>
      </c>
      <c r="D73" s="114" t="str">
        <f>IF(B73="","",VLOOKUP(A73,Journal!$B$7:$J$84,9))</f>
        <v/>
      </c>
      <c r="E73" s="116"/>
      <c r="F73" s="116"/>
      <c r="G73" s="115"/>
      <c r="H73" s="84" t="str">
        <f>IF(B73="","",VLOOKUP(A73,Journal!$B$7:$L$84,11))</f>
        <v/>
      </c>
      <c r="I73" s="84" t="str">
        <f>IF(B73="","",VLOOKUP(A73,Journal!$B$7:$M$84,12))</f>
        <v/>
      </c>
      <c r="J73" s="105">
        <f>IF(B73="Total",SUM(J$8:J72)+0.0001,IF(OR(B73="",I$2=I73),0,VLOOKUP(A73,Journal!$B$7:M$84,8)))</f>
        <v>0</v>
      </c>
      <c r="K73" s="102">
        <f>IF(B73="Total",SUM(K$8:K72)+0.0001,IF(OR(B73="",J73&lt;&gt;0),0,VLOOKUP(A73,Journal!$B$7:M$84,8)))</f>
        <v>0</v>
      </c>
      <c r="L73" s="87">
        <f t="shared" si="7"/>
        <v>0</v>
      </c>
      <c r="M73" s="103"/>
      <c r="P73">
        <f t="shared" si="2"/>
        <v>1.0000000000000001E-5</v>
      </c>
      <c r="R73" s="15">
        <f t="shared" si="3"/>
        <v>66</v>
      </c>
      <c r="S73" s="126">
        <f>IF(VLOOKUP(A73,Journal!$A$7:$E$70,5)=0,S72+1,VLOOKUP(A73,Journal!$A$7:$E$70,5))</f>
        <v>45723</v>
      </c>
      <c r="T73" s="125">
        <f>IF(H$2=VLOOKUP(A73,Journal!$A$7:$F$70,6),VLOOKUP(A73,Journal!$A$7:M$70,9),0)</f>
        <v>0</v>
      </c>
      <c r="U73" s="125">
        <f>IF(H$2=VLOOKUP(A73,Journal!$A$7:$G$70,7),VLOOKUP(A73,Journal!$A$7:M$70,9),0)</f>
        <v>0</v>
      </c>
      <c r="V73" s="125">
        <f t="shared" si="4"/>
        <v>40</v>
      </c>
      <c r="X73">
        <f t="shared" ref="X73:X136" si="9">IF(J$2&gt;S73,1,0)</f>
        <v>0</v>
      </c>
      <c r="Y73" s="143">
        <f t="shared" si="8"/>
        <v>-998.34210526316053</v>
      </c>
    </row>
    <row r="74" spans="1:25" x14ac:dyDescent="0.25">
      <c r="A74">
        <f t="shared" si="5"/>
        <v>67</v>
      </c>
      <c r="B74" s="88" t="str">
        <f>IF(OR(B73="Total",B73=""),"",IF(VLOOKUP(A74,Journal!$B$7:$E$84,4)=0,"Total",VLOOKUP(A74,Journal!$B$7:$D$84,3)))</f>
        <v/>
      </c>
      <c r="C74" s="86" t="str">
        <f>IF(B74="","",VLOOKUP(A74,Journal!$B$7:$E$84,4))</f>
        <v/>
      </c>
      <c r="D74" s="114" t="str">
        <f>IF(B74="","",VLOOKUP(A74,Journal!$B$7:$J$84,9))</f>
        <v/>
      </c>
      <c r="E74" s="116"/>
      <c r="F74" s="116"/>
      <c r="G74" s="115"/>
      <c r="H74" s="84" t="str">
        <f>IF(B74="","",VLOOKUP(A74,Journal!$B$7:$L$84,11))</f>
        <v/>
      </c>
      <c r="I74" s="84" t="str">
        <f>IF(B74="","",VLOOKUP(A74,Journal!$B$7:$M$84,12))</f>
        <v/>
      </c>
      <c r="J74" s="105">
        <f>IF(B74="Total",SUM(J$8:J73)+0.0001,IF(OR(B74="",I$2=I74),0,VLOOKUP(A74,Journal!$B$7:M$84,8)))</f>
        <v>0</v>
      </c>
      <c r="K74" s="102">
        <f>IF(B74="Total",SUM(K$8:K73)+0.0001,IF(OR(B74="",J74&lt;&gt;0),0,VLOOKUP(A74,Journal!$B$7:M$84,8)))</f>
        <v>0</v>
      </c>
      <c r="L74" s="87">
        <f t="shared" si="7"/>
        <v>0</v>
      </c>
      <c r="M74" s="103"/>
      <c r="P74">
        <f t="shared" ref="P74:P137" si="10">IF(L73=L74,L73+0.00001,L74)</f>
        <v>1.0000000000000001E-5</v>
      </c>
      <c r="R74" s="15">
        <f t="shared" ref="R74:R137" si="11">R73+1</f>
        <v>67</v>
      </c>
      <c r="S74" s="126">
        <f>IF(VLOOKUP(A74,Journal!$A$7:$E$70,5)=0,S73+1,VLOOKUP(A74,Journal!$A$7:$E$70,5))</f>
        <v>45724</v>
      </c>
      <c r="T74" s="125">
        <f>IF(H$2=VLOOKUP(A74,Journal!$A$7:$F$70,6),VLOOKUP(A74,Journal!$A$7:M$70,9),0)</f>
        <v>0</v>
      </c>
      <c r="U74" s="125">
        <f>IF(H$2=VLOOKUP(A74,Journal!$A$7:$G$70,7),VLOOKUP(A74,Journal!$A$7:M$70,9),0)</f>
        <v>0</v>
      </c>
      <c r="V74" s="125">
        <f t="shared" ref="V74:V137" si="12">IF($M$1=1,V73+T74-U74,V73-T74+U74)</f>
        <v>40</v>
      </c>
      <c r="X74">
        <f t="shared" si="9"/>
        <v>0</v>
      </c>
      <c r="Y74" s="143">
        <f t="shared" si="8"/>
        <v>-998.31578947368689</v>
      </c>
    </row>
    <row r="75" spans="1:25" x14ac:dyDescent="0.25">
      <c r="A75">
        <f t="shared" ref="A75:A138" si="13">A74+1</f>
        <v>68</v>
      </c>
      <c r="B75" s="88" t="str">
        <f>IF(OR(B74="Total",B74=""),"",IF(VLOOKUP(A75,Journal!$B$7:$E$84,4)=0,"Total",VLOOKUP(A75,Journal!$B$7:$D$84,3)))</f>
        <v/>
      </c>
      <c r="C75" s="86" t="str">
        <f>IF(B75="","",VLOOKUP(A75,Journal!$B$7:$E$84,4))</f>
        <v/>
      </c>
      <c r="D75" s="114" t="str">
        <f>IF(B75="","",VLOOKUP(A75,Journal!$B$7:$J$84,9))</f>
        <v/>
      </c>
      <c r="E75" s="116"/>
      <c r="F75" s="116"/>
      <c r="G75" s="115"/>
      <c r="H75" s="84" t="str">
        <f>IF(B75="","",VLOOKUP(A75,Journal!$B$7:$L$84,11))</f>
        <v/>
      </c>
      <c r="I75" s="84" t="str">
        <f>IF(B75="","",VLOOKUP(A75,Journal!$B$7:$M$84,12))</f>
        <v/>
      </c>
      <c r="J75" s="105">
        <f>IF(B75="Total",SUM(J$8:J74)+0.0001,IF(OR(B75="",I$2=I75),0,VLOOKUP(A75,Journal!$B$7:M$84,8)))</f>
        <v>0</v>
      </c>
      <c r="K75" s="102">
        <f>IF(B75="Total",SUM(K$8:K74)+0.0001,IF(OR(B75="",J75&lt;&gt;0),0,VLOOKUP(A75,Journal!$B$7:M$84,8)))</f>
        <v>0</v>
      </c>
      <c r="L75" s="87">
        <f t="shared" si="7"/>
        <v>0</v>
      </c>
      <c r="M75" s="103"/>
      <c r="P75">
        <f t="shared" si="10"/>
        <v>1.0000000000000001E-5</v>
      </c>
      <c r="R75" s="15">
        <f t="shared" si="11"/>
        <v>68</v>
      </c>
      <c r="S75" s="126">
        <f>IF(VLOOKUP(A75,Journal!$A$7:$E$70,5)=0,S74+1,VLOOKUP(A75,Journal!$A$7:$E$70,5))</f>
        <v>45725</v>
      </c>
      <c r="T75" s="125">
        <f>IF(H$2=VLOOKUP(A75,Journal!$A$7:$F$70,6),VLOOKUP(A75,Journal!$A$7:M$70,9),0)</f>
        <v>0</v>
      </c>
      <c r="U75" s="125">
        <f>IF(H$2=VLOOKUP(A75,Journal!$A$7:$G$70,7),VLOOKUP(A75,Journal!$A$7:M$70,9),0)</f>
        <v>0</v>
      </c>
      <c r="V75" s="125">
        <f t="shared" si="12"/>
        <v>40</v>
      </c>
      <c r="X75">
        <f t="shared" si="9"/>
        <v>0</v>
      </c>
      <c r="Y75" s="143">
        <f t="shared" si="8"/>
        <v>-998.28947368421325</v>
      </c>
    </row>
    <row r="76" spans="1:25" x14ac:dyDescent="0.25">
      <c r="A76">
        <f t="shared" si="13"/>
        <v>69</v>
      </c>
      <c r="B76" s="88" t="str">
        <f>IF(OR(B75="Total",B75=""),"",IF(VLOOKUP(A76,Journal!$B$7:$E$84,4)=0,"Total",VLOOKUP(A76,Journal!$B$7:$D$84,3)))</f>
        <v/>
      </c>
      <c r="C76" s="86" t="str">
        <f>IF(B76="","",VLOOKUP(A76,Journal!$B$7:$E$84,4))</f>
        <v/>
      </c>
      <c r="D76" s="114" t="str">
        <f>IF(B76="","",VLOOKUP(A76,Journal!$B$7:$J$84,9))</f>
        <v/>
      </c>
      <c r="E76" s="116"/>
      <c r="F76" s="116"/>
      <c r="G76" s="115"/>
      <c r="H76" s="84" t="str">
        <f>IF(B76="","",VLOOKUP(A76,Journal!$B$7:$L$84,11))</f>
        <v/>
      </c>
      <c r="I76" s="84" t="str">
        <f>IF(B76="","",VLOOKUP(A76,Journal!$B$7:$M$84,12))</f>
        <v/>
      </c>
      <c r="J76" s="105">
        <f>IF(B76="Total",SUM(J$8:J75)+0.0001,IF(OR(B76="",I$2=I76),0,VLOOKUP(A76,Journal!$B$7:M$84,8)))</f>
        <v>0</v>
      </c>
      <c r="K76" s="102">
        <f>IF(B76="Total",SUM(K$8:K75)+0.0001,IF(OR(B76="",J76&lt;&gt;0),0,VLOOKUP(A76,Journal!$B$7:M$84,8)))</f>
        <v>0</v>
      </c>
      <c r="L76" s="87">
        <f t="shared" si="7"/>
        <v>0</v>
      </c>
      <c r="M76" s="103"/>
      <c r="P76">
        <f t="shared" si="10"/>
        <v>1.0000000000000001E-5</v>
      </c>
      <c r="R76" s="15">
        <f t="shared" si="11"/>
        <v>69</v>
      </c>
      <c r="S76" s="126">
        <f>IF(VLOOKUP(A76,Journal!$A$7:$E$70,5)=0,S75+1,VLOOKUP(A76,Journal!$A$7:$E$70,5))</f>
        <v>45726</v>
      </c>
      <c r="T76" s="125">
        <f>IF(H$2=VLOOKUP(A76,Journal!$A$7:$F$70,6),VLOOKUP(A76,Journal!$A$7:M$70,9),0)</f>
        <v>0</v>
      </c>
      <c r="U76" s="125">
        <f>IF(H$2=VLOOKUP(A76,Journal!$A$7:$G$70,7),VLOOKUP(A76,Journal!$A$7:M$70,9),0)</f>
        <v>0</v>
      </c>
      <c r="V76" s="125">
        <f t="shared" si="12"/>
        <v>40</v>
      </c>
      <c r="X76">
        <f t="shared" si="9"/>
        <v>0</v>
      </c>
      <c r="Y76" s="143">
        <f t="shared" si="8"/>
        <v>-998.26315789473961</v>
      </c>
    </row>
    <row r="77" spans="1:25" x14ac:dyDescent="0.25">
      <c r="A77">
        <f t="shared" si="13"/>
        <v>70</v>
      </c>
      <c r="B77" s="88" t="str">
        <f>IF(OR(B76="Total",B76=""),"",IF(VLOOKUP(A77,Journal!$B$7:$E$84,4)=0,"Total",VLOOKUP(A77,Journal!$B$7:$D$84,3)))</f>
        <v/>
      </c>
      <c r="C77" s="86" t="str">
        <f>IF(B77="","",VLOOKUP(A77,Journal!$B$7:$E$84,4))</f>
        <v/>
      </c>
      <c r="D77" s="114" t="str">
        <f>IF(B77="","",VLOOKUP(A77,Journal!$B$7:$J$84,9))</f>
        <v/>
      </c>
      <c r="E77" s="116"/>
      <c r="F77" s="116"/>
      <c r="G77" s="115"/>
      <c r="H77" s="84" t="str">
        <f>IF(B77="","",VLOOKUP(A77,Journal!$B$7:$L$84,11))</f>
        <v/>
      </c>
      <c r="I77" s="84" t="str">
        <f>IF(B77="","",VLOOKUP(A77,Journal!$B$7:$M$84,12))</f>
        <v/>
      </c>
      <c r="J77" s="105">
        <f>IF(B77="Total",SUM(J$8:J76)+0.0001,IF(OR(B77="",I$2=I77),0,VLOOKUP(A77,Journal!$B$7:M$84,8)))</f>
        <v>0</v>
      </c>
      <c r="K77" s="102">
        <f>IF(B77="Total",SUM(K$8:K76)+0.0001,IF(OR(B77="",J77&lt;&gt;0),0,VLOOKUP(A77,Journal!$B$7:M$84,8)))</f>
        <v>0</v>
      </c>
      <c r="L77" s="87">
        <f t="shared" si="7"/>
        <v>0</v>
      </c>
      <c r="M77" s="103"/>
      <c r="P77">
        <f t="shared" si="10"/>
        <v>1.0000000000000001E-5</v>
      </c>
      <c r="R77" s="15">
        <f t="shared" si="11"/>
        <v>70</v>
      </c>
      <c r="S77" s="126">
        <f>IF(VLOOKUP(A77,Journal!$A$7:$E$70,5)=0,S76+1,VLOOKUP(A77,Journal!$A$7:$E$70,5))</f>
        <v>45727</v>
      </c>
      <c r="T77" s="125">
        <f>IF(H$2=VLOOKUP(A77,Journal!$A$7:$F$70,6),VLOOKUP(A77,Journal!$A$7:M$70,9),0)</f>
        <v>0</v>
      </c>
      <c r="U77" s="125">
        <f>IF(H$2=VLOOKUP(A77,Journal!$A$7:$G$70,7),VLOOKUP(A77,Journal!$A$7:M$70,9),0)</f>
        <v>0</v>
      </c>
      <c r="V77" s="125">
        <f t="shared" si="12"/>
        <v>40</v>
      </c>
      <c r="X77">
        <f t="shared" si="9"/>
        <v>0</v>
      </c>
      <c r="Y77" s="143">
        <f t="shared" si="8"/>
        <v>-998.23684210526596</v>
      </c>
    </row>
    <row r="78" spans="1:25" x14ac:dyDescent="0.25">
      <c r="A78">
        <f t="shared" si="13"/>
        <v>71</v>
      </c>
      <c r="B78" s="88" t="str">
        <f>IF(OR(B77="Total",B77=""),"",IF(VLOOKUP(A78,Journal!$B$7:$E$84,4)=0,"Total",VLOOKUP(A78,Journal!$B$7:$D$84,3)))</f>
        <v/>
      </c>
      <c r="C78" s="86" t="str">
        <f>IF(B78="","",VLOOKUP(A78,Journal!$B$7:$E$84,4))</f>
        <v/>
      </c>
      <c r="D78" s="114" t="str">
        <f>IF(B78="","",VLOOKUP(A78,Journal!$B$7:$J$84,9))</f>
        <v/>
      </c>
      <c r="E78" s="116"/>
      <c r="F78" s="116"/>
      <c r="G78" s="115"/>
      <c r="H78" s="84" t="str">
        <f>IF(B78="","",VLOOKUP(A78,Journal!$B$7:$L$84,11))</f>
        <v/>
      </c>
      <c r="I78" s="84" t="str">
        <f>IF(B78="","",VLOOKUP(A78,Journal!$B$7:$M$84,12))</f>
        <v/>
      </c>
      <c r="J78" s="105">
        <f>IF(B78="Total",SUM(J$8:J77)+0.0001,IF(OR(B78="",I$2=I78),0,VLOOKUP(A78,Journal!$B$7:M$84,8)))</f>
        <v>0</v>
      </c>
      <c r="K78" s="102">
        <f>IF(B78="Total",SUM(K$8:K77)+0.0001,IF(OR(B78="",J78&lt;&gt;0),0,VLOOKUP(A78,Journal!$B$7:M$84,8)))</f>
        <v>0</v>
      </c>
      <c r="L78" s="87">
        <f t="shared" si="7"/>
        <v>0</v>
      </c>
      <c r="M78" s="103"/>
      <c r="P78">
        <f t="shared" si="10"/>
        <v>1.0000000000000001E-5</v>
      </c>
      <c r="R78" s="15">
        <f t="shared" si="11"/>
        <v>71</v>
      </c>
      <c r="S78" s="126">
        <f>IF(VLOOKUP(A78,Journal!$A$7:$E$70,5)=0,S77+1,VLOOKUP(A78,Journal!$A$7:$E$70,5))</f>
        <v>45728</v>
      </c>
      <c r="T78" s="125">
        <f>IF(H$2=VLOOKUP(A78,Journal!$A$7:$F$70,6),VLOOKUP(A78,Journal!$A$7:M$70,9),0)</f>
        <v>0</v>
      </c>
      <c r="U78" s="125">
        <f>IF(H$2=VLOOKUP(A78,Journal!$A$7:$G$70,7),VLOOKUP(A78,Journal!$A$7:M$70,9),0)</f>
        <v>0</v>
      </c>
      <c r="V78" s="125">
        <f t="shared" si="12"/>
        <v>40</v>
      </c>
      <c r="X78">
        <f t="shared" si="9"/>
        <v>0</v>
      </c>
      <c r="Y78" s="143">
        <f t="shared" si="8"/>
        <v>-998.21052631579232</v>
      </c>
    </row>
    <row r="79" spans="1:25" x14ac:dyDescent="0.25">
      <c r="A79">
        <f t="shared" si="13"/>
        <v>72</v>
      </c>
      <c r="B79" s="88" t="str">
        <f>IF(OR(B78="Total",B78=""),"",IF(VLOOKUP(A79,Journal!$B$7:$E$84,4)=0,"Total",VLOOKUP(A79,Journal!$B$7:$D$84,3)))</f>
        <v/>
      </c>
      <c r="C79" s="86" t="str">
        <f>IF(B79="","",VLOOKUP(A79,Journal!$B$7:$E$84,4))</f>
        <v/>
      </c>
      <c r="D79" s="114" t="str">
        <f>IF(B79="","",VLOOKUP(A79,Journal!$B$7:$J$84,9))</f>
        <v/>
      </c>
      <c r="E79" s="116"/>
      <c r="F79" s="116"/>
      <c r="G79" s="115"/>
      <c r="H79" s="84" t="str">
        <f>IF(B79="","",VLOOKUP(A79,Journal!$B$7:$L$84,11))</f>
        <v/>
      </c>
      <c r="I79" s="84" t="str">
        <f>IF(B79="","",VLOOKUP(A79,Journal!$B$7:$M$84,12))</f>
        <v/>
      </c>
      <c r="J79" s="105">
        <f>IF(B79="Total",SUM(J$8:J78)+0.0001,IF(OR(B79="",I$2=I79),0,VLOOKUP(A79,Journal!$B$7:M$84,8)))</f>
        <v>0</v>
      </c>
      <c r="K79" s="102">
        <f>IF(B79="Total",SUM(K$8:K78)+0.0001,IF(OR(B79="",J79&lt;&gt;0),0,VLOOKUP(A79,Journal!$B$7:M$84,8)))</f>
        <v>0</v>
      </c>
      <c r="L79" s="87">
        <f t="shared" si="7"/>
        <v>0</v>
      </c>
      <c r="M79" s="103"/>
      <c r="P79">
        <f t="shared" si="10"/>
        <v>1.0000000000000001E-5</v>
      </c>
      <c r="R79" s="15">
        <f t="shared" si="11"/>
        <v>72</v>
      </c>
      <c r="S79" s="126">
        <f>IF(VLOOKUP(A79,Journal!$A$7:$E$70,5)=0,S78+1,VLOOKUP(A79,Journal!$A$7:$E$70,5))</f>
        <v>45729</v>
      </c>
      <c r="T79" s="125">
        <f>IF(H$2=VLOOKUP(A79,Journal!$A$7:$F$70,6),VLOOKUP(A79,Journal!$A$7:M$70,9),0)</f>
        <v>0</v>
      </c>
      <c r="U79" s="125">
        <f>IF(H$2=VLOOKUP(A79,Journal!$A$7:$G$70,7),VLOOKUP(A79,Journal!$A$7:M$70,9),0)</f>
        <v>0</v>
      </c>
      <c r="V79" s="125">
        <f t="shared" si="12"/>
        <v>40</v>
      </c>
      <c r="X79">
        <f t="shared" si="9"/>
        <v>0</v>
      </c>
      <c r="Y79" s="143">
        <f t="shared" si="8"/>
        <v>-998.18421052631868</v>
      </c>
    </row>
    <row r="80" spans="1:25" x14ac:dyDescent="0.25">
      <c r="A80">
        <f t="shared" si="13"/>
        <v>73</v>
      </c>
      <c r="B80" s="88" t="str">
        <f>IF(OR(B79="Total",B79=""),"",IF(VLOOKUP(A80,Journal!$B$7:$E$84,4)=0,"Total",VLOOKUP(A80,Journal!$B$7:$D$84,3)))</f>
        <v/>
      </c>
      <c r="C80" s="86" t="str">
        <f>IF(B80="","",VLOOKUP(A80,Journal!$B$7:$E$84,4))</f>
        <v/>
      </c>
      <c r="D80" s="114" t="str">
        <f>IF(B80="","",VLOOKUP(A80,Journal!$B$7:$J$84,9))</f>
        <v/>
      </c>
      <c r="E80" s="116"/>
      <c r="F80" s="116"/>
      <c r="G80" s="115"/>
      <c r="H80" s="84" t="str">
        <f>IF(B80="","",VLOOKUP(A80,Journal!$B$7:$L$84,11))</f>
        <v/>
      </c>
      <c r="I80" s="84" t="str">
        <f>IF(B80="","",VLOOKUP(A80,Journal!$B$7:$M$84,12))</f>
        <v/>
      </c>
      <c r="J80" s="105">
        <f>IF(B80="Total",SUM(J$8:J79)+0.0001,IF(OR(B80="",I$2=I80),0,VLOOKUP(A80,Journal!$B$7:M$84,8)))</f>
        <v>0</v>
      </c>
      <c r="K80" s="102">
        <f>IF(B80="Total",SUM(K$8:K79)+0.0001,IF(OR(B80="",J80&lt;&gt;0),0,VLOOKUP(A80,Journal!$B$7:M$84,8)))</f>
        <v>0</v>
      </c>
      <c r="L80" s="87">
        <f t="shared" si="7"/>
        <v>0</v>
      </c>
      <c r="M80" s="103"/>
      <c r="P80">
        <f t="shared" si="10"/>
        <v>1.0000000000000001E-5</v>
      </c>
      <c r="R80" s="15">
        <f t="shared" si="11"/>
        <v>73</v>
      </c>
      <c r="S80" s="126">
        <f>IF(VLOOKUP(A80,Journal!$A$7:$E$70,5)=0,S79+1,VLOOKUP(A80,Journal!$A$7:$E$70,5))</f>
        <v>45730</v>
      </c>
      <c r="T80" s="125">
        <f>IF(H$2=VLOOKUP(A80,Journal!$A$7:$F$70,6),VLOOKUP(A80,Journal!$A$7:M$70,9),0)</f>
        <v>0</v>
      </c>
      <c r="U80" s="125">
        <f>IF(H$2=VLOOKUP(A80,Journal!$A$7:$G$70,7),VLOOKUP(A80,Journal!$A$7:M$70,9),0)</f>
        <v>0</v>
      </c>
      <c r="V80" s="125">
        <f t="shared" si="12"/>
        <v>40</v>
      </c>
      <c r="X80">
        <f t="shared" si="9"/>
        <v>0</v>
      </c>
      <c r="Y80" s="143">
        <f t="shared" si="8"/>
        <v>-998.15789473684504</v>
      </c>
    </row>
    <row r="81" spans="1:25" x14ac:dyDescent="0.25">
      <c r="A81">
        <f t="shared" si="13"/>
        <v>74</v>
      </c>
      <c r="B81" s="88" t="str">
        <f>IF(OR(B80="Total",B80=""),"",IF(VLOOKUP(A81,Journal!$B$7:$E$84,4)=0,"Total",VLOOKUP(A81,Journal!$B$7:$D$84,3)))</f>
        <v/>
      </c>
      <c r="C81" s="86" t="str">
        <f>IF(B81="","",VLOOKUP(A81,Journal!$B$7:$E$84,4))</f>
        <v/>
      </c>
      <c r="D81" s="114" t="str">
        <f>IF(B81="","",VLOOKUP(A81,Journal!$B$7:$J$84,9))</f>
        <v/>
      </c>
      <c r="E81" s="116"/>
      <c r="F81" s="116"/>
      <c r="G81" s="115"/>
      <c r="H81" s="84" t="str">
        <f>IF(B81="","",VLOOKUP(A81,Journal!$B$7:$L$84,11))</f>
        <v/>
      </c>
      <c r="I81" s="84" t="str">
        <f>IF(B81="","",VLOOKUP(A81,Journal!$B$7:$M$84,12))</f>
        <v/>
      </c>
      <c r="J81" s="105">
        <f>IF(B81="Total",SUM(J$8:J80)+0.0001,IF(OR(B81="",I$2=I81),0,VLOOKUP(A81,Journal!$B$7:M$84,8)))</f>
        <v>0</v>
      </c>
      <c r="K81" s="102">
        <f>IF(B81="Total",SUM(K$8:K80)+0.0001,IF(OR(B81="",J81&lt;&gt;0),0,VLOOKUP(A81,Journal!$B$7:M$84,8)))</f>
        <v>0</v>
      </c>
      <c r="L81" s="87">
        <f t="shared" si="7"/>
        <v>0</v>
      </c>
      <c r="M81" s="103"/>
      <c r="P81">
        <f t="shared" si="10"/>
        <v>1.0000000000000001E-5</v>
      </c>
      <c r="R81" s="15">
        <f t="shared" si="11"/>
        <v>74</v>
      </c>
      <c r="S81" s="126">
        <f>IF(VLOOKUP(A81,Journal!$A$7:$E$70,5)=0,S80+1,VLOOKUP(A81,Journal!$A$7:$E$70,5))</f>
        <v>45731</v>
      </c>
      <c r="T81" s="125">
        <f>IF(H$2=VLOOKUP(A81,Journal!$A$7:$F$70,6),VLOOKUP(A81,Journal!$A$7:M$70,9),0)</f>
        <v>0</v>
      </c>
      <c r="U81" s="125">
        <f>IF(H$2=VLOOKUP(A81,Journal!$A$7:$G$70,7),VLOOKUP(A81,Journal!$A$7:M$70,9),0)</f>
        <v>0</v>
      </c>
      <c r="V81" s="125">
        <f t="shared" si="12"/>
        <v>40</v>
      </c>
      <c r="X81">
        <f t="shared" si="9"/>
        <v>0</v>
      </c>
      <c r="Y81" s="143">
        <f t="shared" si="8"/>
        <v>-998.13157894737139</v>
      </c>
    </row>
    <row r="82" spans="1:25" x14ac:dyDescent="0.25">
      <c r="A82">
        <f t="shared" si="13"/>
        <v>75</v>
      </c>
      <c r="B82" s="88" t="str">
        <f>IF(OR(B81="Total",B81=""),"",IF(VLOOKUP(A82,Journal!$B$7:$E$84,4)=0,"Total",VLOOKUP(A82,Journal!$B$7:$D$84,3)))</f>
        <v/>
      </c>
      <c r="C82" s="86" t="str">
        <f>IF(B82="","",VLOOKUP(A82,Journal!$B$7:$E$84,4))</f>
        <v/>
      </c>
      <c r="D82" s="114" t="str">
        <f>IF(B82="","",VLOOKUP(A82,Journal!$B$7:$J$84,9))</f>
        <v/>
      </c>
      <c r="E82" s="116"/>
      <c r="F82" s="116"/>
      <c r="G82" s="115"/>
      <c r="H82" s="84" t="str">
        <f>IF(B82="","",VLOOKUP(A82,Journal!$B$7:$L$84,11))</f>
        <v/>
      </c>
      <c r="I82" s="84" t="str">
        <f>IF(B82="","",VLOOKUP(A82,Journal!$B$7:$M$84,12))</f>
        <v/>
      </c>
      <c r="J82" s="105">
        <f>IF(B82="Total",SUM(J$8:J81)+0.0001,IF(OR(B82="",I$2=I82),0,VLOOKUP(A82,Journal!$B$7:M$84,8)))</f>
        <v>0</v>
      </c>
      <c r="K82" s="102">
        <f>IF(B82="Total",SUM(K$8:K81)+0.0001,IF(OR(B82="",J82&lt;&gt;0),0,VLOOKUP(A82,Journal!$B$7:M$84,8)))</f>
        <v>0</v>
      </c>
      <c r="L82" s="87">
        <f t="shared" si="7"/>
        <v>0</v>
      </c>
      <c r="M82" s="103"/>
      <c r="P82">
        <f t="shared" si="10"/>
        <v>1.0000000000000001E-5</v>
      </c>
      <c r="R82" s="15">
        <f t="shared" si="11"/>
        <v>75</v>
      </c>
      <c r="S82" s="126">
        <f>IF(VLOOKUP(A82,Journal!$A$7:$E$70,5)=0,S81+1,VLOOKUP(A82,Journal!$A$7:$E$70,5))</f>
        <v>45732</v>
      </c>
      <c r="T82" s="125">
        <f>IF(H$2=VLOOKUP(A82,Journal!$A$7:$F$70,6),VLOOKUP(A82,Journal!$A$7:M$70,9),0)</f>
        <v>0</v>
      </c>
      <c r="U82" s="125">
        <f>IF(H$2=VLOOKUP(A82,Journal!$A$7:$G$70,7),VLOOKUP(A82,Journal!$A$7:M$70,9),0)</f>
        <v>0</v>
      </c>
      <c r="V82" s="125">
        <f t="shared" si="12"/>
        <v>40</v>
      </c>
      <c r="X82">
        <f t="shared" si="9"/>
        <v>0</v>
      </c>
      <c r="Y82" s="143">
        <f t="shared" si="8"/>
        <v>-998.10526315789775</v>
      </c>
    </row>
    <row r="83" spans="1:25" x14ac:dyDescent="0.25">
      <c r="A83">
        <f t="shared" si="13"/>
        <v>76</v>
      </c>
      <c r="B83" s="88" t="str">
        <f>IF(OR(B82="Total",B82=""),"",IF(VLOOKUP(A83,Journal!$B$7:$E$84,4)=0,"Total",VLOOKUP(A83,Journal!$B$7:$D$84,3)))</f>
        <v/>
      </c>
      <c r="C83" s="86" t="str">
        <f>IF(B83="","",VLOOKUP(A83,Journal!$B$7:$E$84,4))</f>
        <v/>
      </c>
      <c r="D83" s="114" t="str">
        <f>IF(B83="","",VLOOKUP(A83,Journal!$B$7:$J$84,9))</f>
        <v/>
      </c>
      <c r="E83" s="116"/>
      <c r="F83" s="116"/>
      <c r="G83" s="115"/>
      <c r="H83" s="84" t="str">
        <f>IF(B83="","",VLOOKUP(A83,Journal!$B$7:$L$84,11))</f>
        <v/>
      </c>
      <c r="I83" s="84" t="str">
        <f>IF(B83="","",VLOOKUP(A83,Journal!$B$7:$M$84,12))</f>
        <v/>
      </c>
      <c r="J83" s="105">
        <f>IF(B83="Total",SUM(J$8:J82)+0.0001,IF(OR(B83="",I$2=I83),0,VLOOKUP(A83,Journal!$B$7:M$84,8)))</f>
        <v>0</v>
      </c>
      <c r="K83" s="102">
        <f>IF(B83="Total",SUM(K$8:K82)+0.0001,IF(OR(B83="",J83&lt;&gt;0),0,VLOOKUP(A83,Journal!$B$7:M$84,8)))</f>
        <v>0</v>
      </c>
      <c r="L83" s="87">
        <f t="shared" si="7"/>
        <v>0</v>
      </c>
      <c r="M83" s="103"/>
      <c r="P83">
        <f t="shared" si="10"/>
        <v>1.0000000000000001E-5</v>
      </c>
      <c r="R83" s="15">
        <f t="shared" si="11"/>
        <v>76</v>
      </c>
      <c r="S83" s="126">
        <f>IF(VLOOKUP(A83,Journal!$A$7:$E$70,5)=0,S82+1,VLOOKUP(A83,Journal!$A$7:$E$70,5))</f>
        <v>45733</v>
      </c>
      <c r="T83" s="125">
        <f>IF(H$2=VLOOKUP(A83,Journal!$A$7:$F$70,6),VLOOKUP(A83,Journal!$A$7:M$70,9),0)</f>
        <v>0</v>
      </c>
      <c r="U83" s="125">
        <f>IF(H$2=VLOOKUP(A83,Journal!$A$7:$G$70,7),VLOOKUP(A83,Journal!$A$7:M$70,9),0)</f>
        <v>0</v>
      </c>
      <c r="V83" s="125">
        <f t="shared" si="12"/>
        <v>40</v>
      </c>
      <c r="X83">
        <f t="shared" si="9"/>
        <v>0</v>
      </c>
      <c r="Y83" s="143">
        <f t="shared" si="8"/>
        <v>-998.07894736842411</v>
      </c>
    </row>
    <row r="84" spans="1:25" x14ac:dyDescent="0.25">
      <c r="A84">
        <f t="shared" si="13"/>
        <v>77</v>
      </c>
      <c r="B84" s="88" t="str">
        <f>IF(OR(B83="Total",B83=""),"",IF(VLOOKUP(A84,Journal!$B$7:$E$84,4)=0,"Total",VLOOKUP(A84,Journal!$B$7:$D$84,3)))</f>
        <v/>
      </c>
      <c r="C84" s="86" t="str">
        <f>IF(B84="","",VLOOKUP(A84,Journal!$B$7:$E$84,4))</f>
        <v/>
      </c>
      <c r="D84" s="114" t="str">
        <f>IF(B84="","",VLOOKUP(A84,Journal!$B$7:$J$84,9))</f>
        <v/>
      </c>
      <c r="E84" s="116"/>
      <c r="F84" s="116"/>
      <c r="G84" s="115"/>
      <c r="H84" s="84" t="str">
        <f>IF(B84="","",VLOOKUP(A84,Journal!$B$7:$L$84,11))</f>
        <v/>
      </c>
      <c r="I84" s="84" t="str">
        <f>IF(B84="","",VLOOKUP(A84,Journal!$B$7:$M$84,12))</f>
        <v/>
      </c>
      <c r="J84" s="105">
        <f>IF(B84="Total",SUM(J$8:J83)+0.0001,IF(OR(B84="",I$2=I84),0,VLOOKUP(A84,Journal!$B$7:M$84,8)))</f>
        <v>0</v>
      </c>
      <c r="K84" s="102">
        <f>IF(B84="Total",SUM(K$8:K83)+0.0001,IF(OR(B84="",J84&lt;&gt;0),0,VLOOKUP(A84,Journal!$B$7:M$84,8)))</f>
        <v>0</v>
      </c>
      <c r="L84" s="87">
        <f t="shared" si="7"/>
        <v>0</v>
      </c>
      <c r="M84" s="103"/>
      <c r="P84">
        <f t="shared" si="10"/>
        <v>1.0000000000000001E-5</v>
      </c>
      <c r="R84" s="15">
        <f t="shared" si="11"/>
        <v>77</v>
      </c>
      <c r="S84" s="126">
        <f>IF(VLOOKUP(A84,Journal!$A$7:$E$70,5)=0,S83+1,VLOOKUP(A84,Journal!$A$7:$E$70,5))</f>
        <v>45734</v>
      </c>
      <c r="T84" s="125">
        <f>IF(H$2=VLOOKUP(A84,Journal!$A$7:$F$70,6),VLOOKUP(A84,Journal!$A$7:M$70,9),0)</f>
        <v>0</v>
      </c>
      <c r="U84" s="125">
        <f>IF(H$2=VLOOKUP(A84,Journal!$A$7:$G$70,7),VLOOKUP(A84,Journal!$A$7:M$70,9),0)</f>
        <v>0</v>
      </c>
      <c r="V84" s="125">
        <f t="shared" si="12"/>
        <v>40</v>
      </c>
      <c r="X84">
        <f t="shared" si="9"/>
        <v>0</v>
      </c>
      <c r="Y84" s="143">
        <f t="shared" si="8"/>
        <v>-998.05263157895047</v>
      </c>
    </row>
    <row r="85" spans="1:25" x14ac:dyDescent="0.25">
      <c r="A85">
        <f t="shared" si="13"/>
        <v>78</v>
      </c>
      <c r="B85" s="88" t="str">
        <f>IF(OR(B84="Total",B84=""),"",IF(VLOOKUP(A85,Journal!$B$7:$E$84,4)=0,"Total",VLOOKUP(A85,Journal!$B$7:$D$84,3)))</f>
        <v/>
      </c>
      <c r="C85" s="86" t="str">
        <f>IF(B85="","",VLOOKUP(A85,Journal!$B$7:$E$84,4))</f>
        <v/>
      </c>
      <c r="D85" s="114" t="str">
        <f>IF(B85="","",VLOOKUP(A85,Journal!$B$7:$J$84,9))</f>
        <v/>
      </c>
      <c r="E85" s="116"/>
      <c r="F85" s="116"/>
      <c r="G85" s="115"/>
      <c r="H85" s="84" t="str">
        <f>IF(B85="","",VLOOKUP(A85,Journal!$B$7:$L$84,11))</f>
        <v/>
      </c>
      <c r="I85" s="84" t="str">
        <f>IF(B85="","",VLOOKUP(A85,Journal!$B$7:$M$84,12))</f>
        <v/>
      </c>
      <c r="J85" s="105">
        <f>IF(B85="Total",SUM(J$8:J84)+0.0001,IF(OR(B85="",I$2=I85),0,VLOOKUP(A85,Journal!$B$7:M$84,8)))</f>
        <v>0</v>
      </c>
      <c r="K85" s="102">
        <f>IF(B85="Total",SUM(K$8:K84)+0.0001,IF(OR(B85="",J85&lt;&gt;0),0,VLOOKUP(A85,Journal!$B$7:M$84,8)))</f>
        <v>0</v>
      </c>
      <c r="L85" s="87">
        <f t="shared" si="7"/>
        <v>0</v>
      </c>
      <c r="M85" s="103"/>
      <c r="P85">
        <f t="shared" si="10"/>
        <v>1.0000000000000001E-5</v>
      </c>
      <c r="R85" s="15">
        <f t="shared" si="11"/>
        <v>78</v>
      </c>
      <c r="S85" s="126">
        <f>IF(VLOOKUP(A85,Journal!$A$7:$E$70,5)=0,S84+1,VLOOKUP(A85,Journal!$A$7:$E$70,5))</f>
        <v>45735</v>
      </c>
      <c r="T85" s="125">
        <f>IF(H$2=VLOOKUP(A85,Journal!$A$7:$F$70,6),VLOOKUP(A85,Journal!$A$7:M$70,9),0)</f>
        <v>0</v>
      </c>
      <c r="U85" s="125">
        <f>IF(H$2=VLOOKUP(A85,Journal!$A$7:$G$70,7),VLOOKUP(A85,Journal!$A$7:M$70,9),0)</f>
        <v>0</v>
      </c>
      <c r="V85" s="125">
        <f t="shared" si="12"/>
        <v>40</v>
      </c>
      <c r="X85">
        <f t="shared" si="9"/>
        <v>0</v>
      </c>
      <c r="Y85" s="143">
        <f t="shared" si="8"/>
        <v>-998.02631578947683</v>
      </c>
    </row>
    <row r="86" spans="1:25" x14ac:dyDescent="0.25">
      <c r="A86">
        <f t="shared" si="13"/>
        <v>79</v>
      </c>
      <c r="B86" s="88" t="str">
        <f>IF(OR(B85="Total",B85=""),"",IF(VLOOKUP(A86,Journal!$B$7:$E$84,4)=0,"Total",VLOOKUP(A86,Journal!$B$7:$D$84,3)))</f>
        <v/>
      </c>
      <c r="C86" s="86" t="str">
        <f>IF(B86="","",VLOOKUP(A86,Journal!$B$7:$E$84,4))</f>
        <v/>
      </c>
      <c r="D86" s="114" t="str">
        <f>IF(B86="","",VLOOKUP(A86,Journal!$B$7:$J$84,9))</f>
        <v/>
      </c>
      <c r="E86" s="116"/>
      <c r="F86" s="116"/>
      <c r="G86" s="115"/>
      <c r="H86" s="84" t="str">
        <f>IF(B86="","",VLOOKUP(A86,Journal!$B$7:$L$84,11))</f>
        <v/>
      </c>
      <c r="I86" s="84" t="str">
        <f>IF(B86="","",VLOOKUP(A86,Journal!$B$7:$M$84,12))</f>
        <v/>
      </c>
      <c r="J86" s="105">
        <f>IF(B86="Total",SUM(J$8:J85)+0.0001,IF(OR(B86="",I$2=I86),0,VLOOKUP(A86,Journal!$B$7:M$84,8)))</f>
        <v>0</v>
      </c>
      <c r="K86" s="102">
        <f>IF(B86="Total",SUM(K$8:K85)+0.0001,IF(OR(B86="",J86&lt;&gt;0),0,VLOOKUP(A86,Journal!$B$7:M$84,8)))</f>
        <v>0</v>
      </c>
      <c r="L86" s="87">
        <f t="shared" si="7"/>
        <v>0</v>
      </c>
      <c r="M86" s="103"/>
      <c r="P86">
        <f t="shared" si="10"/>
        <v>1.0000000000000001E-5</v>
      </c>
      <c r="R86" s="15">
        <f t="shared" si="11"/>
        <v>79</v>
      </c>
      <c r="S86" s="126">
        <f>IF(VLOOKUP(A86,Journal!$A$7:$E$70,5)=0,S85+1,VLOOKUP(A86,Journal!$A$7:$E$70,5))</f>
        <v>45736</v>
      </c>
      <c r="T86" s="125">
        <f>IF(H$2=VLOOKUP(A86,Journal!$A$7:$F$70,6),VLOOKUP(A86,Journal!$A$7:M$70,9),0)</f>
        <v>0</v>
      </c>
      <c r="U86" s="125">
        <f>IF(H$2=VLOOKUP(A86,Journal!$A$7:$G$70,7),VLOOKUP(A86,Journal!$A$7:M$70,9),0)</f>
        <v>0</v>
      </c>
      <c r="V86" s="125">
        <f t="shared" si="12"/>
        <v>40</v>
      </c>
      <c r="X86">
        <f t="shared" si="9"/>
        <v>0</v>
      </c>
      <c r="Y86" s="143">
        <f t="shared" si="8"/>
        <v>-998.00000000000318</v>
      </c>
    </row>
    <row r="87" spans="1:25" x14ac:dyDescent="0.25">
      <c r="A87">
        <f t="shared" si="13"/>
        <v>80</v>
      </c>
      <c r="B87" s="88" t="str">
        <f>IF(OR(B86="Total",B86=""),"",IF(VLOOKUP(A87,Journal!$B$7:$E$84,4)=0,"Total",VLOOKUP(A87,Journal!$B$7:$D$84,3)))</f>
        <v/>
      </c>
      <c r="C87" s="86" t="str">
        <f>IF(B87="","",VLOOKUP(A87,Journal!$B$7:$E$84,4))</f>
        <v/>
      </c>
      <c r="D87" s="114" t="str">
        <f>IF(B87="","",VLOOKUP(A87,Journal!$B$7:$J$84,9))</f>
        <v/>
      </c>
      <c r="E87" s="116"/>
      <c r="F87" s="116"/>
      <c r="G87" s="115"/>
      <c r="H87" s="84" t="str">
        <f>IF(B87="","",VLOOKUP(A87,Journal!$B$7:$L$84,11))</f>
        <v/>
      </c>
      <c r="I87" s="84" t="str">
        <f>IF(B87="","",VLOOKUP(A87,Journal!$B$7:$M$84,12))</f>
        <v/>
      </c>
      <c r="J87" s="105">
        <f>IF(B87="Total",SUM(J$8:J86)+0.0001,IF(OR(B87="",I$2=I87),0,VLOOKUP(A87,Journal!$B$7:M$84,8)))</f>
        <v>0</v>
      </c>
      <c r="K87" s="102">
        <f>IF(B87="Total",SUM(K$8:K86)+0.0001,IF(OR(B87="",J87&lt;&gt;0),0,VLOOKUP(A87,Journal!$B$7:M$84,8)))</f>
        <v>0</v>
      </c>
      <c r="L87" s="87">
        <f t="shared" si="7"/>
        <v>0</v>
      </c>
      <c r="M87" s="103"/>
      <c r="P87">
        <f t="shared" si="10"/>
        <v>1.0000000000000001E-5</v>
      </c>
      <c r="R87" s="15">
        <f t="shared" si="11"/>
        <v>80</v>
      </c>
      <c r="S87" s="126">
        <f>IF(VLOOKUP(A87,Journal!$A$7:$E$70,5)=0,S86+1,VLOOKUP(A87,Journal!$A$7:$E$70,5))</f>
        <v>45737</v>
      </c>
      <c r="T87" s="125">
        <f>IF(H$2=VLOOKUP(A87,Journal!$A$7:$F$70,6),VLOOKUP(A87,Journal!$A$7:M$70,9),0)</f>
        <v>0</v>
      </c>
      <c r="U87" s="125">
        <f>IF(H$2=VLOOKUP(A87,Journal!$A$7:$G$70,7),VLOOKUP(A87,Journal!$A$7:M$70,9),0)</f>
        <v>0</v>
      </c>
      <c r="V87" s="125">
        <f t="shared" si="12"/>
        <v>40</v>
      </c>
      <c r="X87">
        <f t="shared" si="9"/>
        <v>0</v>
      </c>
      <c r="Y87" s="143">
        <f t="shared" si="8"/>
        <v>-997.97368421052954</v>
      </c>
    </row>
    <row r="88" spans="1:25" x14ac:dyDescent="0.25">
      <c r="A88">
        <f t="shared" si="13"/>
        <v>81</v>
      </c>
      <c r="B88" s="88" t="str">
        <f>IF(OR(B87="Total",B87=""),"",IF(VLOOKUP(A88,Journal!$B$7:$E$84,4)=0,"Total",VLOOKUP(A88,Journal!$B$7:$D$84,3)))</f>
        <v/>
      </c>
      <c r="C88" s="86" t="str">
        <f>IF(B88="","",VLOOKUP(A88,Journal!$B$7:$E$84,4))</f>
        <v/>
      </c>
      <c r="D88" s="114" t="str">
        <f>IF(B88="","",VLOOKUP(A88,Journal!$B$7:$J$84,9))</f>
        <v/>
      </c>
      <c r="E88" s="116"/>
      <c r="F88" s="116"/>
      <c r="G88" s="115"/>
      <c r="H88" s="84" t="str">
        <f>IF(B88="","",VLOOKUP(A88,Journal!$B$7:$L$84,11))</f>
        <v/>
      </c>
      <c r="I88" s="84" t="str">
        <f>IF(B88="","",VLOOKUP(A88,Journal!$B$7:$M$84,12))</f>
        <v/>
      </c>
      <c r="J88" s="105">
        <f>IF(B88="Total",SUM(J$8:J87)+0.0001,IF(OR(B88="",I$2=I88),0,VLOOKUP(A88,Journal!$B$7:M$84,8)))</f>
        <v>0</v>
      </c>
      <c r="K88" s="102">
        <f>IF(B88="Total",SUM(K$8:K87)+0.0001,IF(OR(B88="",J88&lt;&gt;0),0,VLOOKUP(A88,Journal!$B$7:M$84,8)))</f>
        <v>0</v>
      </c>
      <c r="L88" s="87">
        <f t="shared" si="7"/>
        <v>0</v>
      </c>
      <c r="M88" s="103"/>
      <c r="P88">
        <f t="shared" si="10"/>
        <v>1.0000000000000001E-5</v>
      </c>
      <c r="R88" s="15">
        <f t="shared" si="11"/>
        <v>81</v>
      </c>
      <c r="S88" s="126">
        <f>IF(VLOOKUP(A88,Journal!$A$7:$E$70,5)=0,S87+1,VLOOKUP(A88,Journal!$A$7:$E$70,5))</f>
        <v>45738</v>
      </c>
      <c r="T88" s="125">
        <f>IF(H$2=VLOOKUP(A88,Journal!$A$7:$F$70,6),VLOOKUP(A88,Journal!$A$7:M$70,9),0)</f>
        <v>0</v>
      </c>
      <c r="U88" s="125">
        <f>IF(H$2=VLOOKUP(A88,Journal!$A$7:$G$70,7),VLOOKUP(A88,Journal!$A$7:M$70,9),0)</f>
        <v>0</v>
      </c>
      <c r="V88" s="125">
        <f t="shared" si="12"/>
        <v>40</v>
      </c>
      <c r="X88">
        <f t="shared" si="9"/>
        <v>0</v>
      </c>
      <c r="Y88" s="143">
        <f t="shared" si="8"/>
        <v>-997.9473684210559</v>
      </c>
    </row>
    <row r="89" spans="1:25" x14ac:dyDescent="0.25">
      <c r="A89">
        <f t="shared" si="13"/>
        <v>82</v>
      </c>
      <c r="B89" s="88" t="str">
        <f>IF(OR(B88="Total",B88=""),"",IF(VLOOKUP(A89,Journal!$B$7:$E$84,4)=0,"Total",VLOOKUP(A89,Journal!$B$7:$D$84,3)))</f>
        <v/>
      </c>
      <c r="C89" s="86" t="str">
        <f>IF(B89="","",VLOOKUP(A89,Journal!$B$7:$E$84,4))</f>
        <v/>
      </c>
      <c r="D89" s="114" t="str">
        <f>IF(B89="","",VLOOKUP(A89,Journal!$B$7:$J$84,9))</f>
        <v/>
      </c>
      <c r="E89" s="116"/>
      <c r="F89" s="116"/>
      <c r="G89" s="115"/>
      <c r="H89" s="84" t="str">
        <f>IF(B89="","",VLOOKUP(A89,Journal!$B$7:$L$84,11))</f>
        <v/>
      </c>
      <c r="I89" s="84" t="str">
        <f>IF(B89="","",VLOOKUP(A89,Journal!$B$7:$M$84,12))</f>
        <v/>
      </c>
      <c r="J89" s="105">
        <f>IF(B89="Total",SUM(J$8:J88)+0.0001,IF(OR(B89="",I$2=I89),0,VLOOKUP(A89,Journal!$B$7:M$84,8)))</f>
        <v>0</v>
      </c>
      <c r="K89" s="102">
        <f>IF(B89="Total",SUM(K$8:K88)+0.0001,IF(OR(B89="",J89&lt;&gt;0),0,VLOOKUP(A89,Journal!$B$7:M$84,8)))</f>
        <v>0</v>
      </c>
      <c r="L89" s="87">
        <f t="shared" si="7"/>
        <v>0</v>
      </c>
      <c r="M89" s="103"/>
      <c r="P89">
        <f t="shared" si="10"/>
        <v>1.0000000000000001E-5</v>
      </c>
      <c r="R89" s="15">
        <f t="shared" si="11"/>
        <v>82</v>
      </c>
      <c r="S89" s="126">
        <f>IF(VLOOKUP(A89,Journal!$A$7:$E$70,5)=0,S88+1,VLOOKUP(A89,Journal!$A$7:$E$70,5))</f>
        <v>45739</v>
      </c>
      <c r="T89" s="125">
        <f>IF(H$2=VLOOKUP(A89,Journal!$A$7:$F$70,6),VLOOKUP(A89,Journal!$A$7:M$70,9),0)</f>
        <v>0</v>
      </c>
      <c r="U89" s="125">
        <f>IF(H$2=VLOOKUP(A89,Journal!$A$7:$G$70,7),VLOOKUP(A89,Journal!$A$7:M$70,9),0)</f>
        <v>0</v>
      </c>
      <c r="V89" s="125">
        <f t="shared" si="12"/>
        <v>40</v>
      </c>
      <c r="X89">
        <f t="shared" si="9"/>
        <v>0</v>
      </c>
      <c r="Y89" s="143">
        <f t="shared" si="8"/>
        <v>-997.92105263158226</v>
      </c>
    </row>
    <row r="90" spans="1:25" x14ac:dyDescent="0.25">
      <c r="A90">
        <f t="shared" si="13"/>
        <v>83</v>
      </c>
      <c r="B90" s="88" t="str">
        <f>IF(OR(B89="Total",B89=""),"",IF(VLOOKUP(A90,Journal!$B$7:$E$84,4)=0,"Total",VLOOKUP(A90,Journal!$B$7:$D$84,3)))</f>
        <v/>
      </c>
      <c r="C90" s="86" t="str">
        <f>IF(B90="","",VLOOKUP(A90,Journal!$B$7:$E$84,4))</f>
        <v/>
      </c>
      <c r="D90" s="114" t="str">
        <f>IF(B90="","",VLOOKUP(A90,Journal!$B$7:$J$84,9))</f>
        <v/>
      </c>
      <c r="E90" s="116"/>
      <c r="F90" s="116"/>
      <c r="G90" s="115"/>
      <c r="H90" s="84" t="str">
        <f>IF(B90="","",VLOOKUP(A90,Journal!$B$7:$L$84,11))</f>
        <v/>
      </c>
      <c r="I90" s="84" t="str">
        <f>IF(B90="","",VLOOKUP(A90,Journal!$B$7:$M$84,12))</f>
        <v/>
      </c>
      <c r="J90" s="105">
        <f>IF(B90="Total",SUM(J$8:J89)+0.0001,IF(OR(B90="",I$2=I90),0,VLOOKUP(A90,Journal!$B$7:M$84,8)))</f>
        <v>0</v>
      </c>
      <c r="K90" s="102">
        <f>IF(B90="Total",SUM(K$8:K89)+0.0001,IF(OR(B90="",J90&lt;&gt;0),0,VLOOKUP(A90,Journal!$B$7:M$84,8)))</f>
        <v>0</v>
      </c>
      <c r="L90" s="87">
        <f t="shared" si="7"/>
        <v>0</v>
      </c>
      <c r="M90" s="103"/>
      <c r="P90">
        <f t="shared" si="10"/>
        <v>1.0000000000000001E-5</v>
      </c>
      <c r="R90" s="15">
        <f t="shared" si="11"/>
        <v>83</v>
      </c>
      <c r="S90" s="126">
        <f>IF(VLOOKUP(A90,Journal!$A$7:$E$70,5)=0,S89+1,VLOOKUP(A90,Journal!$A$7:$E$70,5))</f>
        <v>45740</v>
      </c>
      <c r="T90" s="125">
        <f>IF(H$2=VLOOKUP(A90,Journal!$A$7:$F$70,6),VLOOKUP(A90,Journal!$A$7:M$70,9),0)</f>
        <v>0</v>
      </c>
      <c r="U90" s="125">
        <f>IF(H$2=VLOOKUP(A90,Journal!$A$7:$G$70,7),VLOOKUP(A90,Journal!$A$7:M$70,9),0)</f>
        <v>0</v>
      </c>
      <c r="V90" s="125">
        <f t="shared" si="12"/>
        <v>40</v>
      </c>
      <c r="X90">
        <f t="shared" si="9"/>
        <v>0</v>
      </c>
      <c r="Y90" s="143">
        <f t="shared" si="8"/>
        <v>-997.89473684210861</v>
      </c>
    </row>
    <row r="91" spans="1:25" x14ac:dyDescent="0.25">
      <c r="A91">
        <f t="shared" si="13"/>
        <v>84</v>
      </c>
      <c r="B91" s="88" t="str">
        <f>IF(OR(B90="Total",B90=""),"",IF(VLOOKUP(A91,Journal!$B$7:$E$84,4)=0,"Total",VLOOKUP(A91,Journal!$B$7:$D$84,3)))</f>
        <v/>
      </c>
      <c r="C91" s="86" t="str">
        <f>IF(B91="","",VLOOKUP(A91,Journal!$B$7:$E$84,4))</f>
        <v/>
      </c>
      <c r="D91" s="114" t="str">
        <f>IF(B91="","",VLOOKUP(A91,Journal!$B$7:$J$84,9))</f>
        <v/>
      </c>
      <c r="E91" s="116"/>
      <c r="F91" s="116"/>
      <c r="G91" s="115"/>
      <c r="H91" s="84" t="str">
        <f>IF(B91="","",VLOOKUP(A91,Journal!$B$7:$L$84,11))</f>
        <v/>
      </c>
      <c r="I91" s="84" t="str">
        <f>IF(B91="","",VLOOKUP(A91,Journal!$B$7:$M$84,12))</f>
        <v/>
      </c>
      <c r="J91" s="105">
        <f>IF(B91="Total",SUM(J$8:J90)+0.0001,IF(OR(B91="",I$2=I91),0,VLOOKUP(A91,Journal!$B$7:M$84,8)))</f>
        <v>0</v>
      </c>
      <c r="K91" s="102">
        <f>IF(B91="Total",SUM(K$8:K90)+0.0001,IF(OR(B91="",J91&lt;&gt;0),0,VLOOKUP(A91,Journal!$B$7:M$84,8)))</f>
        <v>0</v>
      </c>
      <c r="L91" s="87">
        <f t="shared" si="7"/>
        <v>0</v>
      </c>
      <c r="M91" s="103"/>
      <c r="P91">
        <f t="shared" si="10"/>
        <v>1.0000000000000001E-5</v>
      </c>
      <c r="R91" s="15">
        <f t="shared" si="11"/>
        <v>84</v>
      </c>
      <c r="S91" s="126">
        <f>IF(VLOOKUP(A91,Journal!$A$7:$E$70,5)=0,S90+1,VLOOKUP(A91,Journal!$A$7:$E$70,5))</f>
        <v>45741</v>
      </c>
      <c r="T91" s="125">
        <f>IF(H$2=VLOOKUP(A91,Journal!$A$7:$F$70,6),VLOOKUP(A91,Journal!$A$7:M$70,9),0)</f>
        <v>0</v>
      </c>
      <c r="U91" s="125">
        <f>IF(H$2=VLOOKUP(A91,Journal!$A$7:$G$70,7),VLOOKUP(A91,Journal!$A$7:M$70,9),0)</f>
        <v>0</v>
      </c>
      <c r="V91" s="125">
        <f t="shared" si="12"/>
        <v>40</v>
      </c>
      <c r="X91">
        <f t="shared" si="9"/>
        <v>0</v>
      </c>
      <c r="Y91" s="143">
        <f t="shared" si="8"/>
        <v>-997.86842105263497</v>
      </c>
    </row>
    <row r="92" spans="1:25" x14ac:dyDescent="0.25">
      <c r="A92">
        <f t="shared" si="13"/>
        <v>85</v>
      </c>
      <c r="B92" s="88" t="str">
        <f>IF(OR(B91="Total",B91=""),"",IF(VLOOKUP(A92,Journal!$B$7:$E$84,4)=0,"Total",VLOOKUP(A92,Journal!$B$7:$D$84,3)))</f>
        <v/>
      </c>
      <c r="C92" s="86" t="str">
        <f>IF(B92="","",VLOOKUP(A92,Journal!$B$7:$E$84,4))</f>
        <v/>
      </c>
      <c r="D92" s="114" t="str">
        <f>IF(B92="","",VLOOKUP(A92,Journal!$B$7:$J$84,9))</f>
        <v/>
      </c>
      <c r="E92" s="116"/>
      <c r="F92" s="116"/>
      <c r="G92" s="115"/>
      <c r="H92" s="84" t="str">
        <f>IF(B92="","",VLOOKUP(A92,Journal!$B$7:$L$84,11))</f>
        <v/>
      </c>
      <c r="I92" s="84" t="str">
        <f>IF(B92="","",VLOOKUP(A92,Journal!$B$7:$M$84,12))</f>
        <v/>
      </c>
      <c r="J92" s="105">
        <f>IF(B92="Total",SUM(J$8:J91)+0.0001,IF(OR(B92="",I$2=I92),0,VLOOKUP(A92,Journal!$B$7:M$84,8)))</f>
        <v>0</v>
      </c>
      <c r="K92" s="102">
        <f>IF(B92="Total",SUM(K$8:K91)+0.0001,IF(OR(B92="",J92&lt;&gt;0),0,VLOOKUP(A92,Journal!$B$7:M$84,8)))</f>
        <v>0</v>
      </c>
      <c r="L92" s="87">
        <f t="shared" si="7"/>
        <v>0</v>
      </c>
      <c r="M92" s="103"/>
      <c r="P92">
        <f t="shared" si="10"/>
        <v>1.0000000000000001E-5</v>
      </c>
      <c r="R92" s="15">
        <f t="shared" si="11"/>
        <v>85</v>
      </c>
      <c r="S92" s="126">
        <f>IF(VLOOKUP(A92,Journal!$A$7:$E$70,5)=0,S91+1,VLOOKUP(A92,Journal!$A$7:$E$70,5))</f>
        <v>45742</v>
      </c>
      <c r="T92" s="125">
        <f>IF(H$2=VLOOKUP(A92,Journal!$A$7:$F$70,6),VLOOKUP(A92,Journal!$A$7:M$70,9),0)</f>
        <v>0</v>
      </c>
      <c r="U92" s="125">
        <f>IF(H$2=VLOOKUP(A92,Journal!$A$7:$G$70,7),VLOOKUP(A92,Journal!$A$7:M$70,9),0)</f>
        <v>0</v>
      </c>
      <c r="V92" s="125">
        <f t="shared" si="12"/>
        <v>40</v>
      </c>
      <c r="X92">
        <f t="shared" si="9"/>
        <v>0</v>
      </c>
      <c r="Y92" s="143">
        <f t="shared" si="8"/>
        <v>-997.84210526316133</v>
      </c>
    </row>
    <row r="93" spans="1:25" x14ac:dyDescent="0.25">
      <c r="A93">
        <f t="shared" si="13"/>
        <v>86</v>
      </c>
      <c r="B93" s="88" t="str">
        <f>IF(OR(B92="Total",B92=""),"",IF(VLOOKUP(A93,Journal!$B$7:$E$84,4)=0,"Total",VLOOKUP(A93,Journal!$B$7:$D$84,3)))</f>
        <v/>
      </c>
      <c r="C93" s="86" t="str">
        <f>IF(B93="","",VLOOKUP(A93,Journal!$B$7:$E$84,4))</f>
        <v/>
      </c>
      <c r="D93" s="114" t="str">
        <f>IF(B93="","",VLOOKUP(A93,Journal!$B$7:$J$84,9))</f>
        <v/>
      </c>
      <c r="E93" s="116"/>
      <c r="F93" s="116"/>
      <c r="G93" s="115"/>
      <c r="H93" s="84" t="str">
        <f>IF(B93="","",VLOOKUP(A93,Journal!$B$7:$L$84,11))</f>
        <v/>
      </c>
      <c r="I93" s="84" t="str">
        <f>IF(B93="","",VLOOKUP(A93,Journal!$B$7:$M$84,12))</f>
        <v/>
      </c>
      <c r="J93" s="105">
        <f>IF(B93="Total",SUM(J$8:J92)+0.0001,IF(OR(B93="",I$2=I93),0,VLOOKUP(A93,Journal!$B$7:M$84,8)))</f>
        <v>0</v>
      </c>
      <c r="K93" s="102">
        <f>IF(B93="Total",SUM(K$8:K92)+0.0001,IF(OR(B93="",J93&lt;&gt;0),0,VLOOKUP(A93,Journal!$B$7:M$84,8)))</f>
        <v>0</v>
      </c>
      <c r="L93" s="87">
        <f t="shared" si="7"/>
        <v>0</v>
      </c>
      <c r="M93" s="103"/>
      <c r="P93">
        <f t="shared" si="10"/>
        <v>1.0000000000000001E-5</v>
      </c>
      <c r="R93" s="15">
        <f t="shared" si="11"/>
        <v>86</v>
      </c>
      <c r="S93" s="126">
        <f>IF(VLOOKUP(A93,Journal!$A$7:$E$70,5)=0,S92+1,VLOOKUP(A93,Journal!$A$7:$E$70,5))</f>
        <v>45743</v>
      </c>
      <c r="T93" s="125">
        <f>IF(H$2=VLOOKUP(A93,Journal!$A$7:$F$70,6),VLOOKUP(A93,Journal!$A$7:M$70,9),0)</f>
        <v>0</v>
      </c>
      <c r="U93" s="125">
        <f>IF(H$2=VLOOKUP(A93,Journal!$A$7:$G$70,7),VLOOKUP(A93,Journal!$A$7:M$70,9),0)</f>
        <v>0</v>
      </c>
      <c r="V93" s="125">
        <f t="shared" si="12"/>
        <v>40</v>
      </c>
      <c r="X93">
        <f t="shared" si="9"/>
        <v>0</v>
      </c>
      <c r="Y93" s="143">
        <f t="shared" si="8"/>
        <v>-997.81578947368769</v>
      </c>
    </row>
    <row r="94" spans="1:25" x14ac:dyDescent="0.25">
      <c r="A94">
        <f t="shared" si="13"/>
        <v>87</v>
      </c>
      <c r="B94" s="88" t="str">
        <f>IF(OR(B93="Total",B93=""),"",IF(VLOOKUP(A94,Journal!$B$7:$E$84,4)=0,"Total",VLOOKUP(A94,Journal!$B$7:$D$84,3)))</f>
        <v/>
      </c>
      <c r="C94" s="86" t="str">
        <f>IF(B94="","",VLOOKUP(A94,Journal!$B$7:$E$84,4))</f>
        <v/>
      </c>
      <c r="D94" s="114" t="str">
        <f>IF(B94="","",VLOOKUP(A94,Journal!$B$7:$J$84,9))</f>
        <v/>
      </c>
      <c r="E94" s="116"/>
      <c r="F94" s="116"/>
      <c r="G94" s="115"/>
      <c r="H94" s="84" t="str">
        <f>IF(B94="","",VLOOKUP(A94,Journal!$B$7:$L$84,11))</f>
        <v/>
      </c>
      <c r="I94" s="84" t="str">
        <f>IF(B94="","",VLOOKUP(A94,Journal!$B$7:$M$84,12))</f>
        <v/>
      </c>
      <c r="J94" s="105">
        <f>IF(B94="Total",SUM(J$8:J93)+0.0001,IF(OR(B94="",I$2=I94),0,VLOOKUP(A94,Journal!$B$7:M$84,8)))</f>
        <v>0</v>
      </c>
      <c r="K94" s="102">
        <f>IF(B94="Total",SUM(K$8:K93)+0.0001,IF(OR(B94="",J94&lt;&gt;0),0,VLOOKUP(A94,Journal!$B$7:M$84,8)))</f>
        <v>0</v>
      </c>
      <c r="L94" s="87">
        <f t="shared" si="7"/>
        <v>0</v>
      </c>
      <c r="M94" s="103"/>
      <c r="P94">
        <f t="shared" si="10"/>
        <v>1.0000000000000001E-5</v>
      </c>
      <c r="R94" s="15">
        <f t="shared" si="11"/>
        <v>87</v>
      </c>
      <c r="S94" s="126">
        <f>IF(VLOOKUP(A94,Journal!$A$7:$E$70,5)=0,S93+1,VLOOKUP(A94,Journal!$A$7:$E$70,5))</f>
        <v>45744</v>
      </c>
      <c r="T94" s="125">
        <f>IF(H$2=VLOOKUP(A94,Journal!$A$7:$F$70,6),VLOOKUP(A94,Journal!$A$7:M$70,9),0)</f>
        <v>0</v>
      </c>
      <c r="U94" s="125">
        <f>IF(H$2=VLOOKUP(A94,Journal!$A$7:$G$70,7),VLOOKUP(A94,Journal!$A$7:M$70,9),0)</f>
        <v>0</v>
      </c>
      <c r="V94" s="125">
        <f t="shared" si="12"/>
        <v>40</v>
      </c>
      <c r="X94">
        <f t="shared" si="9"/>
        <v>0</v>
      </c>
      <c r="Y94" s="143">
        <f t="shared" si="8"/>
        <v>-997.78947368421404</v>
      </c>
    </row>
    <row r="95" spans="1:25" x14ac:dyDescent="0.25">
      <c r="A95">
        <f t="shared" si="13"/>
        <v>88</v>
      </c>
      <c r="B95" s="88" t="str">
        <f>IF(OR(B94="Total",B94=""),"",IF(VLOOKUP(A95,Journal!$B$7:$E$84,4)=0,"Total",VLOOKUP(A95,Journal!$B$7:$D$84,3)))</f>
        <v/>
      </c>
      <c r="C95" s="86" t="str">
        <f>IF(B95="","",VLOOKUP(A95,Journal!$B$7:$E$84,4))</f>
        <v/>
      </c>
      <c r="D95" s="114" t="str">
        <f>IF(B95="","",VLOOKUP(A95,Journal!$B$7:$J$84,9))</f>
        <v/>
      </c>
      <c r="E95" s="116"/>
      <c r="F95" s="116"/>
      <c r="G95" s="115"/>
      <c r="H95" s="84" t="str">
        <f>IF(B95="","",VLOOKUP(A95,Journal!$B$7:$L$84,11))</f>
        <v/>
      </c>
      <c r="I95" s="84" t="str">
        <f>IF(B95="","",VLOOKUP(A95,Journal!$B$7:$M$84,12))</f>
        <v/>
      </c>
      <c r="J95" s="105">
        <f>IF(B95="Total",SUM(J$8:J94)+0.0001,IF(OR(B95="",I$2=I95),0,VLOOKUP(A95,Journal!$B$7:M$84,8)))</f>
        <v>0</v>
      </c>
      <c r="K95" s="102">
        <f>IF(B95="Total",SUM(K$8:K94)+0.0001,IF(OR(B95="",J95&lt;&gt;0),0,VLOOKUP(A95,Journal!$B$7:M$84,8)))</f>
        <v>0</v>
      </c>
      <c r="L95" s="87">
        <f t="shared" si="7"/>
        <v>0</v>
      </c>
      <c r="M95" s="103"/>
      <c r="P95">
        <f t="shared" si="10"/>
        <v>1.0000000000000001E-5</v>
      </c>
      <c r="R95" s="15">
        <f t="shared" si="11"/>
        <v>88</v>
      </c>
      <c r="S95" s="126">
        <f>IF(VLOOKUP(A95,Journal!$A$7:$E$70,5)=0,S94+1,VLOOKUP(A95,Journal!$A$7:$E$70,5))</f>
        <v>45745</v>
      </c>
      <c r="T95" s="125">
        <f>IF(H$2=VLOOKUP(A95,Journal!$A$7:$F$70,6),VLOOKUP(A95,Journal!$A$7:M$70,9),0)</f>
        <v>0</v>
      </c>
      <c r="U95" s="125">
        <f>IF(H$2=VLOOKUP(A95,Journal!$A$7:$G$70,7),VLOOKUP(A95,Journal!$A$7:M$70,9),0)</f>
        <v>0</v>
      </c>
      <c r="V95" s="125">
        <f t="shared" si="12"/>
        <v>40</v>
      </c>
      <c r="X95">
        <f t="shared" si="9"/>
        <v>0</v>
      </c>
      <c r="Y95" s="143">
        <f t="shared" si="8"/>
        <v>-997.7631578947404</v>
      </c>
    </row>
    <row r="96" spans="1:25" x14ac:dyDescent="0.25">
      <c r="A96">
        <f t="shared" si="13"/>
        <v>89</v>
      </c>
      <c r="B96" s="88" t="str">
        <f>IF(OR(B95="Total",B95=""),"",IF(VLOOKUP(A96,Journal!$B$7:$E$84,4)=0,"Total",VLOOKUP(A96,Journal!$B$7:$D$84,3)))</f>
        <v/>
      </c>
      <c r="C96" s="86" t="str">
        <f>IF(B96="","",VLOOKUP(A96,Journal!$B$7:$E$84,4))</f>
        <v/>
      </c>
      <c r="D96" s="114" t="str">
        <f>IF(B96="","",VLOOKUP(A96,Journal!$B$7:$J$84,9))</f>
        <v/>
      </c>
      <c r="E96" s="116"/>
      <c r="F96" s="116"/>
      <c r="G96" s="115"/>
      <c r="H96" s="84" t="str">
        <f>IF(B96="","",VLOOKUP(A96,Journal!$B$7:$L$84,11))</f>
        <v/>
      </c>
      <c r="I96" s="84" t="str">
        <f>IF(B96="","",VLOOKUP(A96,Journal!$B$7:$M$84,12))</f>
        <v/>
      </c>
      <c r="J96" s="105">
        <f>IF(B96="Total",SUM(J$8:J95)+0.0001,IF(OR(B96="",I$2=I96),0,VLOOKUP(A96,Journal!$B$7:M$84,8)))</f>
        <v>0</v>
      </c>
      <c r="K96" s="102">
        <f>IF(B96="Total",SUM(K$8:K95)+0.0001,IF(OR(B96="",J96&lt;&gt;0),0,VLOOKUP(A96,Journal!$B$7:M$84,8)))</f>
        <v>0</v>
      </c>
      <c r="L96" s="87">
        <f t="shared" si="7"/>
        <v>0</v>
      </c>
      <c r="M96" s="103"/>
      <c r="P96">
        <f t="shared" si="10"/>
        <v>1.0000000000000001E-5</v>
      </c>
      <c r="R96" s="15">
        <f t="shared" si="11"/>
        <v>89</v>
      </c>
      <c r="S96" s="126">
        <f>IF(VLOOKUP(A96,Journal!$A$7:$E$70,5)=0,S95+1,VLOOKUP(A96,Journal!$A$7:$E$70,5))</f>
        <v>45746</v>
      </c>
      <c r="T96" s="125">
        <f>IF(H$2=VLOOKUP(A96,Journal!$A$7:$F$70,6),VLOOKUP(A96,Journal!$A$7:M$70,9),0)</f>
        <v>0</v>
      </c>
      <c r="U96" s="125">
        <f>IF(H$2=VLOOKUP(A96,Journal!$A$7:$G$70,7),VLOOKUP(A96,Journal!$A$7:M$70,9),0)</f>
        <v>0</v>
      </c>
      <c r="V96" s="125">
        <f t="shared" si="12"/>
        <v>40</v>
      </c>
      <c r="X96">
        <f t="shared" si="9"/>
        <v>0</v>
      </c>
      <c r="Y96" s="143">
        <f t="shared" si="8"/>
        <v>-997.73684210526676</v>
      </c>
    </row>
    <row r="97" spans="1:25" x14ac:dyDescent="0.25">
      <c r="A97">
        <f t="shared" si="13"/>
        <v>90</v>
      </c>
      <c r="B97" s="88" t="str">
        <f>IF(OR(B96="Total",B96=""),"",IF(VLOOKUP(A97,Journal!$B$7:$E$84,4)=0,"Total",VLOOKUP(A97,Journal!$B$7:$D$84,3)))</f>
        <v/>
      </c>
      <c r="C97" s="86" t="str">
        <f>IF(B97="","",VLOOKUP(A97,Journal!$B$7:$E$84,4))</f>
        <v/>
      </c>
      <c r="D97" s="114" t="str">
        <f>IF(B97="","",VLOOKUP(A97,Journal!$B$7:$J$84,9))</f>
        <v/>
      </c>
      <c r="E97" s="116"/>
      <c r="F97" s="116"/>
      <c r="G97" s="115"/>
      <c r="H97" s="84" t="str">
        <f>IF(B97="","",VLOOKUP(A97,Journal!$B$7:$L$84,11))</f>
        <v/>
      </c>
      <c r="I97" s="84" t="str">
        <f>IF(B97="","",VLOOKUP(A97,Journal!$B$7:$M$84,12))</f>
        <v/>
      </c>
      <c r="J97" s="105">
        <f>IF(B97="Total",SUM(J$8:J96)+0.0001,IF(OR(B97="",I$2=I97),0,VLOOKUP(A97,Journal!$B$7:M$84,8)))</f>
        <v>0</v>
      </c>
      <c r="K97" s="102">
        <f>IF(B97="Total",SUM(K$8:K96)+0.0001,IF(OR(B97="",J97&lt;&gt;0),0,VLOOKUP(A97,Journal!$B$7:M$84,8)))</f>
        <v>0</v>
      </c>
      <c r="L97" s="87">
        <f t="shared" si="7"/>
        <v>0</v>
      </c>
      <c r="P97">
        <f t="shared" si="10"/>
        <v>1.0000000000000001E-5</v>
      </c>
      <c r="R97" s="15">
        <f t="shared" si="11"/>
        <v>90</v>
      </c>
      <c r="S97" s="126">
        <f>IF(VLOOKUP(A97,Journal!$A$7:$E$70,5)=0,S96+1,VLOOKUP(A97,Journal!$A$7:$E$70,5))</f>
        <v>45747</v>
      </c>
      <c r="T97" s="125">
        <f>IF(H$2=VLOOKUP(A97,Journal!$A$7:$F$70,6),VLOOKUP(A97,Journal!$A$7:M$70,9),0)</f>
        <v>0</v>
      </c>
      <c r="U97" s="125">
        <f>IF(H$2=VLOOKUP(A97,Journal!$A$7:$G$70,7),VLOOKUP(A97,Journal!$A$7:M$70,9),0)</f>
        <v>0</v>
      </c>
      <c r="V97" s="125">
        <f t="shared" si="12"/>
        <v>40</v>
      </c>
      <c r="X97">
        <f t="shared" si="9"/>
        <v>0</v>
      </c>
      <c r="Y97" s="143">
        <f t="shared" si="8"/>
        <v>-997.71052631579312</v>
      </c>
    </row>
    <row r="98" spans="1:25" x14ac:dyDescent="0.25">
      <c r="A98">
        <f t="shared" si="13"/>
        <v>91</v>
      </c>
      <c r="B98" s="88" t="str">
        <f>IF(OR(B97="Total",B97=""),"",IF(VLOOKUP(A98,Journal!$B$7:$E$84,4)=0,"Total",VLOOKUP(A98,Journal!$B$7:$D$84,3)))</f>
        <v/>
      </c>
      <c r="C98" s="86" t="str">
        <f>IF(B98="","",VLOOKUP(A98,Journal!$B$7:$E$84,4))</f>
        <v/>
      </c>
      <c r="D98" s="114" t="str">
        <f>IF(B98="","",VLOOKUP(A98,Journal!$B$7:$J$84,9))</f>
        <v/>
      </c>
      <c r="E98" s="116"/>
      <c r="F98" s="116"/>
      <c r="G98" s="115"/>
      <c r="H98" s="84" t="str">
        <f>IF(B98="","",VLOOKUP(A98,Journal!$B$7:$L$84,11))</f>
        <v/>
      </c>
      <c r="I98" s="84" t="str">
        <f>IF(B98="","",VLOOKUP(A98,Journal!$B$7:$M$84,12))</f>
        <v/>
      </c>
      <c r="J98" s="105">
        <f>IF(B98="Total",SUM(J$8:J97)+0.0001,IF(OR(B98="",I$2=I98),0,VLOOKUP(A98,Journal!$B$7:M$84,8)))</f>
        <v>0</v>
      </c>
      <c r="K98" s="102">
        <f>IF(B98="Total",SUM(K$8:K97)+0.0001,IF(OR(B98="",J98&lt;&gt;0),0,VLOOKUP(A98,Journal!$B$7:M$84,8)))</f>
        <v>0</v>
      </c>
      <c r="L98" s="87">
        <f t="shared" si="7"/>
        <v>0</v>
      </c>
      <c r="P98">
        <f t="shared" si="10"/>
        <v>1.0000000000000001E-5</v>
      </c>
      <c r="R98" s="15">
        <f t="shared" si="11"/>
        <v>91</v>
      </c>
      <c r="S98" s="126">
        <f>IF(VLOOKUP(A98,Journal!$A$7:$E$70,5)=0,S97+1,VLOOKUP(A98,Journal!$A$7:$E$70,5))</f>
        <v>45748</v>
      </c>
      <c r="T98" s="125">
        <f>IF(H$2=VLOOKUP(A98,Journal!$A$7:$F$70,6),VLOOKUP(A98,Journal!$A$7:M$70,9),0)</f>
        <v>0</v>
      </c>
      <c r="U98" s="125">
        <f>IF(H$2=VLOOKUP(A98,Journal!$A$7:$G$70,7),VLOOKUP(A98,Journal!$A$7:M$70,9),0)</f>
        <v>0</v>
      </c>
      <c r="V98" s="125">
        <f t="shared" si="12"/>
        <v>40</v>
      </c>
      <c r="X98">
        <f t="shared" si="9"/>
        <v>0</v>
      </c>
      <c r="Y98" s="143">
        <f t="shared" si="8"/>
        <v>-997.68421052631948</v>
      </c>
    </row>
    <row r="99" spans="1:25" x14ac:dyDescent="0.25">
      <c r="A99">
        <f t="shared" si="13"/>
        <v>92</v>
      </c>
      <c r="B99" s="88" t="str">
        <f>IF(OR(B98="Total",B98=""),"",IF(VLOOKUP(A99,Journal!$B$7:$E$84,4)=0,"Total",VLOOKUP(A99,Journal!$B$7:$D$84,3)))</f>
        <v/>
      </c>
      <c r="C99" s="86" t="str">
        <f>IF(B99="","",VLOOKUP(A99,Journal!$B$7:$E$84,4))</f>
        <v/>
      </c>
      <c r="D99" s="114" t="str">
        <f>IF(B99="","",VLOOKUP(A99,Journal!$B$7:$J$84,9))</f>
        <v/>
      </c>
      <c r="E99" s="116"/>
      <c r="F99" s="116"/>
      <c r="G99" s="115"/>
      <c r="H99" s="84" t="str">
        <f>IF(B99="","",VLOOKUP(A99,Journal!$B$7:$L$84,11))</f>
        <v/>
      </c>
      <c r="I99" s="84" t="str">
        <f>IF(B99="","",VLOOKUP(A99,Journal!$B$7:$M$84,12))</f>
        <v/>
      </c>
      <c r="J99" s="105">
        <f>IF(B99="Total",SUM(J$8:J98)+0.0001,IF(OR(B99="",I$2=I99),0,VLOOKUP(A99,Journal!$B$7:M$84,8)))</f>
        <v>0</v>
      </c>
      <c r="K99" s="102">
        <f>IF(B99="Total",SUM(K$8:K98)+0.0001,IF(OR(B99="",J99&lt;&gt;0),0,VLOOKUP(A99,Journal!$B$7:M$84,8)))</f>
        <v>0</v>
      </c>
      <c r="L99" s="87">
        <f t="shared" si="7"/>
        <v>0</v>
      </c>
      <c r="P99">
        <f t="shared" si="10"/>
        <v>1.0000000000000001E-5</v>
      </c>
      <c r="R99" s="15">
        <f t="shared" si="11"/>
        <v>92</v>
      </c>
      <c r="S99" s="126">
        <f>IF(VLOOKUP(A99,Journal!$A$7:$E$70,5)=0,S98+1,VLOOKUP(A99,Journal!$A$7:$E$70,5))</f>
        <v>45749</v>
      </c>
      <c r="T99" s="125">
        <f>IF(H$2=VLOOKUP(A99,Journal!$A$7:$F$70,6),VLOOKUP(A99,Journal!$A$7:M$70,9),0)</f>
        <v>0</v>
      </c>
      <c r="U99" s="125">
        <f>IF(H$2=VLOOKUP(A99,Journal!$A$7:$G$70,7),VLOOKUP(A99,Journal!$A$7:M$70,9),0)</f>
        <v>0</v>
      </c>
      <c r="V99" s="125">
        <f t="shared" si="12"/>
        <v>40</v>
      </c>
      <c r="X99">
        <f t="shared" si="9"/>
        <v>0</v>
      </c>
      <c r="Y99" s="143">
        <f t="shared" si="8"/>
        <v>-997.65789473684583</v>
      </c>
    </row>
    <row r="100" spans="1:25" x14ac:dyDescent="0.25">
      <c r="A100">
        <f t="shared" si="13"/>
        <v>93</v>
      </c>
      <c r="B100" s="88" t="str">
        <f>IF(OR(B99="Total",B99=""),"",IF(VLOOKUP(A100,Journal!$B$7:$E$84,4)=0,"Total",VLOOKUP(A100,Journal!$B$7:$D$84,3)))</f>
        <v/>
      </c>
      <c r="C100" s="86" t="str">
        <f>IF(B100="","",VLOOKUP(A100,Journal!$B$7:$E$84,4))</f>
        <v/>
      </c>
      <c r="D100" s="114" t="str">
        <f>IF(B100="","",VLOOKUP(A100,Journal!$B$7:$J$84,9))</f>
        <v/>
      </c>
      <c r="E100" s="116"/>
      <c r="F100" s="116"/>
      <c r="G100" s="115"/>
      <c r="H100" s="84" t="str">
        <f>IF(B100="","",VLOOKUP(A100,Journal!$B$7:$L$84,11))</f>
        <v/>
      </c>
      <c r="I100" s="84" t="str">
        <f>IF(B100="","",VLOOKUP(A100,Journal!$B$7:$M$84,12))</f>
        <v/>
      </c>
      <c r="J100" s="105">
        <f>IF(B100="Total",SUM(J$8:J99)+0.0001,IF(OR(B100="",I$2=I100),0,VLOOKUP(A100,Journal!$B$7:M$84,8)))</f>
        <v>0</v>
      </c>
      <c r="K100" s="102">
        <f>IF(B100="Total",SUM(K$8:K99)+0.0001,IF(OR(B100="",J100&lt;&gt;0),0,VLOOKUP(A100,Journal!$B$7:M$84,8)))</f>
        <v>0</v>
      </c>
      <c r="L100" s="87">
        <f t="shared" si="7"/>
        <v>0</v>
      </c>
      <c r="P100">
        <f t="shared" si="10"/>
        <v>1.0000000000000001E-5</v>
      </c>
      <c r="R100" s="15">
        <f t="shared" si="11"/>
        <v>93</v>
      </c>
      <c r="S100" s="126">
        <f>IF(VLOOKUP(A100,Journal!$A$7:$E$70,5)=0,S99+1,VLOOKUP(A100,Journal!$A$7:$E$70,5))</f>
        <v>45750</v>
      </c>
      <c r="T100" s="125">
        <f>IF(H$2=VLOOKUP(A100,Journal!$A$7:$F$70,6),VLOOKUP(A100,Journal!$A$7:M$70,9),0)</f>
        <v>0</v>
      </c>
      <c r="U100" s="125">
        <f>IF(H$2=VLOOKUP(A100,Journal!$A$7:$G$70,7),VLOOKUP(A100,Journal!$A$7:M$70,9),0)</f>
        <v>0</v>
      </c>
      <c r="V100" s="125">
        <f t="shared" si="12"/>
        <v>40</v>
      </c>
      <c r="X100">
        <f t="shared" si="9"/>
        <v>0</v>
      </c>
      <c r="Y100" s="143">
        <f t="shared" si="8"/>
        <v>-997.63157894737219</v>
      </c>
    </row>
    <row r="101" spans="1:25" x14ac:dyDescent="0.25">
      <c r="A101">
        <f t="shared" si="13"/>
        <v>94</v>
      </c>
      <c r="B101" s="88" t="str">
        <f>IF(OR(B100="Total",B100=""),"",IF(VLOOKUP(A101,Journal!$B$7:$E$84,4)=0,"Total",VLOOKUP(A101,Journal!$B$7:$D$84,3)))</f>
        <v/>
      </c>
      <c r="C101" s="86" t="str">
        <f>IF(B101="","",VLOOKUP(A101,Journal!$B$7:$E$84,4))</f>
        <v/>
      </c>
      <c r="D101" s="114" t="str">
        <f>IF(B101="","",VLOOKUP(A101,Journal!$B$7:$J$84,9))</f>
        <v/>
      </c>
      <c r="E101" s="116"/>
      <c r="F101" s="116"/>
      <c r="G101" s="115"/>
      <c r="H101" s="84" t="str">
        <f>IF(B101="","",VLOOKUP(A101,Journal!$B$7:$L$84,11))</f>
        <v/>
      </c>
      <c r="I101" s="84" t="str">
        <f>IF(B101="","",VLOOKUP(A101,Journal!$B$7:$M$84,12))</f>
        <v/>
      </c>
      <c r="J101" s="105">
        <f>IF(B101="Total",SUM(J$8:J100)+0.0001,IF(OR(B101="",I$2=I101),0,VLOOKUP(A101,Journal!$B$7:M$84,8)))</f>
        <v>0</v>
      </c>
      <c r="K101" s="102">
        <f>IF(B101="Total",SUM(K$8:K100)+0.0001,IF(OR(B101="",J101&lt;&gt;0),0,VLOOKUP(A101,Journal!$B$7:M$84,8)))</f>
        <v>0</v>
      </c>
      <c r="L101" s="87">
        <f t="shared" si="7"/>
        <v>0</v>
      </c>
      <c r="P101">
        <f t="shared" si="10"/>
        <v>1.0000000000000001E-5</v>
      </c>
      <c r="R101" s="15">
        <f t="shared" si="11"/>
        <v>94</v>
      </c>
      <c r="S101" s="126">
        <f>IF(VLOOKUP(A101,Journal!$A$7:$E$70,5)=0,S100+1,VLOOKUP(A101,Journal!$A$7:$E$70,5))</f>
        <v>45751</v>
      </c>
      <c r="T101" s="125">
        <f>IF(H$2=VLOOKUP(A101,Journal!$A$7:$F$70,6),VLOOKUP(A101,Journal!$A$7:M$70,9),0)</f>
        <v>0</v>
      </c>
      <c r="U101" s="125">
        <f>IF(H$2=VLOOKUP(A101,Journal!$A$7:$G$70,7),VLOOKUP(A101,Journal!$A$7:M$70,9),0)</f>
        <v>0</v>
      </c>
      <c r="V101" s="125">
        <f t="shared" si="12"/>
        <v>40</v>
      </c>
      <c r="X101">
        <f t="shared" si="9"/>
        <v>0</v>
      </c>
      <c r="Y101" s="143">
        <f t="shared" si="8"/>
        <v>-997.60526315789855</v>
      </c>
    </row>
    <row r="102" spans="1:25" x14ac:dyDescent="0.25">
      <c r="A102">
        <f t="shared" si="13"/>
        <v>95</v>
      </c>
      <c r="B102" s="88" t="str">
        <f>IF(OR(B101="Total",B101=""),"",IF(VLOOKUP(A102,Journal!$B$7:$E$84,4)=0,"Total",VLOOKUP(A102,Journal!$B$7:$D$84,3)))</f>
        <v/>
      </c>
      <c r="C102" s="86" t="str">
        <f>IF(B102="","",VLOOKUP(A102,Journal!$B$7:$E$84,4))</f>
        <v/>
      </c>
      <c r="D102" s="114" t="str">
        <f>IF(B102="","",VLOOKUP(A102,Journal!$B$7:$J$84,9))</f>
        <v/>
      </c>
      <c r="E102" s="116"/>
      <c r="F102" s="116"/>
      <c r="G102" s="115"/>
      <c r="H102" s="84" t="str">
        <f>IF(B102="","",VLOOKUP(A102,Journal!$B$7:$L$84,11))</f>
        <v/>
      </c>
      <c r="I102" s="84" t="str">
        <f>IF(B102="","",VLOOKUP(A102,Journal!$B$7:$M$84,12))</f>
        <v/>
      </c>
      <c r="J102" s="105">
        <f>IF(B102="Total",SUM(J$8:J101)+0.0001,IF(OR(B102="",I$2=I102),0,VLOOKUP(A102,Journal!$B$7:M$84,8)))</f>
        <v>0</v>
      </c>
      <c r="K102" s="102">
        <f>IF(B102="Total",SUM(K$8:K101)+0.0001,IF(OR(B102="",J102&lt;&gt;0),0,VLOOKUP(A102,Journal!$B$7:M$84,8)))</f>
        <v>0</v>
      </c>
      <c r="L102" s="87">
        <f t="shared" si="7"/>
        <v>0</v>
      </c>
      <c r="P102">
        <f t="shared" si="10"/>
        <v>1.0000000000000001E-5</v>
      </c>
      <c r="R102" s="15">
        <f t="shared" si="11"/>
        <v>95</v>
      </c>
      <c r="S102" s="126">
        <f>IF(VLOOKUP(A102,Journal!$A$7:$E$70,5)=0,S101+1,VLOOKUP(A102,Journal!$A$7:$E$70,5))</f>
        <v>45752</v>
      </c>
      <c r="T102" s="125">
        <f>IF(H$2=VLOOKUP(A102,Journal!$A$7:$F$70,6),VLOOKUP(A102,Journal!$A$7:M$70,9),0)</f>
        <v>0</v>
      </c>
      <c r="U102" s="125">
        <f>IF(H$2=VLOOKUP(A102,Journal!$A$7:$G$70,7),VLOOKUP(A102,Journal!$A$7:M$70,9),0)</f>
        <v>0</v>
      </c>
      <c r="V102" s="125">
        <f t="shared" si="12"/>
        <v>40</v>
      </c>
      <c r="X102">
        <f t="shared" si="9"/>
        <v>0</v>
      </c>
      <c r="Y102" s="143">
        <f t="shared" si="8"/>
        <v>-997.57894736842491</v>
      </c>
    </row>
    <row r="103" spans="1:25" x14ac:dyDescent="0.25">
      <c r="A103">
        <f t="shared" si="13"/>
        <v>96</v>
      </c>
      <c r="B103" s="88" t="str">
        <f>IF(OR(B102="Total",B102=""),"",IF(VLOOKUP(A103,Journal!$B$7:$E$84,4)=0,"Total",VLOOKUP(A103,Journal!$B$7:$D$84,3)))</f>
        <v/>
      </c>
      <c r="C103" s="86" t="str">
        <f>IF(B103="","",VLOOKUP(A103,Journal!$B$7:$E$84,4))</f>
        <v/>
      </c>
      <c r="D103" s="114" t="str">
        <f>IF(B103="","",VLOOKUP(A103,Journal!$B$7:$J$84,9))</f>
        <v/>
      </c>
      <c r="E103" s="116"/>
      <c r="F103" s="116"/>
      <c r="G103" s="115"/>
      <c r="H103" s="84" t="str">
        <f>IF(B103="","",VLOOKUP(A103,Journal!$B$7:$L$84,11))</f>
        <v/>
      </c>
      <c r="I103" s="84" t="str">
        <f>IF(B103="","",VLOOKUP(A103,Journal!$B$7:$M$84,12))</f>
        <v/>
      </c>
      <c r="J103" s="105">
        <f>IF(B103="Total",SUM(J$8:J102)+0.0001,IF(OR(B103="",I$2=I103),0,VLOOKUP(A103,Journal!$B$7:M$84,8)))</f>
        <v>0</v>
      </c>
      <c r="K103" s="102">
        <f>IF(B103="Total",SUM(K$8:K102)+0.0001,IF(OR(B103="",J103&lt;&gt;0),0,VLOOKUP(A103,Journal!$B$7:M$84,8)))</f>
        <v>0</v>
      </c>
      <c r="L103" s="87">
        <f t="shared" si="7"/>
        <v>0</v>
      </c>
      <c r="P103">
        <f t="shared" si="10"/>
        <v>1.0000000000000001E-5</v>
      </c>
      <c r="R103" s="15">
        <f t="shared" si="11"/>
        <v>96</v>
      </c>
      <c r="S103" s="126">
        <f>IF(VLOOKUP(A103,Journal!$A$7:$E$70,5)=0,S102+1,VLOOKUP(A103,Journal!$A$7:$E$70,5))</f>
        <v>45753</v>
      </c>
      <c r="T103" s="125">
        <f>IF(H$2=VLOOKUP(A103,Journal!$A$7:$F$70,6),VLOOKUP(A103,Journal!$A$7:M$70,9),0)</f>
        <v>0</v>
      </c>
      <c r="U103" s="125">
        <f>IF(H$2=VLOOKUP(A103,Journal!$A$7:$G$70,7),VLOOKUP(A103,Journal!$A$7:M$70,9),0)</f>
        <v>0</v>
      </c>
      <c r="V103" s="125">
        <f t="shared" si="12"/>
        <v>40</v>
      </c>
      <c r="X103">
        <f t="shared" si="9"/>
        <v>0</v>
      </c>
      <c r="Y103" s="143">
        <f t="shared" si="8"/>
        <v>-997.55263157895126</v>
      </c>
    </row>
    <row r="104" spans="1:25" x14ac:dyDescent="0.25">
      <c r="A104">
        <f t="shared" si="13"/>
        <v>97</v>
      </c>
      <c r="B104" s="88" t="str">
        <f>IF(OR(B103="Total",B103=""),"",IF(VLOOKUP(A104,Journal!$B$7:$E$84,4)=0,"Total",VLOOKUP(A104,Journal!$B$7:$D$84,3)))</f>
        <v/>
      </c>
      <c r="C104" s="86" t="str">
        <f>IF(B104="","",VLOOKUP(A104,Journal!$B$7:$E$84,4))</f>
        <v/>
      </c>
      <c r="D104" s="114" t="str">
        <f>IF(B104="","",VLOOKUP(A104,Journal!$B$7:$J$84,9))</f>
        <v/>
      </c>
      <c r="E104" s="116"/>
      <c r="F104" s="116"/>
      <c r="G104" s="115"/>
      <c r="H104" s="84" t="str">
        <f>IF(B104="","",VLOOKUP(A104,Journal!$B$7:$L$84,11))</f>
        <v/>
      </c>
      <c r="I104" s="84" t="str">
        <f>IF(B104="","",VLOOKUP(A104,Journal!$B$7:$M$84,12))</f>
        <v/>
      </c>
      <c r="J104" s="105">
        <f>IF(B104="Total",SUM(J$8:J103)+0.0001,IF(OR(B104="",I$2=I104),0,VLOOKUP(A104,Journal!$B$7:M$84,8)))</f>
        <v>0</v>
      </c>
      <c r="K104" s="102">
        <f>IF(B104="Total",SUM(K$8:K103)+0.0001,IF(OR(B104="",J104&lt;&gt;0),0,VLOOKUP(A104,Journal!$B$7:M$84,8)))</f>
        <v>0</v>
      </c>
      <c r="L104" s="87">
        <f t="shared" si="7"/>
        <v>0</v>
      </c>
      <c r="P104">
        <f t="shared" si="10"/>
        <v>1.0000000000000001E-5</v>
      </c>
      <c r="R104" s="15">
        <f t="shared" si="11"/>
        <v>97</v>
      </c>
      <c r="S104" s="126">
        <f>IF(VLOOKUP(A104,Journal!$A$7:$E$70,5)=0,S103+1,VLOOKUP(A104,Journal!$A$7:$E$70,5))</f>
        <v>45754</v>
      </c>
      <c r="T104" s="125">
        <f>IF(H$2=VLOOKUP(A104,Journal!$A$7:$F$70,6),VLOOKUP(A104,Journal!$A$7:M$70,9),0)</f>
        <v>0</v>
      </c>
      <c r="U104" s="125">
        <f>IF(H$2=VLOOKUP(A104,Journal!$A$7:$G$70,7),VLOOKUP(A104,Journal!$A$7:M$70,9),0)</f>
        <v>0</v>
      </c>
      <c r="V104" s="125">
        <f t="shared" si="12"/>
        <v>40</v>
      </c>
      <c r="X104">
        <f t="shared" si="9"/>
        <v>0</v>
      </c>
      <c r="Y104" s="143">
        <f t="shared" si="8"/>
        <v>-997.52631578947762</v>
      </c>
    </row>
    <row r="105" spans="1:25" x14ac:dyDescent="0.25">
      <c r="A105">
        <f t="shared" si="13"/>
        <v>98</v>
      </c>
      <c r="B105" s="88" t="str">
        <f>IF(OR(B104="Total",B104=""),"",IF(VLOOKUP(A105,Journal!$B$7:$E$84,4)=0,"Total",VLOOKUP(A105,Journal!$B$7:$D$84,3)))</f>
        <v/>
      </c>
      <c r="C105" s="86" t="str">
        <f>IF(B105="","",VLOOKUP(A105,Journal!$B$7:$E$84,4))</f>
        <v/>
      </c>
      <c r="D105" s="114" t="str">
        <f>IF(B105="","",VLOOKUP(A105,Journal!$B$7:$J$84,9))</f>
        <v/>
      </c>
      <c r="E105" s="116"/>
      <c r="F105" s="116"/>
      <c r="G105" s="115"/>
      <c r="H105" s="84" t="str">
        <f>IF(B105="","",VLOOKUP(A105,Journal!$B$7:$L$84,11))</f>
        <v/>
      </c>
      <c r="I105" s="84" t="str">
        <f>IF(B105="","",VLOOKUP(A105,Journal!$B$7:$M$84,12))</f>
        <v/>
      </c>
      <c r="J105" s="105">
        <f>IF(B105="Total",SUM(J$8:J104)+0.0001,IF(OR(B105="",I$2=I105),0,VLOOKUP(A105,Journal!$B$7:M$84,8)))</f>
        <v>0</v>
      </c>
      <c r="K105" s="102">
        <f>IF(B105="Total",SUM(K$8:K104)+0.0001,IF(OR(B105="",J105&lt;&gt;0),0,VLOOKUP(A105,Journal!$B$7:M$84,8)))</f>
        <v>0</v>
      </c>
      <c r="L105" s="87">
        <f t="shared" si="7"/>
        <v>0</v>
      </c>
      <c r="P105">
        <f t="shared" si="10"/>
        <v>1.0000000000000001E-5</v>
      </c>
      <c r="R105" s="15">
        <f t="shared" si="11"/>
        <v>98</v>
      </c>
      <c r="S105" s="126">
        <f>IF(VLOOKUP(A105,Journal!$A$7:$E$70,5)=0,S104+1,VLOOKUP(A105,Journal!$A$7:$E$70,5))</f>
        <v>45755</v>
      </c>
      <c r="T105" s="125">
        <f>IF(H$2=VLOOKUP(A105,Journal!$A$7:$F$70,6),VLOOKUP(A105,Journal!$A$7:M$70,9),0)</f>
        <v>0</v>
      </c>
      <c r="U105" s="125">
        <f>IF(H$2=VLOOKUP(A105,Journal!$A$7:$G$70,7),VLOOKUP(A105,Journal!$A$7:M$70,9),0)</f>
        <v>0</v>
      </c>
      <c r="V105" s="125">
        <f t="shared" si="12"/>
        <v>40</v>
      </c>
      <c r="X105">
        <f t="shared" si="9"/>
        <v>0</v>
      </c>
      <c r="Y105" s="143">
        <f t="shared" si="8"/>
        <v>-997.50000000000398</v>
      </c>
    </row>
    <row r="106" spans="1:25" x14ac:dyDescent="0.25">
      <c r="A106">
        <f t="shared" si="13"/>
        <v>99</v>
      </c>
      <c r="B106" s="88" t="str">
        <f>IF(OR(B105="Total",B105=""),"",IF(VLOOKUP(A106,Journal!$B$7:$E$84,4)=0,"Total",VLOOKUP(A106,Journal!$B$7:$D$84,3)))</f>
        <v/>
      </c>
      <c r="C106" s="86" t="str">
        <f>IF(B106="","",VLOOKUP(A106,Journal!$B$7:$E$84,4))</f>
        <v/>
      </c>
      <c r="D106" s="114" t="str">
        <f>IF(B106="","",VLOOKUP(A106,Journal!$B$7:$J$84,9))</f>
        <v/>
      </c>
      <c r="E106" s="116"/>
      <c r="F106" s="116"/>
      <c r="G106" s="115"/>
      <c r="H106" s="84" t="str">
        <f>IF(B106="","",VLOOKUP(A106,Journal!$B$7:$L$84,11))</f>
        <v/>
      </c>
      <c r="I106" s="84" t="str">
        <f>IF(B106="","",VLOOKUP(A106,Journal!$B$7:$M$84,12))</f>
        <v/>
      </c>
      <c r="J106" s="105">
        <f>IF(B106="Total",SUM(J$8:J105)+0.0001,IF(OR(B106="",I$2=I106),0,VLOOKUP(A106,Journal!$B$7:M$84,8)))</f>
        <v>0</v>
      </c>
      <c r="K106" s="102">
        <f>IF(B106="Total",SUM(K$8:K105)+0.0001,IF(OR(B106="",J106&lt;&gt;0),0,VLOOKUP(A106,Journal!$B$7:M$84,8)))</f>
        <v>0</v>
      </c>
      <c r="L106" s="87">
        <f t="shared" si="7"/>
        <v>0</v>
      </c>
      <c r="P106">
        <f t="shared" si="10"/>
        <v>1.0000000000000001E-5</v>
      </c>
      <c r="R106" s="15">
        <f t="shared" si="11"/>
        <v>99</v>
      </c>
      <c r="S106" s="126">
        <f>IF(VLOOKUP(A106,Journal!$A$7:$E$70,5)=0,S105+1,VLOOKUP(A106,Journal!$A$7:$E$70,5))</f>
        <v>45756</v>
      </c>
      <c r="T106" s="125">
        <f>IF(H$2=VLOOKUP(A106,Journal!$A$7:$F$70,6),VLOOKUP(A106,Journal!$A$7:M$70,9),0)</f>
        <v>0</v>
      </c>
      <c r="U106" s="125">
        <f>IF(H$2=VLOOKUP(A106,Journal!$A$7:$G$70,7),VLOOKUP(A106,Journal!$A$7:M$70,9),0)</f>
        <v>0</v>
      </c>
      <c r="V106" s="125">
        <f t="shared" si="12"/>
        <v>40</v>
      </c>
      <c r="X106">
        <f t="shared" si="9"/>
        <v>0</v>
      </c>
      <c r="Y106" s="143">
        <f t="shared" si="8"/>
        <v>-997.47368421053034</v>
      </c>
    </row>
    <row r="107" spans="1:25" x14ac:dyDescent="0.25">
      <c r="A107">
        <f t="shared" si="13"/>
        <v>100</v>
      </c>
      <c r="B107" s="88" t="str">
        <f>IF(OR(B106="Total",B106=""),"",IF(VLOOKUP(A107,Journal!$B$7:$E$84,4)=0,"Total",VLOOKUP(A107,Journal!$B$7:$D$84,3)))</f>
        <v/>
      </c>
      <c r="C107" s="86" t="str">
        <f>IF(B107="","",VLOOKUP(A107,Journal!$B$7:$E$84,4))</f>
        <v/>
      </c>
      <c r="D107" s="114" t="str">
        <f>IF(B107="","",VLOOKUP(A107,Journal!$B$7:$J$84,9))</f>
        <v/>
      </c>
      <c r="E107" s="116"/>
      <c r="F107" s="116"/>
      <c r="G107" s="115"/>
      <c r="H107" s="84" t="str">
        <f>IF(B107="","",VLOOKUP(A107,Journal!$B$7:$L$84,11))</f>
        <v/>
      </c>
      <c r="I107" s="84" t="str">
        <f>IF(B107="","",VLOOKUP(A107,Journal!$B$7:$M$84,12))</f>
        <v/>
      </c>
      <c r="J107" s="105">
        <f>IF(B107="Total",SUM(J$8:J106)+0.0001,IF(OR(B107="",I$2=I107),0,VLOOKUP(A107,Journal!$B$7:M$84,8)))</f>
        <v>0</v>
      </c>
      <c r="K107" s="102">
        <f>IF(B107="Total",SUM(K$8:K106)+0.0001,IF(OR(B107="",J107&lt;&gt;0),0,VLOOKUP(A107,Journal!$B$7:M$84,8)))</f>
        <v>0</v>
      </c>
      <c r="L107" s="87">
        <f t="shared" si="7"/>
        <v>0</v>
      </c>
      <c r="P107">
        <f t="shared" si="10"/>
        <v>1.0000000000000001E-5</v>
      </c>
      <c r="R107" s="15">
        <f t="shared" si="11"/>
        <v>100</v>
      </c>
      <c r="S107" s="126">
        <f>IF(VLOOKUP(A107,Journal!$A$7:$E$70,5)=0,S106+1,VLOOKUP(A107,Journal!$A$7:$E$70,5))</f>
        <v>45757</v>
      </c>
      <c r="T107" s="125">
        <f>IF(H$2=VLOOKUP(A107,Journal!$A$7:$F$70,6),VLOOKUP(A107,Journal!$A$7:M$70,9),0)</f>
        <v>0</v>
      </c>
      <c r="U107" s="125">
        <f>IF(H$2=VLOOKUP(A107,Journal!$A$7:$G$70,7),VLOOKUP(A107,Journal!$A$7:M$70,9),0)</f>
        <v>0</v>
      </c>
      <c r="V107" s="125">
        <f t="shared" si="12"/>
        <v>40</v>
      </c>
      <c r="X107">
        <f t="shared" si="9"/>
        <v>0</v>
      </c>
      <c r="Y107" s="143">
        <f t="shared" si="8"/>
        <v>-997.44736842105669</v>
      </c>
    </row>
    <row r="108" spans="1:25" x14ac:dyDescent="0.25">
      <c r="A108">
        <f t="shared" si="13"/>
        <v>101</v>
      </c>
      <c r="B108" s="88" t="str">
        <f>IF(OR(B107="Total",B107=""),"",IF(VLOOKUP(A108,Journal!$B$7:$E$84,4)=0,"Total",VLOOKUP(A108,Journal!$B$7:$D$84,3)))</f>
        <v/>
      </c>
      <c r="C108" s="86" t="str">
        <f>IF(B108="","",VLOOKUP(A108,Journal!$B$7:$E$84,4))</f>
        <v/>
      </c>
      <c r="D108" s="114" t="str">
        <f>IF(B108="","",VLOOKUP(A108,Journal!$B$7:$J$84,9))</f>
        <v/>
      </c>
      <c r="E108" s="116"/>
      <c r="F108" s="116"/>
      <c r="G108" s="115"/>
      <c r="H108" s="84" t="str">
        <f>IF(B108="","",VLOOKUP(A108,Journal!$B$7:$L$84,11))</f>
        <v/>
      </c>
      <c r="I108" s="84" t="str">
        <f>IF(B108="","",VLOOKUP(A108,Journal!$B$7:$M$84,12))</f>
        <v/>
      </c>
      <c r="J108" s="105">
        <f>IF(B108="Total",SUM(J$8:J107)+0.0001,IF(OR(B108="",I$2=I108),0,VLOOKUP(A108,Journal!$B$7:M$84,8)))</f>
        <v>0</v>
      </c>
      <c r="K108" s="102">
        <f>IF(B108="Total",SUM(K$8:K107)+0.0001,IF(OR(B108="",J108&lt;&gt;0),0,VLOOKUP(A108,Journal!$B$7:M$84,8)))</f>
        <v>0</v>
      </c>
      <c r="L108" s="87">
        <f t="shared" si="7"/>
        <v>0</v>
      </c>
      <c r="P108">
        <f t="shared" si="10"/>
        <v>1.0000000000000001E-5</v>
      </c>
      <c r="R108" s="15">
        <f t="shared" si="11"/>
        <v>101</v>
      </c>
      <c r="S108" s="126">
        <f>IF(VLOOKUP(A108,Journal!$A$7:$E$70,5)=0,S107+1,VLOOKUP(A108,Journal!$A$7:$E$70,5))</f>
        <v>45758</v>
      </c>
      <c r="T108" s="125">
        <f>IF(H$2=VLOOKUP(A108,Journal!$A$7:$F$70,6),VLOOKUP(A108,Journal!$A$7:M$70,9),0)</f>
        <v>0</v>
      </c>
      <c r="U108" s="125">
        <f>IF(H$2=VLOOKUP(A108,Journal!$A$7:$G$70,7),VLOOKUP(A108,Journal!$A$7:M$70,9),0)</f>
        <v>0</v>
      </c>
      <c r="V108" s="125">
        <f t="shared" si="12"/>
        <v>40</v>
      </c>
      <c r="X108">
        <f t="shared" si="9"/>
        <v>0</v>
      </c>
      <c r="Y108" s="143">
        <f t="shared" si="8"/>
        <v>-997.42105263158305</v>
      </c>
    </row>
    <row r="109" spans="1:25" x14ac:dyDescent="0.25">
      <c r="A109">
        <f t="shared" si="13"/>
        <v>102</v>
      </c>
      <c r="B109" s="88" t="str">
        <f>IF(OR(B108="Total",B108=""),"",IF(VLOOKUP(A109,Journal!$B$7:$E$84,4)=0,"Total",VLOOKUP(A109,Journal!$B$7:$D$84,3)))</f>
        <v/>
      </c>
      <c r="C109" s="86" t="str">
        <f>IF(B109="","",VLOOKUP(A109,Journal!$B$7:$E$84,4))</f>
        <v/>
      </c>
      <c r="D109" s="114" t="str">
        <f>IF(B109="","",VLOOKUP(A109,Journal!$B$7:$J$84,9))</f>
        <v/>
      </c>
      <c r="E109" s="116"/>
      <c r="F109" s="116"/>
      <c r="G109" s="115"/>
      <c r="H109" s="84" t="str">
        <f>IF(B109="","",VLOOKUP(A109,Journal!$B$7:$L$84,11))</f>
        <v/>
      </c>
      <c r="I109" s="84" t="str">
        <f>IF(B109="","",VLOOKUP(A109,Journal!$B$7:$M$84,12))</f>
        <v/>
      </c>
      <c r="J109" s="105">
        <f>IF(B109="Total",SUM(J$8:J108)+0.0001,IF(OR(B109="",I$2=I109),0,VLOOKUP(A109,Journal!$B$7:M$84,8)))</f>
        <v>0</v>
      </c>
      <c r="K109" s="102">
        <f>IF(B109="Total",SUM(K$8:K108)+0.0001,IF(OR(B109="",J109&lt;&gt;0),0,VLOOKUP(A109,Journal!$B$7:M$84,8)))</f>
        <v>0</v>
      </c>
      <c r="L109" s="87">
        <f t="shared" si="7"/>
        <v>0</v>
      </c>
      <c r="P109">
        <f t="shared" si="10"/>
        <v>1.0000000000000001E-5</v>
      </c>
      <c r="R109" s="15">
        <f t="shared" si="11"/>
        <v>102</v>
      </c>
      <c r="S109" s="126">
        <f>IF(VLOOKUP(A109,Journal!$A$7:$E$70,5)=0,S108+1,VLOOKUP(A109,Journal!$A$7:$E$70,5))</f>
        <v>45759</v>
      </c>
      <c r="T109" s="125">
        <f>IF(H$2=VLOOKUP(A109,Journal!$A$7:$F$70,6),VLOOKUP(A109,Journal!$A$7:M$70,9),0)</f>
        <v>0</v>
      </c>
      <c r="U109" s="125">
        <f>IF(H$2=VLOOKUP(A109,Journal!$A$7:$G$70,7),VLOOKUP(A109,Journal!$A$7:M$70,9),0)</f>
        <v>0</v>
      </c>
      <c r="V109" s="125">
        <f t="shared" si="12"/>
        <v>40</v>
      </c>
      <c r="X109">
        <f t="shared" si="9"/>
        <v>0</v>
      </c>
      <c r="Y109" s="143">
        <f t="shared" si="8"/>
        <v>-997.39473684210941</v>
      </c>
    </row>
    <row r="110" spans="1:25" x14ac:dyDescent="0.25">
      <c r="A110">
        <f t="shared" si="13"/>
        <v>103</v>
      </c>
      <c r="B110" s="88" t="str">
        <f>IF(OR(B109="Total",B109=""),"",IF(VLOOKUP(A110,Journal!$B$7:$E$84,4)=0,"Total",VLOOKUP(A110,Journal!$B$7:$D$84,3)))</f>
        <v/>
      </c>
      <c r="C110" s="86" t="str">
        <f>IF(B110="","",VLOOKUP(A110,Journal!$B$7:$E$84,4))</f>
        <v/>
      </c>
      <c r="D110" s="114" t="str">
        <f>IF(B110="","",VLOOKUP(A110,Journal!$B$7:$J$84,9))</f>
        <v/>
      </c>
      <c r="E110" s="116"/>
      <c r="F110" s="116"/>
      <c r="G110" s="115"/>
      <c r="H110" s="84" t="str">
        <f>IF(B110="","",VLOOKUP(A110,Journal!$B$7:$L$84,11))</f>
        <v/>
      </c>
      <c r="I110" s="84" t="str">
        <f>IF(B110="","",VLOOKUP(A110,Journal!$B$7:$M$84,12))</f>
        <v/>
      </c>
      <c r="J110" s="105">
        <f>IF(B110="Total",SUM(J$8:J109)+0.0001,IF(OR(B110="",I$2=I110),0,VLOOKUP(A110,Journal!$B$7:M$84,8)))</f>
        <v>0</v>
      </c>
      <c r="K110" s="102">
        <f>IF(B110="Total",SUM(K$8:K109)+0.0001,IF(OR(B110="",J110&lt;&gt;0),0,VLOOKUP(A110,Journal!$B$7:M$84,8)))</f>
        <v>0</v>
      </c>
      <c r="L110" s="87">
        <f t="shared" si="7"/>
        <v>0</v>
      </c>
      <c r="P110">
        <f t="shared" si="10"/>
        <v>1.0000000000000001E-5</v>
      </c>
      <c r="R110" s="15">
        <f t="shared" si="11"/>
        <v>103</v>
      </c>
      <c r="S110" s="126">
        <f>IF(VLOOKUP(A110,Journal!$A$7:$E$70,5)=0,S109+1,VLOOKUP(A110,Journal!$A$7:$E$70,5))</f>
        <v>45760</v>
      </c>
      <c r="T110" s="125">
        <f>IF(H$2=VLOOKUP(A110,Journal!$A$7:$F$70,6),VLOOKUP(A110,Journal!$A$7:M$70,9),0)</f>
        <v>0</v>
      </c>
      <c r="U110" s="125">
        <f>IF(H$2=VLOOKUP(A110,Journal!$A$7:$G$70,7),VLOOKUP(A110,Journal!$A$7:M$70,9),0)</f>
        <v>0</v>
      </c>
      <c r="V110" s="125">
        <f t="shared" si="12"/>
        <v>40</v>
      </c>
      <c r="X110">
        <f t="shared" si="9"/>
        <v>0</v>
      </c>
      <c r="Y110" s="143">
        <f t="shared" si="8"/>
        <v>-997.36842105263577</v>
      </c>
    </row>
    <row r="111" spans="1:25" x14ac:dyDescent="0.25">
      <c r="A111">
        <f t="shared" si="13"/>
        <v>104</v>
      </c>
      <c r="B111" s="88" t="str">
        <f>IF(OR(B110="Total",B110=""),"",IF(VLOOKUP(A111,Journal!$B$7:$E$84,4)=0,"Total",VLOOKUP(A111,Journal!$B$7:$D$84,3)))</f>
        <v/>
      </c>
      <c r="C111" s="86" t="str">
        <f>IF(B111="","",VLOOKUP(A111,Journal!$B$7:$E$84,4))</f>
        <v/>
      </c>
      <c r="D111" s="114" t="str">
        <f>IF(B111="","",VLOOKUP(A111,Journal!$B$7:$J$84,9))</f>
        <v/>
      </c>
      <c r="E111" s="116"/>
      <c r="F111" s="116"/>
      <c r="G111" s="115"/>
      <c r="H111" s="84" t="str">
        <f>IF(B111="","",VLOOKUP(A111,Journal!$B$7:$L$84,11))</f>
        <v/>
      </c>
      <c r="I111" s="84" t="str">
        <f>IF(B111="","",VLOOKUP(A111,Journal!$B$7:$M$84,12))</f>
        <v/>
      </c>
      <c r="J111" s="105">
        <f>IF(B111="Total",SUM(J$8:J110)+0.0001,IF(OR(B111="",I$2=I111),0,VLOOKUP(A111,Journal!$B$7:M$84,8)))</f>
        <v>0</v>
      </c>
      <c r="K111" s="102">
        <f>IF(B111="Total",SUM(K$8:K110)+0.0001,IF(OR(B111="",J111&lt;&gt;0),0,VLOOKUP(A111,Journal!$B$7:M$84,8)))</f>
        <v>0</v>
      </c>
      <c r="L111" s="87">
        <f t="shared" si="7"/>
        <v>0</v>
      </c>
      <c r="P111">
        <f t="shared" si="10"/>
        <v>1.0000000000000001E-5</v>
      </c>
      <c r="R111" s="15">
        <f t="shared" si="11"/>
        <v>104</v>
      </c>
      <c r="S111" s="126">
        <f>IF(VLOOKUP(A111,Journal!$A$7:$E$70,5)=0,S110+1,VLOOKUP(A111,Journal!$A$7:$E$70,5))</f>
        <v>45761</v>
      </c>
      <c r="T111" s="125">
        <f>IF(H$2=VLOOKUP(A111,Journal!$A$7:$F$70,6),VLOOKUP(A111,Journal!$A$7:M$70,9),0)</f>
        <v>0</v>
      </c>
      <c r="U111" s="125">
        <f>IF(H$2=VLOOKUP(A111,Journal!$A$7:$G$70,7),VLOOKUP(A111,Journal!$A$7:M$70,9),0)</f>
        <v>0</v>
      </c>
      <c r="V111" s="125">
        <f t="shared" si="12"/>
        <v>40</v>
      </c>
      <c r="X111">
        <f t="shared" si="9"/>
        <v>0</v>
      </c>
      <c r="Y111" s="143">
        <f t="shared" si="8"/>
        <v>-997.34210526316213</v>
      </c>
    </row>
    <row r="112" spans="1:25" x14ac:dyDescent="0.25">
      <c r="A112">
        <f t="shared" si="13"/>
        <v>105</v>
      </c>
      <c r="B112" s="88" t="str">
        <f>IF(OR(B111="Total",B111=""),"",IF(VLOOKUP(A112,Journal!$B$7:$E$84,4)=0,"Total",VLOOKUP(A112,Journal!$B$7:$D$84,3)))</f>
        <v/>
      </c>
      <c r="C112" s="86" t="str">
        <f>IF(B112="","",VLOOKUP(A112,Journal!$B$7:$E$84,4))</f>
        <v/>
      </c>
      <c r="D112" s="114" t="str">
        <f>IF(B112="","",VLOOKUP(A112,Journal!$B$7:$J$84,9))</f>
        <v/>
      </c>
      <c r="E112" s="116"/>
      <c r="F112" s="116"/>
      <c r="G112" s="115"/>
      <c r="H112" s="84" t="str">
        <f>IF(B112="","",VLOOKUP(A112,Journal!$B$7:$L$84,11))</f>
        <v/>
      </c>
      <c r="I112" s="84" t="str">
        <f>IF(B112="","",VLOOKUP(A112,Journal!$B$7:$M$84,12))</f>
        <v/>
      </c>
      <c r="J112" s="105">
        <f>IF(B112="Total",SUM(J$8:J111)+0.0001,IF(OR(B112="",I$2=I112),0,VLOOKUP(A112,Journal!$B$7:M$84,8)))</f>
        <v>0</v>
      </c>
      <c r="K112" s="102">
        <f>IF(B112="Total",SUM(K$8:K111)+0.0001,IF(OR(B112="",J112&lt;&gt;0),0,VLOOKUP(A112,Journal!$B$7:M$84,8)))</f>
        <v>0</v>
      </c>
      <c r="L112" s="87">
        <f t="shared" si="7"/>
        <v>0</v>
      </c>
      <c r="P112">
        <f t="shared" si="10"/>
        <v>1.0000000000000001E-5</v>
      </c>
      <c r="R112" s="15">
        <f t="shared" si="11"/>
        <v>105</v>
      </c>
      <c r="S112" s="126">
        <f>IF(VLOOKUP(A112,Journal!$A$7:$E$70,5)=0,S111+1,VLOOKUP(A112,Journal!$A$7:$E$70,5))</f>
        <v>45762</v>
      </c>
      <c r="T112" s="125">
        <f>IF(H$2=VLOOKUP(A112,Journal!$A$7:$F$70,6),VLOOKUP(A112,Journal!$A$7:M$70,9),0)</f>
        <v>0</v>
      </c>
      <c r="U112" s="125">
        <f>IF(H$2=VLOOKUP(A112,Journal!$A$7:$G$70,7),VLOOKUP(A112,Journal!$A$7:M$70,9),0)</f>
        <v>0</v>
      </c>
      <c r="V112" s="125">
        <f t="shared" si="12"/>
        <v>40</v>
      </c>
      <c r="X112">
        <f t="shared" si="9"/>
        <v>0</v>
      </c>
      <c r="Y112" s="143">
        <f t="shared" si="8"/>
        <v>-997.31578947368848</v>
      </c>
    </row>
    <row r="113" spans="1:25" x14ac:dyDescent="0.25">
      <c r="A113">
        <f t="shared" si="13"/>
        <v>106</v>
      </c>
      <c r="B113" s="88" t="str">
        <f>IF(OR(B112="Total",B112=""),"",IF(VLOOKUP(A113,Journal!$B$7:$E$84,4)=0,"Total",VLOOKUP(A113,Journal!$B$7:$D$84,3)))</f>
        <v/>
      </c>
      <c r="C113" s="86" t="str">
        <f>IF(B113="","",VLOOKUP(A113,Journal!$B$7:$E$84,4))</f>
        <v/>
      </c>
      <c r="D113" s="114" t="str">
        <f>IF(B113="","",VLOOKUP(A113,Journal!$B$7:$J$84,9))</f>
        <v/>
      </c>
      <c r="E113" s="116"/>
      <c r="F113" s="116"/>
      <c r="G113" s="115"/>
      <c r="H113" s="84" t="str">
        <f>IF(B113="","",VLOOKUP(A113,Journal!$B$7:$L$84,11))</f>
        <v/>
      </c>
      <c r="I113" s="84" t="str">
        <f>IF(B113="","",VLOOKUP(A113,Journal!$B$7:$M$84,12))</f>
        <v/>
      </c>
      <c r="J113" s="105">
        <f>IF(B113="Total",SUM(J$8:J112)+0.0001,IF(OR(B113="",I$2=I113),0,VLOOKUP(A113,Journal!$B$7:M$84,8)))</f>
        <v>0</v>
      </c>
      <c r="K113" s="102">
        <f>IF(B113="Total",SUM(K$8:K112)+0.0001,IF(OR(B113="",J113&lt;&gt;0),0,VLOOKUP(A113,Journal!$B$7:M$84,8)))</f>
        <v>0</v>
      </c>
      <c r="L113" s="87">
        <f t="shared" si="7"/>
        <v>0</v>
      </c>
      <c r="P113">
        <f t="shared" si="10"/>
        <v>1.0000000000000001E-5</v>
      </c>
      <c r="R113" s="15">
        <f t="shared" si="11"/>
        <v>106</v>
      </c>
      <c r="S113" s="126">
        <f>IF(VLOOKUP(A113,Journal!$A$7:$E$70,5)=0,S112+1,VLOOKUP(A113,Journal!$A$7:$E$70,5))</f>
        <v>45763</v>
      </c>
      <c r="T113" s="125">
        <f>IF(H$2=VLOOKUP(A113,Journal!$A$7:$F$70,6),VLOOKUP(A113,Journal!$A$7:M$70,9),0)</f>
        <v>0</v>
      </c>
      <c r="U113" s="125">
        <f>IF(H$2=VLOOKUP(A113,Journal!$A$7:$G$70,7),VLOOKUP(A113,Journal!$A$7:M$70,9),0)</f>
        <v>0</v>
      </c>
      <c r="V113" s="125">
        <f t="shared" si="12"/>
        <v>40</v>
      </c>
      <c r="X113">
        <f t="shared" si="9"/>
        <v>0</v>
      </c>
      <c r="Y113" s="143">
        <f t="shared" si="8"/>
        <v>-997.28947368421484</v>
      </c>
    </row>
    <row r="114" spans="1:25" x14ac:dyDescent="0.25">
      <c r="A114">
        <f t="shared" si="13"/>
        <v>107</v>
      </c>
      <c r="B114" s="88" t="str">
        <f>IF(OR(B113="Total",B113=""),"",IF(VLOOKUP(A114,Journal!$B$7:$E$84,4)=0,"Total",VLOOKUP(A114,Journal!$B$7:$D$84,3)))</f>
        <v/>
      </c>
      <c r="C114" s="86" t="str">
        <f>IF(B114="","",VLOOKUP(A114,Journal!$B$7:$E$84,4))</f>
        <v/>
      </c>
      <c r="D114" s="114" t="str">
        <f>IF(B114="","",VLOOKUP(A114,Journal!$B$7:$J$84,9))</f>
        <v/>
      </c>
      <c r="E114" s="116"/>
      <c r="F114" s="116"/>
      <c r="G114" s="115"/>
      <c r="H114" s="84" t="str">
        <f>IF(B114="","",VLOOKUP(A114,Journal!$B$7:$L$84,11))</f>
        <v/>
      </c>
      <c r="I114" s="84" t="str">
        <f>IF(B114="","",VLOOKUP(A114,Journal!$B$7:$M$84,12))</f>
        <v/>
      </c>
      <c r="J114" s="105">
        <f>IF(B114="Total",SUM(J$8:J113)+0.0001,IF(OR(B114="",I$2=I114),0,VLOOKUP(A114,Journal!$B$7:M$84,8)))</f>
        <v>0</v>
      </c>
      <c r="K114" s="102">
        <f>IF(B114="Total",SUM(K$8:K113)+0.0001,IF(OR(B114="",J114&lt;&gt;0),0,VLOOKUP(A114,Journal!$B$7:M$84,8)))</f>
        <v>0</v>
      </c>
      <c r="L114" s="87">
        <f t="shared" si="7"/>
        <v>0</v>
      </c>
      <c r="P114">
        <f t="shared" si="10"/>
        <v>1.0000000000000001E-5</v>
      </c>
      <c r="R114" s="15">
        <f t="shared" si="11"/>
        <v>107</v>
      </c>
      <c r="S114" s="126">
        <f>IF(VLOOKUP(A114,Journal!$A$7:$E$70,5)=0,S113+1,VLOOKUP(A114,Journal!$A$7:$E$70,5))</f>
        <v>45764</v>
      </c>
      <c r="T114" s="125">
        <f>IF(H$2=VLOOKUP(A114,Journal!$A$7:$F$70,6),VLOOKUP(A114,Journal!$A$7:M$70,9),0)</f>
        <v>0</v>
      </c>
      <c r="U114" s="125">
        <f>IF(H$2=VLOOKUP(A114,Journal!$A$7:$G$70,7),VLOOKUP(A114,Journal!$A$7:M$70,9),0)</f>
        <v>0</v>
      </c>
      <c r="V114" s="125">
        <f t="shared" si="12"/>
        <v>40</v>
      </c>
      <c r="X114">
        <f t="shared" si="9"/>
        <v>0</v>
      </c>
      <c r="Y114" s="143">
        <f t="shared" si="8"/>
        <v>-997.2631578947412</v>
      </c>
    </row>
    <row r="115" spans="1:25" x14ac:dyDescent="0.25">
      <c r="A115">
        <f t="shared" si="13"/>
        <v>108</v>
      </c>
      <c r="B115" s="88" t="str">
        <f>IF(OR(B114="Total",B114=""),"",IF(VLOOKUP(A115,Journal!$B$7:$E$84,4)=0,"Total",VLOOKUP(A115,Journal!$B$7:$D$84,3)))</f>
        <v/>
      </c>
      <c r="C115" s="86" t="str">
        <f>IF(B115="","",VLOOKUP(A115,Journal!$B$7:$E$84,4))</f>
        <v/>
      </c>
      <c r="D115" s="114" t="str">
        <f>IF(B115="","",VLOOKUP(A115,Journal!$B$7:$J$84,9))</f>
        <v/>
      </c>
      <c r="E115" s="116"/>
      <c r="F115" s="116"/>
      <c r="G115" s="115"/>
      <c r="H115" s="84" t="str">
        <f>IF(B115="","",VLOOKUP(A115,Journal!$B$7:$L$84,11))</f>
        <v/>
      </c>
      <c r="I115" s="84" t="str">
        <f>IF(B115="","",VLOOKUP(A115,Journal!$B$7:$M$84,12))</f>
        <v/>
      </c>
      <c r="J115" s="105">
        <f>IF(B115="Total",SUM(J$8:J114)+0.0001,IF(OR(B115="",I$2=I115),0,VLOOKUP(A115,Journal!$B$7:M$84,8)))</f>
        <v>0</v>
      </c>
      <c r="K115" s="102">
        <f>IF(B115="Total",SUM(K$8:K114)+0.0001,IF(OR(B115="",J115&lt;&gt;0),0,VLOOKUP(A115,Journal!$B$7:M$84,8)))</f>
        <v>0</v>
      </c>
      <c r="L115" s="87">
        <f t="shared" si="7"/>
        <v>0</v>
      </c>
      <c r="P115">
        <f t="shared" si="10"/>
        <v>1.0000000000000001E-5</v>
      </c>
      <c r="R115" s="15">
        <f t="shared" si="11"/>
        <v>108</v>
      </c>
      <c r="S115" s="126">
        <f>IF(VLOOKUP(A115,Journal!$A$7:$E$70,5)=0,S114+1,VLOOKUP(A115,Journal!$A$7:$E$70,5))</f>
        <v>45765</v>
      </c>
      <c r="T115" s="125">
        <f>IF(H$2=VLOOKUP(A115,Journal!$A$7:$F$70,6),VLOOKUP(A115,Journal!$A$7:M$70,9),0)</f>
        <v>0</v>
      </c>
      <c r="U115" s="125">
        <f>IF(H$2=VLOOKUP(A115,Journal!$A$7:$G$70,7),VLOOKUP(A115,Journal!$A$7:M$70,9),0)</f>
        <v>0</v>
      </c>
      <c r="V115" s="125">
        <f t="shared" si="12"/>
        <v>40</v>
      </c>
      <c r="X115">
        <f t="shared" si="9"/>
        <v>0</v>
      </c>
      <c r="Y115" s="143">
        <f t="shared" si="8"/>
        <v>-997.23684210526756</v>
      </c>
    </row>
    <row r="116" spans="1:25" x14ac:dyDescent="0.25">
      <c r="A116">
        <f t="shared" si="13"/>
        <v>109</v>
      </c>
      <c r="B116" s="88" t="str">
        <f>IF(OR(B115="Total",B115=""),"",IF(VLOOKUP(A116,Journal!$B$7:$E$84,4)=0,"Total",VLOOKUP(A116,Journal!$B$7:$D$84,3)))</f>
        <v/>
      </c>
      <c r="C116" s="86" t="str">
        <f>IF(B116="","",VLOOKUP(A116,Journal!$B$7:$E$84,4))</f>
        <v/>
      </c>
      <c r="D116" s="114" t="str">
        <f>IF(B116="","",VLOOKUP(A116,Journal!$B$7:$J$84,9))</f>
        <v/>
      </c>
      <c r="E116" s="116"/>
      <c r="F116" s="116"/>
      <c r="G116" s="115"/>
      <c r="H116" s="84" t="str">
        <f>IF(B116="","",VLOOKUP(A116,Journal!$B$7:$L$84,11))</f>
        <v/>
      </c>
      <c r="I116" s="84" t="str">
        <f>IF(B116="","",VLOOKUP(A116,Journal!$B$7:$M$84,12))</f>
        <v/>
      </c>
      <c r="J116" s="105">
        <f>IF(B116="Total",SUM(J$8:J115)+0.0001,IF(OR(B116="",I$2=I116),0,VLOOKUP(A116,Journal!$B$7:M$84,8)))</f>
        <v>0</v>
      </c>
      <c r="K116" s="102">
        <f>IF(B116="Total",SUM(K$8:K115)+0.0001,IF(OR(B116="",J116&lt;&gt;0),0,VLOOKUP(A116,Journal!$B$7:M$84,8)))</f>
        <v>0</v>
      </c>
      <c r="L116" s="87">
        <f t="shared" si="7"/>
        <v>0</v>
      </c>
      <c r="P116">
        <f t="shared" si="10"/>
        <v>1.0000000000000001E-5</v>
      </c>
      <c r="R116" s="15">
        <f t="shared" si="11"/>
        <v>109</v>
      </c>
      <c r="S116" s="126">
        <f>IF(VLOOKUP(A116,Journal!$A$7:$E$70,5)=0,S115+1,VLOOKUP(A116,Journal!$A$7:$E$70,5))</f>
        <v>45766</v>
      </c>
      <c r="T116" s="125">
        <f>IF(H$2=VLOOKUP(A116,Journal!$A$7:$F$70,6),VLOOKUP(A116,Journal!$A$7:M$70,9),0)</f>
        <v>0</v>
      </c>
      <c r="U116" s="125">
        <f>IF(H$2=VLOOKUP(A116,Journal!$A$7:$G$70,7),VLOOKUP(A116,Journal!$A$7:M$70,9),0)</f>
        <v>0</v>
      </c>
      <c r="V116" s="125">
        <f t="shared" si="12"/>
        <v>40</v>
      </c>
      <c r="X116">
        <f t="shared" si="9"/>
        <v>0</v>
      </c>
      <c r="Y116" s="143">
        <f t="shared" si="8"/>
        <v>-997.21052631579391</v>
      </c>
    </row>
    <row r="117" spans="1:25" x14ac:dyDescent="0.25">
      <c r="A117">
        <f t="shared" si="13"/>
        <v>110</v>
      </c>
      <c r="B117" s="88" t="str">
        <f>IF(OR(B116="Total",B116=""),"",IF(VLOOKUP(A117,Journal!$B$7:$E$84,4)=0,"Total",VLOOKUP(A117,Journal!$B$7:$D$84,3)))</f>
        <v/>
      </c>
      <c r="C117" s="86" t="str">
        <f>IF(B117="","",VLOOKUP(A117,Journal!$B$7:$E$84,4))</f>
        <v/>
      </c>
      <c r="D117" s="114" t="str">
        <f>IF(B117="","",VLOOKUP(A117,Journal!$B$7:$J$84,9))</f>
        <v/>
      </c>
      <c r="E117" s="116"/>
      <c r="F117" s="116"/>
      <c r="G117" s="115"/>
      <c r="H117" s="84" t="str">
        <f>IF(B117="","",VLOOKUP(A117,Journal!$B$7:$L$84,11))</f>
        <v/>
      </c>
      <c r="I117" s="84" t="str">
        <f>IF(B117="","",VLOOKUP(A117,Journal!$B$7:$M$84,12))</f>
        <v/>
      </c>
      <c r="J117" s="105">
        <f>IF(B117="Total",SUM(J$8:J116)+0.0001,IF(OR(B117="",I$2=I117),0,VLOOKUP(A117,Journal!$B$7:M$84,8)))</f>
        <v>0</v>
      </c>
      <c r="K117" s="102">
        <f>IF(B117="Total",SUM(K$8:K116)+0.0001,IF(OR(B117="",J117&lt;&gt;0),0,VLOOKUP(A117,Journal!$B$7:M$84,8)))</f>
        <v>0</v>
      </c>
      <c r="L117" s="87">
        <f t="shared" si="7"/>
        <v>0</v>
      </c>
      <c r="P117">
        <f t="shared" si="10"/>
        <v>1.0000000000000001E-5</v>
      </c>
      <c r="R117" s="15">
        <f t="shared" si="11"/>
        <v>110</v>
      </c>
      <c r="S117" s="126">
        <f>IF(VLOOKUP(A117,Journal!$A$7:$E$70,5)=0,S116+1,VLOOKUP(A117,Journal!$A$7:$E$70,5))</f>
        <v>45767</v>
      </c>
      <c r="T117" s="125">
        <f>IF(H$2=VLOOKUP(A117,Journal!$A$7:$F$70,6),VLOOKUP(A117,Journal!$A$7:M$70,9),0)</f>
        <v>0</v>
      </c>
      <c r="U117" s="125">
        <f>IF(H$2=VLOOKUP(A117,Journal!$A$7:$G$70,7),VLOOKUP(A117,Journal!$A$7:M$70,9),0)</f>
        <v>0</v>
      </c>
      <c r="V117" s="125">
        <f t="shared" si="12"/>
        <v>40</v>
      </c>
      <c r="X117">
        <f t="shared" si="9"/>
        <v>0</v>
      </c>
      <c r="Y117" s="143">
        <f t="shared" si="8"/>
        <v>-997.18421052632027</v>
      </c>
    </row>
    <row r="118" spans="1:25" x14ac:dyDescent="0.25">
      <c r="A118">
        <f t="shared" si="13"/>
        <v>111</v>
      </c>
      <c r="B118" s="88" t="str">
        <f>IF(OR(B117="Total",B117=""),"",IF(VLOOKUP(A118,Journal!$B$7:$E$84,4)=0,"Total",VLOOKUP(A118,Journal!$B$7:$D$84,3)))</f>
        <v/>
      </c>
      <c r="C118" s="86" t="str">
        <f>IF(B118="","",VLOOKUP(A118,Journal!$B$7:$E$84,4))</f>
        <v/>
      </c>
      <c r="D118" s="114" t="str">
        <f>IF(B118="","",VLOOKUP(A118,Journal!$B$7:$J$84,9))</f>
        <v/>
      </c>
      <c r="E118" s="116"/>
      <c r="F118" s="116"/>
      <c r="G118" s="115"/>
      <c r="H118" s="84" t="str">
        <f>IF(B118="","",VLOOKUP(A118,Journal!$B$7:$L$84,11))</f>
        <v/>
      </c>
      <c r="I118" s="84" t="str">
        <f>IF(B118="","",VLOOKUP(A118,Journal!$B$7:$M$84,12))</f>
        <v/>
      </c>
      <c r="J118" s="105">
        <f>IF(B118="Total",SUM(J$8:J117)+0.0001,IF(OR(B118="",I$2=I118),0,VLOOKUP(A118,Journal!$B$7:M$84,8)))</f>
        <v>0</v>
      </c>
      <c r="K118" s="102">
        <f>IF(B118="Total",SUM(K$8:K117)+0.0001,IF(OR(B118="",J118&lt;&gt;0),0,VLOOKUP(A118,Journal!$B$7:M$84,8)))</f>
        <v>0</v>
      </c>
      <c r="L118" s="87">
        <f t="shared" si="7"/>
        <v>0</v>
      </c>
      <c r="P118">
        <f t="shared" si="10"/>
        <v>1.0000000000000001E-5</v>
      </c>
      <c r="R118" s="15">
        <f t="shared" si="11"/>
        <v>111</v>
      </c>
      <c r="S118" s="126">
        <f>IF(VLOOKUP(A118,Journal!$A$7:$E$70,5)=0,S117+1,VLOOKUP(A118,Journal!$A$7:$E$70,5))</f>
        <v>45768</v>
      </c>
      <c r="T118" s="125">
        <f>IF(H$2=VLOOKUP(A118,Journal!$A$7:$F$70,6),VLOOKUP(A118,Journal!$A$7:M$70,9),0)</f>
        <v>0</v>
      </c>
      <c r="U118" s="125">
        <f>IF(H$2=VLOOKUP(A118,Journal!$A$7:$G$70,7),VLOOKUP(A118,Journal!$A$7:M$70,9),0)</f>
        <v>0</v>
      </c>
      <c r="V118" s="125">
        <f t="shared" si="12"/>
        <v>40</v>
      </c>
      <c r="X118">
        <f t="shared" si="9"/>
        <v>0</v>
      </c>
      <c r="Y118" s="143">
        <f t="shared" si="8"/>
        <v>-997.15789473684663</v>
      </c>
    </row>
    <row r="119" spans="1:25" x14ac:dyDescent="0.25">
      <c r="A119">
        <f t="shared" si="13"/>
        <v>112</v>
      </c>
      <c r="B119" s="88" t="str">
        <f>IF(OR(B118="Total",B118=""),"",IF(VLOOKUP(A119,Journal!$B$7:$E$84,4)=0,"Total",VLOOKUP(A119,Journal!$B$7:$D$84,3)))</f>
        <v/>
      </c>
      <c r="C119" s="86" t="str">
        <f>IF(B119="","",VLOOKUP(A119,Journal!$B$7:$E$84,4))</f>
        <v/>
      </c>
      <c r="D119" s="114" t="str">
        <f>IF(B119="","",VLOOKUP(A119,Journal!$B$7:$J$84,9))</f>
        <v/>
      </c>
      <c r="E119" s="116"/>
      <c r="F119" s="116"/>
      <c r="G119" s="115"/>
      <c r="H119" s="84" t="str">
        <f>IF(B119="","",VLOOKUP(A119,Journal!$B$7:$L$84,11))</f>
        <v/>
      </c>
      <c r="I119" s="84" t="str">
        <f>IF(B119="","",VLOOKUP(A119,Journal!$B$7:$M$84,12))</f>
        <v/>
      </c>
      <c r="J119" s="105">
        <f>IF(B119="Total",SUM(J$8:J118)+0.0001,IF(OR(B119="",I$2=I119),0,VLOOKUP(A119,Journal!$B$7:M$84,8)))</f>
        <v>0</v>
      </c>
      <c r="K119" s="102">
        <f>IF(B119="Total",SUM(K$8:K118)+0.0001,IF(OR(B119="",J119&lt;&gt;0),0,VLOOKUP(A119,Journal!$B$7:M$84,8)))</f>
        <v>0</v>
      </c>
      <c r="L119" s="87">
        <f t="shared" si="7"/>
        <v>0</v>
      </c>
      <c r="P119">
        <f t="shared" si="10"/>
        <v>1.0000000000000001E-5</v>
      </c>
      <c r="R119" s="15">
        <f t="shared" si="11"/>
        <v>112</v>
      </c>
      <c r="S119" s="126">
        <f>IF(VLOOKUP(A119,Journal!$A$7:$E$70,5)=0,S118+1,VLOOKUP(A119,Journal!$A$7:$E$70,5))</f>
        <v>45769</v>
      </c>
      <c r="T119" s="125">
        <f>IF(H$2=VLOOKUP(A119,Journal!$A$7:$F$70,6),VLOOKUP(A119,Journal!$A$7:M$70,9),0)</f>
        <v>0</v>
      </c>
      <c r="U119" s="125">
        <f>IF(H$2=VLOOKUP(A119,Journal!$A$7:$G$70,7),VLOOKUP(A119,Journal!$A$7:M$70,9),0)</f>
        <v>0</v>
      </c>
      <c r="V119" s="125">
        <f t="shared" si="12"/>
        <v>40</v>
      </c>
      <c r="X119">
        <f t="shared" si="9"/>
        <v>0</v>
      </c>
      <c r="Y119" s="143">
        <f t="shared" si="8"/>
        <v>-997.13157894737299</v>
      </c>
    </row>
    <row r="120" spans="1:25" x14ac:dyDescent="0.25">
      <c r="A120">
        <f t="shared" si="13"/>
        <v>113</v>
      </c>
      <c r="B120" s="88" t="str">
        <f>IF(OR(B119="Total",B119=""),"",IF(VLOOKUP(A120,Journal!$B$7:$E$84,4)=0,"Total",VLOOKUP(A120,Journal!$B$7:$D$84,3)))</f>
        <v/>
      </c>
      <c r="C120" s="86" t="str">
        <f>IF(B120="","",VLOOKUP(A120,Journal!$B$7:$E$84,4))</f>
        <v/>
      </c>
      <c r="D120" s="114" t="str">
        <f>IF(B120="","",VLOOKUP(A120,Journal!$B$7:$J$84,9))</f>
        <v/>
      </c>
      <c r="E120" s="116"/>
      <c r="F120" s="116"/>
      <c r="G120" s="115"/>
      <c r="H120" s="84" t="str">
        <f>IF(B120="","",VLOOKUP(A120,Journal!$B$7:$L$84,11))</f>
        <v/>
      </c>
      <c r="I120" s="84" t="str">
        <f>IF(B120="","",VLOOKUP(A120,Journal!$B$7:$M$84,12))</f>
        <v/>
      </c>
      <c r="J120" s="105">
        <f>IF(B120="Total",SUM(J$8:J119)+0.0001,IF(OR(B120="",I$2=I120),0,VLOOKUP(A120,Journal!$B$7:M$84,8)))</f>
        <v>0</v>
      </c>
      <c r="K120" s="102">
        <f>IF(B120="Total",SUM(K$8:K119)+0.0001,IF(OR(B120="",J120&lt;&gt;0),0,VLOOKUP(A120,Journal!$B$7:M$84,8)))</f>
        <v>0</v>
      </c>
      <c r="L120" s="87">
        <f t="shared" si="7"/>
        <v>0</v>
      </c>
      <c r="P120">
        <f t="shared" si="10"/>
        <v>1.0000000000000001E-5</v>
      </c>
      <c r="R120" s="15">
        <f t="shared" si="11"/>
        <v>113</v>
      </c>
      <c r="S120" s="126">
        <f>IF(VLOOKUP(A120,Journal!$A$7:$E$70,5)=0,S119+1,VLOOKUP(A120,Journal!$A$7:$E$70,5))</f>
        <v>45770</v>
      </c>
      <c r="T120" s="125">
        <f>IF(H$2=VLOOKUP(A120,Journal!$A$7:$F$70,6),VLOOKUP(A120,Journal!$A$7:M$70,9),0)</f>
        <v>0</v>
      </c>
      <c r="U120" s="125">
        <f>IF(H$2=VLOOKUP(A120,Journal!$A$7:$G$70,7),VLOOKUP(A120,Journal!$A$7:M$70,9),0)</f>
        <v>0</v>
      </c>
      <c r="V120" s="125">
        <f t="shared" si="12"/>
        <v>40</v>
      </c>
      <c r="X120">
        <f t="shared" si="9"/>
        <v>0</v>
      </c>
      <c r="Y120" s="143">
        <f t="shared" si="8"/>
        <v>-997.10526315789934</v>
      </c>
    </row>
    <row r="121" spans="1:25" x14ac:dyDescent="0.25">
      <c r="A121">
        <f t="shared" si="13"/>
        <v>114</v>
      </c>
      <c r="B121" s="88" t="str">
        <f>IF(OR(B120="Total",B120=""),"",IF(VLOOKUP(A121,Journal!$B$7:$E$84,4)=0,"Total",VLOOKUP(A121,Journal!$B$7:$D$84,3)))</f>
        <v/>
      </c>
      <c r="C121" s="86" t="str">
        <f>IF(B121="","",VLOOKUP(A121,Journal!$B$7:$E$84,4))</f>
        <v/>
      </c>
      <c r="D121" s="114" t="str">
        <f>IF(B121="","",VLOOKUP(A121,Journal!$B$7:$J$84,9))</f>
        <v/>
      </c>
      <c r="E121" s="116"/>
      <c r="F121" s="116"/>
      <c r="G121" s="115"/>
      <c r="H121" s="84" t="str">
        <f>IF(B121="","",VLOOKUP(A121,Journal!$B$7:$L$84,11))</f>
        <v/>
      </c>
      <c r="I121" s="84" t="str">
        <f>IF(B121="","",VLOOKUP(A121,Journal!$B$7:$M$84,12))</f>
        <v/>
      </c>
      <c r="J121" s="105">
        <f>IF(B121="Total",SUM(J$8:J120)+0.0001,IF(OR(B121="",I$2=I121),0,VLOOKUP(A121,Journal!$B$7:M$84,8)))</f>
        <v>0</v>
      </c>
      <c r="K121" s="102">
        <f>IF(B121="Total",SUM(K$8:K120)+0.0001,IF(OR(B121="",J121&lt;&gt;0),0,VLOOKUP(A121,Journal!$B$7:M$84,8)))</f>
        <v>0</v>
      </c>
      <c r="L121" s="87">
        <f t="shared" si="7"/>
        <v>0</v>
      </c>
      <c r="P121">
        <f t="shared" si="10"/>
        <v>1.0000000000000001E-5</v>
      </c>
      <c r="R121" s="15">
        <f t="shared" si="11"/>
        <v>114</v>
      </c>
      <c r="S121" s="126">
        <f>IF(VLOOKUP(A121,Journal!$A$7:$E$70,5)=0,S120+1,VLOOKUP(A121,Journal!$A$7:$E$70,5))</f>
        <v>45771</v>
      </c>
      <c r="T121" s="125">
        <f>IF(H$2=VLOOKUP(A121,Journal!$A$7:$F$70,6),VLOOKUP(A121,Journal!$A$7:M$70,9),0)</f>
        <v>0</v>
      </c>
      <c r="U121" s="125">
        <f>IF(H$2=VLOOKUP(A121,Journal!$A$7:$G$70,7),VLOOKUP(A121,Journal!$A$7:M$70,9),0)</f>
        <v>0</v>
      </c>
      <c r="V121" s="125">
        <f t="shared" si="12"/>
        <v>40</v>
      </c>
      <c r="X121">
        <f t="shared" si="9"/>
        <v>0</v>
      </c>
      <c r="Y121" s="143">
        <f t="shared" si="8"/>
        <v>-997.0789473684257</v>
      </c>
    </row>
    <row r="122" spans="1:25" x14ac:dyDescent="0.25">
      <c r="A122">
        <f t="shared" si="13"/>
        <v>115</v>
      </c>
      <c r="B122" s="88" t="str">
        <f>IF(OR(B121="Total",B121=""),"",IF(VLOOKUP(A122,Journal!$B$7:$E$84,4)=0,"Total",VLOOKUP(A122,Journal!$B$7:$D$84,3)))</f>
        <v/>
      </c>
      <c r="C122" s="86" t="str">
        <f>IF(B122="","",VLOOKUP(A122,Journal!$B$7:$E$84,4))</f>
        <v/>
      </c>
      <c r="D122" s="114" t="str">
        <f>IF(B122="","",VLOOKUP(A122,Journal!$B$7:$J$84,9))</f>
        <v/>
      </c>
      <c r="E122" s="116"/>
      <c r="F122" s="116"/>
      <c r="G122" s="115"/>
      <c r="H122" s="84" t="str">
        <f>IF(B122="","",VLOOKUP(A122,Journal!$B$7:$L$84,11))</f>
        <v/>
      </c>
      <c r="I122" s="84" t="str">
        <f>IF(B122="","",VLOOKUP(A122,Journal!$B$7:$M$84,12))</f>
        <v/>
      </c>
      <c r="J122" s="105">
        <f>IF(B122="Total",SUM(J$8:J121)+0.0001,IF(OR(B122="",I$2=I122),0,VLOOKUP(A122,Journal!$B$7:M$84,8)))</f>
        <v>0</v>
      </c>
      <c r="K122" s="102">
        <f>IF(B122="Total",SUM(K$8:K121)+0.0001,IF(OR(B122="",J122&lt;&gt;0),0,VLOOKUP(A122,Journal!$B$7:M$84,8)))</f>
        <v>0</v>
      </c>
      <c r="L122" s="87">
        <f t="shared" si="7"/>
        <v>0</v>
      </c>
      <c r="P122">
        <f t="shared" si="10"/>
        <v>1.0000000000000001E-5</v>
      </c>
      <c r="R122" s="15">
        <f t="shared" si="11"/>
        <v>115</v>
      </c>
      <c r="S122" s="126">
        <f>IF(VLOOKUP(A122,Journal!$A$7:$E$70,5)=0,S121+1,VLOOKUP(A122,Journal!$A$7:$E$70,5))</f>
        <v>45772</v>
      </c>
      <c r="T122" s="125">
        <f>IF(H$2=VLOOKUP(A122,Journal!$A$7:$F$70,6),VLOOKUP(A122,Journal!$A$7:M$70,9),0)</f>
        <v>0</v>
      </c>
      <c r="U122" s="125">
        <f>IF(H$2=VLOOKUP(A122,Journal!$A$7:$G$70,7),VLOOKUP(A122,Journal!$A$7:M$70,9),0)</f>
        <v>0</v>
      </c>
      <c r="V122" s="125">
        <f t="shared" si="12"/>
        <v>40</v>
      </c>
      <c r="X122">
        <f t="shared" si="9"/>
        <v>0</v>
      </c>
      <c r="Y122" s="143">
        <f t="shared" si="8"/>
        <v>-997.05263157895206</v>
      </c>
    </row>
    <row r="123" spans="1:25" x14ac:dyDescent="0.25">
      <c r="A123">
        <f t="shared" si="13"/>
        <v>116</v>
      </c>
      <c r="B123" s="88" t="str">
        <f>IF(OR(B122="Total",B122=""),"",IF(VLOOKUP(A123,Journal!$B$7:$E$84,4)=0,"Total",VLOOKUP(A123,Journal!$B$7:$D$84,3)))</f>
        <v/>
      </c>
      <c r="C123" s="86" t="str">
        <f>IF(B123="","",VLOOKUP(A123,Journal!$B$7:$E$84,4))</f>
        <v/>
      </c>
      <c r="D123" s="114" t="str">
        <f>IF(B123="","",VLOOKUP(A123,Journal!$B$7:$J$84,9))</f>
        <v/>
      </c>
      <c r="E123" s="116"/>
      <c r="F123" s="116"/>
      <c r="G123" s="115"/>
      <c r="H123" s="84" t="str">
        <f>IF(B123="","",VLOOKUP(A123,Journal!$B$7:$L$84,11))</f>
        <v/>
      </c>
      <c r="I123" s="84" t="str">
        <f>IF(B123="","",VLOOKUP(A123,Journal!$B$7:$M$84,12))</f>
        <v/>
      </c>
      <c r="J123" s="105">
        <f>IF(B123="Total",SUM(J$8:J122)+0.0001,IF(OR(B123="",I$2=I123),0,VLOOKUP(A123,Journal!$B$7:M$84,8)))</f>
        <v>0</v>
      </c>
      <c r="K123" s="102">
        <f>IF(B123="Total",SUM(K$8:K122)+0.0001,IF(OR(B123="",J123&lt;&gt;0),0,VLOOKUP(A123,Journal!$B$7:M$84,8)))</f>
        <v>0</v>
      </c>
      <c r="L123" s="87">
        <f t="shared" si="7"/>
        <v>0</v>
      </c>
      <c r="P123">
        <f t="shared" si="10"/>
        <v>1.0000000000000001E-5</v>
      </c>
      <c r="R123" s="15">
        <f t="shared" si="11"/>
        <v>116</v>
      </c>
      <c r="S123" s="126">
        <f>IF(VLOOKUP(A123,Journal!$A$7:$E$70,5)=0,S122+1,VLOOKUP(A123,Journal!$A$7:$E$70,5))</f>
        <v>45773</v>
      </c>
      <c r="T123" s="125">
        <f>IF(H$2=VLOOKUP(A123,Journal!$A$7:$F$70,6),VLOOKUP(A123,Journal!$A$7:M$70,9),0)</f>
        <v>0</v>
      </c>
      <c r="U123" s="125">
        <f>IF(H$2=VLOOKUP(A123,Journal!$A$7:$G$70,7),VLOOKUP(A123,Journal!$A$7:M$70,9),0)</f>
        <v>0</v>
      </c>
      <c r="V123" s="125">
        <f t="shared" si="12"/>
        <v>40</v>
      </c>
      <c r="X123">
        <f t="shared" si="9"/>
        <v>0</v>
      </c>
      <c r="Y123" s="143">
        <f t="shared" si="8"/>
        <v>-997.02631578947842</v>
      </c>
    </row>
    <row r="124" spans="1:25" x14ac:dyDescent="0.25">
      <c r="A124">
        <f t="shared" si="13"/>
        <v>117</v>
      </c>
      <c r="B124" s="88" t="str">
        <f>IF(OR(B123="Total",B123=""),"",IF(VLOOKUP(A124,Journal!$B$7:$E$84,4)=0,"Total",VLOOKUP(A124,Journal!$B$7:$D$84,3)))</f>
        <v/>
      </c>
      <c r="C124" s="86" t="str">
        <f>IF(B124="","",VLOOKUP(A124,Journal!$B$7:$E$84,4))</f>
        <v/>
      </c>
      <c r="D124" s="114" t="str">
        <f>IF(B124="","",VLOOKUP(A124,Journal!$B$7:$J$84,9))</f>
        <v/>
      </c>
      <c r="E124" s="116"/>
      <c r="F124" s="116"/>
      <c r="G124" s="115"/>
      <c r="H124" s="84" t="str">
        <f>IF(B124="","",VLOOKUP(A124,Journal!$B$7:$L$84,11))</f>
        <v/>
      </c>
      <c r="I124" s="84" t="str">
        <f>IF(B124="","",VLOOKUP(A124,Journal!$B$7:$M$84,12))</f>
        <v/>
      </c>
      <c r="J124" s="105">
        <f>IF(B124="Total",SUM(J$8:J123)+0.0001,IF(OR(B124="",I$2=I124),0,VLOOKUP(A124,Journal!$B$7:M$84,8)))</f>
        <v>0</v>
      </c>
      <c r="K124" s="102">
        <f>IF(B124="Total",SUM(K$8:K123)+0.0001,IF(OR(B124="",J124&lt;&gt;0),0,VLOOKUP(A124,Journal!$B$7:M$84,8)))</f>
        <v>0</v>
      </c>
      <c r="L124" s="87">
        <f t="shared" si="7"/>
        <v>0</v>
      </c>
      <c r="P124">
        <f t="shared" si="10"/>
        <v>1.0000000000000001E-5</v>
      </c>
      <c r="R124" s="15">
        <f t="shared" si="11"/>
        <v>117</v>
      </c>
      <c r="S124" s="126">
        <f>IF(VLOOKUP(A124,Journal!$A$7:$E$70,5)=0,S123+1,VLOOKUP(A124,Journal!$A$7:$E$70,5))</f>
        <v>45774</v>
      </c>
      <c r="T124" s="125">
        <f>IF(H$2=VLOOKUP(A124,Journal!$A$7:$F$70,6),VLOOKUP(A124,Journal!$A$7:M$70,9),0)</f>
        <v>0</v>
      </c>
      <c r="U124" s="125">
        <f>IF(H$2=VLOOKUP(A124,Journal!$A$7:$G$70,7),VLOOKUP(A124,Journal!$A$7:M$70,9),0)</f>
        <v>0</v>
      </c>
      <c r="V124" s="125">
        <f t="shared" si="12"/>
        <v>40</v>
      </c>
      <c r="X124">
        <f t="shared" si="9"/>
        <v>0</v>
      </c>
      <c r="Y124" s="143">
        <f t="shared" si="8"/>
        <v>-997.00000000000477</v>
      </c>
    </row>
    <row r="125" spans="1:25" x14ac:dyDescent="0.25">
      <c r="A125">
        <f t="shared" si="13"/>
        <v>118</v>
      </c>
      <c r="B125" s="88" t="str">
        <f>IF(OR(B124="Total",B124=""),"",IF(VLOOKUP(A125,Journal!$B$7:$E$84,4)=0,"Total",VLOOKUP(A125,Journal!$B$7:$D$84,3)))</f>
        <v/>
      </c>
      <c r="C125" s="86" t="str">
        <f>IF(B125="","",VLOOKUP(A125,Journal!$B$7:$E$84,4))</f>
        <v/>
      </c>
      <c r="D125" s="114" t="str">
        <f>IF(B125="","",VLOOKUP(A125,Journal!$B$7:$J$84,9))</f>
        <v/>
      </c>
      <c r="E125" s="116"/>
      <c r="F125" s="116"/>
      <c r="G125" s="115"/>
      <c r="H125" s="84" t="str">
        <f>IF(B125="","",VLOOKUP(A125,Journal!$B$7:$L$84,11))</f>
        <v/>
      </c>
      <c r="I125" s="84" t="str">
        <f>IF(B125="","",VLOOKUP(A125,Journal!$B$7:$M$84,12))</f>
        <v/>
      </c>
      <c r="J125" s="105">
        <f>IF(B125="Total",SUM(J$8:J124)+0.0001,IF(OR(B125="",I$2=I125),0,VLOOKUP(A125,Journal!$B$7:M$84,8)))</f>
        <v>0</v>
      </c>
      <c r="K125" s="102">
        <f>IF(B125="Total",SUM(K$8:K124)+0.0001,IF(OR(B125="",J125&lt;&gt;0),0,VLOOKUP(A125,Journal!$B$7:M$84,8)))</f>
        <v>0</v>
      </c>
      <c r="L125" s="87">
        <f t="shared" si="7"/>
        <v>0</v>
      </c>
      <c r="P125">
        <f t="shared" si="10"/>
        <v>1.0000000000000001E-5</v>
      </c>
      <c r="R125" s="15">
        <f t="shared" si="11"/>
        <v>118</v>
      </c>
      <c r="S125" s="126">
        <f>IF(VLOOKUP(A125,Journal!$A$7:$E$70,5)=0,S124+1,VLOOKUP(A125,Journal!$A$7:$E$70,5))</f>
        <v>45775</v>
      </c>
      <c r="T125" s="125">
        <f>IF(H$2=VLOOKUP(A125,Journal!$A$7:$F$70,6),VLOOKUP(A125,Journal!$A$7:M$70,9),0)</f>
        <v>0</v>
      </c>
      <c r="U125" s="125">
        <f>IF(H$2=VLOOKUP(A125,Journal!$A$7:$G$70,7),VLOOKUP(A125,Journal!$A$7:M$70,9),0)</f>
        <v>0</v>
      </c>
      <c r="V125" s="125">
        <f t="shared" si="12"/>
        <v>40</v>
      </c>
      <c r="X125">
        <f t="shared" si="9"/>
        <v>0</v>
      </c>
      <c r="Y125" s="143">
        <f t="shared" si="8"/>
        <v>-996.97368421053113</v>
      </c>
    </row>
    <row r="126" spans="1:25" x14ac:dyDescent="0.25">
      <c r="A126">
        <f t="shared" si="13"/>
        <v>119</v>
      </c>
      <c r="B126" s="88" t="str">
        <f>IF(OR(B125="Total",B125=""),"",IF(VLOOKUP(A126,Journal!$B$7:$E$84,4)=0,"Total",VLOOKUP(A126,Journal!$B$7:$D$84,3)))</f>
        <v/>
      </c>
      <c r="C126" s="86" t="str">
        <f>IF(B126="","",VLOOKUP(A126,Journal!$B$7:$E$84,4))</f>
        <v/>
      </c>
      <c r="D126" s="114" t="str">
        <f>IF(B126="","",VLOOKUP(A126,Journal!$B$7:$J$84,9))</f>
        <v/>
      </c>
      <c r="E126" s="116"/>
      <c r="F126" s="116"/>
      <c r="G126" s="115"/>
      <c r="H126" s="84" t="str">
        <f>IF(B126="","",VLOOKUP(A126,Journal!$B$7:$L$84,11))</f>
        <v/>
      </c>
      <c r="I126" s="84" t="str">
        <f>IF(B126="","",VLOOKUP(A126,Journal!$B$7:$M$84,12))</f>
        <v/>
      </c>
      <c r="J126" s="105">
        <f>IF(B126="Total",SUM(J$8:J125)+0.0001,IF(OR(B126="",I$2=I126),0,VLOOKUP(A126,Journal!$B$7:M$84,8)))</f>
        <v>0</v>
      </c>
      <c r="K126" s="102">
        <f>IF(B126="Total",SUM(K$8:K125)+0.0001,IF(OR(B126="",J126&lt;&gt;0),0,VLOOKUP(A126,Journal!$B$7:M$84,8)))</f>
        <v>0</v>
      </c>
      <c r="L126" s="87">
        <f t="shared" si="7"/>
        <v>0</v>
      </c>
      <c r="P126">
        <f t="shared" si="10"/>
        <v>1.0000000000000001E-5</v>
      </c>
      <c r="R126" s="15">
        <f t="shared" si="11"/>
        <v>119</v>
      </c>
      <c r="S126" s="126">
        <f>IF(VLOOKUP(A126,Journal!$A$7:$E$70,5)=0,S125+1,VLOOKUP(A126,Journal!$A$7:$E$70,5))</f>
        <v>45776</v>
      </c>
      <c r="T126" s="125">
        <f>IF(H$2=VLOOKUP(A126,Journal!$A$7:$F$70,6),VLOOKUP(A126,Journal!$A$7:M$70,9),0)</f>
        <v>0</v>
      </c>
      <c r="U126" s="125">
        <f>IF(H$2=VLOOKUP(A126,Journal!$A$7:$G$70,7),VLOOKUP(A126,Journal!$A$7:M$70,9),0)</f>
        <v>0</v>
      </c>
      <c r="V126" s="125">
        <f t="shared" si="12"/>
        <v>40</v>
      </c>
      <c r="X126">
        <f t="shared" si="9"/>
        <v>0</v>
      </c>
      <c r="Y126" s="143">
        <f t="shared" si="8"/>
        <v>-996.94736842105749</v>
      </c>
    </row>
    <row r="127" spans="1:25" x14ac:dyDescent="0.25">
      <c r="A127">
        <f t="shared" si="13"/>
        <v>120</v>
      </c>
      <c r="B127" s="88" t="str">
        <f>IF(OR(B126="Total",B126=""),"",IF(VLOOKUP(A127,Journal!$B$7:$E$84,4)=0,"Total",VLOOKUP(A127,Journal!$B$7:$D$84,3)))</f>
        <v/>
      </c>
      <c r="C127" s="86" t="str">
        <f>IF(B127="","",VLOOKUP(A127,Journal!$B$7:$E$84,4))</f>
        <v/>
      </c>
      <c r="D127" s="114" t="str">
        <f>IF(B127="","",VLOOKUP(A127,Journal!$B$7:$J$84,9))</f>
        <v/>
      </c>
      <c r="E127" s="116"/>
      <c r="F127" s="116"/>
      <c r="G127" s="115"/>
      <c r="H127" s="84" t="str">
        <f>IF(B127="","",VLOOKUP(A127,Journal!$B$7:$L$84,11))</f>
        <v/>
      </c>
      <c r="I127" s="84" t="str">
        <f>IF(B127="","",VLOOKUP(A127,Journal!$B$7:$M$84,12))</f>
        <v/>
      </c>
      <c r="J127" s="105">
        <f>IF(B127="Total",SUM(J$8:J126)+0.0001,IF(OR(B127="",I$2=I127),0,VLOOKUP(A127,Journal!$B$7:M$84,8)))</f>
        <v>0</v>
      </c>
      <c r="K127" s="102">
        <f>IF(B127="Total",SUM(K$8:K126)+0.0001,IF(OR(B127="",J127&lt;&gt;0),0,VLOOKUP(A127,Journal!$B$7:M$84,8)))</f>
        <v>0</v>
      </c>
      <c r="L127" s="87">
        <f t="shared" si="7"/>
        <v>0</v>
      </c>
      <c r="P127">
        <f t="shared" si="10"/>
        <v>1.0000000000000001E-5</v>
      </c>
      <c r="R127" s="15">
        <f t="shared" si="11"/>
        <v>120</v>
      </c>
      <c r="S127" s="126">
        <f>IF(VLOOKUP(A127,Journal!$A$7:$E$70,5)=0,S126+1,VLOOKUP(A127,Journal!$A$7:$E$70,5))</f>
        <v>45777</v>
      </c>
      <c r="T127" s="125">
        <f>IF(H$2=VLOOKUP(A127,Journal!$A$7:$F$70,6),VLOOKUP(A127,Journal!$A$7:M$70,9),0)</f>
        <v>0</v>
      </c>
      <c r="U127" s="125">
        <f>IF(H$2=VLOOKUP(A127,Journal!$A$7:$G$70,7),VLOOKUP(A127,Journal!$A$7:M$70,9),0)</f>
        <v>0</v>
      </c>
      <c r="V127" s="125">
        <f t="shared" si="12"/>
        <v>40</v>
      </c>
      <c r="X127">
        <f t="shared" si="9"/>
        <v>0</v>
      </c>
      <c r="Y127" s="143">
        <f t="shared" si="8"/>
        <v>-996.92105263158385</v>
      </c>
    </row>
    <row r="128" spans="1:25" x14ac:dyDescent="0.25">
      <c r="A128">
        <f t="shared" si="13"/>
        <v>121</v>
      </c>
      <c r="B128" s="88" t="str">
        <f>IF(OR(B127="Total",B127=""),"",IF(VLOOKUP(A128,Journal!$B$7:$E$84,4)=0,"Total",VLOOKUP(A128,Journal!$B$7:$D$84,3)))</f>
        <v/>
      </c>
      <c r="C128" s="86" t="str">
        <f>IF(B128="","",VLOOKUP(A128,Journal!$B$7:$E$84,4))</f>
        <v/>
      </c>
      <c r="D128" s="114" t="str">
        <f>IF(B128="","",VLOOKUP(A128,Journal!$B$7:$J$84,9))</f>
        <v/>
      </c>
      <c r="E128" s="116"/>
      <c r="F128" s="116"/>
      <c r="G128" s="115"/>
      <c r="H128" s="84" t="str">
        <f>IF(B128="","",VLOOKUP(A128,Journal!$B$7:$L$84,11))</f>
        <v/>
      </c>
      <c r="I128" s="84" t="str">
        <f>IF(B128="","",VLOOKUP(A128,Journal!$B$7:$M$84,12))</f>
        <v/>
      </c>
      <c r="J128" s="105">
        <f>IF(B128="Total",SUM(J$8:J127)+0.0001,IF(OR(B128="",I$2=I128),0,VLOOKUP(A128,Journal!$B$7:M$84,8)))</f>
        <v>0</v>
      </c>
      <c r="K128" s="102">
        <f>IF(B128="Total",SUM(K$8:K127)+0.0001,IF(OR(B128="",J128&lt;&gt;0),0,VLOOKUP(A128,Journal!$B$7:M$84,8)))</f>
        <v>0</v>
      </c>
      <c r="L128" s="87">
        <f t="shared" si="7"/>
        <v>0</v>
      </c>
      <c r="P128">
        <f t="shared" si="10"/>
        <v>1.0000000000000001E-5</v>
      </c>
      <c r="R128" s="15">
        <f t="shared" si="11"/>
        <v>121</v>
      </c>
      <c r="S128" s="126">
        <f>IF(VLOOKUP(A128,Journal!$A$7:$E$70,5)=0,S127+1,VLOOKUP(A128,Journal!$A$7:$E$70,5))</f>
        <v>45778</v>
      </c>
      <c r="T128" s="125">
        <f>IF(H$2=VLOOKUP(A128,Journal!$A$7:$F$70,6),VLOOKUP(A128,Journal!$A$7:M$70,9),0)</f>
        <v>0</v>
      </c>
      <c r="U128" s="125">
        <f>IF(H$2=VLOOKUP(A128,Journal!$A$7:$G$70,7),VLOOKUP(A128,Journal!$A$7:M$70,9),0)</f>
        <v>0</v>
      </c>
      <c r="V128" s="125">
        <f t="shared" si="12"/>
        <v>40</v>
      </c>
      <c r="X128">
        <f t="shared" si="9"/>
        <v>0</v>
      </c>
      <c r="Y128" s="143">
        <f t="shared" si="8"/>
        <v>-996.89473684211021</v>
      </c>
    </row>
    <row r="129" spans="1:25" x14ac:dyDescent="0.25">
      <c r="A129">
        <f t="shared" si="13"/>
        <v>122</v>
      </c>
      <c r="B129" s="88" t="str">
        <f>IF(OR(B128="Total",B128=""),"",IF(VLOOKUP(A129,Journal!$B$7:$E$84,4)=0,"Total",VLOOKUP(A129,Journal!$B$7:$D$84,3)))</f>
        <v/>
      </c>
      <c r="C129" s="86" t="str">
        <f>IF(B129="","",VLOOKUP(A129,Journal!$B$7:$E$84,4))</f>
        <v/>
      </c>
      <c r="D129" s="114" t="str">
        <f>IF(B129="","",VLOOKUP(A129,Journal!$B$7:$J$84,9))</f>
        <v/>
      </c>
      <c r="E129" s="116"/>
      <c r="F129" s="116"/>
      <c r="G129" s="115"/>
      <c r="H129" s="84" t="str">
        <f>IF(B129="","",VLOOKUP(A129,Journal!$B$7:$L$84,11))</f>
        <v/>
      </c>
      <c r="I129" s="84" t="str">
        <f>IF(B129="","",VLOOKUP(A129,Journal!$B$7:$M$84,12))</f>
        <v/>
      </c>
      <c r="J129" s="105">
        <f>IF(B129="Total",SUM(J$8:J128)+0.0001,IF(OR(B129="",I$2=I129),0,VLOOKUP(A129,Journal!$B$7:M$84,8)))</f>
        <v>0</v>
      </c>
      <c r="K129" s="102">
        <f>IF(B129="Total",SUM(K$8:K128)+0.0001,IF(OR(B129="",J129&lt;&gt;0),0,VLOOKUP(A129,Journal!$B$7:M$84,8)))</f>
        <v>0</v>
      </c>
      <c r="L129" s="87">
        <f t="shared" si="7"/>
        <v>0</v>
      </c>
      <c r="P129">
        <f t="shared" si="10"/>
        <v>1.0000000000000001E-5</v>
      </c>
      <c r="R129" s="15">
        <f t="shared" si="11"/>
        <v>122</v>
      </c>
      <c r="S129" s="126">
        <f>IF(VLOOKUP(A129,Journal!$A$7:$E$70,5)=0,S128+1,VLOOKUP(A129,Journal!$A$7:$E$70,5))</f>
        <v>45779</v>
      </c>
      <c r="T129" s="125">
        <f>IF(H$2=VLOOKUP(A129,Journal!$A$7:$F$70,6),VLOOKUP(A129,Journal!$A$7:M$70,9),0)</f>
        <v>0</v>
      </c>
      <c r="U129" s="125">
        <f>IF(H$2=VLOOKUP(A129,Journal!$A$7:$G$70,7),VLOOKUP(A129,Journal!$A$7:M$70,9),0)</f>
        <v>0</v>
      </c>
      <c r="V129" s="125">
        <f t="shared" si="12"/>
        <v>40</v>
      </c>
      <c r="X129">
        <f t="shared" si="9"/>
        <v>0</v>
      </c>
      <c r="Y129" s="143">
        <f t="shared" si="8"/>
        <v>-996.86842105263656</v>
      </c>
    </row>
    <row r="130" spans="1:25" x14ac:dyDescent="0.25">
      <c r="A130">
        <f t="shared" si="13"/>
        <v>123</v>
      </c>
      <c r="B130" s="88" t="str">
        <f>IF(OR(B129="Total",B129=""),"",IF(VLOOKUP(A130,Journal!$B$7:$E$84,4)=0,"Total",VLOOKUP(A130,Journal!$B$7:$D$84,3)))</f>
        <v/>
      </c>
      <c r="C130" s="86" t="str">
        <f>IF(B130="","",VLOOKUP(A130,Journal!$B$7:$E$84,4))</f>
        <v/>
      </c>
      <c r="D130" s="114" t="str">
        <f>IF(B130="","",VLOOKUP(A130,Journal!$B$7:$J$84,9))</f>
        <v/>
      </c>
      <c r="E130" s="116"/>
      <c r="F130" s="116"/>
      <c r="G130" s="115"/>
      <c r="H130" s="84" t="str">
        <f>IF(B130="","",VLOOKUP(A130,Journal!$B$7:$L$84,11))</f>
        <v/>
      </c>
      <c r="I130" s="84" t="str">
        <f>IF(B130="","",VLOOKUP(A130,Journal!$B$7:$M$84,12))</f>
        <v/>
      </c>
      <c r="J130" s="105">
        <f>IF(B130="Total",SUM(J$8:J129)+0.0001,IF(OR(B130="",I$2=I130),0,VLOOKUP(A130,Journal!$B$7:M$84,8)))</f>
        <v>0</v>
      </c>
      <c r="K130" s="102">
        <f>IF(B130="Total",SUM(K$8:K129)+0.0001,IF(OR(B130="",J130&lt;&gt;0),0,VLOOKUP(A130,Journal!$B$7:M$84,8)))</f>
        <v>0</v>
      </c>
      <c r="L130" s="87">
        <f t="shared" si="7"/>
        <v>0</v>
      </c>
      <c r="P130">
        <f t="shared" si="10"/>
        <v>1.0000000000000001E-5</v>
      </c>
      <c r="R130" s="15">
        <f t="shared" si="11"/>
        <v>123</v>
      </c>
      <c r="S130" s="126">
        <f>IF(VLOOKUP(A130,Journal!$A$7:$E$70,5)=0,S129+1,VLOOKUP(A130,Journal!$A$7:$E$70,5))</f>
        <v>45780</v>
      </c>
      <c r="T130" s="125">
        <f>IF(H$2=VLOOKUP(A130,Journal!$A$7:$F$70,6),VLOOKUP(A130,Journal!$A$7:M$70,9),0)</f>
        <v>0</v>
      </c>
      <c r="U130" s="125">
        <f>IF(H$2=VLOOKUP(A130,Journal!$A$7:$G$70,7),VLOOKUP(A130,Journal!$A$7:M$70,9),0)</f>
        <v>0</v>
      </c>
      <c r="V130" s="125">
        <f t="shared" si="12"/>
        <v>40</v>
      </c>
      <c r="X130">
        <f t="shared" si="9"/>
        <v>0</v>
      </c>
      <c r="Y130" s="143">
        <f t="shared" si="8"/>
        <v>-996.84210526316292</v>
      </c>
    </row>
    <row r="131" spans="1:25" x14ac:dyDescent="0.25">
      <c r="A131">
        <f t="shared" si="13"/>
        <v>124</v>
      </c>
      <c r="B131" s="88" t="str">
        <f>IF(OR(B130="Total",B130=""),"",IF(VLOOKUP(A131,Journal!$B$7:$E$84,4)=0,"Total",VLOOKUP(A131,Journal!$B$7:$D$84,3)))</f>
        <v/>
      </c>
      <c r="C131" s="86" t="str">
        <f>IF(B131="","",VLOOKUP(A131,Journal!$B$7:$E$84,4))</f>
        <v/>
      </c>
      <c r="D131" s="114" t="str">
        <f>IF(B131="","",VLOOKUP(A131,Journal!$B$7:$J$84,9))</f>
        <v/>
      </c>
      <c r="E131" s="116"/>
      <c r="F131" s="116"/>
      <c r="G131" s="115"/>
      <c r="H131" s="84" t="str">
        <f>IF(B131="","",VLOOKUP(A131,Journal!$B$7:$L$84,11))</f>
        <v/>
      </c>
      <c r="I131" s="84" t="str">
        <f>IF(B131="","",VLOOKUP(A131,Journal!$B$7:$M$84,12))</f>
        <v/>
      </c>
      <c r="J131" s="105">
        <f>IF(B131="Total",SUM(J$8:J130)+0.0001,IF(OR(B131="",I$2=I131),0,VLOOKUP(A131,Journal!$B$7:M$84,8)))</f>
        <v>0</v>
      </c>
      <c r="K131" s="102">
        <f>IF(B131="Total",SUM(K$8:K130)+0.0001,IF(OR(B131="",J131&lt;&gt;0),0,VLOOKUP(A131,Journal!$B$7:M$84,8)))</f>
        <v>0</v>
      </c>
      <c r="L131" s="87">
        <f t="shared" si="7"/>
        <v>0</v>
      </c>
      <c r="P131">
        <f t="shared" si="10"/>
        <v>1.0000000000000001E-5</v>
      </c>
      <c r="R131" s="15">
        <f t="shared" si="11"/>
        <v>124</v>
      </c>
      <c r="S131" s="126">
        <f>IF(VLOOKUP(A131,Journal!$A$7:$E$70,5)=0,S130+1,VLOOKUP(A131,Journal!$A$7:$E$70,5))</f>
        <v>45781</v>
      </c>
      <c r="T131" s="125">
        <f>IF(H$2=VLOOKUP(A131,Journal!$A$7:$F$70,6),VLOOKUP(A131,Journal!$A$7:M$70,9),0)</f>
        <v>0</v>
      </c>
      <c r="U131" s="125">
        <f>IF(H$2=VLOOKUP(A131,Journal!$A$7:$G$70,7),VLOOKUP(A131,Journal!$A$7:M$70,9),0)</f>
        <v>0</v>
      </c>
      <c r="V131" s="125">
        <f t="shared" si="12"/>
        <v>40</v>
      </c>
      <c r="X131">
        <f t="shared" si="9"/>
        <v>0</v>
      </c>
      <c r="Y131" s="143">
        <f t="shared" si="8"/>
        <v>-996.81578947368928</v>
      </c>
    </row>
    <row r="132" spans="1:25" x14ac:dyDescent="0.25">
      <c r="A132">
        <f t="shared" si="13"/>
        <v>125</v>
      </c>
      <c r="B132" s="88" t="str">
        <f>IF(OR(B131="Total",B131=""),"",IF(VLOOKUP(A132,Journal!$B$7:$E$84,4)=0,"Total",VLOOKUP(A132,Journal!$B$7:$D$84,3)))</f>
        <v/>
      </c>
      <c r="C132" s="86" t="str">
        <f>IF(B132="","",VLOOKUP(A132,Journal!$B$7:$E$84,4))</f>
        <v/>
      </c>
      <c r="D132" s="114" t="str">
        <f>IF(B132="","",VLOOKUP(A132,Journal!$B$7:$J$84,9))</f>
        <v/>
      </c>
      <c r="E132" s="116"/>
      <c r="F132" s="116"/>
      <c r="G132" s="115"/>
      <c r="H132" s="84" t="str">
        <f>IF(B132="","",VLOOKUP(A132,Journal!$B$7:$L$84,11))</f>
        <v/>
      </c>
      <c r="I132" s="84" t="str">
        <f>IF(B132="","",VLOOKUP(A132,Journal!$B$7:$M$84,12))</f>
        <v/>
      </c>
      <c r="J132" s="105">
        <f>IF(B132="Total",SUM(J$8:J131)+0.0001,IF(OR(B132="",I$2=I132),0,VLOOKUP(A132,Journal!$B$7:M$84,8)))</f>
        <v>0</v>
      </c>
      <c r="K132" s="102">
        <f>IF(B132="Total",SUM(K$8:K131)+0.0001,IF(OR(B132="",J132&lt;&gt;0),0,VLOOKUP(A132,Journal!$B$7:M$84,8)))</f>
        <v>0</v>
      </c>
      <c r="L132" s="87">
        <f t="shared" si="7"/>
        <v>0</v>
      </c>
      <c r="P132">
        <f t="shared" si="10"/>
        <v>1.0000000000000001E-5</v>
      </c>
      <c r="R132" s="15">
        <f t="shared" si="11"/>
        <v>125</v>
      </c>
      <c r="S132" s="126">
        <f>IF(VLOOKUP(A132,Journal!$A$7:$E$70,5)=0,S131+1,VLOOKUP(A132,Journal!$A$7:$E$70,5))</f>
        <v>45782</v>
      </c>
      <c r="T132" s="125">
        <f>IF(H$2=VLOOKUP(A132,Journal!$A$7:$F$70,6),VLOOKUP(A132,Journal!$A$7:M$70,9),0)</f>
        <v>0</v>
      </c>
      <c r="U132" s="125">
        <f>IF(H$2=VLOOKUP(A132,Journal!$A$7:$G$70,7),VLOOKUP(A132,Journal!$A$7:M$70,9),0)</f>
        <v>0</v>
      </c>
      <c r="V132" s="125">
        <f t="shared" si="12"/>
        <v>40</v>
      </c>
      <c r="X132">
        <f t="shared" si="9"/>
        <v>0</v>
      </c>
      <c r="Y132" s="143">
        <f t="shared" si="8"/>
        <v>-996.78947368421564</v>
      </c>
    </row>
    <row r="133" spans="1:25" x14ac:dyDescent="0.25">
      <c r="A133">
        <f t="shared" si="13"/>
        <v>126</v>
      </c>
      <c r="B133" s="88" t="str">
        <f>IF(OR(B132="Total",B132=""),"",IF(VLOOKUP(A133,Journal!$B$7:$E$84,4)=0,"Total",VLOOKUP(A133,Journal!$B$7:$D$84,3)))</f>
        <v/>
      </c>
      <c r="C133" s="86" t="str">
        <f>IF(B133="","",VLOOKUP(A133,Journal!$B$7:$E$84,4))</f>
        <v/>
      </c>
      <c r="D133" s="114" t="str">
        <f>IF(B133="","",VLOOKUP(A133,Journal!$B$7:$J$84,9))</f>
        <v/>
      </c>
      <c r="E133" s="116"/>
      <c r="F133" s="116"/>
      <c r="G133" s="115"/>
      <c r="H133" s="84" t="str">
        <f>IF(B133="","",VLOOKUP(A133,Journal!$B$7:$L$84,11))</f>
        <v/>
      </c>
      <c r="I133" s="84" t="str">
        <f>IF(B133="","",VLOOKUP(A133,Journal!$B$7:$M$84,12))</f>
        <v/>
      </c>
      <c r="J133" s="105">
        <f>IF(B133="Total",SUM(J$8:J132)+0.0001,IF(OR(B133="",I$2=I133),0,VLOOKUP(A133,Journal!$B$7:M$84,8)))</f>
        <v>0</v>
      </c>
      <c r="K133" s="102">
        <f>IF(B133="Total",SUM(K$8:K132)+0.0001,IF(OR(B133="",J133&lt;&gt;0),0,VLOOKUP(A133,Journal!$B$7:M$84,8)))</f>
        <v>0</v>
      </c>
      <c r="L133" s="87">
        <f t="shared" si="7"/>
        <v>0</v>
      </c>
      <c r="P133">
        <f t="shared" si="10"/>
        <v>1.0000000000000001E-5</v>
      </c>
      <c r="R133" s="15">
        <f t="shared" si="11"/>
        <v>126</v>
      </c>
      <c r="S133" s="126">
        <f>IF(VLOOKUP(A133,Journal!$A$7:$E$70,5)=0,S132+1,VLOOKUP(A133,Journal!$A$7:$E$70,5))</f>
        <v>45783</v>
      </c>
      <c r="T133" s="125">
        <f>IF(H$2=VLOOKUP(A133,Journal!$A$7:$F$70,6),VLOOKUP(A133,Journal!$A$7:M$70,9),0)</f>
        <v>0</v>
      </c>
      <c r="U133" s="125">
        <f>IF(H$2=VLOOKUP(A133,Journal!$A$7:$G$70,7),VLOOKUP(A133,Journal!$A$7:M$70,9),0)</f>
        <v>0</v>
      </c>
      <c r="V133" s="125">
        <f t="shared" si="12"/>
        <v>40</v>
      </c>
      <c r="X133">
        <f t="shared" si="9"/>
        <v>0</v>
      </c>
      <c r="Y133" s="143">
        <f t="shared" si="8"/>
        <v>-996.76315789474199</v>
      </c>
    </row>
    <row r="134" spans="1:25" x14ac:dyDescent="0.25">
      <c r="A134">
        <f t="shared" si="13"/>
        <v>127</v>
      </c>
      <c r="B134" s="88" t="str">
        <f>IF(OR(B133="Total",B133=""),"",IF(VLOOKUP(A134,Journal!$B$7:$E$84,4)=0,"Total",VLOOKUP(A134,Journal!$B$7:$D$84,3)))</f>
        <v/>
      </c>
      <c r="C134" s="86" t="str">
        <f>IF(B134="","",VLOOKUP(A134,Journal!$B$7:$E$84,4))</f>
        <v/>
      </c>
      <c r="D134" s="114" t="str">
        <f>IF(B134="","",VLOOKUP(A134,Journal!$B$7:$J$84,9))</f>
        <v/>
      </c>
      <c r="E134" s="116"/>
      <c r="F134" s="116"/>
      <c r="G134" s="115"/>
      <c r="H134" s="84" t="str">
        <f>IF(B134="","",VLOOKUP(A134,Journal!$B$7:$L$84,11))</f>
        <v/>
      </c>
      <c r="I134" s="84" t="str">
        <f>IF(B134="","",VLOOKUP(A134,Journal!$B$7:$M$84,12))</f>
        <v/>
      </c>
      <c r="J134" s="105">
        <f>IF(B134="Total",SUM(J$8:J133)+0.0001,IF(OR(B134="",I$2=I134),0,VLOOKUP(A134,Journal!$B$7:M$84,8)))</f>
        <v>0</v>
      </c>
      <c r="K134" s="102">
        <f>IF(B134="Total",SUM(K$8:K133)+0.0001,IF(OR(B134="",J134&lt;&gt;0),0,VLOOKUP(A134,Journal!$B$7:M$84,8)))</f>
        <v>0</v>
      </c>
      <c r="L134" s="87">
        <f t="shared" si="7"/>
        <v>0</v>
      </c>
      <c r="P134">
        <f t="shared" si="10"/>
        <v>1.0000000000000001E-5</v>
      </c>
      <c r="R134" s="15">
        <f t="shared" si="11"/>
        <v>127</v>
      </c>
      <c r="S134" s="126">
        <f>IF(VLOOKUP(A134,Journal!$A$7:$E$70,5)=0,S133+1,VLOOKUP(A134,Journal!$A$7:$E$70,5))</f>
        <v>45784</v>
      </c>
      <c r="T134" s="125">
        <f>IF(H$2=VLOOKUP(A134,Journal!$A$7:$F$70,6),VLOOKUP(A134,Journal!$A$7:M$70,9),0)</f>
        <v>0</v>
      </c>
      <c r="U134" s="125">
        <f>IF(H$2=VLOOKUP(A134,Journal!$A$7:$G$70,7),VLOOKUP(A134,Journal!$A$7:M$70,9),0)</f>
        <v>0</v>
      </c>
      <c r="V134" s="125">
        <f t="shared" si="12"/>
        <v>40</v>
      </c>
      <c r="X134">
        <f t="shared" si="9"/>
        <v>0</v>
      </c>
      <c r="Y134" s="143">
        <f t="shared" si="8"/>
        <v>-996.73684210526835</v>
      </c>
    </row>
    <row r="135" spans="1:25" x14ac:dyDescent="0.25">
      <c r="A135">
        <f t="shared" si="13"/>
        <v>128</v>
      </c>
      <c r="B135" s="88" t="str">
        <f>IF(OR(B134="Total",B134=""),"",IF(VLOOKUP(A135,Journal!$B$7:$E$84,4)=0,"Total",VLOOKUP(A135,Journal!$B$7:$D$84,3)))</f>
        <v/>
      </c>
      <c r="C135" s="86" t="str">
        <f>IF(B135="","",VLOOKUP(A135,Journal!$B$7:$E$84,4))</f>
        <v/>
      </c>
      <c r="D135" s="114" t="str">
        <f>IF(B135="","",VLOOKUP(A135,Journal!$B$7:$J$84,9))</f>
        <v/>
      </c>
      <c r="E135" s="116"/>
      <c r="F135" s="116"/>
      <c r="G135" s="115"/>
      <c r="H135" s="84" t="str">
        <f>IF(B135="","",VLOOKUP(A135,Journal!$B$7:$L$84,11))</f>
        <v/>
      </c>
      <c r="I135" s="84" t="str">
        <f>IF(B135="","",VLOOKUP(A135,Journal!$B$7:$M$84,12))</f>
        <v/>
      </c>
      <c r="J135" s="105">
        <f>IF(B135="Total",SUM(J$8:J134)+0.0001,IF(OR(B135="",I$2=I135),0,VLOOKUP(A135,Journal!$B$7:M$84,8)))</f>
        <v>0</v>
      </c>
      <c r="K135" s="102">
        <f>IF(B135="Total",SUM(K$8:K134)+0.0001,IF(OR(B135="",J135&lt;&gt;0),0,VLOOKUP(A135,Journal!$B$7:M$84,8)))</f>
        <v>0</v>
      </c>
      <c r="L135" s="87">
        <f t="shared" si="7"/>
        <v>0</v>
      </c>
      <c r="P135">
        <f t="shared" si="10"/>
        <v>1.0000000000000001E-5</v>
      </c>
      <c r="R135" s="15">
        <f t="shared" si="11"/>
        <v>128</v>
      </c>
      <c r="S135" s="126">
        <f>IF(VLOOKUP(A135,Journal!$A$7:$E$70,5)=0,S134+1,VLOOKUP(A135,Journal!$A$7:$E$70,5))</f>
        <v>45785</v>
      </c>
      <c r="T135" s="125">
        <f>IF(H$2=VLOOKUP(A135,Journal!$A$7:$F$70,6),VLOOKUP(A135,Journal!$A$7:M$70,9),0)</f>
        <v>0</v>
      </c>
      <c r="U135" s="125">
        <f>IF(H$2=VLOOKUP(A135,Journal!$A$7:$G$70,7),VLOOKUP(A135,Journal!$A$7:M$70,9),0)</f>
        <v>0</v>
      </c>
      <c r="V135" s="125">
        <f t="shared" si="12"/>
        <v>40</v>
      </c>
      <c r="X135">
        <f t="shared" si="9"/>
        <v>0</v>
      </c>
      <c r="Y135" s="143">
        <f t="shared" si="8"/>
        <v>-996.71052631579471</v>
      </c>
    </row>
    <row r="136" spans="1:25" x14ac:dyDescent="0.25">
      <c r="A136">
        <f t="shared" si="13"/>
        <v>129</v>
      </c>
      <c r="B136" s="88" t="str">
        <f>IF(OR(B135="Total",B135=""),"",IF(VLOOKUP(A136,Journal!$B$7:$E$84,4)=0,"Total",VLOOKUP(A136,Journal!$B$7:$D$84,3)))</f>
        <v/>
      </c>
      <c r="C136" s="86" t="str">
        <f>IF(B136="","",VLOOKUP(A136,Journal!$B$7:$E$84,4))</f>
        <v/>
      </c>
      <c r="D136" s="114" t="str">
        <f>IF(B136="","",VLOOKUP(A136,Journal!$B$7:$J$84,9))</f>
        <v/>
      </c>
      <c r="E136" s="116"/>
      <c r="F136" s="116"/>
      <c r="G136" s="115"/>
      <c r="H136" s="84" t="str">
        <f>IF(B136="","",VLOOKUP(A136,Journal!$B$7:$L$84,11))</f>
        <v/>
      </c>
      <c r="I136" s="84" t="str">
        <f>IF(B136="","",VLOOKUP(A136,Journal!$B$7:$M$84,12))</f>
        <v/>
      </c>
      <c r="J136" s="105">
        <f>IF(B136="Total",SUM(J$8:J135)+0.0001,IF(OR(B136="",I$2=I136),0,VLOOKUP(A136,Journal!$B$7:M$84,8)))</f>
        <v>0</v>
      </c>
      <c r="K136" s="102">
        <f>IF(B136="Total",SUM(K$8:K135)+0.0001,IF(OR(B136="",J136&lt;&gt;0),0,VLOOKUP(A136,Journal!$B$7:M$84,8)))</f>
        <v>0</v>
      </c>
      <c r="L136" s="87">
        <f t="shared" ref="L136:L199" si="14">IF(B136="Total",L135,IF(B136="",0,IF($M$1=1,L135+J136-K136,L135-J136+K136)))</f>
        <v>0</v>
      </c>
      <c r="P136">
        <f t="shared" si="10"/>
        <v>1.0000000000000001E-5</v>
      </c>
      <c r="R136" s="15">
        <f t="shared" si="11"/>
        <v>129</v>
      </c>
      <c r="S136" s="126">
        <f>IF(VLOOKUP(A136,Journal!$A$7:$E$70,5)=0,S135+1,VLOOKUP(A136,Journal!$A$7:$E$70,5))</f>
        <v>45786</v>
      </c>
      <c r="T136" s="125">
        <f>IF(H$2=VLOOKUP(A136,Journal!$A$7:$F$70,6),VLOOKUP(A136,Journal!$A$7:M$70,9),0)</f>
        <v>0</v>
      </c>
      <c r="U136" s="125">
        <f>IF(H$2=VLOOKUP(A136,Journal!$A$7:$G$70,7),VLOOKUP(A136,Journal!$A$7:M$70,9),0)</f>
        <v>0</v>
      </c>
      <c r="V136" s="125">
        <f t="shared" si="12"/>
        <v>40</v>
      </c>
      <c r="X136">
        <f t="shared" si="9"/>
        <v>0</v>
      </c>
      <c r="Y136" s="143">
        <f t="shared" ref="Y136:Y199" si="15">IF(B135="Total",-1000,Y135+Y$4)</f>
        <v>-996.68421052632107</v>
      </c>
    </row>
    <row r="137" spans="1:25" x14ac:dyDescent="0.25">
      <c r="A137">
        <f t="shared" si="13"/>
        <v>130</v>
      </c>
      <c r="B137" s="88" t="str">
        <f>IF(OR(B136="Total",B136=""),"",IF(VLOOKUP(A137,Journal!$B$7:$E$84,4)=0,"Total",VLOOKUP(A137,Journal!$B$7:$D$84,3)))</f>
        <v/>
      </c>
      <c r="C137" s="86" t="str">
        <f>IF(B137="","",VLOOKUP(A137,Journal!$B$7:$E$84,4))</f>
        <v/>
      </c>
      <c r="D137" s="114" t="str">
        <f>IF(B137="","",VLOOKUP(A137,Journal!$B$7:$J$84,9))</f>
        <v/>
      </c>
      <c r="E137" s="116"/>
      <c r="F137" s="116"/>
      <c r="G137" s="115"/>
      <c r="H137" s="84" t="str">
        <f>IF(B137="","",VLOOKUP(A137,Journal!$B$7:$L$84,11))</f>
        <v/>
      </c>
      <c r="I137" s="84" t="str">
        <f>IF(B137="","",VLOOKUP(A137,Journal!$B$7:$M$84,12))</f>
        <v/>
      </c>
      <c r="J137" s="105">
        <f>IF(B137="Total",SUM(J$8:J136)+0.0001,IF(OR(B137="",I$2=I137),0,VLOOKUP(A137,Journal!$B$7:M$84,8)))</f>
        <v>0</v>
      </c>
      <c r="K137" s="102">
        <f>IF(B137="Total",SUM(K$8:K136)+0.0001,IF(OR(B137="",J137&lt;&gt;0),0,VLOOKUP(A137,Journal!$B$7:M$84,8)))</f>
        <v>0</v>
      </c>
      <c r="L137" s="87">
        <f t="shared" si="14"/>
        <v>0</v>
      </c>
      <c r="P137">
        <f t="shared" si="10"/>
        <v>1.0000000000000001E-5</v>
      </c>
      <c r="R137" s="15">
        <f t="shared" si="11"/>
        <v>130</v>
      </c>
      <c r="S137" s="126">
        <f>IF(VLOOKUP(A137,Journal!$A$7:$E$70,5)=0,S136+1,VLOOKUP(A137,Journal!$A$7:$E$70,5))</f>
        <v>45787</v>
      </c>
      <c r="T137" s="125">
        <f>IF(H$2=VLOOKUP(A137,Journal!$A$7:$F$70,6),VLOOKUP(A137,Journal!$A$7:M$70,9),0)</f>
        <v>0</v>
      </c>
      <c r="U137" s="125">
        <f>IF(H$2=VLOOKUP(A137,Journal!$A$7:$G$70,7),VLOOKUP(A137,Journal!$A$7:M$70,9),0)</f>
        <v>0</v>
      </c>
      <c r="V137" s="125">
        <f t="shared" si="12"/>
        <v>40</v>
      </c>
      <c r="X137">
        <f t="shared" ref="X137:X200" si="16">IF(J$2&gt;S137,1,0)</f>
        <v>0</v>
      </c>
      <c r="Y137" s="143">
        <f t="shared" si="15"/>
        <v>-996.65789473684742</v>
      </c>
    </row>
    <row r="138" spans="1:25" x14ac:dyDescent="0.25">
      <c r="A138">
        <f t="shared" si="13"/>
        <v>131</v>
      </c>
      <c r="B138" s="88" t="str">
        <f>IF(OR(B137="Total",B137=""),"",IF(VLOOKUP(A138,Journal!$B$7:$E$84,4)=0,"Total",VLOOKUP(A138,Journal!$B$7:$D$84,3)))</f>
        <v/>
      </c>
      <c r="C138" s="86" t="str">
        <f>IF(B138="","",VLOOKUP(A138,Journal!$B$7:$E$84,4))</f>
        <v/>
      </c>
      <c r="D138" s="114" t="str">
        <f>IF(B138="","",VLOOKUP(A138,Journal!$B$7:$J$84,9))</f>
        <v/>
      </c>
      <c r="E138" s="116"/>
      <c r="F138" s="116"/>
      <c r="G138" s="115"/>
      <c r="H138" s="84" t="str">
        <f>IF(B138="","",VLOOKUP(A138,Journal!$B$7:$L$84,11))</f>
        <v/>
      </c>
      <c r="I138" s="84" t="str">
        <f>IF(B138="","",VLOOKUP(A138,Journal!$B$7:$M$84,12))</f>
        <v/>
      </c>
      <c r="J138" s="105">
        <f>IF(B138="Total",SUM(J$8:J137)+0.0001,IF(OR(B138="",I$2=I138),0,VLOOKUP(A138,Journal!$B$7:M$84,8)))</f>
        <v>0</v>
      </c>
      <c r="K138" s="102">
        <f>IF(B138="Total",SUM(K$8:K137)+0.0001,IF(OR(B138="",J138&lt;&gt;0),0,VLOOKUP(A138,Journal!$B$7:M$84,8)))</f>
        <v>0</v>
      </c>
      <c r="L138" s="87">
        <f t="shared" si="14"/>
        <v>0</v>
      </c>
      <c r="P138">
        <f t="shared" ref="P138:P201" si="17">IF(L137=L138,L137+0.00001,L138)</f>
        <v>1.0000000000000001E-5</v>
      </c>
      <c r="R138" s="15">
        <f t="shared" ref="R138:R201" si="18">R137+1</f>
        <v>131</v>
      </c>
      <c r="S138" s="126">
        <f>IF(VLOOKUP(A138,Journal!$A$7:$E$70,5)=0,S137+1,VLOOKUP(A138,Journal!$A$7:$E$70,5))</f>
        <v>45788</v>
      </c>
      <c r="T138" s="125">
        <f>IF(H$2=VLOOKUP(A138,Journal!$A$7:$F$70,6),VLOOKUP(A138,Journal!$A$7:M$70,9),0)</f>
        <v>0</v>
      </c>
      <c r="U138" s="125">
        <f>IF(H$2=VLOOKUP(A138,Journal!$A$7:$G$70,7),VLOOKUP(A138,Journal!$A$7:M$70,9),0)</f>
        <v>0</v>
      </c>
      <c r="V138" s="125">
        <f t="shared" ref="V138:V201" si="19">IF($M$1=1,V137+T138-U138,V137-T138+U138)</f>
        <v>40</v>
      </c>
      <c r="X138">
        <f t="shared" si="16"/>
        <v>0</v>
      </c>
      <c r="Y138" s="143">
        <f t="shared" si="15"/>
        <v>-996.63157894737378</v>
      </c>
    </row>
    <row r="139" spans="1:25" x14ac:dyDescent="0.25">
      <c r="A139">
        <f t="shared" ref="A139:A202" si="20">A138+1</f>
        <v>132</v>
      </c>
      <c r="B139" s="88" t="str">
        <f>IF(OR(B138="Total",B138=""),"",IF(VLOOKUP(A139,Journal!$B$7:$E$84,4)=0,"Total",VLOOKUP(A139,Journal!$B$7:$D$84,3)))</f>
        <v/>
      </c>
      <c r="C139" s="86" t="str">
        <f>IF(B139="","",VLOOKUP(A139,Journal!$B$7:$E$84,4))</f>
        <v/>
      </c>
      <c r="D139" s="114" t="str">
        <f>IF(B139="","",VLOOKUP(A139,Journal!$B$7:$J$84,9))</f>
        <v/>
      </c>
      <c r="E139" s="116"/>
      <c r="F139" s="116"/>
      <c r="G139" s="115"/>
      <c r="H139" s="84" t="str">
        <f>IF(B139="","",VLOOKUP(A139,Journal!$B$7:$L$84,11))</f>
        <v/>
      </c>
      <c r="I139" s="84" t="str">
        <f>IF(B139="","",VLOOKUP(A139,Journal!$B$7:$M$84,12))</f>
        <v/>
      </c>
      <c r="J139" s="105">
        <f>IF(B139="Total",SUM(J$8:J138)+0.0001,IF(OR(B139="",I$2=I139),0,VLOOKUP(A139,Journal!$B$7:M$84,8)))</f>
        <v>0</v>
      </c>
      <c r="K139" s="102">
        <f>IF(B139="Total",SUM(K$8:K138)+0.0001,IF(OR(B139="",J139&lt;&gt;0),0,VLOOKUP(A139,Journal!$B$7:M$84,8)))</f>
        <v>0</v>
      </c>
      <c r="L139" s="87">
        <f t="shared" si="14"/>
        <v>0</v>
      </c>
      <c r="P139">
        <f t="shared" si="17"/>
        <v>1.0000000000000001E-5</v>
      </c>
      <c r="R139" s="15">
        <f t="shared" si="18"/>
        <v>132</v>
      </c>
      <c r="S139" s="126">
        <f>IF(VLOOKUP(A139,Journal!$A$7:$E$70,5)=0,S138+1,VLOOKUP(A139,Journal!$A$7:$E$70,5))</f>
        <v>45789</v>
      </c>
      <c r="T139" s="125">
        <f>IF(H$2=VLOOKUP(A139,Journal!$A$7:$F$70,6),VLOOKUP(A139,Journal!$A$7:M$70,9),0)</f>
        <v>0</v>
      </c>
      <c r="U139" s="125">
        <f>IF(H$2=VLOOKUP(A139,Journal!$A$7:$G$70,7),VLOOKUP(A139,Journal!$A$7:M$70,9),0)</f>
        <v>0</v>
      </c>
      <c r="V139" s="125">
        <f t="shared" si="19"/>
        <v>40</v>
      </c>
      <c r="X139">
        <f t="shared" si="16"/>
        <v>0</v>
      </c>
      <c r="Y139" s="143">
        <f t="shared" si="15"/>
        <v>-996.60526315790014</v>
      </c>
    </row>
    <row r="140" spans="1:25" x14ac:dyDescent="0.25">
      <c r="A140">
        <f t="shared" si="20"/>
        <v>133</v>
      </c>
      <c r="B140" s="88" t="str">
        <f>IF(OR(B139="Total",B139=""),"",IF(VLOOKUP(A140,Journal!$B$7:$E$84,4)=0,"Total",VLOOKUP(A140,Journal!$B$7:$D$84,3)))</f>
        <v/>
      </c>
      <c r="C140" s="86" t="str">
        <f>IF(B140="","",VLOOKUP(A140,Journal!$B$7:$E$84,4))</f>
        <v/>
      </c>
      <c r="D140" s="114" t="str">
        <f>IF(B140="","",VLOOKUP(A140,Journal!$B$7:$J$84,9))</f>
        <v/>
      </c>
      <c r="E140" s="116"/>
      <c r="F140" s="116"/>
      <c r="G140" s="115"/>
      <c r="H140" s="84" t="str">
        <f>IF(B140="","",VLOOKUP(A140,Journal!$B$7:$L$84,11))</f>
        <v/>
      </c>
      <c r="I140" s="84" t="str">
        <f>IF(B140="","",VLOOKUP(A140,Journal!$B$7:$M$84,12))</f>
        <v/>
      </c>
      <c r="J140" s="105">
        <f>IF(B140="Total",SUM(J$8:J139)+0.0001,IF(OR(B140="",I$2=I140),0,VLOOKUP(A140,Journal!$B$7:M$84,8)))</f>
        <v>0</v>
      </c>
      <c r="K140" s="102">
        <f>IF(B140="Total",SUM(K$8:K139)+0.0001,IF(OR(B140="",J140&lt;&gt;0),0,VLOOKUP(A140,Journal!$B$7:M$84,8)))</f>
        <v>0</v>
      </c>
      <c r="L140" s="87">
        <f t="shared" si="14"/>
        <v>0</v>
      </c>
      <c r="P140">
        <f t="shared" si="17"/>
        <v>1.0000000000000001E-5</v>
      </c>
      <c r="R140" s="15">
        <f t="shared" si="18"/>
        <v>133</v>
      </c>
      <c r="S140" s="126">
        <f>IF(VLOOKUP(A140,Journal!$A$7:$E$70,5)=0,S139+1,VLOOKUP(A140,Journal!$A$7:$E$70,5))</f>
        <v>45790</v>
      </c>
      <c r="T140" s="125">
        <f>IF(H$2=VLOOKUP(A140,Journal!$A$7:$F$70,6),VLOOKUP(A140,Journal!$A$7:M$70,9),0)</f>
        <v>0</v>
      </c>
      <c r="U140" s="125">
        <f>IF(H$2=VLOOKUP(A140,Journal!$A$7:$G$70,7),VLOOKUP(A140,Journal!$A$7:M$70,9),0)</f>
        <v>0</v>
      </c>
      <c r="V140" s="125">
        <f t="shared" si="19"/>
        <v>40</v>
      </c>
      <c r="X140">
        <f t="shared" si="16"/>
        <v>0</v>
      </c>
      <c r="Y140" s="143">
        <f t="shared" si="15"/>
        <v>-996.5789473684265</v>
      </c>
    </row>
    <row r="141" spans="1:25" x14ac:dyDescent="0.25">
      <c r="A141">
        <f t="shared" si="20"/>
        <v>134</v>
      </c>
      <c r="B141" s="88" t="str">
        <f>IF(OR(B140="Total",B140=""),"",IF(VLOOKUP(A141,Journal!$B$7:$E$84,4)=0,"Total",VLOOKUP(A141,Journal!$B$7:$D$84,3)))</f>
        <v/>
      </c>
      <c r="C141" s="86" t="str">
        <f>IF(B141="","",VLOOKUP(A141,Journal!$B$7:$E$84,4))</f>
        <v/>
      </c>
      <c r="D141" s="114" t="str">
        <f>IF(B141="","",VLOOKUP(A141,Journal!$B$7:$J$84,9))</f>
        <v/>
      </c>
      <c r="E141" s="116"/>
      <c r="F141" s="116"/>
      <c r="G141" s="115"/>
      <c r="H141" s="84" t="str">
        <f>IF(B141="","",VLOOKUP(A141,Journal!$B$7:$L$84,11))</f>
        <v/>
      </c>
      <c r="I141" s="84" t="str">
        <f>IF(B141="","",VLOOKUP(A141,Journal!$B$7:$M$84,12))</f>
        <v/>
      </c>
      <c r="J141" s="105">
        <f>IF(B141="Total",SUM(J$8:J140)+0.0001,IF(OR(B141="",I$2=I141),0,VLOOKUP(A141,Journal!$B$7:M$84,8)))</f>
        <v>0</v>
      </c>
      <c r="K141" s="102">
        <f>IF(B141="Total",SUM(K$8:K140)+0.0001,IF(OR(B141="",J141&lt;&gt;0),0,VLOOKUP(A141,Journal!$B$7:M$84,8)))</f>
        <v>0</v>
      </c>
      <c r="L141" s="87">
        <f t="shared" si="14"/>
        <v>0</v>
      </c>
      <c r="P141">
        <f t="shared" si="17"/>
        <v>1.0000000000000001E-5</v>
      </c>
      <c r="R141" s="15">
        <f t="shared" si="18"/>
        <v>134</v>
      </c>
      <c r="S141" s="126">
        <f>IF(VLOOKUP(A141,Journal!$A$7:$E$70,5)=0,S140+1,VLOOKUP(A141,Journal!$A$7:$E$70,5))</f>
        <v>45791</v>
      </c>
      <c r="T141" s="125">
        <f>IF(H$2=VLOOKUP(A141,Journal!$A$7:$F$70,6),VLOOKUP(A141,Journal!$A$7:M$70,9),0)</f>
        <v>0</v>
      </c>
      <c r="U141" s="125">
        <f>IF(H$2=VLOOKUP(A141,Journal!$A$7:$G$70,7),VLOOKUP(A141,Journal!$A$7:M$70,9),0)</f>
        <v>0</v>
      </c>
      <c r="V141" s="125">
        <f t="shared" si="19"/>
        <v>40</v>
      </c>
      <c r="X141">
        <f t="shared" si="16"/>
        <v>0</v>
      </c>
      <c r="Y141" s="143">
        <f t="shared" si="15"/>
        <v>-996.55263157895286</v>
      </c>
    </row>
    <row r="142" spans="1:25" x14ac:dyDescent="0.25">
      <c r="A142">
        <f t="shared" si="20"/>
        <v>135</v>
      </c>
      <c r="B142" s="88" t="str">
        <f>IF(OR(B141="Total",B141=""),"",IF(VLOOKUP(A142,Journal!$B$7:$E$84,4)=0,"Total",VLOOKUP(A142,Journal!$B$7:$D$84,3)))</f>
        <v/>
      </c>
      <c r="C142" s="86" t="str">
        <f>IF(B142="","",VLOOKUP(A142,Journal!$B$7:$E$84,4))</f>
        <v/>
      </c>
      <c r="D142" s="114" t="str">
        <f>IF(B142="","",VLOOKUP(A142,Journal!$B$7:$J$84,9))</f>
        <v/>
      </c>
      <c r="E142" s="116"/>
      <c r="F142" s="116"/>
      <c r="G142" s="115"/>
      <c r="H142" s="84" t="str">
        <f>IF(B142="","",VLOOKUP(A142,Journal!$B$7:$L$84,11))</f>
        <v/>
      </c>
      <c r="I142" s="84" t="str">
        <f>IF(B142="","",VLOOKUP(A142,Journal!$B$7:$M$84,12))</f>
        <v/>
      </c>
      <c r="J142" s="105">
        <f>IF(B142="Total",SUM(J$8:J141)+0.0001,IF(OR(B142="",I$2=I142),0,VLOOKUP(A142,Journal!$B$7:M$84,8)))</f>
        <v>0</v>
      </c>
      <c r="K142" s="102">
        <f>IF(B142="Total",SUM(K$8:K141)+0.0001,IF(OR(B142="",J142&lt;&gt;0),0,VLOOKUP(A142,Journal!$B$7:M$84,8)))</f>
        <v>0</v>
      </c>
      <c r="L142" s="87">
        <f t="shared" si="14"/>
        <v>0</v>
      </c>
      <c r="P142">
        <f t="shared" si="17"/>
        <v>1.0000000000000001E-5</v>
      </c>
      <c r="R142" s="15">
        <f t="shared" si="18"/>
        <v>135</v>
      </c>
      <c r="S142" s="126">
        <f>IF(VLOOKUP(A142,Journal!$A$7:$E$70,5)=0,S141+1,VLOOKUP(A142,Journal!$A$7:$E$70,5))</f>
        <v>45792</v>
      </c>
      <c r="T142" s="125">
        <f>IF(H$2=VLOOKUP(A142,Journal!$A$7:$F$70,6),VLOOKUP(A142,Journal!$A$7:M$70,9),0)</f>
        <v>0</v>
      </c>
      <c r="U142" s="125">
        <f>IF(H$2=VLOOKUP(A142,Journal!$A$7:$G$70,7),VLOOKUP(A142,Journal!$A$7:M$70,9),0)</f>
        <v>0</v>
      </c>
      <c r="V142" s="125">
        <f t="shared" si="19"/>
        <v>40</v>
      </c>
      <c r="X142">
        <f t="shared" si="16"/>
        <v>0</v>
      </c>
      <c r="Y142" s="143">
        <f t="shared" si="15"/>
        <v>-996.52631578947921</v>
      </c>
    </row>
    <row r="143" spans="1:25" x14ac:dyDescent="0.25">
      <c r="A143">
        <f t="shared" si="20"/>
        <v>136</v>
      </c>
      <c r="B143" s="88" t="str">
        <f>IF(OR(B142="Total",B142=""),"",IF(VLOOKUP(A143,Journal!$B$7:$E$84,4)=0,"Total",VLOOKUP(A143,Journal!$B$7:$D$84,3)))</f>
        <v/>
      </c>
      <c r="C143" s="86" t="str">
        <f>IF(B143="","",VLOOKUP(A143,Journal!$B$7:$E$84,4))</f>
        <v/>
      </c>
      <c r="D143" s="114" t="str">
        <f>IF(B143="","",VLOOKUP(A143,Journal!$B$7:$J$84,9))</f>
        <v/>
      </c>
      <c r="E143" s="116"/>
      <c r="F143" s="116"/>
      <c r="G143" s="115"/>
      <c r="H143" s="84" t="str">
        <f>IF(B143="","",VLOOKUP(A143,Journal!$B$7:$L$84,11))</f>
        <v/>
      </c>
      <c r="I143" s="84" t="str">
        <f>IF(B143="","",VLOOKUP(A143,Journal!$B$7:$M$84,12))</f>
        <v/>
      </c>
      <c r="J143" s="105">
        <f>IF(B143="Total",SUM(J$8:J142)+0.0001,IF(OR(B143="",I$2=I143),0,VLOOKUP(A143,Journal!$B$7:M$84,8)))</f>
        <v>0</v>
      </c>
      <c r="K143" s="102">
        <f>IF(B143="Total",SUM(K$8:K142)+0.0001,IF(OR(B143="",J143&lt;&gt;0),0,VLOOKUP(A143,Journal!$B$7:M$84,8)))</f>
        <v>0</v>
      </c>
      <c r="L143" s="87">
        <f t="shared" si="14"/>
        <v>0</v>
      </c>
      <c r="P143">
        <f t="shared" si="17"/>
        <v>1.0000000000000001E-5</v>
      </c>
      <c r="R143" s="15">
        <f t="shared" si="18"/>
        <v>136</v>
      </c>
      <c r="S143" s="126">
        <f>IF(VLOOKUP(A143,Journal!$A$7:$E$70,5)=0,S142+1,VLOOKUP(A143,Journal!$A$7:$E$70,5))</f>
        <v>45793</v>
      </c>
      <c r="T143" s="125">
        <f>IF(H$2=VLOOKUP(A143,Journal!$A$7:$F$70,6),VLOOKUP(A143,Journal!$A$7:M$70,9),0)</f>
        <v>0</v>
      </c>
      <c r="U143" s="125">
        <f>IF(H$2=VLOOKUP(A143,Journal!$A$7:$G$70,7),VLOOKUP(A143,Journal!$A$7:M$70,9),0)</f>
        <v>0</v>
      </c>
      <c r="V143" s="125">
        <f t="shared" si="19"/>
        <v>40</v>
      </c>
      <c r="X143">
        <f t="shared" si="16"/>
        <v>0</v>
      </c>
      <c r="Y143" s="143">
        <f t="shared" si="15"/>
        <v>-996.50000000000557</v>
      </c>
    </row>
    <row r="144" spans="1:25" x14ac:dyDescent="0.25">
      <c r="A144">
        <f t="shared" si="20"/>
        <v>137</v>
      </c>
      <c r="B144" s="88" t="str">
        <f>IF(OR(B143="Total",B143=""),"",IF(VLOOKUP(A144,Journal!$B$7:$E$84,4)=0,"Total",VLOOKUP(A144,Journal!$B$7:$D$84,3)))</f>
        <v/>
      </c>
      <c r="C144" s="86" t="str">
        <f>IF(B144="","",VLOOKUP(A144,Journal!$B$7:$E$84,4))</f>
        <v/>
      </c>
      <c r="D144" s="114" t="str">
        <f>IF(B144="","",VLOOKUP(A144,Journal!$B$7:$J$84,9))</f>
        <v/>
      </c>
      <c r="E144" s="116"/>
      <c r="F144" s="116"/>
      <c r="G144" s="115"/>
      <c r="H144" s="84" t="str">
        <f>IF(B144="","",VLOOKUP(A144,Journal!$B$7:$L$84,11))</f>
        <v/>
      </c>
      <c r="I144" s="84" t="str">
        <f>IF(B144="","",VLOOKUP(A144,Journal!$B$7:$M$84,12))</f>
        <v/>
      </c>
      <c r="J144" s="105">
        <f>IF(B144="Total",SUM(J$8:J143)+0.0001,IF(OR(B144="",I$2=I144),0,VLOOKUP(A144,Journal!$B$7:M$84,8)))</f>
        <v>0</v>
      </c>
      <c r="K144" s="102">
        <f>IF(B144="Total",SUM(K$8:K143)+0.0001,IF(OR(B144="",J144&lt;&gt;0),0,VLOOKUP(A144,Journal!$B$7:M$84,8)))</f>
        <v>0</v>
      </c>
      <c r="L144" s="87">
        <f t="shared" si="14"/>
        <v>0</v>
      </c>
      <c r="P144">
        <f t="shared" si="17"/>
        <v>1.0000000000000001E-5</v>
      </c>
      <c r="R144" s="15">
        <f t="shared" si="18"/>
        <v>137</v>
      </c>
      <c r="S144" s="126">
        <f>IF(VLOOKUP(A144,Journal!$A$7:$E$70,5)=0,S143+1,VLOOKUP(A144,Journal!$A$7:$E$70,5))</f>
        <v>45794</v>
      </c>
      <c r="T144" s="125">
        <f>IF(H$2=VLOOKUP(A144,Journal!$A$7:$F$70,6),VLOOKUP(A144,Journal!$A$7:M$70,9),0)</f>
        <v>0</v>
      </c>
      <c r="U144" s="125">
        <f>IF(H$2=VLOOKUP(A144,Journal!$A$7:$G$70,7),VLOOKUP(A144,Journal!$A$7:M$70,9),0)</f>
        <v>0</v>
      </c>
      <c r="V144" s="125">
        <f t="shared" si="19"/>
        <v>40</v>
      </c>
      <c r="X144">
        <f t="shared" si="16"/>
        <v>0</v>
      </c>
      <c r="Y144" s="143">
        <f t="shared" si="15"/>
        <v>-996.47368421053193</v>
      </c>
    </row>
    <row r="145" spans="1:25" x14ac:dyDescent="0.25">
      <c r="A145">
        <f t="shared" si="20"/>
        <v>138</v>
      </c>
      <c r="B145" s="88" t="str">
        <f>IF(OR(B144="Total",B144=""),"",IF(VLOOKUP(A145,Journal!$B$7:$E$84,4)=0,"Total",VLOOKUP(A145,Journal!$B$7:$D$84,3)))</f>
        <v/>
      </c>
      <c r="C145" s="86" t="str">
        <f>IF(B145="","",VLOOKUP(A145,Journal!$B$7:$E$84,4))</f>
        <v/>
      </c>
      <c r="D145" s="114" t="str">
        <f>IF(B145="","",VLOOKUP(A145,Journal!$B$7:$J$84,9))</f>
        <v/>
      </c>
      <c r="E145" s="116"/>
      <c r="F145" s="116"/>
      <c r="G145" s="115"/>
      <c r="H145" s="84" t="str">
        <f>IF(B145="","",VLOOKUP(A145,Journal!$B$7:$L$84,11))</f>
        <v/>
      </c>
      <c r="I145" s="84" t="str">
        <f>IF(B145="","",VLOOKUP(A145,Journal!$B$7:$M$84,12))</f>
        <v/>
      </c>
      <c r="J145" s="105">
        <f>IF(B145="Total",SUM(J$8:J144)+0.0001,IF(OR(B145="",I$2=I145),0,VLOOKUP(A145,Journal!$B$7:M$84,8)))</f>
        <v>0</v>
      </c>
      <c r="K145" s="102">
        <f>IF(B145="Total",SUM(K$8:K144)+0.0001,IF(OR(B145="",J145&lt;&gt;0),0,VLOOKUP(A145,Journal!$B$7:M$84,8)))</f>
        <v>0</v>
      </c>
      <c r="L145" s="87">
        <f t="shared" si="14"/>
        <v>0</v>
      </c>
      <c r="P145">
        <f t="shared" si="17"/>
        <v>1.0000000000000001E-5</v>
      </c>
      <c r="R145" s="15">
        <f t="shared" si="18"/>
        <v>138</v>
      </c>
      <c r="S145" s="126">
        <f>IF(VLOOKUP(A145,Journal!$A$7:$E$70,5)=0,S144+1,VLOOKUP(A145,Journal!$A$7:$E$70,5))</f>
        <v>45795</v>
      </c>
      <c r="T145" s="125">
        <f>IF(H$2=VLOOKUP(A145,Journal!$A$7:$F$70,6),VLOOKUP(A145,Journal!$A$7:M$70,9),0)</f>
        <v>0</v>
      </c>
      <c r="U145" s="125">
        <f>IF(H$2=VLOOKUP(A145,Journal!$A$7:$G$70,7),VLOOKUP(A145,Journal!$A$7:M$70,9),0)</f>
        <v>0</v>
      </c>
      <c r="V145" s="125">
        <f t="shared" si="19"/>
        <v>40</v>
      </c>
      <c r="X145">
        <f t="shared" si="16"/>
        <v>0</v>
      </c>
      <c r="Y145" s="143">
        <f t="shared" si="15"/>
        <v>-996.44736842105829</v>
      </c>
    </row>
    <row r="146" spans="1:25" x14ac:dyDescent="0.25">
      <c r="A146">
        <f t="shared" si="20"/>
        <v>139</v>
      </c>
      <c r="B146" s="88" t="str">
        <f>IF(OR(B145="Total",B145=""),"",IF(VLOOKUP(A146,Journal!$B$7:$E$84,4)=0,"Total",VLOOKUP(A146,Journal!$B$7:$D$84,3)))</f>
        <v/>
      </c>
      <c r="C146" s="86" t="str">
        <f>IF(B146="","",VLOOKUP(A146,Journal!$B$7:$E$84,4))</f>
        <v/>
      </c>
      <c r="D146" s="114" t="str">
        <f>IF(B146="","",VLOOKUP(A146,Journal!$B$7:$J$84,9))</f>
        <v/>
      </c>
      <c r="E146" s="116"/>
      <c r="F146" s="116"/>
      <c r="G146" s="115"/>
      <c r="H146" s="84" t="str">
        <f>IF(B146="","",VLOOKUP(A146,Journal!$B$7:$L$84,11))</f>
        <v/>
      </c>
      <c r="I146" s="84" t="str">
        <f>IF(B146="","",VLOOKUP(A146,Journal!$B$7:$M$84,12))</f>
        <v/>
      </c>
      <c r="J146" s="105">
        <f>IF(B146="Total",SUM(J$8:J145)+0.0001,IF(OR(B146="",I$2=I146),0,VLOOKUP(A146,Journal!$B$7:M$84,8)))</f>
        <v>0</v>
      </c>
      <c r="K146" s="102">
        <f>IF(B146="Total",SUM(K$8:K145)+0.0001,IF(OR(B146="",J146&lt;&gt;0),0,VLOOKUP(A146,Journal!$B$7:M$84,8)))</f>
        <v>0</v>
      </c>
      <c r="L146" s="87">
        <f t="shared" si="14"/>
        <v>0</v>
      </c>
      <c r="P146">
        <f t="shared" si="17"/>
        <v>1.0000000000000001E-5</v>
      </c>
      <c r="R146" s="15">
        <f t="shared" si="18"/>
        <v>139</v>
      </c>
      <c r="S146" s="126">
        <f>IF(VLOOKUP(A146,Journal!$A$7:$E$70,5)=0,S145+1,VLOOKUP(A146,Journal!$A$7:$E$70,5))</f>
        <v>45796</v>
      </c>
      <c r="T146" s="125">
        <f>IF(H$2=VLOOKUP(A146,Journal!$A$7:$F$70,6),VLOOKUP(A146,Journal!$A$7:M$70,9),0)</f>
        <v>0</v>
      </c>
      <c r="U146" s="125">
        <f>IF(H$2=VLOOKUP(A146,Journal!$A$7:$G$70,7),VLOOKUP(A146,Journal!$A$7:M$70,9),0)</f>
        <v>0</v>
      </c>
      <c r="V146" s="125">
        <f t="shared" si="19"/>
        <v>40</v>
      </c>
      <c r="X146">
        <f t="shared" si="16"/>
        <v>0</v>
      </c>
      <c r="Y146" s="143">
        <f t="shared" si="15"/>
        <v>-996.42105263158464</v>
      </c>
    </row>
    <row r="147" spans="1:25" x14ac:dyDescent="0.25">
      <c r="A147">
        <f t="shared" si="20"/>
        <v>140</v>
      </c>
      <c r="B147" s="88" t="str">
        <f>IF(OR(B146="Total",B146=""),"",IF(VLOOKUP(A147,Journal!$B$7:$E$84,4)=0,"Total",VLOOKUP(A147,Journal!$B$7:$D$84,3)))</f>
        <v/>
      </c>
      <c r="C147" s="86" t="str">
        <f>IF(B147="","",VLOOKUP(A147,Journal!$B$7:$E$84,4))</f>
        <v/>
      </c>
      <c r="D147" s="114" t="str">
        <f>IF(B147="","",VLOOKUP(A147,Journal!$B$7:$J$84,9))</f>
        <v/>
      </c>
      <c r="E147" s="116"/>
      <c r="F147" s="116"/>
      <c r="G147" s="115"/>
      <c r="H147" s="84" t="str">
        <f>IF(B147="","",VLOOKUP(A147,Journal!$B$7:$L$84,11))</f>
        <v/>
      </c>
      <c r="I147" s="84" t="str">
        <f>IF(B147="","",VLOOKUP(A147,Journal!$B$7:$M$84,12))</f>
        <v/>
      </c>
      <c r="J147" s="105">
        <f>IF(B147="Total",SUM(J$8:J146)+0.0001,IF(OR(B147="",I$2=I147),0,VLOOKUP(A147,Journal!$B$7:M$84,8)))</f>
        <v>0</v>
      </c>
      <c r="K147" s="102">
        <f>IF(B147="Total",SUM(K$8:K146)+0.0001,IF(OR(B147="",J147&lt;&gt;0),0,VLOOKUP(A147,Journal!$B$7:M$84,8)))</f>
        <v>0</v>
      </c>
      <c r="L147" s="87">
        <f t="shared" si="14"/>
        <v>0</v>
      </c>
      <c r="P147">
        <f t="shared" si="17"/>
        <v>1.0000000000000001E-5</v>
      </c>
      <c r="R147" s="15">
        <f t="shared" si="18"/>
        <v>140</v>
      </c>
      <c r="S147" s="126">
        <f>IF(VLOOKUP(A147,Journal!$A$7:$E$70,5)=0,S146+1,VLOOKUP(A147,Journal!$A$7:$E$70,5))</f>
        <v>45797</v>
      </c>
      <c r="T147" s="125">
        <f>IF(H$2=VLOOKUP(A147,Journal!$A$7:$F$70,6),VLOOKUP(A147,Journal!$A$7:M$70,9),0)</f>
        <v>0</v>
      </c>
      <c r="U147" s="125">
        <f>IF(H$2=VLOOKUP(A147,Journal!$A$7:$G$70,7),VLOOKUP(A147,Journal!$A$7:M$70,9),0)</f>
        <v>0</v>
      </c>
      <c r="V147" s="125">
        <f t="shared" si="19"/>
        <v>40</v>
      </c>
      <c r="X147">
        <f t="shared" si="16"/>
        <v>0</v>
      </c>
      <c r="Y147" s="143">
        <f t="shared" si="15"/>
        <v>-996.394736842111</v>
      </c>
    </row>
    <row r="148" spans="1:25" x14ac:dyDescent="0.25">
      <c r="A148">
        <f t="shared" si="20"/>
        <v>141</v>
      </c>
      <c r="B148" s="88" t="str">
        <f>IF(OR(B147="Total",B147=""),"",IF(VLOOKUP(A148,Journal!$B$7:$E$84,4)=0,"Total",VLOOKUP(A148,Journal!$B$7:$D$84,3)))</f>
        <v/>
      </c>
      <c r="C148" s="86" t="str">
        <f>IF(B148="","",VLOOKUP(A148,Journal!$B$7:$E$84,4))</f>
        <v/>
      </c>
      <c r="D148" s="114" t="str">
        <f>IF(B148="","",VLOOKUP(A148,Journal!$B$7:$J$84,9))</f>
        <v/>
      </c>
      <c r="E148" s="116"/>
      <c r="F148" s="116"/>
      <c r="G148" s="115"/>
      <c r="H148" s="84" t="str">
        <f>IF(B148="","",VLOOKUP(A148,Journal!$B$7:$L$84,11))</f>
        <v/>
      </c>
      <c r="I148" s="84" t="str">
        <f>IF(B148="","",VLOOKUP(A148,Journal!$B$7:$M$84,12))</f>
        <v/>
      </c>
      <c r="J148" s="105">
        <f>IF(B148="Total",SUM(J$8:J147)+0.0001,IF(OR(B148="",I$2=I148),0,VLOOKUP(A148,Journal!$B$7:M$84,8)))</f>
        <v>0</v>
      </c>
      <c r="K148" s="102">
        <f>IF(B148="Total",SUM(K$8:K147)+0.0001,IF(OR(B148="",J148&lt;&gt;0),0,VLOOKUP(A148,Journal!$B$7:M$84,8)))</f>
        <v>0</v>
      </c>
      <c r="L148" s="87">
        <f t="shared" si="14"/>
        <v>0</v>
      </c>
      <c r="P148">
        <f t="shared" si="17"/>
        <v>1.0000000000000001E-5</v>
      </c>
      <c r="R148" s="15">
        <f t="shared" si="18"/>
        <v>141</v>
      </c>
      <c r="S148" s="126">
        <f>IF(VLOOKUP(A148,Journal!$A$7:$E$70,5)=0,S147+1,VLOOKUP(A148,Journal!$A$7:$E$70,5))</f>
        <v>45798</v>
      </c>
      <c r="T148" s="125">
        <f>IF(H$2=VLOOKUP(A148,Journal!$A$7:$F$70,6),VLOOKUP(A148,Journal!$A$7:M$70,9),0)</f>
        <v>0</v>
      </c>
      <c r="U148" s="125">
        <f>IF(H$2=VLOOKUP(A148,Journal!$A$7:$G$70,7),VLOOKUP(A148,Journal!$A$7:M$70,9),0)</f>
        <v>0</v>
      </c>
      <c r="V148" s="125">
        <f t="shared" si="19"/>
        <v>40</v>
      </c>
      <c r="X148">
        <f t="shared" si="16"/>
        <v>0</v>
      </c>
      <c r="Y148" s="143">
        <f t="shared" si="15"/>
        <v>-996.36842105263736</v>
      </c>
    </row>
    <row r="149" spans="1:25" x14ac:dyDescent="0.25">
      <c r="A149">
        <f t="shared" si="20"/>
        <v>142</v>
      </c>
      <c r="B149" s="88" t="str">
        <f>IF(OR(B148="Total",B148=""),"",IF(VLOOKUP(A149,Journal!$B$7:$E$84,4)=0,"Total",VLOOKUP(A149,Journal!$B$7:$D$84,3)))</f>
        <v/>
      </c>
      <c r="C149" s="86" t="str">
        <f>IF(B149="","",VLOOKUP(A149,Journal!$B$7:$E$84,4))</f>
        <v/>
      </c>
      <c r="D149" s="114" t="str">
        <f>IF(B149="","",VLOOKUP(A149,Journal!$B$7:$J$84,9))</f>
        <v/>
      </c>
      <c r="E149" s="116"/>
      <c r="F149" s="116"/>
      <c r="G149" s="115"/>
      <c r="H149" s="84" t="str">
        <f>IF(B149="","",VLOOKUP(A149,Journal!$B$7:$L$84,11))</f>
        <v/>
      </c>
      <c r="I149" s="84" t="str">
        <f>IF(B149="","",VLOOKUP(A149,Journal!$B$7:$M$84,12))</f>
        <v/>
      </c>
      <c r="J149" s="105">
        <f>IF(B149="Total",SUM(J$8:J148)+0.0001,IF(OR(B149="",I$2=I149),0,VLOOKUP(A149,Journal!$B$7:M$84,8)))</f>
        <v>0</v>
      </c>
      <c r="K149" s="102">
        <f>IF(B149="Total",SUM(K$8:K148)+0.0001,IF(OR(B149="",J149&lt;&gt;0),0,VLOOKUP(A149,Journal!$B$7:M$84,8)))</f>
        <v>0</v>
      </c>
      <c r="L149" s="87">
        <f t="shared" si="14"/>
        <v>0</v>
      </c>
      <c r="P149">
        <f t="shared" si="17"/>
        <v>1.0000000000000001E-5</v>
      </c>
      <c r="R149" s="15">
        <f t="shared" si="18"/>
        <v>142</v>
      </c>
      <c r="S149" s="126">
        <f>IF(VLOOKUP(A149,Journal!$A$7:$E$70,5)=0,S148+1,VLOOKUP(A149,Journal!$A$7:$E$70,5))</f>
        <v>45799</v>
      </c>
      <c r="T149" s="125">
        <f>IF(H$2=VLOOKUP(A149,Journal!$A$7:$F$70,6),VLOOKUP(A149,Journal!$A$7:M$70,9),0)</f>
        <v>0</v>
      </c>
      <c r="U149" s="125">
        <f>IF(H$2=VLOOKUP(A149,Journal!$A$7:$G$70,7),VLOOKUP(A149,Journal!$A$7:M$70,9),0)</f>
        <v>0</v>
      </c>
      <c r="V149" s="125">
        <f t="shared" si="19"/>
        <v>40</v>
      </c>
      <c r="X149">
        <f t="shared" si="16"/>
        <v>0</v>
      </c>
      <c r="Y149" s="143">
        <f t="shared" si="15"/>
        <v>-996.34210526316372</v>
      </c>
    </row>
    <row r="150" spans="1:25" x14ac:dyDescent="0.25">
      <c r="A150">
        <f t="shared" si="20"/>
        <v>143</v>
      </c>
      <c r="B150" s="88" t="str">
        <f>IF(OR(B149="Total",B149=""),"",IF(VLOOKUP(A150,Journal!$B$7:$E$84,4)=0,"Total",VLOOKUP(A150,Journal!$B$7:$D$84,3)))</f>
        <v/>
      </c>
      <c r="C150" s="86" t="str">
        <f>IF(B150="","",VLOOKUP(A150,Journal!$B$7:$E$84,4))</f>
        <v/>
      </c>
      <c r="D150" s="114" t="str">
        <f>IF(B150="","",VLOOKUP(A150,Journal!$B$7:$J$84,9))</f>
        <v/>
      </c>
      <c r="E150" s="116"/>
      <c r="F150" s="116"/>
      <c r="G150" s="115"/>
      <c r="H150" s="84" t="str">
        <f>IF(B150="","",VLOOKUP(A150,Journal!$B$7:$L$84,11))</f>
        <v/>
      </c>
      <c r="I150" s="84" t="str">
        <f>IF(B150="","",VLOOKUP(A150,Journal!$B$7:$M$84,12))</f>
        <v/>
      </c>
      <c r="J150" s="105">
        <f>IF(B150="Total",SUM(J$8:J149)+0.0001,IF(OR(B150="",I$2=I150),0,VLOOKUP(A150,Journal!$B$7:M$84,8)))</f>
        <v>0</v>
      </c>
      <c r="K150" s="102">
        <f>IF(B150="Total",SUM(K$8:K149)+0.0001,IF(OR(B150="",J150&lt;&gt;0),0,VLOOKUP(A150,Journal!$B$7:M$84,8)))</f>
        <v>0</v>
      </c>
      <c r="L150" s="87">
        <f t="shared" si="14"/>
        <v>0</v>
      </c>
      <c r="P150">
        <f t="shared" si="17"/>
        <v>1.0000000000000001E-5</v>
      </c>
      <c r="R150" s="15">
        <f t="shared" si="18"/>
        <v>143</v>
      </c>
      <c r="S150" s="126">
        <f>IF(VLOOKUP(A150,Journal!$A$7:$E$70,5)=0,S149+1,VLOOKUP(A150,Journal!$A$7:$E$70,5))</f>
        <v>45800</v>
      </c>
      <c r="T150" s="125">
        <f>IF(H$2=VLOOKUP(A150,Journal!$A$7:$F$70,6),VLOOKUP(A150,Journal!$A$7:M$70,9),0)</f>
        <v>0</v>
      </c>
      <c r="U150" s="125">
        <f>IF(H$2=VLOOKUP(A150,Journal!$A$7:$G$70,7),VLOOKUP(A150,Journal!$A$7:M$70,9),0)</f>
        <v>0</v>
      </c>
      <c r="V150" s="125">
        <f t="shared" si="19"/>
        <v>40</v>
      </c>
      <c r="X150">
        <f t="shared" si="16"/>
        <v>0</v>
      </c>
      <c r="Y150" s="143">
        <f t="shared" si="15"/>
        <v>-996.31578947369007</v>
      </c>
    </row>
    <row r="151" spans="1:25" x14ac:dyDescent="0.25">
      <c r="A151">
        <f t="shared" si="20"/>
        <v>144</v>
      </c>
      <c r="B151" s="88" t="str">
        <f>IF(OR(B150="Total",B150=""),"",IF(VLOOKUP(A151,Journal!$B$7:$E$84,4)=0,"Total",VLOOKUP(A151,Journal!$B$7:$D$84,3)))</f>
        <v/>
      </c>
      <c r="C151" s="86" t="str">
        <f>IF(B151="","",VLOOKUP(A151,Journal!$B$7:$E$84,4))</f>
        <v/>
      </c>
      <c r="D151" s="114" t="str">
        <f>IF(B151="","",VLOOKUP(A151,Journal!$B$7:$J$84,9))</f>
        <v/>
      </c>
      <c r="E151" s="116"/>
      <c r="F151" s="116"/>
      <c r="G151" s="115"/>
      <c r="H151" s="84" t="str">
        <f>IF(B151="","",VLOOKUP(A151,Journal!$B$7:$L$84,11))</f>
        <v/>
      </c>
      <c r="I151" s="84" t="str">
        <f>IF(B151="","",VLOOKUP(A151,Journal!$B$7:$M$84,12))</f>
        <v/>
      </c>
      <c r="J151" s="105">
        <f>IF(B151="Total",SUM(J$8:J150)+0.0001,IF(OR(B151="",I$2=I151),0,VLOOKUP(A151,Journal!$B$7:M$84,8)))</f>
        <v>0</v>
      </c>
      <c r="K151" s="102">
        <f>IF(B151="Total",SUM(K$8:K150)+0.0001,IF(OR(B151="",J151&lt;&gt;0),0,VLOOKUP(A151,Journal!$B$7:M$84,8)))</f>
        <v>0</v>
      </c>
      <c r="L151" s="87">
        <f t="shared" si="14"/>
        <v>0</v>
      </c>
      <c r="P151">
        <f t="shared" si="17"/>
        <v>1.0000000000000001E-5</v>
      </c>
      <c r="R151" s="15">
        <f t="shared" si="18"/>
        <v>144</v>
      </c>
      <c r="S151" s="126">
        <f>IF(VLOOKUP(A151,Journal!$A$7:$E$70,5)=0,S150+1,VLOOKUP(A151,Journal!$A$7:$E$70,5))</f>
        <v>45801</v>
      </c>
      <c r="T151" s="125">
        <f>IF(H$2=VLOOKUP(A151,Journal!$A$7:$F$70,6),VLOOKUP(A151,Journal!$A$7:M$70,9),0)</f>
        <v>0</v>
      </c>
      <c r="U151" s="125">
        <f>IF(H$2=VLOOKUP(A151,Journal!$A$7:$G$70,7),VLOOKUP(A151,Journal!$A$7:M$70,9),0)</f>
        <v>0</v>
      </c>
      <c r="V151" s="125">
        <f t="shared" si="19"/>
        <v>40</v>
      </c>
      <c r="X151">
        <f t="shared" si="16"/>
        <v>0</v>
      </c>
      <c r="Y151" s="143">
        <f t="shared" si="15"/>
        <v>-996.28947368421643</v>
      </c>
    </row>
    <row r="152" spans="1:25" x14ac:dyDescent="0.25">
      <c r="A152">
        <f t="shared" si="20"/>
        <v>145</v>
      </c>
      <c r="B152" s="88" t="str">
        <f>IF(OR(B151="Total",B151=""),"",IF(VLOOKUP(A152,Journal!$B$7:$E$84,4)=0,"Total",VLOOKUP(A152,Journal!$B$7:$D$84,3)))</f>
        <v/>
      </c>
      <c r="C152" s="86" t="str">
        <f>IF(B152="","",VLOOKUP(A152,Journal!$B$7:$E$84,4))</f>
        <v/>
      </c>
      <c r="D152" s="114" t="str">
        <f>IF(B152="","",VLOOKUP(A152,Journal!$B$7:$J$84,9))</f>
        <v/>
      </c>
      <c r="E152" s="116"/>
      <c r="F152" s="116"/>
      <c r="G152" s="115"/>
      <c r="H152" s="84" t="str">
        <f>IF(B152="","",VLOOKUP(A152,Journal!$B$7:$L$84,11))</f>
        <v/>
      </c>
      <c r="I152" s="84" t="str">
        <f>IF(B152="","",VLOOKUP(A152,Journal!$B$7:$M$84,12))</f>
        <v/>
      </c>
      <c r="J152" s="105">
        <f>IF(B152="Total",SUM(J$8:J151)+0.0001,IF(OR(B152="",I$2=I152),0,VLOOKUP(A152,Journal!$B$7:M$84,8)))</f>
        <v>0</v>
      </c>
      <c r="K152" s="102">
        <f>IF(B152="Total",SUM(K$8:K151)+0.0001,IF(OR(B152="",J152&lt;&gt;0),0,VLOOKUP(A152,Journal!$B$7:M$84,8)))</f>
        <v>0</v>
      </c>
      <c r="L152" s="87">
        <f t="shared" si="14"/>
        <v>0</v>
      </c>
      <c r="P152">
        <f t="shared" si="17"/>
        <v>1.0000000000000001E-5</v>
      </c>
      <c r="R152" s="15">
        <f t="shared" si="18"/>
        <v>145</v>
      </c>
      <c r="S152" s="126">
        <f>IF(VLOOKUP(A152,Journal!$A$7:$E$70,5)=0,S151+1,VLOOKUP(A152,Journal!$A$7:$E$70,5))</f>
        <v>45802</v>
      </c>
      <c r="T152" s="125">
        <f>IF(H$2=VLOOKUP(A152,Journal!$A$7:$F$70,6),VLOOKUP(A152,Journal!$A$7:M$70,9),0)</f>
        <v>0</v>
      </c>
      <c r="U152" s="125">
        <f>IF(H$2=VLOOKUP(A152,Journal!$A$7:$G$70,7),VLOOKUP(A152,Journal!$A$7:M$70,9),0)</f>
        <v>0</v>
      </c>
      <c r="V152" s="125">
        <f t="shared" si="19"/>
        <v>40</v>
      </c>
      <c r="X152">
        <f t="shared" si="16"/>
        <v>0</v>
      </c>
      <c r="Y152" s="143">
        <f t="shared" si="15"/>
        <v>-996.26315789474279</v>
      </c>
    </row>
    <row r="153" spans="1:25" x14ac:dyDescent="0.25">
      <c r="A153">
        <f t="shared" si="20"/>
        <v>146</v>
      </c>
      <c r="B153" s="88" t="str">
        <f>IF(OR(B152="Total",B152=""),"",IF(VLOOKUP(A153,Journal!$B$7:$E$84,4)=0,"Total",VLOOKUP(A153,Journal!$B$7:$D$84,3)))</f>
        <v/>
      </c>
      <c r="C153" s="86" t="str">
        <f>IF(B153="","",VLOOKUP(A153,Journal!$B$7:$E$84,4))</f>
        <v/>
      </c>
      <c r="D153" s="114" t="str">
        <f>IF(B153="","",VLOOKUP(A153,Journal!$B$7:$J$84,9))</f>
        <v/>
      </c>
      <c r="E153" s="116"/>
      <c r="F153" s="116"/>
      <c r="G153" s="115"/>
      <c r="H153" s="84" t="str">
        <f>IF(B153="","",VLOOKUP(A153,Journal!$B$7:$L$84,11))</f>
        <v/>
      </c>
      <c r="I153" s="84" t="str">
        <f>IF(B153="","",VLOOKUP(A153,Journal!$B$7:$M$84,12))</f>
        <v/>
      </c>
      <c r="J153" s="105">
        <f>IF(B153="Total",SUM(J$8:J152)+0.0001,IF(OR(B153="",I$2=I153),0,VLOOKUP(A153,Journal!$B$7:M$84,8)))</f>
        <v>0</v>
      </c>
      <c r="K153" s="102">
        <f>IF(B153="Total",SUM(K$8:K152)+0.0001,IF(OR(B153="",J153&lt;&gt;0),0,VLOOKUP(A153,Journal!$B$7:M$84,8)))</f>
        <v>0</v>
      </c>
      <c r="L153" s="87">
        <f t="shared" si="14"/>
        <v>0</v>
      </c>
      <c r="P153">
        <f t="shared" si="17"/>
        <v>1.0000000000000001E-5</v>
      </c>
      <c r="R153" s="15">
        <f t="shared" si="18"/>
        <v>146</v>
      </c>
      <c r="S153" s="126">
        <f>IF(VLOOKUP(A153,Journal!$A$7:$E$70,5)=0,S152+1,VLOOKUP(A153,Journal!$A$7:$E$70,5))</f>
        <v>45803</v>
      </c>
      <c r="T153" s="125">
        <f>IF(H$2=VLOOKUP(A153,Journal!$A$7:$F$70,6),VLOOKUP(A153,Journal!$A$7:M$70,9),0)</f>
        <v>0</v>
      </c>
      <c r="U153" s="125">
        <f>IF(H$2=VLOOKUP(A153,Journal!$A$7:$G$70,7),VLOOKUP(A153,Journal!$A$7:M$70,9),0)</f>
        <v>0</v>
      </c>
      <c r="V153" s="125">
        <f t="shared" si="19"/>
        <v>40</v>
      </c>
      <c r="X153">
        <f t="shared" si="16"/>
        <v>0</v>
      </c>
      <c r="Y153" s="143">
        <f t="shared" si="15"/>
        <v>-996.23684210526915</v>
      </c>
    </row>
    <row r="154" spans="1:25" x14ac:dyDescent="0.25">
      <c r="A154">
        <f t="shared" si="20"/>
        <v>147</v>
      </c>
      <c r="B154" s="88" t="str">
        <f>IF(OR(B153="Total",B153=""),"",IF(VLOOKUP(A154,Journal!$B$7:$E$84,4)=0,"Total",VLOOKUP(A154,Journal!$B$7:$D$84,3)))</f>
        <v/>
      </c>
      <c r="C154" s="86" t="str">
        <f>IF(B154="","",VLOOKUP(A154,Journal!$B$7:$E$84,4))</f>
        <v/>
      </c>
      <c r="D154" s="114" t="str">
        <f>IF(B154="","",VLOOKUP(A154,Journal!$B$7:$J$84,9))</f>
        <v/>
      </c>
      <c r="E154" s="116"/>
      <c r="F154" s="116"/>
      <c r="G154" s="115"/>
      <c r="H154" s="84" t="str">
        <f>IF(B154="","",VLOOKUP(A154,Journal!$B$7:$L$84,11))</f>
        <v/>
      </c>
      <c r="I154" s="84" t="str">
        <f>IF(B154="","",VLOOKUP(A154,Journal!$B$7:$M$84,12))</f>
        <v/>
      </c>
      <c r="J154" s="105">
        <f>IF(B154="Total",SUM(J$8:J153)+0.0001,IF(OR(B154="",I$2=I154),0,VLOOKUP(A154,Journal!$B$7:M$84,8)))</f>
        <v>0</v>
      </c>
      <c r="K154" s="102">
        <f>IF(B154="Total",SUM(K$8:K153)+0.0001,IF(OR(B154="",J154&lt;&gt;0),0,VLOOKUP(A154,Journal!$B$7:M$84,8)))</f>
        <v>0</v>
      </c>
      <c r="L154" s="87">
        <f t="shared" si="14"/>
        <v>0</v>
      </c>
      <c r="P154">
        <f t="shared" si="17"/>
        <v>1.0000000000000001E-5</v>
      </c>
      <c r="R154" s="15">
        <f t="shared" si="18"/>
        <v>147</v>
      </c>
      <c r="S154" s="126">
        <f>IF(VLOOKUP(A154,Journal!$A$7:$E$70,5)=0,S153+1,VLOOKUP(A154,Journal!$A$7:$E$70,5))</f>
        <v>45804</v>
      </c>
      <c r="T154" s="125">
        <f>IF(H$2=VLOOKUP(A154,Journal!$A$7:$F$70,6),VLOOKUP(A154,Journal!$A$7:M$70,9),0)</f>
        <v>0</v>
      </c>
      <c r="U154" s="125">
        <f>IF(H$2=VLOOKUP(A154,Journal!$A$7:$G$70,7),VLOOKUP(A154,Journal!$A$7:M$70,9),0)</f>
        <v>0</v>
      </c>
      <c r="V154" s="125">
        <f t="shared" si="19"/>
        <v>40</v>
      </c>
      <c r="X154">
        <f t="shared" si="16"/>
        <v>0</v>
      </c>
      <c r="Y154" s="143">
        <f t="shared" si="15"/>
        <v>-996.21052631579551</v>
      </c>
    </row>
    <row r="155" spans="1:25" x14ac:dyDescent="0.25">
      <c r="A155">
        <f t="shared" si="20"/>
        <v>148</v>
      </c>
      <c r="B155" s="88" t="str">
        <f>IF(OR(B154="Total",B154=""),"",IF(VLOOKUP(A155,Journal!$B$7:$E$84,4)=0,"Total",VLOOKUP(A155,Journal!$B$7:$D$84,3)))</f>
        <v/>
      </c>
      <c r="C155" s="86" t="str">
        <f>IF(B155="","",VLOOKUP(A155,Journal!$B$7:$E$84,4))</f>
        <v/>
      </c>
      <c r="D155" s="114" t="str">
        <f>IF(B155="","",VLOOKUP(A155,Journal!$B$7:$J$84,9))</f>
        <v/>
      </c>
      <c r="E155" s="116"/>
      <c r="F155" s="116"/>
      <c r="G155" s="115"/>
      <c r="H155" s="84" t="str">
        <f>IF(B155="","",VLOOKUP(A155,Journal!$B$7:$L$84,11))</f>
        <v/>
      </c>
      <c r="I155" s="84" t="str">
        <f>IF(B155="","",VLOOKUP(A155,Journal!$B$7:$M$84,12))</f>
        <v/>
      </c>
      <c r="J155" s="105">
        <f>IF(B155="Total",SUM(J$8:J154)+0.0001,IF(OR(B155="",I$2=I155),0,VLOOKUP(A155,Journal!$B$7:M$84,8)))</f>
        <v>0</v>
      </c>
      <c r="K155" s="102">
        <f>IF(B155="Total",SUM(K$8:K154)+0.0001,IF(OR(B155="",J155&lt;&gt;0),0,VLOOKUP(A155,Journal!$B$7:M$84,8)))</f>
        <v>0</v>
      </c>
      <c r="L155" s="87">
        <f t="shared" si="14"/>
        <v>0</v>
      </c>
      <c r="P155">
        <f t="shared" si="17"/>
        <v>1.0000000000000001E-5</v>
      </c>
      <c r="R155" s="15">
        <f t="shared" si="18"/>
        <v>148</v>
      </c>
      <c r="S155" s="126">
        <f>IF(VLOOKUP(A155,Journal!$A$7:$E$70,5)=0,S154+1,VLOOKUP(A155,Journal!$A$7:$E$70,5))</f>
        <v>45805</v>
      </c>
      <c r="T155" s="125">
        <f>IF(H$2=VLOOKUP(A155,Journal!$A$7:$F$70,6),VLOOKUP(A155,Journal!$A$7:M$70,9),0)</f>
        <v>0</v>
      </c>
      <c r="U155" s="125">
        <f>IF(H$2=VLOOKUP(A155,Journal!$A$7:$G$70,7),VLOOKUP(A155,Journal!$A$7:M$70,9),0)</f>
        <v>0</v>
      </c>
      <c r="V155" s="125">
        <f t="shared" si="19"/>
        <v>40</v>
      </c>
      <c r="X155">
        <f t="shared" si="16"/>
        <v>0</v>
      </c>
      <c r="Y155" s="143">
        <f t="shared" si="15"/>
        <v>-996.18421052632186</v>
      </c>
    </row>
    <row r="156" spans="1:25" x14ac:dyDescent="0.25">
      <c r="A156">
        <f t="shared" si="20"/>
        <v>149</v>
      </c>
      <c r="B156" s="88" t="str">
        <f>IF(OR(B155="Total",B155=""),"",IF(VLOOKUP(A156,Journal!$B$7:$E$84,4)=0,"Total",VLOOKUP(A156,Journal!$B$7:$D$84,3)))</f>
        <v/>
      </c>
      <c r="C156" s="86" t="str">
        <f>IF(B156="","",VLOOKUP(A156,Journal!$B$7:$E$84,4))</f>
        <v/>
      </c>
      <c r="D156" s="114" t="str">
        <f>IF(B156="","",VLOOKUP(A156,Journal!$B$7:$J$84,9))</f>
        <v/>
      </c>
      <c r="E156" s="116"/>
      <c r="F156" s="116"/>
      <c r="G156" s="115"/>
      <c r="H156" s="84" t="str">
        <f>IF(B156="","",VLOOKUP(A156,Journal!$B$7:$L$84,11))</f>
        <v/>
      </c>
      <c r="I156" s="84" t="str">
        <f>IF(B156="","",VLOOKUP(A156,Journal!$B$7:$M$84,12))</f>
        <v/>
      </c>
      <c r="J156" s="105">
        <f>IF(B156="Total",SUM(J$8:J155)+0.0001,IF(OR(B156="",I$2=I156),0,VLOOKUP(A156,Journal!$B$7:M$84,8)))</f>
        <v>0</v>
      </c>
      <c r="K156" s="102">
        <f>IF(B156="Total",SUM(K$8:K155)+0.0001,IF(OR(B156="",J156&lt;&gt;0),0,VLOOKUP(A156,Journal!$B$7:M$84,8)))</f>
        <v>0</v>
      </c>
      <c r="L156" s="87">
        <f t="shared" si="14"/>
        <v>0</v>
      </c>
      <c r="P156">
        <f t="shared" si="17"/>
        <v>1.0000000000000001E-5</v>
      </c>
      <c r="R156" s="15">
        <f t="shared" si="18"/>
        <v>149</v>
      </c>
      <c r="S156" s="126">
        <f>IF(VLOOKUP(A156,Journal!$A$7:$E$70,5)=0,S155+1,VLOOKUP(A156,Journal!$A$7:$E$70,5))</f>
        <v>45806</v>
      </c>
      <c r="T156" s="125">
        <f>IF(H$2=VLOOKUP(A156,Journal!$A$7:$F$70,6),VLOOKUP(A156,Journal!$A$7:M$70,9),0)</f>
        <v>0</v>
      </c>
      <c r="U156" s="125">
        <f>IF(H$2=VLOOKUP(A156,Journal!$A$7:$G$70,7),VLOOKUP(A156,Journal!$A$7:M$70,9),0)</f>
        <v>0</v>
      </c>
      <c r="V156" s="125">
        <f t="shared" si="19"/>
        <v>40</v>
      </c>
      <c r="X156">
        <f t="shared" si="16"/>
        <v>0</v>
      </c>
      <c r="Y156" s="143">
        <f t="shared" si="15"/>
        <v>-996.15789473684822</v>
      </c>
    </row>
    <row r="157" spans="1:25" x14ac:dyDescent="0.25">
      <c r="A157">
        <f t="shared" si="20"/>
        <v>150</v>
      </c>
      <c r="B157" s="88" t="str">
        <f>IF(OR(B156="Total",B156=""),"",IF(VLOOKUP(A157,Journal!$B$7:$E$84,4)=0,"Total",VLOOKUP(A157,Journal!$B$7:$D$84,3)))</f>
        <v/>
      </c>
      <c r="C157" s="86" t="str">
        <f>IF(B157="","",VLOOKUP(A157,Journal!$B$7:$E$84,4))</f>
        <v/>
      </c>
      <c r="D157" s="114" t="str">
        <f>IF(B157="","",VLOOKUP(A157,Journal!$B$7:$J$84,9))</f>
        <v/>
      </c>
      <c r="E157" s="116"/>
      <c r="F157" s="116"/>
      <c r="G157" s="115"/>
      <c r="H157" s="84" t="str">
        <f>IF(B157="","",VLOOKUP(A157,Journal!$B$7:$L$84,11))</f>
        <v/>
      </c>
      <c r="I157" s="84" t="str">
        <f>IF(B157="","",VLOOKUP(A157,Journal!$B$7:$M$84,12))</f>
        <v/>
      </c>
      <c r="J157" s="105">
        <f>IF(B157="Total",SUM(J$8:J156)+0.0001,IF(OR(B157="",I$2=I157),0,VLOOKUP(A157,Journal!$B$7:M$84,8)))</f>
        <v>0</v>
      </c>
      <c r="K157" s="102">
        <f>IF(B157="Total",SUM(K$8:K156)+0.0001,IF(OR(B157="",J157&lt;&gt;0),0,VLOOKUP(A157,Journal!$B$7:M$84,8)))</f>
        <v>0</v>
      </c>
      <c r="L157" s="87">
        <f t="shared" si="14"/>
        <v>0</v>
      </c>
      <c r="P157">
        <f t="shared" si="17"/>
        <v>1.0000000000000001E-5</v>
      </c>
      <c r="R157" s="15">
        <f t="shared" si="18"/>
        <v>150</v>
      </c>
      <c r="S157" s="126">
        <f>IF(VLOOKUP(A157,Journal!$A$7:$E$70,5)=0,S156+1,VLOOKUP(A157,Journal!$A$7:$E$70,5))</f>
        <v>45807</v>
      </c>
      <c r="T157" s="125">
        <f>IF(H$2=VLOOKUP(A157,Journal!$A$7:$F$70,6),VLOOKUP(A157,Journal!$A$7:M$70,9),0)</f>
        <v>0</v>
      </c>
      <c r="U157" s="125">
        <f>IF(H$2=VLOOKUP(A157,Journal!$A$7:$G$70,7),VLOOKUP(A157,Journal!$A$7:M$70,9),0)</f>
        <v>0</v>
      </c>
      <c r="V157" s="125">
        <f t="shared" si="19"/>
        <v>40</v>
      </c>
      <c r="X157">
        <f t="shared" si="16"/>
        <v>0</v>
      </c>
      <c r="Y157" s="143">
        <f t="shared" si="15"/>
        <v>-996.13157894737458</v>
      </c>
    </row>
    <row r="158" spans="1:25" x14ac:dyDescent="0.25">
      <c r="A158">
        <f t="shared" si="20"/>
        <v>151</v>
      </c>
      <c r="B158" s="88" t="str">
        <f>IF(OR(B157="Total",B157=""),"",IF(VLOOKUP(A158,Journal!$B$7:$E$84,4)=0,"Total",VLOOKUP(A158,Journal!$B$7:$D$84,3)))</f>
        <v/>
      </c>
      <c r="C158" s="86" t="str">
        <f>IF(B158="","",VLOOKUP(A158,Journal!$B$7:$E$84,4))</f>
        <v/>
      </c>
      <c r="D158" s="114" t="str">
        <f>IF(B158="","",VLOOKUP(A158,Journal!$B$7:$J$84,9))</f>
        <v/>
      </c>
      <c r="E158" s="116"/>
      <c r="F158" s="116"/>
      <c r="G158" s="115"/>
      <c r="H158" s="84" t="str">
        <f>IF(B158="","",VLOOKUP(A158,Journal!$B$7:$L$84,11))</f>
        <v/>
      </c>
      <c r="I158" s="84" t="str">
        <f>IF(B158="","",VLOOKUP(A158,Journal!$B$7:$M$84,12))</f>
        <v/>
      </c>
      <c r="J158" s="105">
        <f>IF(B158="Total",SUM(J$8:J157)+0.0001,IF(OR(B158="",I$2=I158),0,VLOOKUP(A158,Journal!$B$7:M$84,8)))</f>
        <v>0</v>
      </c>
      <c r="K158" s="102">
        <f>IF(B158="Total",SUM(K$8:K157)+0.0001,IF(OR(B158="",J158&lt;&gt;0),0,VLOOKUP(A158,Journal!$B$7:M$84,8)))</f>
        <v>0</v>
      </c>
      <c r="L158" s="87">
        <f t="shared" si="14"/>
        <v>0</v>
      </c>
      <c r="P158">
        <f t="shared" si="17"/>
        <v>1.0000000000000001E-5</v>
      </c>
      <c r="R158" s="15">
        <f t="shared" si="18"/>
        <v>151</v>
      </c>
      <c r="S158" s="126">
        <f>IF(VLOOKUP(A158,Journal!$A$7:$E$70,5)=0,S157+1,VLOOKUP(A158,Journal!$A$7:$E$70,5))</f>
        <v>45808</v>
      </c>
      <c r="T158" s="125">
        <f>IF(H$2=VLOOKUP(A158,Journal!$A$7:$F$70,6),VLOOKUP(A158,Journal!$A$7:M$70,9),0)</f>
        <v>0</v>
      </c>
      <c r="U158" s="125">
        <f>IF(H$2=VLOOKUP(A158,Journal!$A$7:$G$70,7),VLOOKUP(A158,Journal!$A$7:M$70,9),0)</f>
        <v>0</v>
      </c>
      <c r="V158" s="125">
        <f t="shared" si="19"/>
        <v>40</v>
      </c>
      <c r="X158">
        <f t="shared" si="16"/>
        <v>0</v>
      </c>
      <c r="Y158" s="143">
        <f t="shared" si="15"/>
        <v>-996.10526315790094</v>
      </c>
    </row>
    <row r="159" spans="1:25" x14ac:dyDescent="0.25">
      <c r="A159">
        <f t="shared" si="20"/>
        <v>152</v>
      </c>
      <c r="B159" s="88" t="str">
        <f>IF(OR(B158="Total",B158=""),"",IF(VLOOKUP(A159,Journal!$B$7:$E$84,4)=0,"Total",VLOOKUP(A159,Journal!$B$7:$D$84,3)))</f>
        <v/>
      </c>
      <c r="C159" s="86" t="str">
        <f>IF(B159="","",VLOOKUP(A159,Journal!$B$7:$E$84,4))</f>
        <v/>
      </c>
      <c r="D159" s="114" t="str">
        <f>IF(B159="","",VLOOKUP(A159,Journal!$B$7:$J$84,9))</f>
        <v/>
      </c>
      <c r="E159" s="116"/>
      <c r="F159" s="116"/>
      <c r="G159" s="115"/>
      <c r="H159" s="84" t="str">
        <f>IF(B159="","",VLOOKUP(A159,Journal!$B$7:$L$84,11))</f>
        <v/>
      </c>
      <c r="I159" s="84" t="str">
        <f>IF(B159="","",VLOOKUP(A159,Journal!$B$7:$M$84,12))</f>
        <v/>
      </c>
      <c r="J159" s="105">
        <f>IF(B159="Total",SUM(J$8:J158)+0.0001,IF(OR(B159="",I$2=I159),0,VLOOKUP(A159,Journal!$B$7:M$84,8)))</f>
        <v>0</v>
      </c>
      <c r="K159" s="102">
        <f>IF(B159="Total",SUM(K$8:K158)+0.0001,IF(OR(B159="",J159&lt;&gt;0),0,VLOOKUP(A159,Journal!$B$7:M$84,8)))</f>
        <v>0</v>
      </c>
      <c r="L159" s="87">
        <f t="shared" si="14"/>
        <v>0</v>
      </c>
      <c r="P159">
        <f t="shared" si="17"/>
        <v>1.0000000000000001E-5</v>
      </c>
      <c r="R159" s="15">
        <f t="shared" si="18"/>
        <v>152</v>
      </c>
      <c r="S159" s="126">
        <f>IF(VLOOKUP(A159,Journal!$A$7:$E$70,5)=0,S158+1,VLOOKUP(A159,Journal!$A$7:$E$70,5))</f>
        <v>45809</v>
      </c>
      <c r="T159" s="125">
        <f>IF(H$2=VLOOKUP(A159,Journal!$A$7:$F$70,6),VLOOKUP(A159,Journal!$A$7:M$70,9),0)</f>
        <v>0</v>
      </c>
      <c r="U159" s="125">
        <f>IF(H$2=VLOOKUP(A159,Journal!$A$7:$G$70,7),VLOOKUP(A159,Journal!$A$7:M$70,9),0)</f>
        <v>0</v>
      </c>
      <c r="V159" s="125">
        <f t="shared" si="19"/>
        <v>40</v>
      </c>
      <c r="X159">
        <f t="shared" si="16"/>
        <v>0</v>
      </c>
      <c r="Y159" s="143">
        <f t="shared" si="15"/>
        <v>-996.07894736842729</v>
      </c>
    </row>
    <row r="160" spans="1:25" x14ac:dyDescent="0.25">
      <c r="A160">
        <f t="shared" si="20"/>
        <v>153</v>
      </c>
      <c r="B160" s="88" t="str">
        <f>IF(OR(B159="Total",B159=""),"",IF(VLOOKUP(A160,Journal!$B$7:$E$84,4)=0,"Total",VLOOKUP(A160,Journal!$B$7:$D$84,3)))</f>
        <v/>
      </c>
      <c r="C160" s="86" t="str">
        <f>IF(B160="","",VLOOKUP(A160,Journal!$B$7:$E$84,4))</f>
        <v/>
      </c>
      <c r="D160" s="114" t="str">
        <f>IF(B160="","",VLOOKUP(A160,Journal!$B$7:$J$84,9))</f>
        <v/>
      </c>
      <c r="E160" s="116"/>
      <c r="F160" s="116"/>
      <c r="G160" s="115"/>
      <c r="H160" s="84" t="str">
        <f>IF(B160="","",VLOOKUP(A160,Journal!$B$7:$L$84,11))</f>
        <v/>
      </c>
      <c r="I160" s="84" t="str">
        <f>IF(B160="","",VLOOKUP(A160,Journal!$B$7:$M$84,12))</f>
        <v/>
      </c>
      <c r="J160" s="105">
        <f>IF(B160="Total",SUM(J$8:J159)+0.0001,IF(OR(B160="",I$2=I160),0,VLOOKUP(A160,Journal!$B$7:M$84,8)))</f>
        <v>0</v>
      </c>
      <c r="K160" s="102">
        <f>IF(B160="Total",SUM(K$8:K159)+0.0001,IF(OR(B160="",J160&lt;&gt;0),0,VLOOKUP(A160,Journal!$B$7:M$84,8)))</f>
        <v>0</v>
      </c>
      <c r="L160" s="87">
        <f t="shared" si="14"/>
        <v>0</v>
      </c>
      <c r="P160">
        <f t="shared" si="17"/>
        <v>1.0000000000000001E-5</v>
      </c>
      <c r="R160" s="15">
        <f t="shared" si="18"/>
        <v>153</v>
      </c>
      <c r="S160" s="126">
        <f>IF(VLOOKUP(A160,Journal!$A$7:$E$70,5)=0,S159+1,VLOOKUP(A160,Journal!$A$7:$E$70,5))</f>
        <v>45810</v>
      </c>
      <c r="T160" s="125">
        <f>IF(H$2=VLOOKUP(A160,Journal!$A$7:$F$70,6),VLOOKUP(A160,Journal!$A$7:M$70,9),0)</f>
        <v>0</v>
      </c>
      <c r="U160" s="125">
        <f>IF(H$2=VLOOKUP(A160,Journal!$A$7:$G$70,7),VLOOKUP(A160,Journal!$A$7:M$70,9),0)</f>
        <v>0</v>
      </c>
      <c r="V160" s="125">
        <f t="shared" si="19"/>
        <v>40</v>
      </c>
      <c r="X160">
        <f t="shared" si="16"/>
        <v>0</v>
      </c>
      <c r="Y160" s="143">
        <f t="shared" si="15"/>
        <v>-996.05263157895365</v>
      </c>
    </row>
    <row r="161" spans="1:25" x14ac:dyDescent="0.25">
      <c r="A161">
        <f t="shared" si="20"/>
        <v>154</v>
      </c>
      <c r="B161" s="88" t="str">
        <f>IF(OR(B160="Total",B160=""),"",IF(VLOOKUP(A161,Journal!$B$7:$E$84,4)=0,"Total",VLOOKUP(A161,Journal!$B$7:$D$84,3)))</f>
        <v/>
      </c>
      <c r="C161" s="86" t="str">
        <f>IF(B161="","",VLOOKUP(A161,Journal!$B$7:$E$84,4))</f>
        <v/>
      </c>
      <c r="D161" s="114" t="str">
        <f>IF(B161="","",VLOOKUP(A161,Journal!$B$7:$J$84,9))</f>
        <v/>
      </c>
      <c r="E161" s="116"/>
      <c r="F161" s="116"/>
      <c r="G161" s="115"/>
      <c r="H161" s="84" t="str">
        <f>IF(B161="","",VLOOKUP(A161,Journal!$B$7:$L$84,11))</f>
        <v/>
      </c>
      <c r="I161" s="84" t="str">
        <f>IF(B161="","",VLOOKUP(A161,Journal!$B$7:$M$84,12))</f>
        <v/>
      </c>
      <c r="J161" s="105">
        <f>IF(B161="Total",SUM(J$8:J160)+0.0001,IF(OR(B161="",I$2=I161),0,VLOOKUP(A161,Journal!$B$7:M$84,8)))</f>
        <v>0</v>
      </c>
      <c r="K161" s="102">
        <f>IF(B161="Total",SUM(K$8:K160)+0.0001,IF(OR(B161="",J161&lt;&gt;0),0,VLOOKUP(A161,Journal!$B$7:M$84,8)))</f>
        <v>0</v>
      </c>
      <c r="L161" s="87">
        <f t="shared" si="14"/>
        <v>0</v>
      </c>
      <c r="P161">
        <f t="shared" si="17"/>
        <v>1.0000000000000001E-5</v>
      </c>
      <c r="R161" s="15">
        <f t="shared" si="18"/>
        <v>154</v>
      </c>
      <c r="S161" s="126">
        <f>IF(VLOOKUP(A161,Journal!$A$7:$E$70,5)=0,S160+1,VLOOKUP(A161,Journal!$A$7:$E$70,5))</f>
        <v>45811</v>
      </c>
      <c r="T161" s="125">
        <f>IF(H$2=VLOOKUP(A161,Journal!$A$7:$F$70,6),VLOOKUP(A161,Journal!$A$7:M$70,9),0)</f>
        <v>0</v>
      </c>
      <c r="U161" s="125">
        <f>IF(H$2=VLOOKUP(A161,Journal!$A$7:$G$70,7),VLOOKUP(A161,Journal!$A$7:M$70,9),0)</f>
        <v>0</v>
      </c>
      <c r="V161" s="125">
        <f t="shared" si="19"/>
        <v>40</v>
      </c>
      <c r="X161">
        <f t="shared" si="16"/>
        <v>0</v>
      </c>
      <c r="Y161" s="143">
        <f t="shared" si="15"/>
        <v>-996.02631578948001</v>
      </c>
    </row>
    <row r="162" spans="1:25" x14ac:dyDescent="0.25">
      <c r="A162">
        <f t="shared" si="20"/>
        <v>155</v>
      </c>
      <c r="B162" s="88" t="str">
        <f>IF(OR(B161="Total",B161=""),"",IF(VLOOKUP(A162,Journal!$B$7:$E$84,4)=0,"Total",VLOOKUP(A162,Journal!$B$7:$D$84,3)))</f>
        <v/>
      </c>
      <c r="C162" s="86" t="str">
        <f>IF(B162="","",VLOOKUP(A162,Journal!$B$7:$E$84,4))</f>
        <v/>
      </c>
      <c r="D162" s="114" t="str">
        <f>IF(B162="","",VLOOKUP(A162,Journal!$B$7:$J$84,9))</f>
        <v/>
      </c>
      <c r="E162" s="116"/>
      <c r="F162" s="116"/>
      <c r="G162" s="115"/>
      <c r="H162" s="84" t="str">
        <f>IF(B162="","",VLOOKUP(A162,Journal!$B$7:$L$84,11))</f>
        <v/>
      </c>
      <c r="I162" s="84" t="str">
        <f>IF(B162="","",VLOOKUP(A162,Journal!$B$7:$M$84,12))</f>
        <v/>
      </c>
      <c r="J162" s="105">
        <f>IF(B162="Total",SUM(J$8:J161)+0.0001,IF(OR(B162="",I$2=I162),0,VLOOKUP(A162,Journal!$B$7:M$84,8)))</f>
        <v>0</v>
      </c>
      <c r="K162" s="102">
        <f>IF(B162="Total",SUM(K$8:K161)+0.0001,IF(OR(B162="",J162&lt;&gt;0),0,VLOOKUP(A162,Journal!$B$7:M$84,8)))</f>
        <v>0</v>
      </c>
      <c r="L162" s="87">
        <f t="shared" si="14"/>
        <v>0</v>
      </c>
      <c r="P162">
        <f t="shared" si="17"/>
        <v>1.0000000000000001E-5</v>
      </c>
      <c r="R162" s="15">
        <f t="shared" si="18"/>
        <v>155</v>
      </c>
      <c r="S162" s="126">
        <f>IF(VLOOKUP(A162,Journal!$A$7:$E$70,5)=0,S161+1,VLOOKUP(A162,Journal!$A$7:$E$70,5))</f>
        <v>45812</v>
      </c>
      <c r="T162" s="125">
        <f>IF(H$2=VLOOKUP(A162,Journal!$A$7:$F$70,6),VLOOKUP(A162,Journal!$A$7:M$70,9),0)</f>
        <v>0</v>
      </c>
      <c r="U162" s="125">
        <f>IF(H$2=VLOOKUP(A162,Journal!$A$7:$G$70,7),VLOOKUP(A162,Journal!$A$7:M$70,9),0)</f>
        <v>0</v>
      </c>
      <c r="V162" s="125">
        <f t="shared" si="19"/>
        <v>40</v>
      </c>
      <c r="X162">
        <f t="shared" si="16"/>
        <v>0</v>
      </c>
      <c r="Y162" s="143">
        <f t="shared" si="15"/>
        <v>-996.00000000000637</v>
      </c>
    </row>
    <row r="163" spans="1:25" x14ac:dyDescent="0.25">
      <c r="A163">
        <f t="shared" si="20"/>
        <v>156</v>
      </c>
      <c r="B163" s="88" t="str">
        <f>IF(OR(B162="Total",B162=""),"",IF(VLOOKUP(A163,Journal!$B$7:$E$84,4)=0,"Total",VLOOKUP(A163,Journal!$B$7:$D$84,3)))</f>
        <v/>
      </c>
      <c r="C163" s="86" t="str">
        <f>IF(B163="","",VLOOKUP(A163,Journal!$B$7:$E$84,4))</f>
        <v/>
      </c>
      <c r="D163" s="114" t="str">
        <f>IF(B163="","",VLOOKUP(A163,Journal!$B$7:$J$84,9))</f>
        <v/>
      </c>
      <c r="E163" s="116"/>
      <c r="F163" s="116"/>
      <c r="G163" s="115"/>
      <c r="H163" s="84" t="str">
        <f>IF(B163="","",VLOOKUP(A163,Journal!$B$7:$L$84,11))</f>
        <v/>
      </c>
      <c r="I163" s="84" t="str">
        <f>IF(B163="","",VLOOKUP(A163,Journal!$B$7:$M$84,12))</f>
        <v/>
      </c>
      <c r="J163" s="105">
        <f>IF(B163="Total",SUM(J$8:J162)+0.0001,IF(OR(B163="",I$2=I163),0,VLOOKUP(A163,Journal!$B$7:M$84,8)))</f>
        <v>0</v>
      </c>
      <c r="K163" s="102">
        <f>IF(B163="Total",SUM(K$8:K162)+0.0001,IF(OR(B163="",J163&lt;&gt;0),0,VLOOKUP(A163,Journal!$B$7:M$84,8)))</f>
        <v>0</v>
      </c>
      <c r="L163" s="87">
        <f t="shared" si="14"/>
        <v>0</v>
      </c>
      <c r="P163">
        <f t="shared" si="17"/>
        <v>1.0000000000000001E-5</v>
      </c>
      <c r="R163" s="15">
        <f t="shared" si="18"/>
        <v>156</v>
      </c>
      <c r="S163" s="126">
        <f>IF(VLOOKUP(A163,Journal!$A$7:$E$70,5)=0,S162+1,VLOOKUP(A163,Journal!$A$7:$E$70,5))</f>
        <v>45813</v>
      </c>
      <c r="T163" s="125">
        <f>IF(H$2=VLOOKUP(A163,Journal!$A$7:$F$70,6),VLOOKUP(A163,Journal!$A$7:M$70,9),0)</f>
        <v>0</v>
      </c>
      <c r="U163" s="125">
        <f>IF(H$2=VLOOKUP(A163,Journal!$A$7:$G$70,7),VLOOKUP(A163,Journal!$A$7:M$70,9),0)</f>
        <v>0</v>
      </c>
      <c r="V163" s="125">
        <f t="shared" si="19"/>
        <v>40</v>
      </c>
      <c r="X163">
        <f t="shared" si="16"/>
        <v>0</v>
      </c>
      <c r="Y163" s="143">
        <f t="shared" si="15"/>
        <v>-995.97368421053272</v>
      </c>
    </row>
    <row r="164" spans="1:25" x14ac:dyDescent="0.25">
      <c r="A164">
        <f t="shared" si="20"/>
        <v>157</v>
      </c>
      <c r="B164" s="88" t="str">
        <f>IF(OR(B163="Total",B163=""),"",IF(VLOOKUP(A164,Journal!$B$7:$E$84,4)=0,"Total",VLOOKUP(A164,Journal!$B$7:$D$84,3)))</f>
        <v/>
      </c>
      <c r="C164" s="86" t="str">
        <f>IF(B164="","",VLOOKUP(A164,Journal!$B$7:$E$84,4))</f>
        <v/>
      </c>
      <c r="D164" s="114" t="str">
        <f>IF(B164="","",VLOOKUP(A164,Journal!$B$7:$J$84,9))</f>
        <v/>
      </c>
      <c r="E164" s="116"/>
      <c r="F164" s="116"/>
      <c r="G164" s="115"/>
      <c r="H164" s="84" t="str">
        <f>IF(B164="","",VLOOKUP(A164,Journal!$B$7:$L$84,11))</f>
        <v/>
      </c>
      <c r="I164" s="84" t="str">
        <f>IF(B164="","",VLOOKUP(A164,Journal!$B$7:$M$84,12))</f>
        <v/>
      </c>
      <c r="J164" s="105">
        <f>IF(B164="Total",SUM(J$8:J163)+0.0001,IF(OR(B164="",I$2=I164),0,VLOOKUP(A164,Journal!$B$7:M$84,8)))</f>
        <v>0</v>
      </c>
      <c r="K164" s="102">
        <f>IF(B164="Total",SUM(K$8:K163)+0.0001,IF(OR(B164="",J164&lt;&gt;0),0,VLOOKUP(A164,Journal!$B$7:M$84,8)))</f>
        <v>0</v>
      </c>
      <c r="L164" s="87">
        <f t="shared" si="14"/>
        <v>0</v>
      </c>
      <c r="P164">
        <f t="shared" si="17"/>
        <v>1.0000000000000001E-5</v>
      </c>
      <c r="R164" s="15">
        <f t="shared" si="18"/>
        <v>157</v>
      </c>
      <c r="S164" s="126">
        <f>IF(VLOOKUP(A164,Journal!$A$7:$E$70,5)=0,S163+1,VLOOKUP(A164,Journal!$A$7:$E$70,5))</f>
        <v>45814</v>
      </c>
      <c r="T164" s="125">
        <f>IF(H$2=VLOOKUP(A164,Journal!$A$7:$F$70,6),VLOOKUP(A164,Journal!$A$7:M$70,9),0)</f>
        <v>0</v>
      </c>
      <c r="U164" s="125">
        <f>IF(H$2=VLOOKUP(A164,Journal!$A$7:$G$70,7),VLOOKUP(A164,Journal!$A$7:M$70,9),0)</f>
        <v>0</v>
      </c>
      <c r="V164" s="125">
        <f t="shared" si="19"/>
        <v>40</v>
      </c>
      <c r="X164">
        <f t="shared" si="16"/>
        <v>0</v>
      </c>
      <c r="Y164" s="143">
        <f t="shared" si="15"/>
        <v>-995.94736842105908</v>
      </c>
    </row>
    <row r="165" spans="1:25" x14ac:dyDescent="0.25">
      <c r="A165">
        <f t="shared" si="20"/>
        <v>158</v>
      </c>
      <c r="B165" s="88" t="str">
        <f>IF(OR(B164="Total",B164=""),"",IF(VLOOKUP(A165,Journal!$B$7:$E$84,4)=0,"Total",VLOOKUP(A165,Journal!$B$7:$D$84,3)))</f>
        <v/>
      </c>
      <c r="C165" s="86" t="str">
        <f>IF(B165="","",VLOOKUP(A165,Journal!$B$7:$E$84,4))</f>
        <v/>
      </c>
      <c r="D165" s="114" t="str">
        <f>IF(B165="","",VLOOKUP(A165,Journal!$B$7:$J$84,9))</f>
        <v/>
      </c>
      <c r="E165" s="116"/>
      <c r="F165" s="116"/>
      <c r="G165" s="115"/>
      <c r="H165" s="84" t="str">
        <f>IF(B165="","",VLOOKUP(A165,Journal!$B$7:$L$84,11))</f>
        <v/>
      </c>
      <c r="I165" s="84" t="str">
        <f>IF(B165="","",VLOOKUP(A165,Journal!$B$7:$M$84,12))</f>
        <v/>
      </c>
      <c r="J165" s="105">
        <f>IF(B165="Total",SUM(J$8:J164)+0.0001,IF(OR(B165="",I$2=I165),0,VLOOKUP(A165,Journal!$B$7:M$84,8)))</f>
        <v>0</v>
      </c>
      <c r="K165" s="102">
        <f>IF(B165="Total",SUM(K$8:K164)+0.0001,IF(OR(B165="",J165&lt;&gt;0),0,VLOOKUP(A165,Journal!$B$7:M$84,8)))</f>
        <v>0</v>
      </c>
      <c r="L165" s="87">
        <f t="shared" si="14"/>
        <v>0</v>
      </c>
      <c r="P165">
        <f t="shared" si="17"/>
        <v>1.0000000000000001E-5</v>
      </c>
      <c r="R165" s="15">
        <f t="shared" si="18"/>
        <v>158</v>
      </c>
      <c r="S165" s="126">
        <f>IF(VLOOKUP(A165,Journal!$A$7:$E$70,5)=0,S164+1,VLOOKUP(A165,Journal!$A$7:$E$70,5))</f>
        <v>45815</v>
      </c>
      <c r="T165" s="125">
        <f>IF(H$2=VLOOKUP(A165,Journal!$A$7:$F$70,6),VLOOKUP(A165,Journal!$A$7:M$70,9),0)</f>
        <v>0</v>
      </c>
      <c r="U165" s="125">
        <f>IF(H$2=VLOOKUP(A165,Journal!$A$7:$G$70,7),VLOOKUP(A165,Journal!$A$7:M$70,9),0)</f>
        <v>0</v>
      </c>
      <c r="V165" s="125">
        <f t="shared" si="19"/>
        <v>40</v>
      </c>
      <c r="X165">
        <f t="shared" si="16"/>
        <v>0</v>
      </c>
      <c r="Y165" s="143">
        <f t="shared" si="15"/>
        <v>-995.92105263158544</v>
      </c>
    </row>
    <row r="166" spans="1:25" x14ac:dyDescent="0.25">
      <c r="A166">
        <f t="shared" si="20"/>
        <v>159</v>
      </c>
      <c r="B166" s="88" t="str">
        <f>IF(OR(B165="Total",B165=""),"",IF(VLOOKUP(A166,Journal!$B$7:$E$84,4)=0,"Total",VLOOKUP(A166,Journal!$B$7:$D$84,3)))</f>
        <v/>
      </c>
      <c r="C166" s="86" t="str">
        <f>IF(B166="","",VLOOKUP(A166,Journal!$B$7:$E$84,4))</f>
        <v/>
      </c>
      <c r="D166" s="114" t="str">
        <f>IF(B166="","",VLOOKUP(A166,Journal!$B$7:$J$84,9))</f>
        <v/>
      </c>
      <c r="E166" s="116"/>
      <c r="F166" s="116"/>
      <c r="G166" s="115"/>
      <c r="H166" s="84" t="str">
        <f>IF(B166="","",VLOOKUP(A166,Journal!$B$7:$L$84,11))</f>
        <v/>
      </c>
      <c r="I166" s="84" t="str">
        <f>IF(B166="","",VLOOKUP(A166,Journal!$B$7:$M$84,12))</f>
        <v/>
      </c>
      <c r="J166" s="105">
        <f>IF(B166="Total",SUM(J$8:J165)+0.0001,IF(OR(B166="",I$2=I166),0,VLOOKUP(A166,Journal!$B$7:M$84,8)))</f>
        <v>0</v>
      </c>
      <c r="K166" s="102">
        <f>IF(B166="Total",SUM(K$8:K165)+0.0001,IF(OR(B166="",J166&lt;&gt;0),0,VLOOKUP(A166,Journal!$B$7:M$84,8)))</f>
        <v>0</v>
      </c>
      <c r="L166" s="87">
        <f t="shared" si="14"/>
        <v>0</v>
      </c>
      <c r="P166">
        <f t="shared" si="17"/>
        <v>1.0000000000000001E-5</v>
      </c>
      <c r="R166" s="15">
        <f t="shared" si="18"/>
        <v>159</v>
      </c>
      <c r="S166" s="126">
        <f>IF(VLOOKUP(A166,Journal!$A$7:$E$70,5)=0,S165+1,VLOOKUP(A166,Journal!$A$7:$E$70,5))</f>
        <v>45816</v>
      </c>
      <c r="T166" s="125">
        <f>IF(H$2=VLOOKUP(A166,Journal!$A$7:$F$70,6),VLOOKUP(A166,Journal!$A$7:M$70,9),0)</f>
        <v>0</v>
      </c>
      <c r="U166" s="125">
        <f>IF(H$2=VLOOKUP(A166,Journal!$A$7:$G$70,7),VLOOKUP(A166,Journal!$A$7:M$70,9),0)</f>
        <v>0</v>
      </c>
      <c r="V166" s="125">
        <f t="shared" si="19"/>
        <v>40</v>
      </c>
      <c r="X166">
        <f t="shared" si="16"/>
        <v>0</v>
      </c>
      <c r="Y166" s="143">
        <f t="shared" si="15"/>
        <v>-995.8947368421118</v>
      </c>
    </row>
    <row r="167" spans="1:25" x14ac:dyDescent="0.25">
      <c r="A167">
        <f t="shared" si="20"/>
        <v>160</v>
      </c>
      <c r="B167" s="88" t="str">
        <f>IF(OR(B166="Total",B166=""),"",IF(VLOOKUP(A167,Journal!$B$7:$E$84,4)=0,"Total",VLOOKUP(A167,Journal!$B$7:$D$84,3)))</f>
        <v/>
      </c>
      <c r="C167" s="86" t="str">
        <f>IF(B167="","",VLOOKUP(A167,Journal!$B$7:$E$84,4))</f>
        <v/>
      </c>
      <c r="D167" s="114" t="str">
        <f>IF(B167="","",VLOOKUP(A167,Journal!$B$7:$J$84,9))</f>
        <v/>
      </c>
      <c r="E167" s="116"/>
      <c r="F167" s="116"/>
      <c r="G167" s="115"/>
      <c r="H167" s="84" t="str">
        <f>IF(B167="","",VLOOKUP(A167,Journal!$B$7:$L$84,11))</f>
        <v/>
      </c>
      <c r="I167" s="84" t="str">
        <f>IF(B167="","",VLOOKUP(A167,Journal!$B$7:$M$84,12))</f>
        <v/>
      </c>
      <c r="J167" s="105">
        <f>IF(B167="Total",SUM(J$8:J166)+0.0001,IF(OR(B167="",I$2=I167),0,VLOOKUP(A167,Journal!$B$7:M$84,8)))</f>
        <v>0</v>
      </c>
      <c r="K167" s="102">
        <f>IF(B167="Total",SUM(K$8:K166)+0.0001,IF(OR(B167="",J167&lt;&gt;0),0,VLOOKUP(A167,Journal!$B$7:M$84,8)))</f>
        <v>0</v>
      </c>
      <c r="L167" s="87">
        <f t="shared" si="14"/>
        <v>0</v>
      </c>
      <c r="P167">
        <f t="shared" si="17"/>
        <v>1.0000000000000001E-5</v>
      </c>
      <c r="R167" s="15">
        <f t="shared" si="18"/>
        <v>160</v>
      </c>
      <c r="S167" s="126">
        <f>IF(VLOOKUP(A167,Journal!$A$7:$E$70,5)=0,S166+1,VLOOKUP(A167,Journal!$A$7:$E$70,5))</f>
        <v>45817</v>
      </c>
      <c r="T167" s="125">
        <f>IF(H$2=VLOOKUP(A167,Journal!$A$7:$F$70,6),VLOOKUP(A167,Journal!$A$7:M$70,9),0)</f>
        <v>0</v>
      </c>
      <c r="U167" s="125">
        <f>IF(H$2=VLOOKUP(A167,Journal!$A$7:$G$70,7),VLOOKUP(A167,Journal!$A$7:M$70,9),0)</f>
        <v>0</v>
      </c>
      <c r="V167" s="125">
        <f t="shared" si="19"/>
        <v>40</v>
      </c>
      <c r="X167">
        <f t="shared" si="16"/>
        <v>0</v>
      </c>
      <c r="Y167" s="143">
        <f t="shared" si="15"/>
        <v>-995.86842105263815</v>
      </c>
    </row>
    <row r="168" spans="1:25" x14ac:dyDescent="0.25">
      <c r="A168">
        <f t="shared" si="20"/>
        <v>161</v>
      </c>
      <c r="B168" s="88" t="str">
        <f>IF(OR(B167="Total",B167=""),"",IF(VLOOKUP(A168,Journal!$B$7:$E$84,4)=0,"Total",VLOOKUP(A168,Journal!$B$7:$D$84,3)))</f>
        <v/>
      </c>
      <c r="C168" s="86" t="str">
        <f>IF(B168="","",VLOOKUP(A168,Journal!$B$7:$E$84,4))</f>
        <v/>
      </c>
      <c r="D168" s="114" t="str">
        <f>IF(B168="","",VLOOKUP(A168,Journal!$B$7:$J$84,9))</f>
        <v/>
      </c>
      <c r="E168" s="116"/>
      <c r="F168" s="116"/>
      <c r="G168" s="115"/>
      <c r="H168" s="84" t="str">
        <f>IF(B168="","",VLOOKUP(A168,Journal!$B$7:$L$84,11))</f>
        <v/>
      </c>
      <c r="I168" s="84" t="str">
        <f>IF(B168="","",VLOOKUP(A168,Journal!$B$7:$M$84,12))</f>
        <v/>
      </c>
      <c r="J168" s="105">
        <f>IF(B168="Total",SUM(J$8:J167)+0.0001,IF(OR(B168="",I$2=I168),0,VLOOKUP(A168,Journal!$B$7:M$84,8)))</f>
        <v>0</v>
      </c>
      <c r="K168" s="102">
        <f>IF(B168="Total",SUM(K$8:K167)+0.0001,IF(OR(B168="",J168&lt;&gt;0),0,VLOOKUP(A168,Journal!$B$7:M$84,8)))</f>
        <v>0</v>
      </c>
      <c r="L168" s="87">
        <f t="shared" si="14"/>
        <v>0</v>
      </c>
      <c r="P168">
        <f t="shared" si="17"/>
        <v>1.0000000000000001E-5</v>
      </c>
      <c r="R168" s="15">
        <f t="shared" si="18"/>
        <v>161</v>
      </c>
      <c r="S168" s="126">
        <f>IF(VLOOKUP(A168,Journal!$A$7:$E$70,5)=0,S167+1,VLOOKUP(A168,Journal!$A$7:$E$70,5))</f>
        <v>45818</v>
      </c>
      <c r="T168" s="125">
        <f>IF(H$2=VLOOKUP(A168,Journal!$A$7:$F$70,6),VLOOKUP(A168,Journal!$A$7:M$70,9),0)</f>
        <v>0</v>
      </c>
      <c r="U168" s="125">
        <f>IF(H$2=VLOOKUP(A168,Journal!$A$7:$G$70,7),VLOOKUP(A168,Journal!$A$7:M$70,9),0)</f>
        <v>0</v>
      </c>
      <c r="V168" s="125">
        <f t="shared" si="19"/>
        <v>40</v>
      </c>
      <c r="X168">
        <f t="shared" si="16"/>
        <v>0</v>
      </c>
      <c r="Y168" s="143">
        <f t="shared" si="15"/>
        <v>-995.84210526316451</v>
      </c>
    </row>
    <row r="169" spans="1:25" x14ac:dyDescent="0.25">
      <c r="A169">
        <f t="shared" si="20"/>
        <v>162</v>
      </c>
      <c r="B169" s="88" t="str">
        <f>IF(OR(B168="Total",B168=""),"",IF(VLOOKUP(A169,Journal!$B$7:$E$84,4)=0,"Total",VLOOKUP(A169,Journal!$B$7:$D$84,3)))</f>
        <v/>
      </c>
      <c r="C169" s="86" t="str">
        <f>IF(B169="","",VLOOKUP(A169,Journal!$B$7:$E$84,4))</f>
        <v/>
      </c>
      <c r="D169" s="114" t="str">
        <f>IF(B169="","",VLOOKUP(A169,Journal!$B$7:$J$84,9))</f>
        <v/>
      </c>
      <c r="E169" s="116"/>
      <c r="F169" s="116"/>
      <c r="G169" s="115"/>
      <c r="H169" s="84" t="str">
        <f>IF(B169="","",VLOOKUP(A169,Journal!$B$7:$L$84,11))</f>
        <v/>
      </c>
      <c r="I169" s="84" t="str">
        <f>IF(B169="","",VLOOKUP(A169,Journal!$B$7:$M$84,12))</f>
        <v/>
      </c>
      <c r="J169" s="105">
        <f>IF(B169="Total",SUM(J$8:J168)+0.0001,IF(OR(B169="",I$2=I169),0,VLOOKUP(A169,Journal!$B$7:M$84,8)))</f>
        <v>0</v>
      </c>
      <c r="K169" s="102">
        <f>IF(B169="Total",SUM(K$8:K168)+0.0001,IF(OR(B169="",J169&lt;&gt;0),0,VLOOKUP(A169,Journal!$B$7:M$84,8)))</f>
        <v>0</v>
      </c>
      <c r="L169" s="87">
        <f t="shared" si="14"/>
        <v>0</v>
      </c>
      <c r="P169">
        <f t="shared" si="17"/>
        <v>1.0000000000000001E-5</v>
      </c>
      <c r="R169" s="15">
        <f t="shared" si="18"/>
        <v>162</v>
      </c>
      <c r="S169" s="126">
        <f>IF(VLOOKUP(A169,Journal!$A$7:$E$70,5)=0,S168+1,VLOOKUP(A169,Journal!$A$7:$E$70,5))</f>
        <v>45819</v>
      </c>
      <c r="T169" s="125">
        <f>IF(H$2=VLOOKUP(A169,Journal!$A$7:$F$70,6),VLOOKUP(A169,Journal!$A$7:M$70,9),0)</f>
        <v>0</v>
      </c>
      <c r="U169" s="125">
        <f>IF(H$2=VLOOKUP(A169,Journal!$A$7:$G$70,7),VLOOKUP(A169,Journal!$A$7:M$70,9),0)</f>
        <v>0</v>
      </c>
      <c r="V169" s="125">
        <f t="shared" si="19"/>
        <v>40</v>
      </c>
      <c r="X169">
        <f t="shared" si="16"/>
        <v>0</v>
      </c>
      <c r="Y169" s="143">
        <f t="shared" si="15"/>
        <v>-995.81578947369087</v>
      </c>
    </row>
    <row r="170" spans="1:25" x14ac:dyDescent="0.25">
      <c r="A170">
        <f t="shared" si="20"/>
        <v>163</v>
      </c>
      <c r="B170" s="88" t="str">
        <f>IF(OR(B169="Total",B169=""),"",IF(VLOOKUP(A170,Journal!$B$7:$E$84,4)=0,"Total",VLOOKUP(A170,Journal!$B$7:$D$84,3)))</f>
        <v/>
      </c>
      <c r="C170" s="86" t="str">
        <f>IF(B170="","",VLOOKUP(A170,Journal!$B$7:$E$84,4))</f>
        <v/>
      </c>
      <c r="D170" s="114" t="str">
        <f>IF(B170="","",VLOOKUP(A170,Journal!$B$7:$J$84,9))</f>
        <v/>
      </c>
      <c r="E170" s="116"/>
      <c r="F170" s="116"/>
      <c r="G170" s="115"/>
      <c r="H170" s="84" t="str">
        <f>IF(B170="","",VLOOKUP(A170,Journal!$B$7:$L$84,11))</f>
        <v/>
      </c>
      <c r="I170" s="84" t="str">
        <f>IF(B170="","",VLOOKUP(A170,Journal!$B$7:$M$84,12))</f>
        <v/>
      </c>
      <c r="J170" s="105">
        <f>IF(B170="Total",SUM(J$8:J169)+0.0001,IF(OR(B170="",I$2=I170),0,VLOOKUP(A170,Journal!$B$7:M$84,8)))</f>
        <v>0</v>
      </c>
      <c r="K170" s="102">
        <f>IF(B170="Total",SUM(K$8:K169)+0.0001,IF(OR(B170="",J170&lt;&gt;0),0,VLOOKUP(A170,Journal!$B$7:M$84,8)))</f>
        <v>0</v>
      </c>
      <c r="L170" s="87">
        <f t="shared" si="14"/>
        <v>0</v>
      </c>
      <c r="P170">
        <f t="shared" si="17"/>
        <v>1.0000000000000001E-5</v>
      </c>
      <c r="R170" s="15">
        <f t="shared" si="18"/>
        <v>163</v>
      </c>
      <c r="S170" s="126">
        <f>IF(VLOOKUP(A170,Journal!$A$7:$E$70,5)=0,S169+1,VLOOKUP(A170,Journal!$A$7:$E$70,5))</f>
        <v>45820</v>
      </c>
      <c r="T170" s="125">
        <f>IF(H$2=VLOOKUP(A170,Journal!$A$7:$F$70,6),VLOOKUP(A170,Journal!$A$7:M$70,9),0)</f>
        <v>0</v>
      </c>
      <c r="U170" s="125">
        <f>IF(H$2=VLOOKUP(A170,Journal!$A$7:$G$70,7),VLOOKUP(A170,Journal!$A$7:M$70,9),0)</f>
        <v>0</v>
      </c>
      <c r="V170" s="125">
        <f t="shared" si="19"/>
        <v>40</v>
      </c>
      <c r="X170">
        <f t="shared" si="16"/>
        <v>0</v>
      </c>
      <c r="Y170" s="143">
        <f t="shared" si="15"/>
        <v>-995.78947368421723</v>
      </c>
    </row>
    <row r="171" spans="1:25" x14ac:dyDescent="0.25">
      <c r="A171">
        <f t="shared" si="20"/>
        <v>164</v>
      </c>
      <c r="B171" s="88" t="str">
        <f>IF(OR(B170="Total",B170=""),"",IF(VLOOKUP(A171,Journal!$B$7:$E$84,4)=0,"Total",VLOOKUP(A171,Journal!$B$7:$D$84,3)))</f>
        <v/>
      </c>
      <c r="C171" s="86" t="str">
        <f>IF(B171="","",VLOOKUP(A171,Journal!$B$7:$E$84,4))</f>
        <v/>
      </c>
      <c r="D171" s="114" t="str">
        <f>IF(B171="","",VLOOKUP(A171,Journal!$B$7:$J$84,9))</f>
        <v/>
      </c>
      <c r="E171" s="116"/>
      <c r="F171" s="116"/>
      <c r="G171" s="115"/>
      <c r="H171" s="84" t="str">
        <f>IF(B171="","",VLOOKUP(A171,Journal!$B$7:$L$84,11))</f>
        <v/>
      </c>
      <c r="I171" s="84" t="str">
        <f>IF(B171="","",VLOOKUP(A171,Journal!$B$7:$M$84,12))</f>
        <v/>
      </c>
      <c r="J171" s="105">
        <f>IF(B171="Total",SUM(J$8:J170)+0.0001,IF(OR(B171="",I$2=I171),0,VLOOKUP(A171,Journal!$B$7:M$84,8)))</f>
        <v>0</v>
      </c>
      <c r="K171" s="102">
        <f>IF(B171="Total",SUM(K$8:K170)+0.0001,IF(OR(B171="",J171&lt;&gt;0),0,VLOOKUP(A171,Journal!$B$7:M$84,8)))</f>
        <v>0</v>
      </c>
      <c r="L171" s="87">
        <f t="shared" si="14"/>
        <v>0</v>
      </c>
      <c r="P171">
        <f t="shared" si="17"/>
        <v>1.0000000000000001E-5</v>
      </c>
      <c r="R171" s="15">
        <f t="shared" si="18"/>
        <v>164</v>
      </c>
      <c r="S171" s="126">
        <f>IF(VLOOKUP(A171,Journal!$A$7:$E$70,5)=0,S170+1,VLOOKUP(A171,Journal!$A$7:$E$70,5))</f>
        <v>45821</v>
      </c>
      <c r="T171" s="125">
        <f>IF(H$2=VLOOKUP(A171,Journal!$A$7:$F$70,6),VLOOKUP(A171,Journal!$A$7:M$70,9),0)</f>
        <v>0</v>
      </c>
      <c r="U171" s="125">
        <f>IF(H$2=VLOOKUP(A171,Journal!$A$7:$G$70,7),VLOOKUP(A171,Journal!$A$7:M$70,9),0)</f>
        <v>0</v>
      </c>
      <c r="V171" s="125">
        <f t="shared" si="19"/>
        <v>40</v>
      </c>
      <c r="X171">
        <f t="shared" si="16"/>
        <v>0</v>
      </c>
      <c r="Y171" s="143">
        <f t="shared" si="15"/>
        <v>-995.76315789474359</v>
      </c>
    </row>
    <row r="172" spans="1:25" x14ac:dyDescent="0.25">
      <c r="A172">
        <f t="shared" si="20"/>
        <v>165</v>
      </c>
      <c r="B172" s="88" t="str">
        <f>IF(OR(B171="Total",B171=""),"",IF(VLOOKUP(A172,Journal!$B$7:$E$84,4)=0,"Total",VLOOKUP(A172,Journal!$B$7:$D$84,3)))</f>
        <v/>
      </c>
      <c r="C172" s="86" t="str">
        <f>IF(B172="","",VLOOKUP(A172,Journal!$B$7:$E$84,4))</f>
        <v/>
      </c>
      <c r="D172" s="114" t="str">
        <f>IF(B172="","",VLOOKUP(A172,Journal!$B$7:$J$84,9))</f>
        <v/>
      </c>
      <c r="E172" s="116"/>
      <c r="F172" s="116"/>
      <c r="G172" s="115"/>
      <c r="H172" s="84" t="str">
        <f>IF(B172="","",VLOOKUP(A172,Journal!$B$7:$L$84,11))</f>
        <v/>
      </c>
      <c r="I172" s="84" t="str">
        <f>IF(B172="","",VLOOKUP(A172,Journal!$B$7:$M$84,12))</f>
        <v/>
      </c>
      <c r="J172" s="105">
        <f>IF(B172="Total",SUM(J$8:J171)+0.0001,IF(OR(B172="",I$2=I172),0,VLOOKUP(A172,Journal!$B$7:M$84,8)))</f>
        <v>0</v>
      </c>
      <c r="K172" s="102">
        <f>IF(B172="Total",SUM(K$8:K171)+0.0001,IF(OR(B172="",J172&lt;&gt;0),0,VLOOKUP(A172,Journal!$B$7:M$84,8)))</f>
        <v>0</v>
      </c>
      <c r="L172" s="87">
        <f t="shared" si="14"/>
        <v>0</v>
      </c>
      <c r="P172">
        <f t="shared" si="17"/>
        <v>1.0000000000000001E-5</v>
      </c>
      <c r="R172" s="15">
        <f t="shared" si="18"/>
        <v>165</v>
      </c>
      <c r="S172" s="126">
        <f>IF(VLOOKUP(A172,Journal!$A$7:$E$70,5)=0,S171+1,VLOOKUP(A172,Journal!$A$7:$E$70,5))</f>
        <v>45822</v>
      </c>
      <c r="T172" s="125">
        <f>IF(H$2=VLOOKUP(A172,Journal!$A$7:$F$70,6),VLOOKUP(A172,Journal!$A$7:M$70,9),0)</f>
        <v>0</v>
      </c>
      <c r="U172" s="125">
        <f>IF(H$2=VLOOKUP(A172,Journal!$A$7:$G$70,7),VLOOKUP(A172,Journal!$A$7:M$70,9),0)</f>
        <v>0</v>
      </c>
      <c r="V172" s="125">
        <f t="shared" si="19"/>
        <v>40</v>
      </c>
      <c r="X172">
        <f t="shared" si="16"/>
        <v>0</v>
      </c>
      <c r="Y172" s="143">
        <f t="shared" si="15"/>
        <v>-995.73684210526994</v>
      </c>
    </row>
    <row r="173" spans="1:25" x14ac:dyDescent="0.25">
      <c r="A173">
        <f t="shared" si="20"/>
        <v>166</v>
      </c>
      <c r="B173" s="88" t="str">
        <f>IF(OR(B172="Total",B172=""),"",IF(VLOOKUP(A173,Journal!$B$7:$E$84,4)=0,"Total",VLOOKUP(A173,Journal!$B$7:$D$84,3)))</f>
        <v/>
      </c>
      <c r="C173" s="86" t="str">
        <f>IF(B173="","",VLOOKUP(A173,Journal!$B$7:$E$84,4))</f>
        <v/>
      </c>
      <c r="D173" s="114" t="str">
        <f>IF(B173="","",VLOOKUP(A173,Journal!$B$7:$J$84,9))</f>
        <v/>
      </c>
      <c r="E173" s="116"/>
      <c r="F173" s="116"/>
      <c r="G173" s="115"/>
      <c r="H173" s="84" t="str">
        <f>IF(B173="","",VLOOKUP(A173,Journal!$B$7:$L$84,11))</f>
        <v/>
      </c>
      <c r="I173" s="84" t="str">
        <f>IF(B173="","",VLOOKUP(A173,Journal!$B$7:$M$84,12))</f>
        <v/>
      </c>
      <c r="J173" s="105">
        <f>IF(B173="Total",SUM(J$8:J172)+0.0001,IF(OR(B173="",I$2=I173),0,VLOOKUP(A173,Journal!$B$7:M$84,8)))</f>
        <v>0</v>
      </c>
      <c r="K173" s="102">
        <f>IF(B173="Total",SUM(K$8:K172)+0.0001,IF(OR(B173="",J173&lt;&gt;0),0,VLOOKUP(A173,Journal!$B$7:M$84,8)))</f>
        <v>0</v>
      </c>
      <c r="L173" s="87">
        <f t="shared" si="14"/>
        <v>0</v>
      </c>
      <c r="P173">
        <f t="shared" si="17"/>
        <v>1.0000000000000001E-5</v>
      </c>
      <c r="R173" s="15">
        <f t="shared" si="18"/>
        <v>166</v>
      </c>
      <c r="S173" s="126">
        <f>IF(VLOOKUP(A173,Journal!$A$7:$E$70,5)=0,S172+1,VLOOKUP(A173,Journal!$A$7:$E$70,5))</f>
        <v>45823</v>
      </c>
      <c r="T173" s="125">
        <f>IF(H$2=VLOOKUP(A173,Journal!$A$7:$F$70,6),VLOOKUP(A173,Journal!$A$7:M$70,9),0)</f>
        <v>0</v>
      </c>
      <c r="U173" s="125">
        <f>IF(H$2=VLOOKUP(A173,Journal!$A$7:$G$70,7),VLOOKUP(A173,Journal!$A$7:M$70,9),0)</f>
        <v>0</v>
      </c>
      <c r="V173" s="125">
        <f t="shared" si="19"/>
        <v>40</v>
      </c>
      <c r="X173">
        <f t="shared" si="16"/>
        <v>0</v>
      </c>
      <c r="Y173" s="143">
        <f t="shared" si="15"/>
        <v>-995.7105263157963</v>
      </c>
    </row>
    <row r="174" spans="1:25" x14ac:dyDescent="0.25">
      <c r="A174">
        <f t="shared" si="20"/>
        <v>167</v>
      </c>
      <c r="B174" s="88" t="str">
        <f>IF(OR(B173="Total",B173=""),"",IF(VLOOKUP(A174,Journal!$B$7:$E$84,4)=0,"Total",VLOOKUP(A174,Journal!$B$7:$D$84,3)))</f>
        <v/>
      </c>
      <c r="C174" s="86" t="str">
        <f>IF(B174="","",VLOOKUP(A174,Journal!$B$7:$E$84,4))</f>
        <v/>
      </c>
      <c r="D174" s="114" t="str">
        <f>IF(B174="","",VLOOKUP(A174,Journal!$B$7:$J$84,9))</f>
        <v/>
      </c>
      <c r="E174" s="116"/>
      <c r="F174" s="116"/>
      <c r="G174" s="115"/>
      <c r="H174" s="84" t="str">
        <f>IF(B174="","",VLOOKUP(A174,Journal!$B$7:$L$84,11))</f>
        <v/>
      </c>
      <c r="I174" s="84" t="str">
        <f>IF(B174="","",VLOOKUP(A174,Journal!$B$7:$M$84,12))</f>
        <v/>
      </c>
      <c r="J174" s="105">
        <f>IF(B174="Total",SUM(J$8:J173)+0.0001,IF(OR(B174="",I$2=I174),0,VLOOKUP(A174,Journal!$B$7:M$84,8)))</f>
        <v>0</v>
      </c>
      <c r="K174" s="102">
        <f>IF(B174="Total",SUM(K$8:K173)+0.0001,IF(OR(B174="",J174&lt;&gt;0),0,VLOOKUP(A174,Journal!$B$7:M$84,8)))</f>
        <v>0</v>
      </c>
      <c r="L174" s="87">
        <f t="shared" si="14"/>
        <v>0</v>
      </c>
      <c r="P174">
        <f t="shared" si="17"/>
        <v>1.0000000000000001E-5</v>
      </c>
      <c r="R174" s="15">
        <f t="shared" si="18"/>
        <v>167</v>
      </c>
      <c r="S174" s="126">
        <f>IF(VLOOKUP(A174,Journal!$A$7:$E$70,5)=0,S173+1,VLOOKUP(A174,Journal!$A$7:$E$70,5))</f>
        <v>45824</v>
      </c>
      <c r="T174" s="125">
        <f>IF(H$2=VLOOKUP(A174,Journal!$A$7:$F$70,6),VLOOKUP(A174,Journal!$A$7:M$70,9),0)</f>
        <v>0</v>
      </c>
      <c r="U174" s="125">
        <f>IF(H$2=VLOOKUP(A174,Journal!$A$7:$G$70,7),VLOOKUP(A174,Journal!$A$7:M$70,9),0)</f>
        <v>0</v>
      </c>
      <c r="V174" s="125">
        <f t="shared" si="19"/>
        <v>40</v>
      </c>
      <c r="X174">
        <f t="shared" si="16"/>
        <v>0</v>
      </c>
      <c r="Y174" s="143">
        <f t="shared" si="15"/>
        <v>-995.68421052632266</v>
      </c>
    </row>
    <row r="175" spans="1:25" x14ac:dyDescent="0.25">
      <c r="A175">
        <f t="shared" si="20"/>
        <v>168</v>
      </c>
      <c r="B175" s="88" t="str">
        <f>IF(OR(B174="Total",B174=""),"",IF(VLOOKUP(A175,Journal!$B$7:$E$84,4)=0,"Total",VLOOKUP(A175,Journal!$B$7:$D$84,3)))</f>
        <v/>
      </c>
      <c r="C175" s="86" t="str">
        <f>IF(B175="","",VLOOKUP(A175,Journal!$B$7:$E$84,4))</f>
        <v/>
      </c>
      <c r="D175" s="114" t="str">
        <f>IF(B175="","",VLOOKUP(A175,Journal!$B$7:$J$84,9))</f>
        <v/>
      </c>
      <c r="E175" s="116"/>
      <c r="F175" s="116"/>
      <c r="G175" s="115"/>
      <c r="H175" s="84" t="str">
        <f>IF(B175="","",VLOOKUP(A175,Journal!$B$7:$L$84,11))</f>
        <v/>
      </c>
      <c r="I175" s="84" t="str">
        <f>IF(B175="","",VLOOKUP(A175,Journal!$B$7:$M$84,12))</f>
        <v/>
      </c>
      <c r="J175" s="105">
        <f>IF(B175="Total",SUM(J$8:J174)+0.0001,IF(OR(B175="",I$2=I175),0,VLOOKUP(A175,Journal!$B$7:M$84,8)))</f>
        <v>0</v>
      </c>
      <c r="K175" s="102">
        <f>IF(B175="Total",SUM(K$8:K174)+0.0001,IF(OR(B175="",J175&lt;&gt;0),0,VLOOKUP(A175,Journal!$B$7:M$84,8)))</f>
        <v>0</v>
      </c>
      <c r="L175" s="87">
        <f t="shared" si="14"/>
        <v>0</v>
      </c>
      <c r="P175">
        <f t="shared" si="17"/>
        <v>1.0000000000000001E-5</v>
      </c>
      <c r="R175" s="15">
        <f t="shared" si="18"/>
        <v>168</v>
      </c>
      <c r="S175" s="126">
        <f>IF(VLOOKUP(A175,Journal!$A$7:$E$70,5)=0,S174+1,VLOOKUP(A175,Journal!$A$7:$E$70,5))</f>
        <v>45825</v>
      </c>
      <c r="T175" s="125">
        <f>IF(H$2=VLOOKUP(A175,Journal!$A$7:$F$70,6),VLOOKUP(A175,Journal!$A$7:M$70,9),0)</f>
        <v>0</v>
      </c>
      <c r="U175" s="125">
        <f>IF(H$2=VLOOKUP(A175,Journal!$A$7:$G$70,7),VLOOKUP(A175,Journal!$A$7:M$70,9),0)</f>
        <v>0</v>
      </c>
      <c r="V175" s="125">
        <f t="shared" si="19"/>
        <v>40</v>
      </c>
      <c r="X175">
        <f t="shared" si="16"/>
        <v>0</v>
      </c>
      <c r="Y175" s="143">
        <f t="shared" si="15"/>
        <v>-995.65789473684902</v>
      </c>
    </row>
    <row r="176" spans="1:25" x14ac:dyDescent="0.25">
      <c r="A176">
        <f t="shared" si="20"/>
        <v>169</v>
      </c>
      <c r="B176" s="88" t="str">
        <f>IF(OR(B175="Total",B175=""),"",IF(VLOOKUP(A176,Journal!$B$7:$E$84,4)=0,"Total",VLOOKUP(A176,Journal!$B$7:$D$84,3)))</f>
        <v/>
      </c>
      <c r="C176" s="86" t="str">
        <f>IF(B176="","",VLOOKUP(A176,Journal!$B$7:$E$84,4))</f>
        <v/>
      </c>
      <c r="D176" s="114" t="str">
        <f>IF(B176="","",VLOOKUP(A176,Journal!$B$7:$J$84,9))</f>
        <v/>
      </c>
      <c r="E176" s="116"/>
      <c r="F176" s="116"/>
      <c r="G176" s="115"/>
      <c r="H176" s="84" t="str">
        <f>IF(B176="","",VLOOKUP(A176,Journal!$B$7:$L$84,11))</f>
        <v/>
      </c>
      <c r="I176" s="84" t="str">
        <f>IF(B176="","",VLOOKUP(A176,Journal!$B$7:$M$84,12))</f>
        <v/>
      </c>
      <c r="J176" s="105">
        <f>IF(B176="Total",SUM(J$8:J175)+0.0001,IF(OR(B176="",I$2=I176),0,VLOOKUP(A176,Journal!$B$7:M$84,8)))</f>
        <v>0</v>
      </c>
      <c r="K176" s="102">
        <f>IF(B176="Total",SUM(K$8:K175)+0.0001,IF(OR(B176="",J176&lt;&gt;0),0,VLOOKUP(A176,Journal!$B$7:M$84,8)))</f>
        <v>0</v>
      </c>
      <c r="L176" s="87">
        <f t="shared" si="14"/>
        <v>0</v>
      </c>
      <c r="P176">
        <f t="shared" si="17"/>
        <v>1.0000000000000001E-5</v>
      </c>
      <c r="R176" s="15">
        <f t="shared" si="18"/>
        <v>169</v>
      </c>
      <c r="S176" s="126">
        <f>IF(VLOOKUP(A176,Journal!$A$7:$E$70,5)=0,S175+1,VLOOKUP(A176,Journal!$A$7:$E$70,5))</f>
        <v>45826</v>
      </c>
      <c r="T176" s="125">
        <f>IF(H$2=VLOOKUP(A176,Journal!$A$7:$F$70,6),VLOOKUP(A176,Journal!$A$7:M$70,9),0)</f>
        <v>0</v>
      </c>
      <c r="U176" s="125">
        <f>IF(H$2=VLOOKUP(A176,Journal!$A$7:$G$70,7),VLOOKUP(A176,Journal!$A$7:M$70,9),0)</f>
        <v>0</v>
      </c>
      <c r="V176" s="125">
        <f t="shared" si="19"/>
        <v>40</v>
      </c>
      <c r="X176">
        <f t="shared" si="16"/>
        <v>0</v>
      </c>
      <c r="Y176" s="143">
        <f t="shared" si="15"/>
        <v>-995.63157894737537</v>
      </c>
    </row>
    <row r="177" spans="1:25" x14ac:dyDescent="0.25">
      <c r="A177">
        <f t="shared" si="20"/>
        <v>170</v>
      </c>
      <c r="B177" s="88" t="str">
        <f>IF(OR(B176="Total",B176=""),"",IF(VLOOKUP(A177,Journal!$B$7:$E$84,4)=0,"Total",VLOOKUP(A177,Journal!$B$7:$D$84,3)))</f>
        <v/>
      </c>
      <c r="C177" s="86" t="str">
        <f>IF(B177="","",VLOOKUP(A177,Journal!$B$7:$E$84,4))</f>
        <v/>
      </c>
      <c r="D177" s="114" t="str">
        <f>IF(B177="","",VLOOKUP(A177,Journal!$B$7:$J$84,9))</f>
        <v/>
      </c>
      <c r="E177" s="116"/>
      <c r="F177" s="116"/>
      <c r="G177" s="115"/>
      <c r="H177" s="84" t="str">
        <f>IF(B177="","",VLOOKUP(A177,Journal!$B$7:$L$84,11))</f>
        <v/>
      </c>
      <c r="I177" s="84" t="str">
        <f>IF(B177="","",VLOOKUP(A177,Journal!$B$7:$M$84,12))</f>
        <v/>
      </c>
      <c r="J177" s="105">
        <f>IF(B177="Total",SUM(J$8:J176)+0.0001,IF(OR(B177="",I$2=I177),0,VLOOKUP(A177,Journal!$B$7:M$84,8)))</f>
        <v>0</v>
      </c>
      <c r="K177" s="102">
        <f>IF(B177="Total",SUM(K$8:K176)+0.0001,IF(OR(B177="",J177&lt;&gt;0),0,VLOOKUP(A177,Journal!$B$7:M$84,8)))</f>
        <v>0</v>
      </c>
      <c r="L177" s="87">
        <f t="shared" si="14"/>
        <v>0</v>
      </c>
      <c r="P177">
        <f t="shared" si="17"/>
        <v>1.0000000000000001E-5</v>
      </c>
      <c r="R177" s="15">
        <f t="shared" si="18"/>
        <v>170</v>
      </c>
      <c r="S177" s="126">
        <f>IF(VLOOKUP(A177,Journal!$A$7:$E$70,5)=0,S176+1,VLOOKUP(A177,Journal!$A$7:$E$70,5))</f>
        <v>45827</v>
      </c>
      <c r="T177" s="125">
        <f>IF(H$2=VLOOKUP(A177,Journal!$A$7:$F$70,6),VLOOKUP(A177,Journal!$A$7:M$70,9),0)</f>
        <v>0</v>
      </c>
      <c r="U177" s="125">
        <f>IF(H$2=VLOOKUP(A177,Journal!$A$7:$G$70,7),VLOOKUP(A177,Journal!$A$7:M$70,9),0)</f>
        <v>0</v>
      </c>
      <c r="V177" s="125">
        <f t="shared" si="19"/>
        <v>40</v>
      </c>
      <c r="X177">
        <f t="shared" si="16"/>
        <v>0</v>
      </c>
      <c r="Y177" s="143">
        <f t="shared" si="15"/>
        <v>-995.60526315790173</v>
      </c>
    </row>
    <row r="178" spans="1:25" x14ac:dyDescent="0.25">
      <c r="A178">
        <f t="shared" si="20"/>
        <v>171</v>
      </c>
      <c r="B178" s="88" t="str">
        <f>IF(OR(B177="Total",B177=""),"",IF(VLOOKUP(A178,Journal!$B$7:$E$84,4)=0,"Total",VLOOKUP(A178,Journal!$B$7:$D$84,3)))</f>
        <v/>
      </c>
      <c r="C178" s="86" t="str">
        <f>IF(B178="","",VLOOKUP(A178,Journal!$B$7:$E$84,4))</f>
        <v/>
      </c>
      <c r="D178" s="114" t="str">
        <f>IF(B178="","",VLOOKUP(A178,Journal!$B$7:$J$84,9))</f>
        <v/>
      </c>
      <c r="E178" s="116"/>
      <c r="F178" s="116"/>
      <c r="G178" s="115"/>
      <c r="H178" s="84" t="str">
        <f>IF(B178="","",VLOOKUP(A178,Journal!$B$7:$L$84,11))</f>
        <v/>
      </c>
      <c r="I178" s="84" t="str">
        <f>IF(B178="","",VLOOKUP(A178,Journal!$B$7:$M$84,12))</f>
        <v/>
      </c>
      <c r="J178" s="105">
        <f>IF(B178="Total",SUM(J$8:J177)+0.0001,IF(OR(B178="",I$2=I178),0,VLOOKUP(A178,Journal!$B$7:M$84,8)))</f>
        <v>0</v>
      </c>
      <c r="K178" s="102">
        <f>IF(B178="Total",SUM(K$8:K177)+0.0001,IF(OR(B178="",J178&lt;&gt;0),0,VLOOKUP(A178,Journal!$B$7:M$84,8)))</f>
        <v>0</v>
      </c>
      <c r="L178" s="87">
        <f t="shared" si="14"/>
        <v>0</v>
      </c>
      <c r="P178">
        <f t="shared" si="17"/>
        <v>1.0000000000000001E-5</v>
      </c>
      <c r="R178" s="15">
        <f t="shared" si="18"/>
        <v>171</v>
      </c>
      <c r="S178" s="126">
        <f>IF(VLOOKUP(A178,Journal!$A$7:$E$70,5)=0,S177+1,VLOOKUP(A178,Journal!$A$7:$E$70,5))</f>
        <v>45828</v>
      </c>
      <c r="T178" s="125">
        <f>IF(H$2=VLOOKUP(A178,Journal!$A$7:$F$70,6),VLOOKUP(A178,Journal!$A$7:M$70,9),0)</f>
        <v>0</v>
      </c>
      <c r="U178" s="125">
        <f>IF(H$2=VLOOKUP(A178,Journal!$A$7:$G$70,7),VLOOKUP(A178,Journal!$A$7:M$70,9),0)</f>
        <v>0</v>
      </c>
      <c r="V178" s="125">
        <f t="shared" si="19"/>
        <v>40</v>
      </c>
      <c r="X178">
        <f t="shared" si="16"/>
        <v>0</v>
      </c>
      <c r="Y178" s="143">
        <f t="shared" si="15"/>
        <v>-995.57894736842809</v>
      </c>
    </row>
    <row r="179" spans="1:25" x14ac:dyDescent="0.25">
      <c r="A179">
        <f t="shared" si="20"/>
        <v>172</v>
      </c>
      <c r="B179" s="88" t="str">
        <f>IF(OR(B178="Total",B178=""),"",IF(VLOOKUP(A179,Journal!$B$7:$E$84,4)=0,"Total",VLOOKUP(A179,Journal!$B$7:$D$84,3)))</f>
        <v/>
      </c>
      <c r="C179" s="86" t="str">
        <f>IF(B179="","",VLOOKUP(A179,Journal!$B$7:$E$84,4))</f>
        <v/>
      </c>
      <c r="D179" s="114" t="str">
        <f>IF(B179="","",VLOOKUP(A179,Journal!$B$7:$J$84,9))</f>
        <v/>
      </c>
      <c r="E179" s="116"/>
      <c r="F179" s="116"/>
      <c r="G179" s="115"/>
      <c r="H179" s="84" t="str">
        <f>IF(B179="","",VLOOKUP(A179,Journal!$B$7:$L$84,11))</f>
        <v/>
      </c>
      <c r="I179" s="84" t="str">
        <f>IF(B179="","",VLOOKUP(A179,Journal!$B$7:$M$84,12))</f>
        <v/>
      </c>
      <c r="J179" s="105">
        <f>IF(B179="Total",SUM(J$8:J178)+0.0001,IF(OR(B179="",I$2=I179),0,VLOOKUP(A179,Journal!$B$7:M$84,8)))</f>
        <v>0</v>
      </c>
      <c r="K179" s="102">
        <f>IF(B179="Total",SUM(K$8:K178)+0.0001,IF(OR(B179="",J179&lt;&gt;0),0,VLOOKUP(A179,Journal!$B$7:M$84,8)))</f>
        <v>0</v>
      </c>
      <c r="L179" s="87">
        <f t="shared" si="14"/>
        <v>0</v>
      </c>
      <c r="P179">
        <f t="shared" si="17"/>
        <v>1.0000000000000001E-5</v>
      </c>
      <c r="R179" s="15">
        <f t="shared" si="18"/>
        <v>172</v>
      </c>
      <c r="S179" s="126">
        <f>IF(VLOOKUP(A179,Journal!$A$7:$E$70,5)=0,S178+1,VLOOKUP(A179,Journal!$A$7:$E$70,5))</f>
        <v>45829</v>
      </c>
      <c r="T179" s="125">
        <f>IF(H$2=VLOOKUP(A179,Journal!$A$7:$F$70,6),VLOOKUP(A179,Journal!$A$7:M$70,9),0)</f>
        <v>0</v>
      </c>
      <c r="U179" s="125">
        <f>IF(H$2=VLOOKUP(A179,Journal!$A$7:$G$70,7),VLOOKUP(A179,Journal!$A$7:M$70,9),0)</f>
        <v>0</v>
      </c>
      <c r="V179" s="125">
        <f t="shared" si="19"/>
        <v>40</v>
      </c>
      <c r="X179">
        <f t="shared" si="16"/>
        <v>0</v>
      </c>
      <c r="Y179" s="143">
        <f t="shared" si="15"/>
        <v>-995.55263157895445</v>
      </c>
    </row>
    <row r="180" spans="1:25" x14ac:dyDescent="0.25">
      <c r="A180">
        <f t="shared" si="20"/>
        <v>173</v>
      </c>
      <c r="B180" s="88" t="str">
        <f>IF(OR(B179="Total",B179=""),"",IF(VLOOKUP(A180,Journal!$B$7:$E$84,4)=0,"Total",VLOOKUP(A180,Journal!$B$7:$D$84,3)))</f>
        <v/>
      </c>
      <c r="C180" s="86" t="str">
        <f>IF(B180="","",VLOOKUP(A180,Journal!$B$7:$E$84,4))</f>
        <v/>
      </c>
      <c r="D180" s="114" t="str">
        <f>IF(B180="","",VLOOKUP(A180,Journal!$B$7:$J$84,9))</f>
        <v/>
      </c>
      <c r="E180" s="116"/>
      <c r="F180" s="116"/>
      <c r="G180" s="115"/>
      <c r="H180" s="84" t="str">
        <f>IF(B180="","",VLOOKUP(A180,Journal!$B$7:$L$84,11))</f>
        <v/>
      </c>
      <c r="I180" s="84" t="str">
        <f>IF(B180="","",VLOOKUP(A180,Journal!$B$7:$M$84,12))</f>
        <v/>
      </c>
      <c r="J180" s="105">
        <f>IF(B180="Total",SUM(J$8:J179)+0.0001,IF(OR(B180="",I$2=I180),0,VLOOKUP(A180,Journal!$B$7:M$84,8)))</f>
        <v>0</v>
      </c>
      <c r="K180" s="102">
        <f>IF(B180="Total",SUM(K$8:K179)+0.0001,IF(OR(B180="",J180&lt;&gt;0),0,VLOOKUP(A180,Journal!$B$7:M$84,8)))</f>
        <v>0</v>
      </c>
      <c r="L180" s="87">
        <f t="shared" si="14"/>
        <v>0</v>
      </c>
      <c r="P180">
        <f t="shared" si="17"/>
        <v>1.0000000000000001E-5</v>
      </c>
      <c r="R180" s="15">
        <f t="shared" si="18"/>
        <v>173</v>
      </c>
      <c r="S180" s="126">
        <f>IF(VLOOKUP(A180,Journal!$A$7:$E$70,5)=0,S179+1,VLOOKUP(A180,Journal!$A$7:$E$70,5))</f>
        <v>45830</v>
      </c>
      <c r="T180" s="125">
        <f>IF(H$2=VLOOKUP(A180,Journal!$A$7:$F$70,6),VLOOKUP(A180,Journal!$A$7:M$70,9),0)</f>
        <v>0</v>
      </c>
      <c r="U180" s="125">
        <f>IF(H$2=VLOOKUP(A180,Journal!$A$7:$G$70,7),VLOOKUP(A180,Journal!$A$7:M$70,9),0)</f>
        <v>0</v>
      </c>
      <c r="V180" s="125">
        <f t="shared" si="19"/>
        <v>40</v>
      </c>
      <c r="X180">
        <f t="shared" si="16"/>
        <v>0</v>
      </c>
      <c r="Y180" s="143">
        <f t="shared" si="15"/>
        <v>-995.5263157894808</v>
      </c>
    </row>
    <row r="181" spans="1:25" x14ac:dyDescent="0.25">
      <c r="A181">
        <f t="shared" si="20"/>
        <v>174</v>
      </c>
      <c r="B181" s="88" t="str">
        <f>IF(OR(B180="Total",B180=""),"",IF(VLOOKUP(A181,Journal!$B$7:$E$84,4)=0,"Total",VLOOKUP(A181,Journal!$B$7:$D$84,3)))</f>
        <v/>
      </c>
      <c r="C181" s="86" t="str">
        <f>IF(B181="","",VLOOKUP(A181,Journal!$B$7:$E$84,4))</f>
        <v/>
      </c>
      <c r="D181" s="114" t="str">
        <f>IF(B181="","",VLOOKUP(A181,Journal!$B$7:$J$84,9))</f>
        <v/>
      </c>
      <c r="E181" s="116"/>
      <c r="F181" s="116"/>
      <c r="G181" s="115"/>
      <c r="H181" s="84" t="str">
        <f>IF(B181="","",VLOOKUP(A181,Journal!$B$7:$L$84,11))</f>
        <v/>
      </c>
      <c r="I181" s="84" t="str">
        <f>IF(B181="","",VLOOKUP(A181,Journal!$B$7:$M$84,12))</f>
        <v/>
      </c>
      <c r="J181" s="105">
        <f>IF(B181="Total",SUM(J$8:J180)+0.0001,IF(OR(B181="",I$2=I181),0,VLOOKUP(A181,Journal!$B$7:M$84,8)))</f>
        <v>0</v>
      </c>
      <c r="K181" s="102">
        <f>IF(B181="Total",SUM(K$8:K180)+0.0001,IF(OR(B181="",J181&lt;&gt;0),0,VLOOKUP(A181,Journal!$B$7:M$84,8)))</f>
        <v>0</v>
      </c>
      <c r="L181" s="87">
        <f t="shared" si="14"/>
        <v>0</v>
      </c>
      <c r="P181">
        <f t="shared" si="17"/>
        <v>1.0000000000000001E-5</v>
      </c>
      <c r="R181" s="15">
        <f t="shared" si="18"/>
        <v>174</v>
      </c>
      <c r="S181" s="126">
        <f>IF(VLOOKUP(A181,Journal!$A$7:$E$70,5)=0,S180+1,VLOOKUP(A181,Journal!$A$7:$E$70,5))</f>
        <v>45831</v>
      </c>
      <c r="T181" s="125">
        <f>IF(H$2=VLOOKUP(A181,Journal!$A$7:$F$70,6),VLOOKUP(A181,Journal!$A$7:M$70,9),0)</f>
        <v>0</v>
      </c>
      <c r="U181" s="125">
        <f>IF(H$2=VLOOKUP(A181,Journal!$A$7:$G$70,7),VLOOKUP(A181,Journal!$A$7:M$70,9),0)</f>
        <v>0</v>
      </c>
      <c r="V181" s="125">
        <f t="shared" si="19"/>
        <v>40</v>
      </c>
      <c r="X181">
        <f t="shared" si="16"/>
        <v>0</v>
      </c>
      <c r="Y181" s="143">
        <f t="shared" si="15"/>
        <v>-995.50000000000716</v>
      </c>
    </row>
    <row r="182" spans="1:25" x14ac:dyDescent="0.25">
      <c r="A182">
        <f t="shared" si="20"/>
        <v>175</v>
      </c>
      <c r="B182" s="88" t="str">
        <f>IF(OR(B181="Total",B181=""),"",IF(VLOOKUP(A182,Journal!$B$7:$E$84,4)=0,"Total",VLOOKUP(A182,Journal!$B$7:$D$84,3)))</f>
        <v/>
      </c>
      <c r="C182" s="86" t="str">
        <f>IF(B182="","",VLOOKUP(A182,Journal!$B$7:$E$84,4))</f>
        <v/>
      </c>
      <c r="D182" s="114" t="str">
        <f>IF(B182="","",VLOOKUP(A182,Journal!$B$7:$J$84,9))</f>
        <v/>
      </c>
      <c r="E182" s="116"/>
      <c r="F182" s="116"/>
      <c r="G182" s="115"/>
      <c r="H182" s="84" t="str">
        <f>IF(B182="","",VLOOKUP(A182,Journal!$B$7:$L$84,11))</f>
        <v/>
      </c>
      <c r="I182" s="84" t="str">
        <f>IF(B182="","",VLOOKUP(A182,Journal!$B$7:$M$84,12))</f>
        <v/>
      </c>
      <c r="J182" s="105">
        <f>IF(B182="Total",SUM(J$8:J181)+0.0001,IF(OR(B182="",I$2=I182),0,VLOOKUP(A182,Journal!$B$7:M$84,8)))</f>
        <v>0</v>
      </c>
      <c r="K182" s="102">
        <f>IF(B182="Total",SUM(K$8:K181)+0.0001,IF(OR(B182="",J182&lt;&gt;0),0,VLOOKUP(A182,Journal!$B$7:M$84,8)))</f>
        <v>0</v>
      </c>
      <c r="L182" s="87">
        <f t="shared" si="14"/>
        <v>0</v>
      </c>
      <c r="P182">
        <f t="shared" si="17"/>
        <v>1.0000000000000001E-5</v>
      </c>
      <c r="R182" s="15">
        <f t="shared" si="18"/>
        <v>175</v>
      </c>
      <c r="S182" s="126">
        <f>IF(VLOOKUP(A182,Journal!$A$7:$E$70,5)=0,S181+1,VLOOKUP(A182,Journal!$A$7:$E$70,5))</f>
        <v>45832</v>
      </c>
      <c r="T182" s="125">
        <f>IF(H$2=VLOOKUP(A182,Journal!$A$7:$F$70,6),VLOOKUP(A182,Journal!$A$7:M$70,9),0)</f>
        <v>0</v>
      </c>
      <c r="U182" s="125">
        <f>IF(H$2=VLOOKUP(A182,Journal!$A$7:$G$70,7),VLOOKUP(A182,Journal!$A$7:M$70,9),0)</f>
        <v>0</v>
      </c>
      <c r="V182" s="125">
        <f t="shared" si="19"/>
        <v>40</v>
      </c>
      <c r="X182">
        <f t="shared" si="16"/>
        <v>0</v>
      </c>
      <c r="Y182" s="143">
        <f t="shared" si="15"/>
        <v>-995.47368421053352</v>
      </c>
    </row>
    <row r="183" spans="1:25" x14ac:dyDescent="0.25">
      <c r="A183">
        <f t="shared" si="20"/>
        <v>176</v>
      </c>
      <c r="B183" s="88" t="str">
        <f>IF(OR(B182="Total",B182=""),"",IF(VLOOKUP(A183,Journal!$B$7:$E$84,4)=0,"Total",VLOOKUP(A183,Journal!$B$7:$D$84,3)))</f>
        <v/>
      </c>
      <c r="C183" s="86" t="str">
        <f>IF(B183="","",VLOOKUP(A183,Journal!$B$7:$E$84,4))</f>
        <v/>
      </c>
      <c r="D183" s="114" t="str">
        <f>IF(B183="","",VLOOKUP(A183,Journal!$B$7:$J$84,9))</f>
        <v/>
      </c>
      <c r="E183" s="116"/>
      <c r="F183" s="116"/>
      <c r="G183" s="115"/>
      <c r="H183" s="84" t="str">
        <f>IF(B183="","",VLOOKUP(A183,Journal!$B$7:$L$84,11))</f>
        <v/>
      </c>
      <c r="I183" s="84" t="str">
        <f>IF(B183="","",VLOOKUP(A183,Journal!$B$7:$M$84,12))</f>
        <v/>
      </c>
      <c r="J183" s="105">
        <f>IF(B183="Total",SUM(J$8:J182)+0.0001,IF(OR(B183="",I$2=I183),0,VLOOKUP(A183,Journal!$B$7:M$84,8)))</f>
        <v>0</v>
      </c>
      <c r="K183" s="102">
        <f>IF(B183="Total",SUM(K$8:K182)+0.0001,IF(OR(B183="",J183&lt;&gt;0),0,VLOOKUP(A183,Journal!$B$7:M$84,8)))</f>
        <v>0</v>
      </c>
      <c r="L183" s="87">
        <f t="shared" si="14"/>
        <v>0</v>
      </c>
      <c r="P183">
        <f t="shared" si="17"/>
        <v>1.0000000000000001E-5</v>
      </c>
      <c r="R183" s="15">
        <f t="shared" si="18"/>
        <v>176</v>
      </c>
      <c r="S183" s="126">
        <f>IF(VLOOKUP(A183,Journal!$A$7:$E$70,5)=0,S182+1,VLOOKUP(A183,Journal!$A$7:$E$70,5))</f>
        <v>45833</v>
      </c>
      <c r="T183" s="125">
        <f>IF(H$2=VLOOKUP(A183,Journal!$A$7:$F$70,6),VLOOKUP(A183,Journal!$A$7:M$70,9),0)</f>
        <v>0</v>
      </c>
      <c r="U183" s="125">
        <f>IF(H$2=VLOOKUP(A183,Journal!$A$7:$G$70,7),VLOOKUP(A183,Journal!$A$7:M$70,9),0)</f>
        <v>0</v>
      </c>
      <c r="V183" s="125">
        <f t="shared" si="19"/>
        <v>40</v>
      </c>
      <c r="X183">
        <f t="shared" si="16"/>
        <v>0</v>
      </c>
      <c r="Y183" s="143">
        <f t="shared" si="15"/>
        <v>-995.44736842105988</v>
      </c>
    </row>
    <row r="184" spans="1:25" x14ac:dyDescent="0.25">
      <c r="A184">
        <f t="shared" si="20"/>
        <v>177</v>
      </c>
      <c r="B184" s="88" t="str">
        <f>IF(OR(B183="Total",B183=""),"",IF(VLOOKUP(A184,Journal!$B$7:$E$84,4)=0,"Total",VLOOKUP(A184,Journal!$B$7:$D$84,3)))</f>
        <v/>
      </c>
      <c r="C184" s="86" t="str">
        <f>IF(B184="","",VLOOKUP(A184,Journal!$B$7:$E$84,4))</f>
        <v/>
      </c>
      <c r="D184" s="114" t="str">
        <f>IF(B184="","",VLOOKUP(A184,Journal!$B$7:$J$84,9))</f>
        <v/>
      </c>
      <c r="E184" s="116"/>
      <c r="F184" s="116"/>
      <c r="G184" s="115"/>
      <c r="H184" s="84" t="str">
        <f>IF(B184="","",VLOOKUP(A184,Journal!$B$7:$L$84,11))</f>
        <v/>
      </c>
      <c r="I184" s="84" t="str">
        <f>IF(B184="","",VLOOKUP(A184,Journal!$B$7:$M$84,12))</f>
        <v/>
      </c>
      <c r="J184" s="105">
        <f>IF(B184="Total",SUM(J$8:J183)+0.0001,IF(OR(B184="",I$2=I184),0,VLOOKUP(A184,Journal!$B$7:M$84,8)))</f>
        <v>0</v>
      </c>
      <c r="K184" s="102">
        <f>IF(B184="Total",SUM(K$8:K183)+0.0001,IF(OR(B184="",J184&lt;&gt;0),0,VLOOKUP(A184,Journal!$B$7:M$84,8)))</f>
        <v>0</v>
      </c>
      <c r="L184" s="87">
        <f t="shared" si="14"/>
        <v>0</v>
      </c>
      <c r="P184">
        <f t="shared" si="17"/>
        <v>1.0000000000000001E-5</v>
      </c>
      <c r="R184" s="15">
        <f t="shared" si="18"/>
        <v>177</v>
      </c>
      <c r="S184" s="126">
        <f>IF(VLOOKUP(A184,Journal!$A$7:$E$70,5)=0,S183+1,VLOOKUP(A184,Journal!$A$7:$E$70,5))</f>
        <v>45834</v>
      </c>
      <c r="T184" s="125">
        <f>IF(H$2=VLOOKUP(A184,Journal!$A$7:$F$70,6),VLOOKUP(A184,Journal!$A$7:M$70,9),0)</f>
        <v>0</v>
      </c>
      <c r="U184" s="125">
        <f>IF(H$2=VLOOKUP(A184,Journal!$A$7:$G$70,7),VLOOKUP(A184,Journal!$A$7:M$70,9),0)</f>
        <v>0</v>
      </c>
      <c r="V184" s="125">
        <f t="shared" si="19"/>
        <v>40</v>
      </c>
      <c r="X184">
        <f t="shared" si="16"/>
        <v>0</v>
      </c>
      <c r="Y184" s="143">
        <f t="shared" si="15"/>
        <v>-995.42105263158624</v>
      </c>
    </row>
    <row r="185" spans="1:25" x14ac:dyDescent="0.25">
      <c r="A185">
        <f t="shared" si="20"/>
        <v>178</v>
      </c>
      <c r="B185" s="88" t="str">
        <f>IF(OR(B184="Total",B184=""),"",IF(VLOOKUP(A185,Journal!$B$7:$E$84,4)=0,"Total",VLOOKUP(A185,Journal!$B$7:$D$84,3)))</f>
        <v/>
      </c>
      <c r="C185" s="86" t="str">
        <f>IF(B185="","",VLOOKUP(A185,Journal!$B$7:$E$84,4))</f>
        <v/>
      </c>
      <c r="D185" s="114" t="str">
        <f>IF(B185="","",VLOOKUP(A185,Journal!$B$7:$J$84,9))</f>
        <v/>
      </c>
      <c r="E185" s="116"/>
      <c r="F185" s="116"/>
      <c r="G185" s="115"/>
      <c r="H185" s="84" t="str">
        <f>IF(B185="","",VLOOKUP(A185,Journal!$B$7:$L$84,11))</f>
        <v/>
      </c>
      <c r="I185" s="84" t="str">
        <f>IF(B185="","",VLOOKUP(A185,Journal!$B$7:$M$84,12))</f>
        <v/>
      </c>
      <c r="J185" s="105">
        <f>IF(B185="Total",SUM(J$8:J184)+0.0001,IF(OR(B185="",I$2=I185),0,VLOOKUP(A185,Journal!$B$7:M$84,8)))</f>
        <v>0</v>
      </c>
      <c r="K185" s="102">
        <f>IF(B185="Total",SUM(K$8:K184)+0.0001,IF(OR(B185="",J185&lt;&gt;0),0,VLOOKUP(A185,Journal!$B$7:M$84,8)))</f>
        <v>0</v>
      </c>
      <c r="L185" s="87">
        <f t="shared" si="14"/>
        <v>0</v>
      </c>
      <c r="P185">
        <f t="shared" si="17"/>
        <v>1.0000000000000001E-5</v>
      </c>
      <c r="R185" s="15">
        <f t="shared" si="18"/>
        <v>178</v>
      </c>
      <c r="S185" s="126">
        <f>IF(VLOOKUP(A185,Journal!$A$7:$E$70,5)=0,S184+1,VLOOKUP(A185,Journal!$A$7:$E$70,5))</f>
        <v>45835</v>
      </c>
      <c r="T185" s="125">
        <f>IF(H$2=VLOOKUP(A185,Journal!$A$7:$F$70,6),VLOOKUP(A185,Journal!$A$7:M$70,9),0)</f>
        <v>0</v>
      </c>
      <c r="U185" s="125">
        <f>IF(H$2=VLOOKUP(A185,Journal!$A$7:$G$70,7),VLOOKUP(A185,Journal!$A$7:M$70,9),0)</f>
        <v>0</v>
      </c>
      <c r="V185" s="125">
        <f t="shared" si="19"/>
        <v>40</v>
      </c>
      <c r="X185">
        <f t="shared" si="16"/>
        <v>0</v>
      </c>
      <c r="Y185" s="143">
        <f t="shared" si="15"/>
        <v>-995.39473684211259</v>
      </c>
    </row>
    <row r="186" spans="1:25" x14ac:dyDescent="0.25">
      <c r="A186">
        <f t="shared" si="20"/>
        <v>179</v>
      </c>
      <c r="B186" s="88" t="str">
        <f>IF(OR(B185="Total",B185=""),"",IF(VLOOKUP(A186,Journal!$B$7:$E$84,4)=0,"Total",VLOOKUP(A186,Journal!$B$7:$D$84,3)))</f>
        <v/>
      </c>
      <c r="C186" s="86" t="str">
        <f>IF(B186="","",VLOOKUP(A186,Journal!$B$7:$E$84,4))</f>
        <v/>
      </c>
      <c r="D186" s="114" t="str">
        <f>IF(B186="","",VLOOKUP(A186,Journal!$B$7:$J$84,9))</f>
        <v/>
      </c>
      <c r="E186" s="116"/>
      <c r="F186" s="116"/>
      <c r="G186" s="115"/>
      <c r="H186" s="84" t="str">
        <f>IF(B186="","",VLOOKUP(A186,Journal!$B$7:$L$84,11))</f>
        <v/>
      </c>
      <c r="I186" s="84" t="str">
        <f>IF(B186="","",VLOOKUP(A186,Journal!$B$7:$M$84,12))</f>
        <v/>
      </c>
      <c r="J186" s="105">
        <f>IF(B186="Total",SUM(J$8:J185)+0.0001,IF(OR(B186="",I$2=I186),0,VLOOKUP(A186,Journal!$B$7:M$84,8)))</f>
        <v>0</v>
      </c>
      <c r="K186" s="102">
        <f>IF(B186="Total",SUM(K$8:K185)+0.0001,IF(OR(B186="",J186&lt;&gt;0),0,VLOOKUP(A186,Journal!$B$7:M$84,8)))</f>
        <v>0</v>
      </c>
      <c r="L186" s="87">
        <f t="shared" si="14"/>
        <v>0</v>
      </c>
      <c r="P186">
        <f t="shared" si="17"/>
        <v>1.0000000000000001E-5</v>
      </c>
      <c r="R186" s="15">
        <f t="shared" si="18"/>
        <v>179</v>
      </c>
      <c r="S186" s="126">
        <f>IF(VLOOKUP(A186,Journal!$A$7:$E$70,5)=0,S185+1,VLOOKUP(A186,Journal!$A$7:$E$70,5))</f>
        <v>45836</v>
      </c>
      <c r="T186" s="125">
        <f>IF(H$2=VLOOKUP(A186,Journal!$A$7:$F$70,6),VLOOKUP(A186,Journal!$A$7:M$70,9),0)</f>
        <v>0</v>
      </c>
      <c r="U186" s="125">
        <f>IF(H$2=VLOOKUP(A186,Journal!$A$7:$G$70,7),VLOOKUP(A186,Journal!$A$7:M$70,9),0)</f>
        <v>0</v>
      </c>
      <c r="V186" s="125">
        <f t="shared" si="19"/>
        <v>40</v>
      </c>
      <c r="X186">
        <f t="shared" si="16"/>
        <v>0</v>
      </c>
      <c r="Y186" s="143">
        <f t="shared" si="15"/>
        <v>-995.36842105263895</v>
      </c>
    </row>
    <row r="187" spans="1:25" x14ac:dyDescent="0.25">
      <c r="A187">
        <f t="shared" si="20"/>
        <v>180</v>
      </c>
      <c r="B187" s="88" t="str">
        <f>IF(OR(B186="Total",B186=""),"",IF(VLOOKUP(A187,Journal!$B$7:$E$84,4)=0,"Total",VLOOKUP(A187,Journal!$B$7:$D$84,3)))</f>
        <v/>
      </c>
      <c r="C187" s="86" t="str">
        <f>IF(B187="","",VLOOKUP(A187,Journal!$B$7:$E$84,4))</f>
        <v/>
      </c>
      <c r="D187" s="114" t="str">
        <f>IF(B187="","",VLOOKUP(A187,Journal!$B$7:$J$84,9))</f>
        <v/>
      </c>
      <c r="E187" s="116"/>
      <c r="F187" s="116"/>
      <c r="G187" s="115"/>
      <c r="H187" s="84" t="str">
        <f>IF(B187="","",VLOOKUP(A187,Journal!$B$7:$L$84,11))</f>
        <v/>
      </c>
      <c r="I187" s="84" t="str">
        <f>IF(B187="","",VLOOKUP(A187,Journal!$B$7:$M$84,12))</f>
        <v/>
      </c>
      <c r="J187" s="105">
        <f>IF(B187="Total",SUM(J$8:J186)+0.0001,IF(OR(B187="",I$2=I187),0,VLOOKUP(A187,Journal!$B$7:M$84,8)))</f>
        <v>0</v>
      </c>
      <c r="K187" s="102">
        <f>IF(B187="Total",SUM(K$8:K186)+0.0001,IF(OR(B187="",J187&lt;&gt;0),0,VLOOKUP(A187,Journal!$B$7:M$84,8)))</f>
        <v>0</v>
      </c>
      <c r="L187" s="87">
        <f t="shared" si="14"/>
        <v>0</v>
      </c>
      <c r="P187">
        <f t="shared" si="17"/>
        <v>1.0000000000000001E-5</v>
      </c>
      <c r="R187" s="15">
        <f t="shared" si="18"/>
        <v>180</v>
      </c>
      <c r="S187" s="126">
        <f>IF(VLOOKUP(A187,Journal!$A$7:$E$70,5)=0,S186+1,VLOOKUP(A187,Journal!$A$7:$E$70,5))</f>
        <v>45837</v>
      </c>
      <c r="T187" s="125">
        <f>IF(H$2=VLOOKUP(A187,Journal!$A$7:$F$70,6),VLOOKUP(A187,Journal!$A$7:M$70,9),0)</f>
        <v>0</v>
      </c>
      <c r="U187" s="125">
        <f>IF(H$2=VLOOKUP(A187,Journal!$A$7:$G$70,7),VLOOKUP(A187,Journal!$A$7:M$70,9),0)</f>
        <v>0</v>
      </c>
      <c r="V187" s="125">
        <f t="shared" si="19"/>
        <v>40</v>
      </c>
      <c r="X187">
        <f t="shared" si="16"/>
        <v>0</v>
      </c>
      <c r="Y187" s="143">
        <f t="shared" si="15"/>
        <v>-995.34210526316531</v>
      </c>
    </row>
    <row r="188" spans="1:25" x14ac:dyDescent="0.25">
      <c r="A188">
        <f t="shared" si="20"/>
        <v>181</v>
      </c>
      <c r="B188" s="88" t="str">
        <f>IF(OR(B187="Total",B187=""),"",IF(VLOOKUP(A188,Journal!$B$7:$E$84,4)=0,"Total",VLOOKUP(A188,Journal!$B$7:$D$84,3)))</f>
        <v/>
      </c>
      <c r="C188" s="86" t="str">
        <f>IF(B188="","",VLOOKUP(A188,Journal!$B$7:$E$84,4))</f>
        <v/>
      </c>
      <c r="D188" s="114" t="str">
        <f>IF(B188="","",VLOOKUP(A188,Journal!$B$7:$J$84,9))</f>
        <v/>
      </c>
      <c r="E188" s="116"/>
      <c r="F188" s="116"/>
      <c r="G188" s="115"/>
      <c r="H188" s="84" t="str">
        <f>IF(B188="","",VLOOKUP(A188,Journal!$B$7:$L$84,11))</f>
        <v/>
      </c>
      <c r="I188" s="84" t="str">
        <f>IF(B188="","",VLOOKUP(A188,Journal!$B$7:$M$84,12))</f>
        <v/>
      </c>
      <c r="J188" s="105">
        <f>IF(B188="Total",SUM(J$8:J187)+0.0001,IF(OR(B188="",I$2=I188),0,VLOOKUP(A188,Journal!$B$7:M$84,8)))</f>
        <v>0</v>
      </c>
      <c r="K188" s="102">
        <f>IF(B188="Total",SUM(K$8:K187)+0.0001,IF(OR(B188="",J188&lt;&gt;0),0,VLOOKUP(A188,Journal!$B$7:M$84,8)))</f>
        <v>0</v>
      </c>
      <c r="L188" s="87">
        <f t="shared" si="14"/>
        <v>0</v>
      </c>
      <c r="P188">
        <f t="shared" si="17"/>
        <v>1.0000000000000001E-5</v>
      </c>
      <c r="R188" s="15">
        <f t="shared" si="18"/>
        <v>181</v>
      </c>
      <c r="S188" s="126">
        <f>IF(VLOOKUP(A188,Journal!$A$7:$E$70,5)=0,S187+1,VLOOKUP(A188,Journal!$A$7:$E$70,5))</f>
        <v>45838</v>
      </c>
      <c r="T188" s="125">
        <f>IF(H$2=VLOOKUP(A188,Journal!$A$7:$F$70,6),VLOOKUP(A188,Journal!$A$7:M$70,9),0)</f>
        <v>0</v>
      </c>
      <c r="U188" s="125">
        <f>IF(H$2=VLOOKUP(A188,Journal!$A$7:$G$70,7),VLOOKUP(A188,Journal!$A$7:M$70,9),0)</f>
        <v>0</v>
      </c>
      <c r="V188" s="125">
        <f t="shared" si="19"/>
        <v>40</v>
      </c>
      <c r="X188">
        <f t="shared" si="16"/>
        <v>0</v>
      </c>
      <c r="Y188" s="143">
        <f t="shared" si="15"/>
        <v>-995.31578947369167</v>
      </c>
    </row>
    <row r="189" spans="1:25" x14ac:dyDescent="0.25">
      <c r="A189">
        <f t="shared" si="20"/>
        <v>182</v>
      </c>
      <c r="B189" s="88" t="str">
        <f>IF(OR(B188="Total",B188=""),"",IF(VLOOKUP(A189,Journal!$B$7:$E$84,4)=0,"Total",VLOOKUP(A189,Journal!$B$7:$D$84,3)))</f>
        <v/>
      </c>
      <c r="C189" s="86" t="str">
        <f>IF(B189="","",VLOOKUP(A189,Journal!$B$7:$E$84,4))</f>
        <v/>
      </c>
      <c r="D189" s="114" t="str">
        <f>IF(B189="","",VLOOKUP(A189,Journal!$B$7:$J$84,9))</f>
        <v/>
      </c>
      <c r="E189" s="116"/>
      <c r="F189" s="116"/>
      <c r="G189" s="115"/>
      <c r="H189" s="84" t="str">
        <f>IF(B189="","",VLOOKUP(A189,Journal!$B$7:$L$84,11))</f>
        <v/>
      </c>
      <c r="I189" s="84" t="str">
        <f>IF(B189="","",VLOOKUP(A189,Journal!$B$7:$M$84,12))</f>
        <v/>
      </c>
      <c r="J189" s="105">
        <f>IF(B189="Total",SUM(J$8:J188)+0.0001,IF(OR(B189="",I$2=I189),0,VLOOKUP(A189,Journal!$B$7:M$84,8)))</f>
        <v>0</v>
      </c>
      <c r="K189" s="102">
        <f>IF(B189="Total",SUM(K$8:K188)+0.0001,IF(OR(B189="",J189&lt;&gt;0),0,VLOOKUP(A189,Journal!$B$7:M$84,8)))</f>
        <v>0</v>
      </c>
      <c r="L189" s="87">
        <f t="shared" si="14"/>
        <v>0</v>
      </c>
      <c r="P189">
        <f t="shared" si="17"/>
        <v>1.0000000000000001E-5</v>
      </c>
      <c r="R189" s="15">
        <f t="shared" si="18"/>
        <v>182</v>
      </c>
      <c r="S189" s="126">
        <f>IF(VLOOKUP(A189,Journal!$A$7:$E$70,5)=0,S188+1,VLOOKUP(A189,Journal!$A$7:$E$70,5))</f>
        <v>45839</v>
      </c>
      <c r="T189" s="125">
        <f>IF(H$2=VLOOKUP(A189,Journal!$A$7:$F$70,6),VLOOKUP(A189,Journal!$A$7:M$70,9),0)</f>
        <v>0</v>
      </c>
      <c r="U189" s="125">
        <f>IF(H$2=VLOOKUP(A189,Journal!$A$7:$G$70,7),VLOOKUP(A189,Journal!$A$7:M$70,9),0)</f>
        <v>0</v>
      </c>
      <c r="V189" s="125">
        <f t="shared" si="19"/>
        <v>40</v>
      </c>
      <c r="X189">
        <f t="shared" si="16"/>
        <v>0</v>
      </c>
      <c r="Y189" s="143">
        <f t="shared" si="15"/>
        <v>-995.28947368421802</v>
      </c>
    </row>
    <row r="190" spans="1:25" x14ac:dyDescent="0.25">
      <c r="A190">
        <f t="shared" si="20"/>
        <v>183</v>
      </c>
      <c r="B190" s="88" t="str">
        <f>IF(OR(B189="Total",B189=""),"",IF(VLOOKUP(A190,Journal!$B$7:$E$84,4)=0,"Total",VLOOKUP(A190,Journal!$B$7:$D$84,3)))</f>
        <v/>
      </c>
      <c r="C190" s="86" t="str">
        <f>IF(B190="","",VLOOKUP(A190,Journal!$B$7:$E$84,4))</f>
        <v/>
      </c>
      <c r="D190" s="114" t="str">
        <f>IF(B190="","",VLOOKUP(A190,Journal!$B$7:$J$84,9))</f>
        <v/>
      </c>
      <c r="E190" s="116"/>
      <c r="F190" s="116"/>
      <c r="G190" s="115"/>
      <c r="H190" s="84" t="str">
        <f>IF(B190="","",VLOOKUP(A190,Journal!$B$7:$L$84,11))</f>
        <v/>
      </c>
      <c r="I190" s="84" t="str">
        <f>IF(B190="","",VLOOKUP(A190,Journal!$B$7:$M$84,12))</f>
        <v/>
      </c>
      <c r="J190" s="105">
        <f>IF(B190="Total",SUM(J$8:J189)+0.0001,IF(OR(B190="",I$2=I190),0,VLOOKUP(A190,Journal!$B$7:M$84,8)))</f>
        <v>0</v>
      </c>
      <c r="K190" s="102">
        <f>IF(B190="Total",SUM(K$8:K189)+0.0001,IF(OR(B190="",J190&lt;&gt;0),0,VLOOKUP(A190,Journal!$B$7:M$84,8)))</f>
        <v>0</v>
      </c>
      <c r="L190" s="87">
        <f t="shared" si="14"/>
        <v>0</v>
      </c>
      <c r="P190">
        <f t="shared" si="17"/>
        <v>1.0000000000000001E-5</v>
      </c>
      <c r="R190" s="15">
        <f t="shared" si="18"/>
        <v>183</v>
      </c>
      <c r="S190" s="126">
        <f>IF(VLOOKUP(A190,Journal!$A$7:$E$70,5)=0,S189+1,VLOOKUP(A190,Journal!$A$7:$E$70,5))</f>
        <v>45840</v>
      </c>
      <c r="T190" s="125">
        <f>IF(H$2=VLOOKUP(A190,Journal!$A$7:$F$70,6),VLOOKUP(A190,Journal!$A$7:M$70,9),0)</f>
        <v>0</v>
      </c>
      <c r="U190" s="125">
        <f>IF(H$2=VLOOKUP(A190,Journal!$A$7:$G$70,7),VLOOKUP(A190,Journal!$A$7:M$70,9),0)</f>
        <v>0</v>
      </c>
      <c r="V190" s="125">
        <f t="shared" si="19"/>
        <v>40</v>
      </c>
      <c r="X190">
        <f t="shared" si="16"/>
        <v>0</v>
      </c>
      <c r="Y190" s="143">
        <f t="shared" si="15"/>
        <v>-995.26315789474438</v>
      </c>
    </row>
    <row r="191" spans="1:25" x14ac:dyDescent="0.25">
      <c r="A191">
        <f t="shared" si="20"/>
        <v>184</v>
      </c>
      <c r="B191" s="88" t="str">
        <f>IF(OR(B190="Total",B190=""),"",IF(VLOOKUP(A191,Journal!$B$7:$E$84,4)=0,"Total",VLOOKUP(A191,Journal!$B$7:$D$84,3)))</f>
        <v/>
      </c>
      <c r="C191" s="86" t="str">
        <f>IF(B191="","",VLOOKUP(A191,Journal!$B$7:$E$84,4))</f>
        <v/>
      </c>
      <c r="D191" s="114" t="str">
        <f>IF(B191="","",VLOOKUP(A191,Journal!$B$7:$J$84,9))</f>
        <v/>
      </c>
      <c r="E191" s="116"/>
      <c r="F191" s="116"/>
      <c r="G191" s="115"/>
      <c r="H191" s="84" t="str">
        <f>IF(B191="","",VLOOKUP(A191,Journal!$B$7:$L$84,11))</f>
        <v/>
      </c>
      <c r="I191" s="84" t="str">
        <f>IF(B191="","",VLOOKUP(A191,Journal!$B$7:$M$84,12))</f>
        <v/>
      </c>
      <c r="J191" s="105">
        <f>IF(B191="Total",SUM(J$8:J190)+0.0001,IF(OR(B191="",I$2=I191),0,VLOOKUP(A191,Journal!$B$7:M$84,8)))</f>
        <v>0</v>
      </c>
      <c r="K191" s="102">
        <f>IF(B191="Total",SUM(K$8:K190)+0.0001,IF(OR(B191="",J191&lt;&gt;0),0,VLOOKUP(A191,Journal!$B$7:M$84,8)))</f>
        <v>0</v>
      </c>
      <c r="L191" s="87">
        <f t="shared" si="14"/>
        <v>0</v>
      </c>
      <c r="P191">
        <f t="shared" si="17"/>
        <v>1.0000000000000001E-5</v>
      </c>
      <c r="R191" s="15">
        <f t="shared" si="18"/>
        <v>184</v>
      </c>
      <c r="S191" s="126">
        <f>IF(VLOOKUP(A191,Journal!$A$7:$E$70,5)=0,S190+1,VLOOKUP(A191,Journal!$A$7:$E$70,5))</f>
        <v>45841</v>
      </c>
      <c r="T191" s="125">
        <f>IF(H$2=VLOOKUP(A191,Journal!$A$7:$F$70,6),VLOOKUP(A191,Journal!$A$7:M$70,9),0)</f>
        <v>0</v>
      </c>
      <c r="U191" s="125">
        <f>IF(H$2=VLOOKUP(A191,Journal!$A$7:$G$70,7),VLOOKUP(A191,Journal!$A$7:M$70,9),0)</f>
        <v>0</v>
      </c>
      <c r="V191" s="125">
        <f t="shared" si="19"/>
        <v>40</v>
      </c>
      <c r="X191">
        <f t="shared" si="16"/>
        <v>0</v>
      </c>
      <c r="Y191" s="143">
        <f t="shared" si="15"/>
        <v>-995.23684210527074</v>
      </c>
    </row>
    <row r="192" spans="1:25" x14ac:dyDescent="0.25">
      <c r="A192">
        <f t="shared" si="20"/>
        <v>185</v>
      </c>
      <c r="B192" s="88" t="str">
        <f>IF(OR(B191="Total",B191=""),"",IF(VLOOKUP(A192,Journal!$B$7:$E$84,4)=0,"Total",VLOOKUP(A192,Journal!$B$7:$D$84,3)))</f>
        <v/>
      </c>
      <c r="C192" s="86" t="str">
        <f>IF(B192="","",VLOOKUP(A192,Journal!$B$7:$E$84,4))</f>
        <v/>
      </c>
      <c r="D192" s="114" t="str">
        <f>IF(B192="","",VLOOKUP(A192,Journal!$B$7:$J$84,9))</f>
        <v/>
      </c>
      <c r="E192" s="116"/>
      <c r="F192" s="116"/>
      <c r="G192" s="115"/>
      <c r="H192" s="84" t="str">
        <f>IF(B192="","",VLOOKUP(A192,Journal!$B$7:$L$84,11))</f>
        <v/>
      </c>
      <c r="I192" s="84" t="str">
        <f>IF(B192="","",VLOOKUP(A192,Journal!$B$7:$M$84,12))</f>
        <v/>
      </c>
      <c r="J192" s="105">
        <f>IF(B192="Total",SUM(J$8:J191)+0.0001,IF(OR(B192="",I$2=I192),0,VLOOKUP(A192,Journal!$B$7:M$84,8)))</f>
        <v>0</v>
      </c>
      <c r="K192" s="102">
        <f>IF(B192="Total",SUM(K$8:K191)+0.0001,IF(OR(B192="",J192&lt;&gt;0),0,VLOOKUP(A192,Journal!$B$7:M$84,8)))</f>
        <v>0</v>
      </c>
      <c r="L192" s="87">
        <f t="shared" si="14"/>
        <v>0</v>
      </c>
      <c r="P192">
        <f t="shared" si="17"/>
        <v>1.0000000000000001E-5</v>
      </c>
      <c r="R192" s="15">
        <f t="shared" si="18"/>
        <v>185</v>
      </c>
      <c r="S192" s="126">
        <f>IF(VLOOKUP(A192,Journal!$A$7:$E$70,5)=0,S191+1,VLOOKUP(A192,Journal!$A$7:$E$70,5))</f>
        <v>45842</v>
      </c>
      <c r="T192" s="125">
        <f>IF(H$2=VLOOKUP(A192,Journal!$A$7:$F$70,6),VLOOKUP(A192,Journal!$A$7:M$70,9),0)</f>
        <v>0</v>
      </c>
      <c r="U192" s="125">
        <f>IF(H$2=VLOOKUP(A192,Journal!$A$7:$G$70,7),VLOOKUP(A192,Journal!$A$7:M$70,9),0)</f>
        <v>0</v>
      </c>
      <c r="V192" s="125">
        <f t="shared" si="19"/>
        <v>40</v>
      </c>
      <c r="X192">
        <f t="shared" si="16"/>
        <v>0</v>
      </c>
      <c r="Y192" s="143">
        <f t="shared" si="15"/>
        <v>-995.2105263157971</v>
      </c>
    </row>
    <row r="193" spans="1:25" x14ac:dyDescent="0.25">
      <c r="A193">
        <f t="shared" si="20"/>
        <v>186</v>
      </c>
      <c r="B193" s="88" t="str">
        <f>IF(OR(B192="Total",B192=""),"",IF(VLOOKUP(A193,Journal!$B$7:$E$84,4)=0,"Total",VLOOKUP(A193,Journal!$B$7:$D$84,3)))</f>
        <v/>
      </c>
      <c r="C193" s="86" t="str">
        <f>IF(B193="","",VLOOKUP(A193,Journal!$B$7:$E$84,4))</f>
        <v/>
      </c>
      <c r="D193" s="114" t="str">
        <f>IF(B193="","",VLOOKUP(A193,Journal!$B$7:$J$84,9))</f>
        <v/>
      </c>
      <c r="E193" s="116"/>
      <c r="F193" s="116"/>
      <c r="G193" s="115"/>
      <c r="H193" s="84" t="str">
        <f>IF(B193="","",VLOOKUP(A193,Journal!$B$7:$L$84,11))</f>
        <v/>
      </c>
      <c r="I193" s="84" t="str">
        <f>IF(B193="","",VLOOKUP(A193,Journal!$B$7:$M$84,12))</f>
        <v/>
      </c>
      <c r="J193" s="105">
        <f>IF(B193="Total",SUM(J$8:J192)+0.0001,IF(OR(B193="",I$2=I193),0,VLOOKUP(A193,Journal!$B$7:M$84,8)))</f>
        <v>0</v>
      </c>
      <c r="K193" s="102">
        <f>IF(B193="Total",SUM(K$8:K192)+0.0001,IF(OR(B193="",J193&lt;&gt;0),0,VLOOKUP(A193,Journal!$B$7:M$84,8)))</f>
        <v>0</v>
      </c>
      <c r="L193" s="87">
        <f t="shared" si="14"/>
        <v>0</v>
      </c>
      <c r="P193">
        <f t="shared" si="17"/>
        <v>1.0000000000000001E-5</v>
      </c>
      <c r="R193" s="15">
        <f t="shared" si="18"/>
        <v>186</v>
      </c>
      <c r="S193" s="126">
        <f>IF(VLOOKUP(A193,Journal!$A$7:$E$70,5)=0,S192+1,VLOOKUP(A193,Journal!$A$7:$E$70,5))</f>
        <v>45843</v>
      </c>
      <c r="T193" s="125">
        <f>IF(H$2=VLOOKUP(A193,Journal!$A$7:$F$70,6),VLOOKUP(A193,Journal!$A$7:M$70,9),0)</f>
        <v>0</v>
      </c>
      <c r="U193" s="125">
        <f>IF(H$2=VLOOKUP(A193,Journal!$A$7:$G$70,7),VLOOKUP(A193,Journal!$A$7:M$70,9),0)</f>
        <v>0</v>
      </c>
      <c r="V193" s="125">
        <f t="shared" si="19"/>
        <v>40</v>
      </c>
      <c r="X193">
        <f t="shared" si="16"/>
        <v>0</v>
      </c>
      <c r="Y193" s="143">
        <f t="shared" si="15"/>
        <v>-995.18421052632345</v>
      </c>
    </row>
    <row r="194" spans="1:25" x14ac:dyDescent="0.25">
      <c r="A194">
        <f t="shared" si="20"/>
        <v>187</v>
      </c>
      <c r="B194" s="88" t="str">
        <f>IF(OR(B193="Total",B193=""),"",IF(VLOOKUP(A194,Journal!$B$7:$E$84,4)=0,"Total",VLOOKUP(A194,Journal!$B$7:$D$84,3)))</f>
        <v/>
      </c>
      <c r="C194" s="86" t="str">
        <f>IF(B194="","",VLOOKUP(A194,Journal!$B$7:$E$84,4))</f>
        <v/>
      </c>
      <c r="D194" s="114" t="str">
        <f>IF(B194="","",VLOOKUP(A194,Journal!$B$7:$J$84,9))</f>
        <v/>
      </c>
      <c r="E194" s="116"/>
      <c r="F194" s="116"/>
      <c r="G194" s="115"/>
      <c r="H194" s="84" t="str">
        <f>IF(B194="","",VLOOKUP(A194,Journal!$B$7:$L$84,11))</f>
        <v/>
      </c>
      <c r="I194" s="84" t="str">
        <f>IF(B194="","",VLOOKUP(A194,Journal!$B$7:$M$84,12))</f>
        <v/>
      </c>
      <c r="J194" s="105">
        <f>IF(B194="Total",SUM(J$8:J193)+0.0001,IF(OR(B194="",I$2=I194),0,VLOOKUP(A194,Journal!$B$7:M$84,8)))</f>
        <v>0</v>
      </c>
      <c r="K194" s="102">
        <f>IF(B194="Total",SUM(K$8:K193)+0.0001,IF(OR(B194="",J194&lt;&gt;0),0,VLOOKUP(A194,Journal!$B$7:M$84,8)))</f>
        <v>0</v>
      </c>
      <c r="L194" s="87">
        <f t="shared" si="14"/>
        <v>0</v>
      </c>
      <c r="P194">
        <f t="shared" si="17"/>
        <v>1.0000000000000001E-5</v>
      </c>
      <c r="R194" s="15">
        <f t="shared" si="18"/>
        <v>187</v>
      </c>
      <c r="S194" s="126">
        <f>IF(VLOOKUP(A194,Journal!$A$7:$E$70,5)=0,S193+1,VLOOKUP(A194,Journal!$A$7:$E$70,5))</f>
        <v>45844</v>
      </c>
      <c r="T194" s="125">
        <f>IF(H$2=VLOOKUP(A194,Journal!$A$7:$F$70,6),VLOOKUP(A194,Journal!$A$7:M$70,9),0)</f>
        <v>0</v>
      </c>
      <c r="U194" s="125">
        <f>IF(H$2=VLOOKUP(A194,Journal!$A$7:$G$70,7),VLOOKUP(A194,Journal!$A$7:M$70,9),0)</f>
        <v>0</v>
      </c>
      <c r="V194" s="125">
        <f t="shared" si="19"/>
        <v>40</v>
      </c>
      <c r="X194">
        <f t="shared" si="16"/>
        <v>0</v>
      </c>
      <c r="Y194" s="143">
        <f t="shared" si="15"/>
        <v>-995.15789473684981</v>
      </c>
    </row>
    <row r="195" spans="1:25" x14ac:dyDescent="0.25">
      <c r="A195">
        <f t="shared" si="20"/>
        <v>188</v>
      </c>
      <c r="B195" s="88" t="str">
        <f>IF(OR(B194="Total",B194=""),"",IF(VLOOKUP(A195,Journal!$B$7:$E$84,4)=0,"Total",VLOOKUP(A195,Journal!$B$7:$D$84,3)))</f>
        <v/>
      </c>
      <c r="C195" s="86" t="str">
        <f>IF(B195="","",VLOOKUP(A195,Journal!$B$7:$E$84,4))</f>
        <v/>
      </c>
      <c r="D195" s="114" t="str">
        <f>IF(B195="","",VLOOKUP(A195,Journal!$B$7:$J$84,9))</f>
        <v/>
      </c>
      <c r="E195" s="116"/>
      <c r="F195" s="116"/>
      <c r="G195" s="115"/>
      <c r="H195" s="84" t="str">
        <f>IF(B195="","",VLOOKUP(A195,Journal!$B$7:$L$84,11))</f>
        <v/>
      </c>
      <c r="I195" s="84" t="str">
        <f>IF(B195="","",VLOOKUP(A195,Journal!$B$7:$M$84,12))</f>
        <v/>
      </c>
      <c r="J195" s="105">
        <f>IF(B195="Total",SUM(J$8:J194)+0.0001,IF(OR(B195="",I$2=I195),0,VLOOKUP(A195,Journal!$B$7:M$84,8)))</f>
        <v>0</v>
      </c>
      <c r="K195" s="102">
        <f>IF(B195="Total",SUM(K$8:K194)+0.0001,IF(OR(B195="",J195&lt;&gt;0),0,VLOOKUP(A195,Journal!$B$7:M$84,8)))</f>
        <v>0</v>
      </c>
      <c r="L195" s="87">
        <f t="shared" si="14"/>
        <v>0</v>
      </c>
      <c r="P195">
        <f t="shared" si="17"/>
        <v>1.0000000000000001E-5</v>
      </c>
      <c r="R195" s="15">
        <f t="shared" si="18"/>
        <v>188</v>
      </c>
      <c r="S195" s="126">
        <f>IF(VLOOKUP(A195,Journal!$A$7:$E$70,5)=0,S194+1,VLOOKUP(A195,Journal!$A$7:$E$70,5))</f>
        <v>45845</v>
      </c>
      <c r="T195" s="125">
        <f>IF(H$2=VLOOKUP(A195,Journal!$A$7:$F$70,6),VLOOKUP(A195,Journal!$A$7:M$70,9),0)</f>
        <v>0</v>
      </c>
      <c r="U195" s="125">
        <f>IF(H$2=VLOOKUP(A195,Journal!$A$7:$G$70,7),VLOOKUP(A195,Journal!$A$7:M$70,9),0)</f>
        <v>0</v>
      </c>
      <c r="V195" s="125">
        <f t="shared" si="19"/>
        <v>40</v>
      </c>
      <c r="X195">
        <f t="shared" si="16"/>
        <v>0</v>
      </c>
      <c r="Y195" s="143">
        <f t="shared" si="15"/>
        <v>-995.13157894737617</v>
      </c>
    </row>
    <row r="196" spans="1:25" x14ac:dyDescent="0.25">
      <c r="A196">
        <f t="shared" si="20"/>
        <v>189</v>
      </c>
      <c r="B196" s="88" t="str">
        <f>IF(OR(B195="Total",B195=""),"",IF(VLOOKUP(A196,Journal!$B$7:$E$84,4)=0,"Total",VLOOKUP(A196,Journal!$B$7:$D$84,3)))</f>
        <v/>
      </c>
      <c r="C196" s="86" t="str">
        <f>IF(B196="","",VLOOKUP(A196,Journal!$B$7:$E$84,4))</f>
        <v/>
      </c>
      <c r="D196" s="114" t="str">
        <f>IF(B196="","",VLOOKUP(A196,Journal!$B$7:$J$84,9))</f>
        <v/>
      </c>
      <c r="E196" s="116"/>
      <c r="F196" s="116"/>
      <c r="G196" s="115"/>
      <c r="H196" s="84" t="str">
        <f>IF(B196="","",VLOOKUP(A196,Journal!$B$7:$L$84,11))</f>
        <v/>
      </c>
      <c r="I196" s="84" t="str">
        <f>IF(B196="","",VLOOKUP(A196,Journal!$B$7:$M$84,12))</f>
        <v/>
      </c>
      <c r="J196" s="105">
        <f>IF(B196="Total",SUM(J$8:J195)+0.0001,IF(OR(B196="",I$2=I196),0,VLOOKUP(A196,Journal!$B$7:M$84,8)))</f>
        <v>0</v>
      </c>
      <c r="K196" s="102">
        <f>IF(B196="Total",SUM(K$8:K195)+0.0001,IF(OR(B196="",J196&lt;&gt;0),0,VLOOKUP(A196,Journal!$B$7:M$84,8)))</f>
        <v>0</v>
      </c>
      <c r="L196" s="87">
        <f t="shared" si="14"/>
        <v>0</v>
      </c>
      <c r="P196">
        <f t="shared" si="17"/>
        <v>1.0000000000000001E-5</v>
      </c>
      <c r="R196" s="15">
        <f t="shared" si="18"/>
        <v>189</v>
      </c>
      <c r="S196" s="126">
        <f>IF(VLOOKUP(A196,Journal!$A$7:$E$70,5)=0,S195+1,VLOOKUP(A196,Journal!$A$7:$E$70,5))</f>
        <v>45846</v>
      </c>
      <c r="T196" s="125">
        <f>IF(H$2=VLOOKUP(A196,Journal!$A$7:$F$70,6),VLOOKUP(A196,Journal!$A$7:M$70,9),0)</f>
        <v>0</v>
      </c>
      <c r="U196" s="125">
        <f>IF(H$2=VLOOKUP(A196,Journal!$A$7:$G$70,7),VLOOKUP(A196,Journal!$A$7:M$70,9),0)</f>
        <v>0</v>
      </c>
      <c r="V196" s="125">
        <f t="shared" si="19"/>
        <v>40</v>
      </c>
      <c r="X196">
        <f t="shared" si="16"/>
        <v>0</v>
      </c>
      <c r="Y196" s="143">
        <f t="shared" si="15"/>
        <v>-995.10526315790253</v>
      </c>
    </row>
    <row r="197" spans="1:25" x14ac:dyDescent="0.25">
      <c r="A197">
        <f t="shared" si="20"/>
        <v>190</v>
      </c>
      <c r="B197" s="88" t="str">
        <f>IF(OR(B196="Total",B196=""),"",IF(VLOOKUP(A197,Journal!$B$7:$E$84,4)=0,"Total",VLOOKUP(A197,Journal!$B$7:$D$84,3)))</f>
        <v/>
      </c>
      <c r="C197" s="86" t="str">
        <f>IF(B197="","",VLOOKUP(A197,Journal!$B$7:$E$84,4))</f>
        <v/>
      </c>
      <c r="D197" s="114" t="str">
        <f>IF(B197="","",VLOOKUP(A197,Journal!$B$7:$J$84,9))</f>
        <v/>
      </c>
      <c r="E197" s="116"/>
      <c r="F197" s="116"/>
      <c r="G197" s="115"/>
      <c r="H197" s="84" t="str">
        <f>IF(B197="","",VLOOKUP(A197,Journal!$B$7:$L$84,11))</f>
        <v/>
      </c>
      <c r="I197" s="84" t="str">
        <f>IF(B197="","",VLOOKUP(A197,Journal!$B$7:$M$84,12))</f>
        <v/>
      </c>
      <c r="J197" s="105">
        <f>IF(B197="Total",SUM(J$8:J196)+0.0001,IF(OR(B197="",I$2=I197),0,VLOOKUP(A197,Journal!$B$7:M$84,8)))</f>
        <v>0</v>
      </c>
      <c r="K197" s="102">
        <f>IF(B197="Total",SUM(K$8:K196)+0.0001,IF(OR(B197="",J197&lt;&gt;0),0,VLOOKUP(A197,Journal!$B$7:M$84,8)))</f>
        <v>0</v>
      </c>
      <c r="L197" s="87">
        <f t="shared" si="14"/>
        <v>0</v>
      </c>
      <c r="P197">
        <f t="shared" si="17"/>
        <v>1.0000000000000001E-5</v>
      </c>
      <c r="R197" s="15">
        <f t="shared" si="18"/>
        <v>190</v>
      </c>
      <c r="S197" s="126">
        <f>IF(VLOOKUP(A197,Journal!$A$7:$E$70,5)=0,S196+1,VLOOKUP(A197,Journal!$A$7:$E$70,5))</f>
        <v>45847</v>
      </c>
      <c r="T197" s="125">
        <f>IF(H$2=VLOOKUP(A197,Journal!$A$7:$F$70,6),VLOOKUP(A197,Journal!$A$7:M$70,9),0)</f>
        <v>0</v>
      </c>
      <c r="U197" s="125">
        <f>IF(H$2=VLOOKUP(A197,Journal!$A$7:$G$70,7),VLOOKUP(A197,Journal!$A$7:M$70,9),0)</f>
        <v>0</v>
      </c>
      <c r="V197" s="125">
        <f t="shared" si="19"/>
        <v>40</v>
      </c>
      <c r="X197">
        <f t="shared" si="16"/>
        <v>0</v>
      </c>
      <c r="Y197" s="143">
        <f t="shared" si="15"/>
        <v>-995.07894736842889</v>
      </c>
    </row>
    <row r="198" spans="1:25" x14ac:dyDescent="0.25">
      <c r="A198">
        <f t="shared" si="20"/>
        <v>191</v>
      </c>
      <c r="B198" s="88" t="str">
        <f>IF(OR(B197="Total",B197=""),"",IF(VLOOKUP(A198,Journal!$B$7:$E$84,4)=0,"Total",VLOOKUP(A198,Journal!$B$7:$D$84,3)))</f>
        <v/>
      </c>
      <c r="C198" s="86" t="str">
        <f>IF(B198="","",VLOOKUP(A198,Journal!$B$7:$E$84,4))</f>
        <v/>
      </c>
      <c r="D198" s="114" t="str">
        <f>IF(B198="","",VLOOKUP(A198,Journal!$B$7:$J$84,9))</f>
        <v/>
      </c>
      <c r="E198" s="116"/>
      <c r="F198" s="116"/>
      <c r="G198" s="115"/>
      <c r="H198" s="84" t="str">
        <f>IF(B198="","",VLOOKUP(A198,Journal!$B$7:$L$84,11))</f>
        <v/>
      </c>
      <c r="I198" s="84" t="str">
        <f>IF(B198="","",VLOOKUP(A198,Journal!$B$7:$M$84,12))</f>
        <v/>
      </c>
      <c r="J198" s="105">
        <f>IF(B198="Total",SUM(J$8:J197)+0.0001,IF(OR(B198="",I$2=I198),0,VLOOKUP(A198,Journal!$B$7:M$84,8)))</f>
        <v>0</v>
      </c>
      <c r="K198" s="102">
        <f>IF(B198="Total",SUM(K$8:K197)+0.0001,IF(OR(B198="",J198&lt;&gt;0),0,VLOOKUP(A198,Journal!$B$7:M$84,8)))</f>
        <v>0</v>
      </c>
      <c r="L198" s="87">
        <f t="shared" si="14"/>
        <v>0</v>
      </c>
      <c r="P198">
        <f t="shared" si="17"/>
        <v>1.0000000000000001E-5</v>
      </c>
      <c r="R198" s="15">
        <f t="shared" si="18"/>
        <v>191</v>
      </c>
      <c r="S198" s="126">
        <f>IF(VLOOKUP(A198,Journal!$A$7:$E$70,5)=0,S197+1,VLOOKUP(A198,Journal!$A$7:$E$70,5))</f>
        <v>45848</v>
      </c>
      <c r="T198" s="125">
        <f>IF(H$2=VLOOKUP(A198,Journal!$A$7:$F$70,6),VLOOKUP(A198,Journal!$A$7:M$70,9),0)</f>
        <v>0</v>
      </c>
      <c r="U198" s="125">
        <f>IF(H$2=VLOOKUP(A198,Journal!$A$7:$G$70,7),VLOOKUP(A198,Journal!$A$7:M$70,9),0)</f>
        <v>0</v>
      </c>
      <c r="V198" s="125">
        <f t="shared" si="19"/>
        <v>40</v>
      </c>
      <c r="X198">
        <f t="shared" si="16"/>
        <v>0</v>
      </c>
      <c r="Y198" s="143">
        <f t="shared" si="15"/>
        <v>-995.05263157895524</v>
      </c>
    </row>
    <row r="199" spans="1:25" x14ac:dyDescent="0.25">
      <c r="A199">
        <f t="shared" si="20"/>
        <v>192</v>
      </c>
      <c r="B199" s="88" t="str">
        <f>IF(OR(B198="Total",B198=""),"",IF(VLOOKUP(A199,Journal!$B$7:$E$84,4)=0,"Total",VLOOKUP(A199,Journal!$B$7:$D$84,3)))</f>
        <v/>
      </c>
      <c r="C199" s="86" t="str">
        <f>IF(B199="","",VLOOKUP(A199,Journal!$B$7:$E$84,4))</f>
        <v/>
      </c>
      <c r="D199" s="114" t="str">
        <f>IF(B199="","",VLOOKUP(A199,Journal!$B$7:$J$84,9))</f>
        <v/>
      </c>
      <c r="E199" s="116"/>
      <c r="F199" s="116"/>
      <c r="G199" s="115"/>
      <c r="H199" s="84" t="str">
        <f>IF(B199="","",VLOOKUP(A199,Journal!$B$7:$L$84,11))</f>
        <v/>
      </c>
      <c r="I199" s="84" t="str">
        <f>IF(B199="","",VLOOKUP(A199,Journal!$B$7:$M$84,12))</f>
        <v/>
      </c>
      <c r="J199" s="105">
        <f>IF(B199="Total",SUM(J$8:J198)+0.0001,IF(OR(B199="",I$2=I199),0,VLOOKUP(A199,Journal!$B$7:M$84,8)))</f>
        <v>0</v>
      </c>
      <c r="K199" s="102">
        <f>IF(B199="Total",SUM(K$8:K198)+0.0001,IF(OR(B199="",J199&lt;&gt;0),0,VLOOKUP(A199,Journal!$B$7:M$84,8)))</f>
        <v>0</v>
      </c>
      <c r="L199" s="87">
        <f t="shared" si="14"/>
        <v>0</v>
      </c>
      <c r="P199">
        <f t="shared" si="17"/>
        <v>1.0000000000000001E-5</v>
      </c>
      <c r="R199" s="15">
        <f t="shared" si="18"/>
        <v>192</v>
      </c>
      <c r="S199" s="126">
        <f>IF(VLOOKUP(A199,Journal!$A$7:$E$70,5)=0,S198+1,VLOOKUP(A199,Journal!$A$7:$E$70,5))</f>
        <v>45849</v>
      </c>
      <c r="T199" s="125">
        <f>IF(H$2=VLOOKUP(A199,Journal!$A$7:$F$70,6),VLOOKUP(A199,Journal!$A$7:M$70,9),0)</f>
        <v>0</v>
      </c>
      <c r="U199" s="125">
        <f>IF(H$2=VLOOKUP(A199,Journal!$A$7:$G$70,7),VLOOKUP(A199,Journal!$A$7:M$70,9),0)</f>
        <v>0</v>
      </c>
      <c r="V199" s="125">
        <f t="shared" si="19"/>
        <v>40</v>
      </c>
      <c r="X199">
        <f t="shared" si="16"/>
        <v>0</v>
      </c>
      <c r="Y199" s="143">
        <f t="shared" si="15"/>
        <v>-995.0263157894816</v>
      </c>
    </row>
    <row r="200" spans="1:25" x14ac:dyDescent="0.25">
      <c r="A200">
        <f t="shared" si="20"/>
        <v>193</v>
      </c>
      <c r="B200" s="88" t="str">
        <f>IF(OR(B199="Total",B199=""),"",IF(VLOOKUP(A200,Journal!$B$7:$E$84,4)=0,"Total",VLOOKUP(A200,Journal!$B$7:$D$84,3)))</f>
        <v/>
      </c>
      <c r="C200" s="86" t="str">
        <f>IF(B200="","",VLOOKUP(A200,Journal!$B$7:$E$84,4))</f>
        <v/>
      </c>
      <c r="D200" s="114" t="str">
        <f>IF(B200="","",VLOOKUP(A200,Journal!$B$7:$J$84,9))</f>
        <v/>
      </c>
      <c r="E200" s="116"/>
      <c r="F200" s="116"/>
      <c r="G200" s="115"/>
      <c r="H200" s="84" t="str">
        <f>IF(B200="","",VLOOKUP(A200,Journal!$B$7:$L$84,11))</f>
        <v/>
      </c>
      <c r="I200" s="84" t="str">
        <f>IF(B200="","",VLOOKUP(A200,Journal!$B$7:$M$84,12))</f>
        <v/>
      </c>
      <c r="J200" s="105">
        <f>IF(B200="Total",SUM(J$8:J199)+0.0001,IF(OR(B200="",I$2=I200),0,VLOOKUP(A200,Journal!$B$7:M$84,8)))</f>
        <v>0</v>
      </c>
      <c r="K200" s="102">
        <f>IF(B200="Total",SUM(K$8:K199)+0.0001,IF(OR(B200="",J200&lt;&gt;0),0,VLOOKUP(A200,Journal!$B$7:M$84,8)))</f>
        <v>0</v>
      </c>
      <c r="L200" s="87">
        <f t="shared" ref="L200:L263" si="21">IF(B200="Total",L199,IF(B200="",0,IF($M$1=1,L199+J200-K200,L199-J200+K200)))</f>
        <v>0</v>
      </c>
      <c r="P200">
        <f t="shared" si="17"/>
        <v>1.0000000000000001E-5</v>
      </c>
      <c r="R200" s="15">
        <f t="shared" si="18"/>
        <v>193</v>
      </c>
      <c r="S200" s="126">
        <f>IF(VLOOKUP(A200,Journal!$A$7:$E$70,5)=0,S199+1,VLOOKUP(A200,Journal!$A$7:$E$70,5))</f>
        <v>45850</v>
      </c>
      <c r="T200" s="125">
        <f>IF(H$2=VLOOKUP(A200,Journal!$A$7:$F$70,6),VLOOKUP(A200,Journal!$A$7:M$70,9),0)</f>
        <v>0</v>
      </c>
      <c r="U200" s="125">
        <f>IF(H$2=VLOOKUP(A200,Journal!$A$7:$G$70,7),VLOOKUP(A200,Journal!$A$7:M$70,9),0)</f>
        <v>0</v>
      </c>
      <c r="V200" s="125">
        <f t="shared" si="19"/>
        <v>40</v>
      </c>
      <c r="X200">
        <f t="shared" si="16"/>
        <v>0</v>
      </c>
      <c r="Y200" s="143">
        <f t="shared" ref="Y200:Y263" si="22">IF(B199="Total",-1000,Y199+Y$4)</f>
        <v>-995.00000000000796</v>
      </c>
    </row>
    <row r="201" spans="1:25" x14ac:dyDescent="0.25">
      <c r="A201">
        <f t="shared" si="20"/>
        <v>194</v>
      </c>
      <c r="B201" s="88" t="str">
        <f>IF(OR(B200="Total",B200=""),"",IF(VLOOKUP(A201,Journal!$B$7:$E$84,4)=0,"Total",VLOOKUP(A201,Journal!$B$7:$D$84,3)))</f>
        <v/>
      </c>
      <c r="C201" s="86" t="str">
        <f>IF(B201="","",VLOOKUP(A201,Journal!$B$7:$E$84,4))</f>
        <v/>
      </c>
      <c r="D201" s="114" t="str">
        <f>IF(B201="","",VLOOKUP(A201,Journal!$B$7:$J$84,9))</f>
        <v/>
      </c>
      <c r="E201" s="116"/>
      <c r="F201" s="116"/>
      <c r="G201" s="115"/>
      <c r="H201" s="84" t="str">
        <f>IF(B201="","",VLOOKUP(A201,Journal!$B$7:$L$84,11))</f>
        <v/>
      </c>
      <c r="I201" s="84" t="str">
        <f>IF(B201="","",VLOOKUP(A201,Journal!$B$7:$M$84,12))</f>
        <v/>
      </c>
      <c r="J201" s="105">
        <f>IF(B201="Total",SUM(J$8:J200)+0.0001,IF(OR(B201="",I$2=I201),0,VLOOKUP(A201,Journal!$B$7:M$84,8)))</f>
        <v>0</v>
      </c>
      <c r="K201" s="102">
        <f>IF(B201="Total",SUM(K$8:K200)+0.0001,IF(OR(B201="",J201&lt;&gt;0),0,VLOOKUP(A201,Journal!$B$7:M$84,8)))</f>
        <v>0</v>
      </c>
      <c r="L201" s="87">
        <f t="shared" si="21"/>
        <v>0</v>
      </c>
      <c r="P201">
        <f t="shared" si="17"/>
        <v>1.0000000000000001E-5</v>
      </c>
      <c r="R201" s="15">
        <f t="shared" si="18"/>
        <v>194</v>
      </c>
      <c r="S201" s="126">
        <f>IF(VLOOKUP(A201,Journal!$A$7:$E$70,5)=0,S200+1,VLOOKUP(A201,Journal!$A$7:$E$70,5))</f>
        <v>45851</v>
      </c>
      <c r="T201" s="125">
        <f>IF(H$2=VLOOKUP(A201,Journal!$A$7:$F$70,6),VLOOKUP(A201,Journal!$A$7:M$70,9),0)</f>
        <v>0</v>
      </c>
      <c r="U201" s="125">
        <f>IF(H$2=VLOOKUP(A201,Journal!$A$7:$G$70,7),VLOOKUP(A201,Journal!$A$7:M$70,9),0)</f>
        <v>0</v>
      </c>
      <c r="V201" s="125">
        <f t="shared" si="19"/>
        <v>40</v>
      </c>
      <c r="X201">
        <f t="shared" ref="X201:X264" si="23">IF(J$2&gt;S201,1,0)</f>
        <v>0</v>
      </c>
      <c r="Y201" s="143">
        <f t="shared" si="22"/>
        <v>-994.97368421053432</v>
      </c>
    </row>
    <row r="202" spans="1:25" x14ac:dyDescent="0.25">
      <c r="A202">
        <f t="shared" si="20"/>
        <v>195</v>
      </c>
      <c r="B202" s="88" t="str">
        <f>IF(OR(B201="Total",B201=""),"",IF(VLOOKUP(A202,Journal!$B$7:$E$84,4)=0,"Total",VLOOKUP(A202,Journal!$B$7:$D$84,3)))</f>
        <v/>
      </c>
      <c r="C202" s="86" t="str">
        <f>IF(B202="","",VLOOKUP(A202,Journal!$B$7:$E$84,4))</f>
        <v/>
      </c>
      <c r="D202" s="114" t="str">
        <f>IF(B202="","",VLOOKUP(A202,Journal!$B$7:$J$84,9))</f>
        <v/>
      </c>
      <c r="E202" s="116"/>
      <c r="F202" s="116"/>
      <c r="G202" s="115"/>
      <c r="H202" s="84" t="str">
        <f>IF(B202="","",VLOOKUP(A202,Journal!$B$7:$L$84,11))</f>
        <v/>
      </c>
      <c r="I202" s="84" t="str">
        <f>IF(B202="","",VLOOKUP(A202,Journal!$B$7:$M$84,12))</f>
        <v/>
      </c>
      <c r="J202" s="105">
        <f>IF(B202="Total",SUM(J$8:J201)+0.0001,IF(OR(B202="",I$2=I202),0,VLOOKUP(A202,Journal!$B$7:M$84,8)))</f>
        <v>0</v>
      </c>
      <c r="K202" s="102">
        <f>IF(B202="Total",SUM(K$8:K201)+0.0001,IF(OR(B202="",J202&lt;&gt;0),0,VLOOKUP(A202,Journal!$B$7:M$84,8)))</f>
        <v>0</v>
      </c>
      <c r="L202" s="87">
        <f t="shared" si="21"/>
        <v>0</v>
      </c>
      <c r="P202">
        <f t="shared" ref="P202:P265" si="24">IF(L201=L202,L201+0.00001,L202)</f>
        <v>1.0000000000000001E-5</v>
      </c>
      <c r="R202" s="15">
        <f t="shared" ref="R202:R265" si="25">R201+1</f>
        <v>195</v>
      </c>
      <c r="S202" s="126">
        <f>IF(VLOOKUP(A202,Journal!$A$7:$E$70,5)=0,S201+1,VLOOKUP(A202,Journal!$A$7:$E$70,5))</f>
        <v>45852</v>
      </c>
      <c r="T202" s="125">
        <f>IF(H$2=VLOOKUP(A202,Journal!$A$7:$F$70,6),VLOOKUP(A202,Journal!$A$7:M$70,9),0)</f>
        <v>0</v>
      </c>
      <c r="U202" s="125">
        <f>IF(H$2=VLOOKUP(A202,Journal!$A$7:$G$70,7),VLOOKUP(A202,Journal!$A$7:M$70,9),0)</f>
        <v>0</v>
      </c>
      <c r="V202" s="125">
        <f t="shared" ref="V202:V265" si="26">IF($M$1=1,V201+T202-U202,V201-T202+U202)</f>
        <v>40</v>
      </c>
      <c r="X202">
        <f t="shared" si="23"/>
        <v>0</v>
      </c>
      <c r="Y202" s="143">
        <f t="shared" si="22"/>
        <v>-994.94736842106067</v>
      </c>
    </row>
    <row r="203" spans="1:25" x14ac:dyDescent="0.25">
      <c r="A203">
        <f t="shared" ref="A203:A266" si="27">A202+1</f>
        <v>196</v>
      </c>
      <c r="B203" s="88" t="str">
        <f>IF(OR(B202="Total",B202=""),"",IF(VLOOKUP(A203,Journal!$B$7:$E$84,4)=0,"Total",VLOOKUP(A203,Journal!$B$7:$D$84,3)))</f>
        <v/>
      </c>
      <c r="C203" s="86" t="str">
        <f>IF(B203="","",VLOOKUP(A203,Journal!$B$7:$E$84,4))</f>
        <v/>
      </c>
      <c r="D203" s="114" t="str">
        <f>IF(B203="","",VLOOKUP(A203,Journal!$B$7:$J$84,9))</f>
        <v/>
      </c>
      <c r="E203" s="116"/>
      <c r="F203" s="116"/>
      <c r="G203" s="115"/>
      <c r="H203" s="84" t="str">
        <f>IF(B203="","",VLOOKUP(A203,Journal!$B$7:$L$84,11))</f>
        <v/>
      </c>
      <c r="I203" s="84" t="str">
        <f>IF(B203="","",VLOOKUP(A203,Journal!$B$7:$M$84,12))</f>
        <v/>
      </c>
      <c r="J203" s="105">
        <f>IF(B203="Total",SUM(J$8:J202)+0.0001,IF(OR(B203="",I$2=I203),0,VLOOKUP(A203,Journal!$B$7:M$84,8)))</f>
        <v>0</v>
      </c>
      <c r="K203" s="102">
        <f>IF(B203="Total",SUM(K$8:K202)+0.0001,IF(OR(B203="",J203&lt;&gt;0),0,VLOOKUP(A203,Journal!$B$7:M$84,8)))</f>
        <v>0</v>
      </c>
      <c r="L203" s="87">
        <f t="shared" si="21"/>
        <v>0</v>
      </c>
      <c r="P203">
        <f t="shared" si="24"/>
        <v>1.0000000000000001E-5</v>
      </c>
      <c r="R203" s="15">
        <f t="shared" si="25"/>
        <v>196</v>
      </c>
      <c r="S203" s="126">
        <f>IF(VLOOKUP(A203,Journal!$A$7:$E$70,5)=0,S202+1,VLOOKUP(A203,Journal!$A$7:$E$70,5))</f>
        <v>45853</v>
      </c>
      <c r="T203" s="125">
        <f>IF(H$2=VLOOKUP(A203,Journal!$A$7:$F$70,6),VLOOKUP(A203,Journal!$A$7:M$70,9),0)</f>
        <v>0</v>
      </c>
      <c r="U203" s="125">
        <f>IF(H$2=VLOOKUP(A203,Journal!$A$7:$G$70,7),VLOOKUP(A203,Journal!$A$7:M$70,9),0)</f>
        <v>0</v>
      </c>
      <c r="V203" s="125">
        <f t="shared" si="26"/>
        <v>40</v>
      </c>
      <c r="X203">
        <f t="shared" si="23"/>
        <v>0</v>
      </c>
      <c r="Y203" s="143">
        <f t="shared" si="22"/>
        <v>-994.92105263158703</v>
      </c>
    </row>
    <row r="204" spans="1:25" x14ac:dyDescent="0.25">
      <c r="A204">
        <f t="shared" si="27"/>
        <v>197</v>
      </c>
      <c r="B204" s="88" t="str">
        <f>IF(OR(B203="Total",B203=""),"",IF(VLOOKUP(A204,Journal!$B$7:$E$84,4)=0,"Total",VLOOKUP(A204,Journal!$B$7:$D$84,3)))</f>
        <v/>
      </c>
      <c r="C204" s="86" t="str">
        <f>IF(B204="","",VLOOKUP(A204,Journal!$B$7:$E$84,4))</f>
        <v/>
      </c>
      <c r="D204" s="114" t="str">
        <f>IF(B204="","",VLOOKUP(A204,Journal!$B$7:$J$84,9))</f>
        <v/>
      </c>
      <c r="E204" s="116"/>
      <c r="F204" s="116"/>
      <c r="G204" s="115"/>
      <c r="H204" s="84" t="str">
        <f>IF(B204="","",VLOOKUP(A204,Journal!$B$7:$L$84,11))</f>
        <v/>
      </c>
      <c r="I204" s="84" t="str">
        <f>IF(B204="","",VLOOKUP(A204,Journal!$B$7:$M$84,12))</f>
        <v/>
      </c>
      <c r="J204" s="105">
        <f>IF(B204="Total",SUM(J$8:J203)+0.0001,IF(OR(B204="",I$2=I204),0,VLOOKUP(A204,Journal!$B$7:M$84,8)))</f>
        <v>0</v>
      </c>
      <c r="K204" s="102">
        <f>IF(B204="Total",SUM(K$8:K203)+0.0001,IF(OR(B204="",J204&lt;&gt;0),0,VLOOKUP(A204,Journal!$B$7:M$84,8)))</f>
        <v>0</v>
      </c>
      <c r="L204" s="87">
        <f t="shared" si="21"/>
        <v>0</v>
      </c>
      <c r="P204">
        <f t="shared" si="24"/>
        <v>1.0000000000000001E-5</v>
      </c>
      <c r="R204" s="15">
        <f t="shared" si="25"/>
        <v>197</v>
      </c>
      <c r="S204" s="126">
        <f>IF(VLOOKUP(A204,Journal!$A$7:$E$70,5)=0,S203+1,VLOOKUP(A204,Journal!$A$7:$E$70,5))</f>
        <v>45854</v>
      </c>
      <c r="T204" s="125">
        <f>IF(H$2=VLOOKUP(A204,Journal!$A$7:$F$70,6),VLOOKUP(A204,Journal!$A$7:M$70,9),0)</f>
        <v>0</v>
      </c>
      <c r="U204" s="125">
        <f>IF(H$2=VLOOKUP(A204,Journal!$A$7:$G$70,7),VLOOKUP(A204,Journal!$A$7:M$70,9),0)</f>
        <v>0</v>
      </c>
      <c r="V204" s="125">
        <f t="shared" si="26"/>
        <v>40</v>
      </c>
      <c r="X204">
        <f t="shared" si="23"/>
        <v>0</v>
      </c>
      <c r="Y204" s="143">
        <f t="shared" si="22"/>
        <v>-994.89473684211339</v>
      </c>
    </row>
    <row r="205" spans="1:25" x14ac:dyDescent="0.25">
      <c r="A205">
        <f t="shared" si="27"/>
        <v>198</v>
      </c>
      <c r="B205" s="88" t="str">
        <f>IF(OR(B204="Total",B204=""),"",IF(VLOOKUP(A205,Journal!$B$7:$E$84,4)=0,"Total",VLOOKUP(A205,Journal!$B$7:$D$84,3)))</f>
        <v/>
      </c>
      <c r="C205" s="86" t="str">
        <f>IF(B205="","",VLOOKUP(A205,Journal!$B$7:$E$84,4))</f>
        <v/>
      </c>
      <c r="D205" s="114" t="str">
        <f>IF(B205="","",VLOOKUP(A205,Journal!$B$7:$J$84,9))</f>
        <v/>
      </c>
      <c r="E205" s="116"/>
      <c r="F205" s="116"/>
      <c r="G205" s="115"/>
      <c r="H205" s="84" t="str">
        <f>IF(B205="","",VLOOKUP(A205,Journal!$B$7:$L$84,11))</f>
        <v/>
      </c>
      <c r="I205" s="84" t="str">
        <f>IF(B205="","",VLOOKUP(A205,Journal!$B$7:$M$84,12))</f>
        <v/>
      </c>
      <c r="J205" s="105">
        <f>IF(B205="Total",SUM(J$8:J204)+0.0001,IF(OR(B205="",I$2=I205),0,VLOOKUP(A205,Journal!$B$7:M$84,8)))</f>
        <v>0</v>
      </c>
      <c r="K205" s="102">
        <f>IF(B205="Total",SUM(K$8:K204)+0.0001,IF(OR(B205="",J205&lt;&gt;0),0,VLOOKUP(A205,Journal!$B$7:M$84,8)))</f>
        <v>0</v>
      </c>
      <c r="L205" s="87">
        <f t="shared" si="21"/>
        <v>0</v>
      </c>
      <c r="P205">
        <f t="shared" si="24"/>
        <v>1.0000000000000001E-5</v>
      </c>
      <c r="R205" s="15">
        <f t="shared" si="25"/>
        <v>198</v>
      </c>
      <c r="S205" s="126">
        <f>IF(VLOOKUP(A205,Journal!$A$7:$E$70,5)=0,S204+1,VLOOKUP(A205,Journal!$A$7:$E$70,5))</f>
        <v>45855</v>
      </c>
      <c r="T205" s="125">
        <f>IF(H$2=VLOOKUP(A205,Journal!$A$7:$F$70,6),VLOOKUP(A205,Journal!$A$7:M$70,9),0)</f>
        <v>0</v>
      </c>
      <c r="U205" s="125">
        <f>IF(H$2=VLOOKUP(A205,Journal!$A$7:$G$70,7),VLOOKUP(A205,Journal!$A$7:M$70,9),0)</f>
        <v>0</v>
      </c>
      <c r="V205" s="125">
        <f t="shared" si="26"/>
        <v>40</v>
      </c>
      <c r="X205">
        <f t="shared" si="23"/>
        <v>0</v>
      </c>
      <c r="Y205" s="143">
        <f t="shared" si="22"/>
        <v>-994.86842105263975</v>
      </c>
    </row>
    <row r="206" spans="1:25" x14ac:dyDescent="0.25">
      <c r="A206">
        <f t="shared" si="27"/>
        <v>199</v>
      </c>
      <c r="B206" s="88" t="str">
        <f>IF(OR(B205="Total",B205=""),"",IF(VLOOKUP(A206,Journal!$B$7:$E$84,4)=0,"Total",VLOOKUP(A206,Journal!$B$7:$D$84,3)))</f>
        <v/>
      </c>
      <c r="C206" s="86" t="str">
        <f>IF(B206="","",VLOOKUP(A206,Journal!$B$7:$E$84,4))</f>
        <v/>
      </c>
      <c r="D206" s="114" t="str">
        <f>IF(B206="","",VLOOKUP(A206,Journal!$B$7:$J$84,9))</f>
        <v/>
      </c>
      <c r="E206" s="116"/>
      <c r="F206" s="116"/>
      <c r="G206" s="115"/>
      <c r="H206" s="84" t="str">
        <f>IF(B206="","",VLOOKUP(A206,Journal!$B$7:$L$84,11))</f>
        <v/>
      </c>
      <c r="I206" s="84" t="str">
        <f>IF(B206="","",VLOOKUP(A206,Journal!$B$7:$M$84,12))</f>
        <v/>
      </c>
      <c r="J206" s="105">
        <f>IF(B206="Total",SUM(J$8:J205)+0.0001,IF(OR(B206="",I$2=I206),0,VLOOKUP(A206,Journal!$B$7:M$84,8)))</f>
        <v>0</v>
      </c>
      <c r="K206" s="102">
        <f>IF(B206="Total",SUM(K$8:K205)+0.0001,IF(OR(B206="",J206&lt;&gt;0),0,VLOOKUP(A206,Journal!$B$7:M$84,8)))</f>
        <v>0</v>
      </c>
      <c r="L206" s="87">
        <f t="shared" si="21"/>
        <v>0</v>
      </c>
      <c r="P206">
        <f t="shared" si="24"/>
        <v>1.0000000000000001E-5</v>
      </c>
      <c r="R206" s="15">
        <f t="shared" si="25"/>
        <v>199</v>
      </c>
      <c r="S206" s="126">
        <f>IF(VLOOKUP(A206,Journal!$A$7:$E$70,5)=0,S205+1,VLOOKUP(A206,Journal!$A$7:$E$70,5))</f>
        <v>45856</v>
      </c>
      <c r="T206" s="125">
        <f>IF(H$2=VLOOKUP(A206,Journal!$A$7:$F$70,6),VLOOKUP(A206,Journal!$A$7:M$70,9),0)</f>
        <v>0</v>
      </c>
      <c r="U206" s="125">
        <f>IF(H$2=VLOOKUP(A206,Journal!$A$7:$G$70,7),VLOOKUP(A206,Journal!$A$7:M$70,9),0)</f>
        <v>0</v>
      </c>
      <c r="V206" s="125">
        <f t="shared" si="26"/>
        <v>40</v>
      </c>
      <c r="X206">
        <f t="shared" si="23"/>
        <v>0</v>
      </c>
      <c r="Y206" s="143">
        <f t="shared" si="22"/>
        <v>-994.8421052631661</v>
      </c>
    </row>
    <row r="207" spans="1:25" x14ac:dyDescent="0.25">
      <c r="A207">
        <f t="shared" si="27"/>
        <v>200</v>
      </c>
      <c r="B207" s="88" t="str">
        <f>IF(OR(B206="Total",B206=""),"",IF(VLOOKUP(A207,Journal!$B$7:$E$84,4)=0,"Total",VLOOKUP(A207,Journal!$B$7:$D$84,3)))</f>
        <v/>
      </c>
      <c r="C207" s="86" t="str">
        <f>IF(B207="","",VLOOKUP(A207,Journal!$B$7:$E$84,4))</f>
        <v/>
      </c>
      <c r="D207" s="114" t="str">
        <f>IF(B207="","",VLOOKUP(A207,Journal!$B$7:$J$84,9))</f>
        <v/>
      </c>
      <c r="E207" s="116"/>
      <c r="F207" s="116"/>
      <c r="G207" s="115"/>
      <c r="H207" s="84" t="str">
        <f>IF(B207="","",VLOOKUP(A207,Journal!$B$7:$L$84,11))</f>
        <v/>
      </c>
      <c r="I207" s="84" t="str">
        <f>IF(B207="","",VLOOKUP(A207,Journal!$B$7:$M$84,12))</f>
        <v/>
      </c>
      <c r="J207" s="105">
        <f>IF(B207="Total",SUM(J$8:J206)+0.0001,IF(OR(B207="",I$2=I207),0,VLOOKUP(A207,Journal!$B$7:M$84,8)))</f>
        <v>0</v>
      </c>
      <c r="K207" s="102">
        <f>IF(B207="Total",SUM(K$8:K206)+0.0001,IF(OR(B207="",J207&lt;&gt;0),0,VLOOKUP(A207,Journal!$B$7:M$84,8)))</f>
        <v>0</v>
      </c>
      <c r="L207" s="87">
        <f t="shared" si="21"/>
        <v>0</v>
      </c>
      <c r="P207">
        <f t="shared" si="24"/>
        <v>1.0000000000000001E-5</v>
      </c>
      <c r="R207" s="15">
        <f t="shared" si="25"/>
        <v>200</v>
      </c>
      <c r="S207" s="126">
        <f>IF(VLOOKUP(A207,Journal!$A$7:$E$70,5)=0,S206+1,VLOOKUP(A207,Journal!$A$7:$E$70,5))</f>
        <v>45857</v>
      </c>
      <c r="T207" s="125">
        <f>IF(H$2=VLOOKUP(A207,Journal!$A$7:$F$70,6),VLOOKUP(A207,Journal!$A$7:M$70,9),0)</f>
        <v>0</v>
      </c>
      <c r="U207" s="125">
        <f>IF(H$2=VLOOKUP(A207,Journal!$A$7:$G$70,7),VLOOKUP(A207,Journal!$A$7:M$70,9),0)</f>
        <v>0</v>
      </c>
      <c r="V207" s="125">
        <f t="shared" si="26"/>
        <v>40</v>
      </c>
      <c r="X207">
        <f t="shared" si="23"/>
        <v>0</v>
      </c>
      <c r="Y207" s="143">
        <f t="shared" si="22"/>
        <v>-994.81578947369246</v>
      </c>
    </row>
    <row r="208" spans="1:25" x14ac:dyDescent="0.25">
      <c r="A208">
        <f t="shared" si="27"/>
        <v>201</v>
      </c>
      <c r="B208" s="88" t="str">
        <f>IF(OR(B207="Total",B207=""),"",IF(VLOOKUP(A208,Journal!$B$7:$E$84,4)=0,"Total",VLOOKUP(A208,Journal!$B$7:$D$84,3)))</f>
        <v/>
      </c>
      <c r="C208" s="86" t="str">
        <f>IF(B208="","",VLOOKUP(A208,Journal!$B$7:$E$84,4))</f>
        <v/>
      </c>
      <c r="D208" s="114" t="str">
        <f>IF(B208="","",VLOOKUP(A208,Journal!$B$7:$J$84,9))</f>
        <v/>
      </c>
      <c r="E208" s="116"/>
      <c r="F208" s="116"/>
      <c r="G208" s="115"/>
      <c r="H208" s="84" t="str">
        <f>IF(B208="","",VLOOKUP(A208,Journal!$B$7:$L$84,11))</f>
        <v/>
      </c>
      <c r="I208" s="84" t="str">
        <f>IF(B208="","",VLOOKUP(A208,Journal!$B$7:$M$84,12))</f>
        <v/>
      </c>
      <c r="J208" s="105">
        <f>IF(B208="Total",SUM(J$8:J207)+0.0001,IF(OR(B208="",I$2=I208),0,VLOOKUP(A208,Journal!$B$7:M$84,8)))</f>
        <v>0</v>
      </c>
      <c r="K208" s="102">
        <f>IF(B208="Total",SUM(K$8:K207)+0.0001,IF(OR(B208="",J208&lt;&gt;0),0,VLOOKUP(A208,Journal!$B$7:M$84,8)))</f>
        <v>0</v>
      </c>
      <c r="L208" s="87">
        <f t="shared" si="21"/>
        <v>0</v>
      </c>
      <c r="P208">
        <f t="shared" si="24"/>
        <v>1.0000000000000001E-5</v>
      </c>
      <c r="R208" s="15">
        <f t="shared" si="25"/>
        <v>201</v>
      </c>
      <c r="S208" s="126">
        <f>IF(VLOOKUP(A208,Journal!$A$7:$E$70,5)=0,S207+1,VLOOKUP(A208,Journal!$A$7:$E$70,5))</f>
        <v>45858</v>
      </c>
      <c r="T208" s="125">
        <f>IF(H$2=VLOOKUP(A208,Journal!$A$7:$F$70,6),VLOOKUP(A208,Journal!$A$7:M$70,9),0)</f>
        <v>0</v>
      </c>
      <c r="U208" s="125">
        <f>IF(H$2=VLOOKUP(A208,Journal!$A$7:$G$70,7),VLOOKUP(A208,Journal!$A$7:M$70,9),0)</f>
        <v>0</v>
      </c>
      <c r="V208" s="125">
        <f t="shared" si="26"/>
        <v>40</v>
      </c>
      <c r="X208">
        <f t="shared" si="23"/>
        <v>0</v>
      </c>
      <c r="Y208" s="143">
        <f t="shared" si="22"/>
        <v>-994.78947368421882</v>
      </c>
    </row>
    <row r="209" spans="1:25" x14ac:dyDescent="0.25">
      <c r="A209">
        <f t="shared" si="27"/>
        <v>202</v>
      </c>
      <c r="B209" s="88" t="str">
        <f>IF(OR(B208="Total",B208=""),"",IF(VLOOKUP(A209,Journal!$B$7:$E$84,4)=0,"Total",VLOOKUP(A209,Journal!$B$7:$D$84,3)))</f>
        <v/>
      </c>
      <c r="C209" s="86" t="str">
        <f>IF(B209="","",VLOOKUP(A209,Journal!$B$7:$E$84,4))</f>
        <v/>
      </c>
      <c r="D209" s="114" t="str">
        <f>IF(B209="","",VLOOKUP(A209,Journal!$B$7:$J$84,9))</f>
        <v/>
      </c>
      <c r="E209" s="116"/>
      <c r="F209" s="116"/>
      <c r="G209" s="115"/>
      <c r="H209" s="84" t="str">
        <f>IF(B209="","",VLOOKUP(A209,Journal!$B$7:$L$84,11))</f>
        <v/>
      </c>
      <c r="I209" s="84" t="str">
        <f>IF(B209="","",VLOOKUP(A209,Journal!$B$7:$M$84,12))</f>
        <v/>
      </c>
      <c r="J209" s="105">
        <f>IF(B209="Total",SUM(J$8:J208)+0.0001,IF(OR(B209="",I$2=I209),0,VLOOKUP(A209,Journal!$B$7:M$84,8)))</f>
        <v>0</v>
      </c>
      <c r="K209" s="102">
        <f>IF(B209="Total",SUM(K$8:K208)+0.0001,IF(OR(B209="",J209&lt;&gt;0),0,VLOOKUP(A209,Journal!$B$7:M$84,8)))</f>
        <v>0</v>
      </c>
      <c r="L209" s="87">
        <f t="shared" si="21"/>
        <v>0</v>
      </c>
      <c r="P209">
        <f t="shared" si="24"/>
        <v>1.0000000000000001E-5</v>
      </c>
      <c r="R209" s="15">
        <f t="shared" si="25"/>
        <v>202</v>
      </c>
      <c r="S209" s="126">
        <f>IF(VLOOKUP(A209,Journal!$A$7:$E$70,5)=0,S208+1,VLOOKUP(A209,Journal!$A$7:$E$70,5))</f>
        <v>45859</v>
      </c>
      <c r="T209" s="125">
        <f>IF(H$2=VLOOKUP(A209,Journal!$A$7:$F$70,6),VLOOKUP(A209,Journal!$A$7:M$70,9),0)</f>
        <v>0</v>
      </c>
      <c r="U209" s="125">
        <f>IF(H$2=VLOOKUP(A209,Journal!$A$7:$G$70,7),VLOOKUP(A209,Journal!$A$7:M$70,9),0)</f>
        <v>0</v>
      </c>
      <c r="V209" s="125">
        <f t="shared" si="26"/>
        <v>40</v>
      </c>
      <c r="X209">
        <f t="shared" si="23"/>
        <v>0</v>
      </c>
      <c r="Y209" s="143">
        <f t="shared" si="22"/>
        <v>-994.76315789474518</v>
      </c>
    </row>
    <row r="210" spans="1:25" x14ac:dyDescent="0.25">
      <c r="A210">
        <f t="shared" si="27"/>
        <v>203</v>
      </c>
      <c r="B210" s="88" t="str">
        <f>IF(OR(B209="Total",B209=""),"",IF(VLOOKUP(A210,Journal!$B$7:$E$84,4)=0,"Total",VLOOKUP(A210,Journal!$B$7:$D$84,3)))</f>
        <v/>
      </c>
      <c r="C210" s="86" t="str">
        <f>IF(B210="","",VLOOKUP(A210,Journal!$B$7:$E$84,4))</f>
        <v/>
      </c>
      <c r="D210" s="114" t="str">
        <f>IF(B210="","",VLOOKUP(A210,Journal!$B$7:$J$84,9))</f>
        <v/>
      </c>
      <c r="E210" s="116"/>
      <c r="F210" s="116"/>
      <c r="G210" s="115"/>
      <c r="H210" s="84" t="str">
        <f>IF(B210="","",VLOOKUP(A210,Journal!$B$7:$L$84,11))</f>
        <v/>
      </c>
      <c r="I210" s="84" t="str">
        <f>IF(B210="","",VLOOKUP(A210,Journal!$B$7:$M$84,12))</f>
        <v/>
      </c>
      <c r="J210" s="105">
        <f>IF(B210="Total",SUM(J$8:J209)+0.0001,IF(OR(B210="",I$2=I210),0,VLOOKUP(A210,Journal!$B$7:M$84,8)))</f>
        <v>0</v>
      </c>
      <c r="K210" s="102">
        <f>IF(B210="Total",SUM(K$8:K209)+0.0001,IF(OR(B210="",J210&lt;&gt;0),0,VLOOKUP(A210,Journal!$B$7:M$84,8)))</f>
        <v>0</v>
      </c>
      <c r="L210" s="87">
        <f t="shared" si="21"/>
        <v>0</v>
      </c>
      <c r="P210">
        <f t="shared" si="24"/>
        <v>1.0000000000000001E-5</v>
      </c>
      <c r="R210" s="15">
        <f t="shared" si="25"/>
        <v>203</v>
      </c>
      <c r="S210" s="126">
        <f>IF(VLOOKUP(A210,Journal!$A$7:$E$70,5)=0,S209+1,VLOOKUP(A210,Journal!$A$7:$E$70,5))</f>
        <v>45860</v>
      </c>
      <c r="T210" s="125">
        <f>IF(H$2=VLOOKUP(A210,Journal!$A$7:$F$70,6),VLOOKUP(A210,Journal!$A$7:M$70,9),0)</f>
        <v>0</v>
      </c>
      <c r="U210" s="125">
        <f>IF(H$2=VLOOKUP(A210,Journal!$A$7:$G$70,7),VLOOKUP(A210,Journal!$A$7:M$70,9),0)</f>
        <v>0</v>
      </c>
      <c r="V210" s="125">
        <f t="shared" si="26"/>
        <v>40</v>
      </c>
      <c r="X210">
        <f t="shared" si="23"/>
        <v>0</v>
      </c>
      <c r="Y210" s="143">
        <f t="shared" si="22"/>
        <v>-994.73684210527153</v>
      </c>
    </row>
    <row r="211" spans="1:25" x14ac:dyDescent="0.25">
      <c r="A211">
        <f t="shared" si="27"/>
        <v>204</v>
      </c>
      <c r="B211" s="88" t="str">
        <f>IF(OR(B210="Total",B210=""),"",IF(VLOOKUP(A211,Journal!$B$7:$E$84,4)=0,"Total",VLOOKUP(A211,Journal!$B$7:$D$84,3)))</f>
        <v/>
      </c>
      <c r="C211" s="86" t="str">
        <f>IF(B211="","",VLOOKUP(A211,Journal!$B$7:$E$84,4))</f>
        <v/>
      </c>
      <c r="D211" s="114" t="str">
        <f>IF(B211="","",VLOOKUP(A211,Journal!$B$7:$J$84,9))</f>
        <v/>
      </c>
      <c r="E211" s="116"/>
      <c r="F211" s="116"/>
      <c r="G211" s="115"/>
      <c r="H211" s="84" t="str">
        <f>IF(B211="","",VLOOKUP(A211,Journal!$B$7:$L$84,11))</f>
        <v/>
      </c>
      <c r="I211" s="84" t="str">
        <f>IF(B211="","",VLOOKUP(A211,Journal!$B$7:$M$84,12))</f>
        <v/>
      </c>
      <c r="J211" s="105">
        <f>IF(B211="Total",SUM(J$8:J210)+0.0001,IF(OR(B211="",I$2=I211),0,VLOOKUP(A211,Journal!$B$7:M$84,8)))</f>
        <v>0</v>
      </c>
      <c r="K211" s="102">
        <f>IF(B211="Total",SUM(K$8:K210)+0.0001,IF(OR(B211="",J211&lt;&gt;0),0,VLOOKUP(A211,Journal!$B$7:M$84,8)))</f>
        <v>0</v>
      </c>
      <c r="L211" s="87">
        <f t="shared" si="21"/>
        <v>0</v>
      </c>
      <c r="P211">
        <f t="shared" si="24"/>
        <v>1.0000000000000001E-5</v>
      </c>
      <c r="R211" s="15">
        <f t="shared" si="25"/>
        <v>204</v>
      </c>
      <c r="S211" s="126">
        <f>IF(VLOOKUP(A211,Journal!$A$7:$E$70,5)=0,S210+1,VLOOKUP(A211,Journal!$A$7:$E$70,5))</f>
        <v>45861</v>
      </c>
      <c r="T211" s="125">
        <f>IF(H$2=VLOOKUP(A211,Journal!$A$7:$F$70,6),VLOOKUP(A211,Journal!$A$7:M$70,9),0)</f>
        <v>0</v>
      </c>
      <c r="U211" s="125">
        <f>IF(H$2=VLOOKUP(A211,Journal!$A$7:$G$70,7),VLOOKUP(A211,Journal!$A$7:M$70,9),0)</f>
        <v>0</v>
      </c>
      <c r="V211" s="125">
        <f t="shared" si="26"/>
        <v>40</v>
      </c>
      <c r="X211">
        <f t="shared" si="23"/>
        <v>0</v>
      </c>
      <c r="Y211" s="143">
        <f t="shared" si="22"/>
        <v>-994.71052631579789</v>
      </c>
    </row>
    <row r="212" spans="1:25" x14ac:dyDescent="0.25">
      <c r="A212">
        <f t="shared" si="27"/>
        <v>205</v>
      </c>
      <c r="B212" s="88" t="str">
        <f>IF(OR(B211="Total",B211=""),"",IF(VLOOKUP(A212,Journal!$B$7:$E$84,4)=0,"Total",VLOOKUP(A212,Journal!$B$7:$D$84,3)))</f>
        <v/>
      </c>
      <c r="C212" s="86" t="str">
        <f>IF(B212="","",VLOOKUP(A212,Journal!$B$7:$E$84,4))</f>
        <v/>
      </c>
      <c r="D212" s="114" t="str">
        <f>IF(B212="","",VLOOKUP(A212,Journal!$B$7:$J$84,9))</f>
        <v/>
      </c>
      <c r="E212" s="116"/>
      <c r="F212" s="116"/>
      <c r="G212" s="115"/>
      <c r="H212" s="84" t="str">
        <f>IF(B212="","",VLOOKUP(A212,Journal!$B$7:$L$84,11))</f>
        <v/>
      </c>
      <c r="I212" s="84" t="str">
        <f>IF(B212="","",VLOOKUP(A212,Journal!$B$7:$M$84,12))</f>
        <v/>
      </c>
      <c r="J212" s="105">
        <f>IF(B212="Total",SUM(J$8:J211)+0.0001,IF(OR(B212="",I$2=I212),0,VLOOKUP(A212,Journal!$B$7:M$84,8)))</f>
        <v>0</v>
      </c>
      <c r="K212" s="102">
        <f>IF(B212="Total",SUM(K$8:K211)+0.0001,IF(OR(B212="",J212&lt;&gt;0),0,VLOOKUP(A212,Journal!$B$7:M$84,8)))</f>
        <v>0</v>
      </c>
      <c r="L212" s="87">
        <f t="shared" si="21"/>
        <v>0</v>
      </c>
      <c r="P212">
        <f t="shared" si="24"/>
        <v>1.0000000000000001E-5</v>
      </c>
      <c r="R212" s="15">
        <f t="shared" si="25"/>
        <v>205</v>
      </c>
      <c r="S212" s="126">
        <f>IF(VLOOKUP(A212,Journal!$A$7:$E$70,5)=0,S211+1,VLOOKUP(A212,Journal!$A$7:$E$70,5))</f>
        <v>45862</v>
      </c>
      <c r="T212" s="125">
        <f>IF(H$2=VLOOKUP(A212,Journal!$A$7:$F$70,6),VLOOKUP(A212,Journal!$A$7:M$70,9),0)</f>
        <v>0</v>
      </c>
      <c r="U212" s="125">
        <f>IF(H$2=VLOOKUP(A212,Journal!$A$7:$G$70,7),VLOOKUP(A212,Journal!$A$7:M$70,9),0)</f>
        <v>0</v>
      </c>
      <c r="V212" s="125">
        <f t="shared" si="26"/>
        <v>40</v>
      </c>
      <c r="X212">
        <f t="shared" si="23"/>
        <v>0</v>
      </c>
      <c r="Y212" s="143">
        <f t="shared" si="22"/>
        <v>-994.68421052632425</v>
      </c>
    </row>
    <row r="213" spans="1:25" x14ac:dyDescent="0.25">
      <c r="A213">
        <f t="shared" si="27"/>
        <v>206</v>
      </c>
      <c r="B213" s="88" t="str">
        <f>IF(OR(B212="Total",B212=""),"",IF(VLOOKUP(A213,Journal!$B$7:$E$84,4)=0,"Total",VLOOKUP(A213,Journal!$B$7:$D$84,3)))</f>
        <v/>
      </c>
      <c r="C213" s="86" t="str">
        <f>IF(B213="","",VLOOKUP(A213,Journal!$B$7:$E$84,4))</f>
        <v/>
      </c>
      <c r="D213" s="114" t="str">
        <f>IF(B213="","",VLOOKUP(A213,Journal!$B$7:$J$84,9))</f>
        <v/>
      </c>
      <c r="E213" s="116"/>
      <c r="F213" s="116"/>
      <c r="G213" s="115"/>
      <c r="H213" s="84" t="str">
        <f>IF(B213="","",VLOOKUP(A213,Journal!$B$7:$L$84,11))</f>
        <v/>
      </c>
      <c r="I213" s="84" t="str">
        <f>IF(B213="","",VLOOKUP(A213,Journal!$B$7:$M$84,12))</f>
        <v/>
      </c>
      <c r="J213" s="105">
        <f>IF(B213="Total",SUM(J$8:J212)+0.0001,IF(OR(B213="",I$2=I213),0,VLOOKUP(A213,Journal!$B$7:M$84,8)))</f>
        <v>0</v>
      </c>
      <c r="K213" s="102">
        <f>IF(B213="Total",SUM(K$8:K212)+0.0001,IF(OR(B213="",J213&lt;&gt;0),0,VLOOKUP(A213,Journal!$B$7:M$84,8)))</f>
        <v>0</v>
      </c>
      <c r="L213" s="87">
        <f t="shared" si="21"/>
        <v>0</v>
      </c>
      <c r="P213">
        <f t="shared" si="24"/>
        <v>1.0000000000000001E-5</v>
      </c>
      <c r="R213" s="15">
        <f t="shared" si="25"/>
        <v>206</v>
      </c>
      <c r="S213" s="126">
        <f>IF(VLOOKUP(A213,Journal!$A$7:$E$70,5)=0,S212+1,VLOOKUP(A213,Journal!$A$7:$E$70,5))</f>
        <v>45863</v>
      </c>
      <c r="T213" s="125">
        <f>IF(H$2=VLOOKUP(A213,Journal!$A$7:$F$70,6),VLOOKUP(A213,Journal!$A$7:M$70,9),0)</f>
        <v>0</v>
      </c>
      <c r="U213" s="125">
        <f>IF(H$2=VLOOKUP(A213,Journal!$A$7:$G$70,7),VLOOKUP(A213,Journal!$A$7:M$70,9),0)</f>
        <v>0</v>
      </c>
      <c r="V213" s="125">
        <f t="shared" si="26"/>
        <v>40</v>
      </c>
      <c r="X213">
        <f t="shared" si="23"/>
        <v>0</v>
      </c>
      <c r="Y213" s="143">
        <f t="shared" si="22"/>
        <v>-994.65789473685061</v>
      </c>
    </row>
    <row r="214" spans="1:25" x14ac:dyDescent="0.25">
      <c r="A214">
        <f t="shared" si="27"/>
        <v>207</v>
      </c>
      <c r="B214" s="88" t="str">
        <f>IF(OR(B213="Total",B213=""),"",IF(VLOOKUP(A214,Journal!$B$7:$E$84,4)=0,"Total",VLOOKUP(A214,Journal!$B$7:$D$84,3)))</f>
        <v/>
      </c>
      <c r="C214" s="86" t="str">
        <f>IF(B214="","",VLOOKUP(A214,Journal!$B$7:$E$84,4))</f>
        <v/>
      </c>
      <c r="D214" s="114" t="str">
        <f>IF(B214="","",VLOOKUP(A214,Journal!$B$7:$J$84,9))</f>
        <v/>
      </c>
      <c r="E214" s="116"/>
      <c r="F214" s="116"/>
      <c r="G214" s="115"/>
      <c r="H214" s="84" t="str">
        <f>IF(B214="","",VLOOKUP(A214,Journal!$B$7:$L$84,11))</f>
        <v/>
      </c>
      <c r="I214" s="84" t="str">
        <f>IF(B214="","",VLOOKUP(A214,Journal!$B$7:$M$84,12))</f>
        <v/>
      </c>
      <c r="J214" s="105">
        <f>IF(B214="Total",SUM(J$8:J213)+0.0001,IF(OR(B214="",I$2=I214),0,VLOOKUP(A214,Journal!$B$7:M$84,8)))</f>
        <v>0</v>
      </c>
      <c r="K214" s="102">
        <f>IF(B214="Total",SUM(K$8:K213)+0.0001,IF(OR(B214="",J214&lt;&gt;0),0,VLOOKUP(A214,Journal!$B$7:M$84,8)))</f>
        <v>0</v>
      </c>
      <c r="L214" s="87">
        <f t="shared" si="21"/>
        <v>0</v>
      </c>
      <c r="P214">
        <f t="shared" si="24"/>
        <v>1.0000000000000001E-5</v>
      </c>
      <c r="R214" s="15">
        <f t="shared" si="25"/>
        <v>207</v>
      </c>
      <c r="S214" s="126">
        <f>IF(VLOOKUP(A214,Journal!$A$7:$E$70,5)=0,S213+1,VLOOKUP(A214,Journal!$A$7:$E$70,5))</f>
        <v>45864</v>
      </c>
      <c r="T214" s="125">
        <f>IF(H$2=VLOOKUP(A214,Journal!$A$7:$F$70,6),VLOOKUP(A214,Journal!$A$7:M$70,9),0)</f>
        <v>0</v>
      </c>
      <c r="U214" s="125">
        <f>IF(H$2=VLOOKUP(A214,Journal!$A$7:$G$70,7),VLOOKUP(A214,Journal!$A$7:M$70,9),0)</f>
        <v>0</v>
      </c>
      <c r="V214" s="125">
        <f t="shared" si="26"/>
        <v>40</v>
      </c>
      <c r="X214">
        <f t="shared" si="23"/>
        <v>0</v>
      </c>
      <c r="Y214" s="143">
        <f t="shared" si="22"/>
        <v>-994.63157894737697</v>
      </c>
    </row>
    <row r="215" spans="1:25" x14ac:dyDescent="0.25">
      <c r="A215">
        <f t="shared" si="27"/>
        <v>208</v>
      </c>
      <c r="B215" s="88" t="str">
        <f>IF(OR(B214="Total",B214=""),"",IF(VLOOKUP(A215,Journal!$B$7:$E$84,4)=0,"Total",VLOOKUP(A215,Journal!$B$7:$D$84,3)))</f>
        <v/>
      </c>
      <c r="C215" s="86" t="str">
        <f>IF(B215="","",VLOOKUP(A215,Journal!$B$7:$E$84,4))</f>
        <v/>
      </c>
      <c r="D215" s="114" t="str">
        <f>IF(B215="","",VLOOKUP(A215,Journal!$B$7:$J$84,9))</f>
        <v/>
      </c>
      <c r="E215" s="116"/>
      <c r="F215" s="116"/>
      <c r="G215" s="115"/>
      <c r="H215" s="84" t="str">
        <f>IF(B215="","",VLOOKUP(A215,Journal!$B$7:$L$84,11))</f>
        <v/>
      </c>
      <c r="I215" s="84" t="str">
        <f>IF(B215="","",VLOOKUP(A215,Journal!$B$7:$M$84,12))</f>
        <v/>
      </c>
      <c r="J215" s="105">
        <f>IF(B215="Total",SUM(J$8:J214)+0.0001,IF(OR(B215="",I$2=I215),0,VLOOKUP(A215,Journal!$B$7:M$84,8)))</f>
        <v>0</v>
      </c>
      <c r="K215" s="102">
        <f>IF(B215="Total",SUM(K$8:K214)+0.0001,IF(OR(B215="",J215&lt;&gt;0),0,VLOOKUP(A215,Journal!$B$7:M$84,8)))</f>
        <v>0</v>
      </c>
      <c r="L215" s="87">
        <f t="shared" si="21"/>
        <v>0</v>
      </c>
      <c r="P215">
        <f t="shared" si="24"/>
        <v>1.0000000000000001E-5</v>
      </c>
      <c r="R215" s="15">
        <f t="shared" si="25"/>
        <v>208</v>
      </c>
      <c r="S215" s="126">
        <f>IF(VLOOKUP(A215,Journal!$A$7:$E$70,5)=0,S214+1,VLOOKUP(A215,Journal!$A$7:$E$70,5))</f>
        <v>45865</v>
      </c>
      <c r="T215" s="125">
        <f>IF(H$2=VLOOKUP(A215,Journal!$A$7:$F$70,6),VLOOKUP(A215,Journal!$A$7:M$70,9),0)</f>
        <v>0</v>
      </c>
      <c r="U215" s="125">
        <f>IF(H$2=VLOOKUP(A215,Journal!$A$7:$G$70,7),VLOOKUP(A215,Journal!$A$7:M$70,9),0)</f>
        <v>0</v>
      </c>
      <c r="V215" s="125">
        <f t="shared" si="26"/>
        <v>40</v>
      </c>
      <c r="X215">
        <f t="shared" si="23"/>
        <v>0</v>
      </c>
      <c r="Y215" s="143">
        <f t="shared" si="22"/>
        <v>-994.60526315790332</v>
      </c>
    </row>
    <row r="216" spans="1:25" x14ac:dyDescent="0.25">
      <c r="A216">
        <f t="shared" si="27"/>
        <v>209</v>
      </c>
      <c r="B216" s="88" t="str">
        <f>IF(OR(B215="Total",B215=""),"",IF(VLOOKUP(A216,Journal!$B$7:$E$84,4)=0,"Total",VLOOKUP(A216,Journal!$B$7:$D$84,3)))</f>
        <v/>
      </c>
      <c r="C216" s="86" t="str">
        <f>IF(B216="","",VLOOKUP(A216,Journal!$B$7:$E$84,4))</f>
        <v/>
      </c>
      <c r="D216" s="114" t="str">
        <f>IF(B216="","",VLOOKUP(A216,Journal!$B$7:$J$84,9))</f>
        <v/>
      </c>
      <c r="E216" s="116"/>
      <c r="F216" s="116"/>
      <c r="G216" s="115"/>
      <c r="H216" s="84" t="str">
        <f>IF(B216="","",VLOOKUP(A216,Journal!$B$7:$L$84,11))</f>
        <v/>
      </c>
      <c r="I216" s="84" t="str">
        <f>IF(B216="","",VLOOKUP(A216,Journal!$B$7:$M$84,12))</f>
        <v/>
      </c>
      <c r="J216" s="105">
        <f>IF(B216="Total",SUM(J$8:J215)+0.0001,IF(OR(B216="",I$2=I216),0,VLOOKUP(A216,Journal!$B$7:M$84,8)))</f>
        <v>0</v>
      </c>
      <c r="K216" s="102">
        <f>IF(B216="Total",SUM(K$8:K215)+0.0001,IF(OR(B216="",J216&lt;&gt;0),0,VLOOKUP(A216,Journal!$B$7:M$84,8)))</f>
        <v>0</v>
      </c>
      <c r="L216" s="87">
        <f t="shared" si="21"/>
        <v>0</v>
      </c>
      <c r="P216">
        <f t="shared" si="24"/>
        <v>1.0000000000000001E-5</v>
      </c>
      <c r="R216" s="15">
        <f t="shared" si="25"/>
        <v>209</v>
      </c>
      <c r="S216" s="126">
        <f>IF(VLOOKUP(A216,Journal!$A$7:$E$70,5)=0,S215+1,VLOOKUP(A216,Journal!$A$7:$E$70,5))</f>
        <v>45866</v>
      </c>
      <c r="T216" s="125">
        <f>IF(H$2=VLOOKUP(A216,Journal!$A$7:$F$70,6),VLOOKUP(A216,Journal!$A$7:M$70,9),0)</f>
        <v>0</v>
      </c>
      <c r="U216" s="125">
        <f>IF(H$2=VLOOKUP(A216,Journal!$A$7:$G$70,7),VLOOKUP(A216,Journal!$A$7:M$70,9),0)</f>
        <v>0</v>
      </c>
      <c r="V216" s="125">
        <f t="shared" si="26"/>
        <v>40</v>
      </c>
      <c r="X216">
        <f t="shared" si="23"/>
        <v>0</v>
      </c>
      <c r="Y216" s="143">
        <f t="shared" si="22"/>
        <v>-994.57894736842968</v>
      </c>
    </row>
    <row r="217" spans="1:25" x14ac:dyDescent="0.25">
      <c r="A217">
        <f t="shared" si="27"/>
        <v>210</v>
      </c>
      <c r="B217" s="88" t="str">
        <f>IF(OR(B216="Total",B216=""),"",IF(VLOOKUP(A217,Journal!$B$7:$E$84,4)=0,"Total",VLOOKUP(A217,Journal!$B$7:$D$84,3)))</f>
        <v/>
      </c>
      <c r="C217" s="86" t="str">
        <f>IF(B217="","",VLOOKUP(A217,Journal!$B$7:$E$84,4))</f>
        <v/>
      </c>
      <c r="D217" s="114" t="str">
        <f>IF(B217="","",VLOOKUP(A217,Journal!$B$7:$J$84,9))</f>
        <v/>
      </c>
      <c r="E217" s="116"/>
      <c r="F217" s="116"/>
      <c r="G217" s="115"/>
      <c r="H217" s="84" t="str">
        <f>IF(B217="","",VLOOKUP(A217,Journal!$B$7:$L$84,11))</f>
        <v/>
      </c>
      <c r="I217" s="84" t="str">
        <f>IF(B217="","",VLOOKUP(A217,Journal!$B$7:$M$84,12))</f>
        <v/>
      </c>
      <c r="J217" s="105">
        <f>IF(B217="Total",SUM(J$8:J216)+0.0001,IF(OR(B217="",I$2=I217),0,VLOOKUP(A217,Journal!$B$7:M$84,8)))</f>
        <v>0</v>
      </c>
      <c r="K217" s="102">
        <f>IF(B217="Total",SUM(K$8:K216)+0.0001,IF(OR(B217="",J217&lt;&gt;0),0,VLOOKUP(A217,Journal!$B$7:M$84,8)))</f>
        <v>0</v>
      </c>
      <c r="L217" s="87">
        <f t="shared" si="21"/>
        <v>0</v>
      </c>
      <c r="P217">
        <f t="shared" si="24"/>
        <v>1.0000000000000001E-5</v>
      </c>
      <c r="R217" s="15">
        <f t="shared" si="25"/>
        <v>210</v>
      </c>
      <c r="S217" s="126">
        <f>IF(VLOOKUP(A217,Journal!$A$7:$E$70,5)=0,S216+1,VLOOKUP(A217,Journal!$A$7:$E$70,5))</f>
        <v>45867</v>
      </c>
      <c r="T217" s="125">
        <f>IF(H$2=VLOOKUP(A217,Journal!$A$7:$F$70,6),VLOOKUP(A217,Journal!$A$7:M$70,9),0)</f>
        <v>0</v>
      </c>
      <c r="U217" s="125">
        <f>IF(H$2=VLOOKUP(A217,Journal!$A$7:$G$70,7),VLOOKUP(A217,Journal!$A$7:M$70,9),0)</f>
        <v>0</v>
      </c>
      <c r="V217" s="125">
        <f t="shared" si="26"/>
        <v>40</v>
      </c>
      <c r="X217">
        <f t="shared" si="23"/>
        <v>0</v>
      </c>
      <c r="Y217" s="143">
        <f t="shared" si="22"/>
        <v>-994.55263157895604</v>
      </c>
    </row>
    <row r="218" spans="1:25" x14ac:dyDescent="0.25">
      <c r="A218">
        <f t="shared" si="27"/>
        <v>211</v>
      </c>
      <c r="B218" s="88" t="str">
        <f>IF(OR(B217="Total",B217=""),"",IF(VLOOKUP(A218,Journal!$B$7:$E$84,4)=0,"Total",VLOOKUP(A218,Journal!$B$7:$D$84,3)))</f>
        <v/>
      </c>
      <c r="C218" s="86" t="str">
        <f>IF(B218="","",VLOOKUP(A218,Journal!$B$7:$E$84,4))</f>
        <v/>
      </c>
      <c r="D218" s="114" t="str">
        <f>IF(B218="","",VLOOKUP(A218,Journal!$B$7:$J$84,9))</f>
        <v/>
      </c>
      <c r="E218" s="116"/>
      <c r="F218" s="116"/>
      <c r="G218" s="115"/>
      <c r="H218" s="84" t="str">
        <f>IF(B218="","",VLOOKUP(A218,Journal!$B$7:$L$84,11))</f>
        <v/>
      </c>
      <c r="I218" s="84" t="str">
        <f>IF(B218="","",VLOOKUP(A218,Journal!$B$7:$M$84,12))</f>
        <v/>
      </c>
      <c r="J218" s="105">
        <f>IF(B218="Total",SUM(J$8:J217)+0.0001,IF(OR(B218="",I$2=I218),0,VLOOKUP(A218,Journal!$B$7:M$84,8)))</f>
        <v>0</v>
      </c>
      <c r="K218" s="102">
        <f>IF(B218="Total",SUM(K$8:K217)+0.0001,IF(OR(B218="",J218&lt;&gt;0),0,VLOOKUP(A218,Journal!$B$7:M$84,8)))</f>
        <v>0</v>
      </c>
      <c r="L218" s="87">
        <f t="shared" si="21"/>
        <v>0</v>
      </c>
      <c r="P218">
        <f t="shared" si="24"/>
        <v>1.0000000000000001E-5</v>
      </c>
      <c r="R218" s="15">
        <f t="shared" si="25"/>
        <v>211</v>
      </c>
      <c r="S218" s="126">
        <f>IF(VLOOKUP(A218,Journal!$A$7:$E$70,5)=0,S217+1,VLOOKUP(A218,Journal!$A$7:$E$70,5))</f>
        <v>45868</v>
      </c>
      <c r="T218" s="125">
        <f>IF(H$2=VLOOKUP(A218,Journal!$A$7:$F$70,6),VLOOKUP(A218,Journal!$A$7:M$70,9),0)</f>
        <v>0</v>
      </c>
      <c r="U218" s="125">
        <f>IF(H$2=VLOOKUP(A218,Journal!$A$7:$G$70,7),VLOOKUP(A218,Journal!$A$7:M$70,9),0)</f>
        <v>0</v>
      </c>
      <c r="V218" s="125">
        <f t="shared" si="26"/>
        <v>40</v>
      </c>
      <c r="X218">
        <f t="shared" si="23"/>
        <v>0</v>
      </c>
      <c r="Y218" s="143">
        <f t="shared" si="22"/>
        <v>-994.5263157894824</v>
      </c>
    </row>
    <row r="219" spans="1:25" x14ac:dyDescent="0.25">
      <c r="A219">
        <f t="shared" si="27"/>
        <v>212</v>
      </c>
      <c r="B219" s="88" t="str">
        <f>IF(OR(B218="Total",B218=""),"",IF(VLOOKUP(A219,Journal!$B$7:$E$84,4)=0,"Total",VLOOKUP(A219,Journal!$B$7:$D$84,3)))</f>
        <v/>
      </c>
      <c r="C219" s="86" t="str">
        <f>IF(B219="","",VLOOKUP(A219,Journal!$B$7:$E$84,4))</f>
        <v/>
      </c>
      <c r="D219" s="114" t="str">
        <f>IF(B219="","",VLOOKUP(A219,Journal!$B$7:$J$84,9))</f>
        <v/>
      </c>
      <c r="E219" s="116"/>
      <c r="F219" s="116"/>
      <c r="G219" s="115"/>
      <c r="H219" s="84" t="str">
        <f>IF(B219="","",VLOOKUP(A219,Journal!$B$7:$L$84,11))</f>
        <v/>
      </c>
      <c r="I219" s="84" t="str">
        <f>IF(B219="","",VLOOKUP(A219,Journal!$B$7:$M$84,12))</f>
        <v/>
      </c>
      <c r="J219" s="105">
        <f>IF(B219="Total",SUM(J$8:J218)+0.0001,IF(OR(B219="",I$2=I219),0,VLOOKUP(A219,Journal!$B$7:M$84,8)))</f>
        <v>0</v>
      </c>
      <c r="K219" s="102">
        <f>IF(B219="Total",SUM(K$8:K218)+0.0001,IF(OR(B219="",J219&lt;&gt;0),0,VLOOKUP(A219,Journal!$B$7:M$84,8)))</f>
        <v>0</v>
      </c>
      <c r="L219" s="87">
        <f t="shared" si="21"/>
        <v>0</v>
      </c>
      <c r="P219">
        <f t="shared" si="24"/>
        <v>1.0000000000000001E-5</v>
      </c>
      <c r="R219" s="15">
        <f t="shared" si="25"/>
        <v>212</v>
      </c>
      <c r="S219" s="126">
        <f>IF(VLOOKUP(A219,Journal!$A$7:$E$70,5)=0,S218+1,VLOOKUP(A219,Journal!$A$7:$E$70,5))</f>
        <v>45869</v>
      </c>
      <c r="T219" s="125">
        <f>IF(H$2=VLOOKUP(A219,Journal!$A$7:$F$70,6),VLOOKUP(A219,Journal!$A$7:M$70,9),0)</f>
        <v>0</v>
      </c>
      <c r="U219" s="125">
        <f>IF(H$2=VLOOKUP(A219,Journal!$A$7:$G$70,7),VLOOKUP(A219,Journal!$A$7:M$70,9),0)</f>
        <v>0</v>
      </c>
      <c r="V219" s="125">
        <f t="shared" si="26"/>
        <v>40</v>
      </c>
      <c r="X219">
        <f t="shared" si="23"/>
        <v>0</v>
      </c>
      <c r="Y219" s="143">
        <f t="shared" si="22"/>
        <v>-994.50000000000875</v>
      </c>
    </row>
    <row r="220" spans="1:25" x14ac:dyDescent="0.25">
      <c r="A220">
        <f t="shared" si="27"/>
        <v>213</v>
      </c>
      <c r="B220" s="88" t="str">
        <f>IF(OR(B219="Total",B219=""),"",IF(VLOOKUP(A220,Journal!$B$7:$E$84,4)=0,"Total",VLOOKUP(A220,Journal!$B$7:$D$84,3)))</f>
        <v/>
      </c>
      <c r="C220" s="86" t="str">
        <f>IF(B220="","",VLOOKUP(A220,Journal!$B$7:$E$84,4))</f>
        <v/>
      </c>
      <c r="D220" s="114" t="str">
        <f>IF(B220="","",VLOOKUP(A220,Journal!$B$7:$J$84,9))</f>
        <v/>
      </c>
      <c r="E220" s="116"/>
      <c r="F220" s="116"/>
      <c r="G220" s="115"/>
      <c r="H220" s="84" t="str">
        <f>IF(B220="","",VLOOKUP(A220,Journal!$B$7:$L$84,11))</f>
        <v/>
      </c>
      <c r="I220" s="84" t="str">
        <f>IF(B220="","",VLOOKUP(A220,Journal!$B$7:$M$84,12))</f>
        <v/>
      </c>
      <c r="J220" s="105">
        <f>IF(B220="Total",SUM(J$8:J219)+0.0001,IF(OR(B220="",I$2=I220),0,VLOOKUP(A220,Journal!$B$7:M$84,8)))</f>
        <v>0</v>
      </c>
      <c r="K220" s="102">
        <f>IF(B220="Total",SUM(K$8:K219)+0.0001,IF(OR(B220="",J220&lt;&gt;0),0,VLOOKUP(A220,Journal!$B$7:M$84,8)))</f>
        <v>0</v>
      </c>
      <c r="L220" s="87">
        <f t="shared" si="21"/>
        <v>0</v>
      </c>
      <c r="P220">
        <f t="shared" si="24"/>
        <v>1.0000000000000001E-5</v>
      </c>
      <c r="R220" s="15">
        <f t="shared" si="25"/>
        <v>213</v>
      </c>
      <c r="S220" s="126">
        <f>IF(VLOOKUP(A220,Journal!$A$7:$E$70,5)=0,S219+1,VLOOKUP(A220,Journal!$A$7:$E$70,5))</f>
        <v>45870</v>
      </c>
      <c r="T220" s="125">
        <f>IF(H$2=VLOOKUP(A220,Journal!$A$7:$F$70,6),VLOOKUP(A220,Journal!$A$7:M$70,9),0)</f>
        <v>0</v>
      </c>
      <c r="U220" s="125">
        <f>IF(H$2=VLOOKUP(A220,Journal!$A$7:$G$70,7),VLOOKUP(A220,Journal!$A$7:M$70,9),0)</f>
        <v>0</v>
      </c>
      <c r="V220" s="125">
        <f t="shared" si="26"/>
        <v>40</v>
      </c>
      <c r="X220">
        <f t="shared" si="23"/>
        <v>0</v>
      </c>
      <c r="Y220" s="143">
        <f t="shared" si="22"/>
        <v>-994.47368421053511</v>
      </c>
    </row>
    <row r="221" spans="1:25" x14ac:dyDescent="0.25">
      <c r="A221">
        <f t="shared" si="27"/>
        <v>214</v>
      </c>
      <c r="B221" s="88" t="str">
        <f>IF(OR(B220="Total",B220=""),"",IF(VLOOKUP(A221,Journal!$B$7:$E$84,4)=0,"Total",VLOOKUP(A221,Journal!$B$7:$D$84,3)))</f>
        <v/>
      </c>
      <c r="C221" s="86" t="str">
        <f>IF(B221="","",VLOOKUP(A221,Journal!$B$7:$E$84,4))</f>
        <v/>
      </c>
      <c r="D221" s="114" t="str">
        <f>IF(B221="","",VLOOKUP(A221,Journal!$B$7:$J$84,9))</f>
        <v/>
      </c>
      <c r="E221" s="116"/>
      <c r="F221" s="116"/>
      <c r="G221" s="115"/>
      <c r="H221" s="84" t="str">
        <f>IF(B221="","",VLOOKUP(A221,Journal!$B$7:$L$84,11))</f>
        <v/>
      </c>
      <c r="I221" s="84" t="str">
        <f>IF(B221="","",VLOOKUP(A221,Journal!$B$7:$M$84,12))</f>
        <v/>
      </c>
      <c r="J221" s="105">
        <f>IF(B221="Total",SUM(J$8:J220)+0.0001,IF(OR(B221="",I$2=I221),0,VLOOKUP(A221,Journal!$B$7:M$84,8)))</f>
        <v>0</v>
      </c>
      <c r="K221" s="102">
        <f>IF(B221="Total",SUM(K$8:K220)+0.0001,IF(OR(B221="",J221&lt;&gt;0),0,VLOOKUP(A221,Journal!$B$7:M$84,8)))</f>
        <v>0</v>
      </c>
      <c r="L221" s="87">
        <f t="shared" si="21"/>
        <v>0</v>
      </c>
      <c r="P221">
        <f t="shared" si="24"/>
        <v>1.0000000000000001E-5</v>
      </c>
      <c r="R221" s="15">
        <f t="shared" si="25"/>
        <v>214</v>
      </c>
      <c r="S221" s="126">
        <f>IF(VLOOKUP(A221,Journal!$A$7:$E$70,5)=0,S220+1,VLOOKUP(A221,Journal!$A$7:$E$70,5))</f>
        <v>45871</v>
      </c>
      <c r="T221" s="125">
        <f>IF(H$2=VLOOKUP(A221,Journal!$A$7:$F$70,6),VLOOKUP(A221,Journal!$A$7:M$70,9),0)</f>
        <v>0</v>
      </c>
      <c r="U221" s="125">
        <f>IF(H$2=VLOOKUP(A221,Journal!$A$7:$G$70,7),VLOOKUP(A221,Journal!$A$7:M$70,9),0)</f>
        <v>0</v>
      </c>
      <c r="V221" s="125">
        <f t="shared" si="26"/>
        <v>40</v>
      </c>
      <c r="X221">
        <f t="shared" si="23"/>
        <v>0</v>
      </c>
      <c r="Y221" s="143">
        <f t="shared" si="22"/>
        <v>-994.44736842106147</v>
      </c>
    </row>
    <row r="222" spans="1:25" x14ac:dyDescent="0.25">
      <c r="A222">
        <f t="shared" si="27"/>
        <v>215</v>
      </c>
      <c r="B222" s="88" t="str">
        <f>IF(OR(B221="Total",B221=""),"",IF(VLOOKUP(A222,Journal!$B$7:$E$84,4)=0,"Total",VLOOKUP(A222,Journal!$B$7:$D$84,3)))</f>
        <v/>
      </c>
      <c r="C222" s="86" t="str">
        <f>IF(B222="","",VLOOKUP(A222,Journal!$B$7:$E$84,4))</f>
        <v/>
      </c>
      <c r="D222" s="114" t="str">
        <f>IF(B222="","",VLOOKUP(A222,Journal!$B$7:$J$84,9))</f>
        <v/>
      </c>
      <c r="E222" s="116"/>
      <c r="F222" s="116"/>
      <c r="G222" s="115"/>
      <c r="H222" s="84" t="str">
        <f>IF(B222="","",VLOOKUP(A222,Journal!$B$7:$L$84,11))</f>
        <v/>
      </c>
      <c r="I222" s="84" t="str">
        <f>IF(B222="","",VLOOKUP(A222,Journal!$B$7:$M$84,12))</f>
        <v/>
      </c>
      <c r="J222" s="105">
        <f>IF(B222="Total",SUM(J$8:J221)+0.0001,IF(OR(B222="",I$2=I222),0,VLOOKUP(A222,Journal!$B$7:M$84,8)))</f>
        <v>0</v>
      </c>
      <c r="K222" s="102">
        <f>IF(B222="Total",SUM(K$8:K221)+0.0001,IF(OR(B222="",J222&lt;&gt;0),0,VLOOKUP(A222,Journal!$B$7:M$84,8)))</f>
        <v>0</v>
      </c>
      <c r="L222" s="87">
        <f t="shared" si="21"/>
        <v>0</v>
      </c>
      <c r="P222">
        <f t="shared" si="24"/>
        <v>1.0000000000000001E-5</v>
      </c>
      <c r="R222" s="15">
        <f t="shared" si="25"/>
        <v>215</v>
      </c>
      <c r="S222" s="126">
        <f>IF(VLOOKUP(A222,Journal!$A$7:$E$70,5)=0,S221+1,VLOOKUP(A222,Journal!$A$7:$E$70,5))</f>
        <v>45872</v>
      </c>
      <c r="T222" s="125">
        <f>IF(H$2=VLOOKUP(A222,Journal!$A$7:$F$70,6),VLOOKUP(A222,Journal!$A$7:M$70,9),0)</f>
        <v>0</v>
      </c>
      <c r="U222" s="125">
        <f>IF(H$2=VLOOKUP(A222,Journal!$A$7:$G$70,7),VLOOKUP(A222,Journal!$A$7:M$70,9),0)</f>
        <v>0</v>
      </c>
      <c r="V222" s="125">
        <f t="shared" si="26"/>
        <v>40</v>
      </c>
      <c r="X222">
        <f t="shared" si="23"/>
        <v>0</v>
      </c>
      <c r="Y222" s="143">
        <f t="shared" si="22"/>
        <v>-994.42105263158783</v>
      </c>
    </row>
    <row r="223" spans="1:25" x14ac:dyDescent="0.25">
      <c r="A223">
        <f t="shared" si="27"/>
        <v>216</v>
      </c>
      <c r="B223" s="88" t="str">
        <f>IF(OR(B222="Total",B222=""),"",IF(VLOOKUP(A223,Journal!$B$7:$E$84,4)=0,"Total",VLOOKUP(A223,Journal!$B$7:$D$84,3)))</f>
        <v/>
      </c>
      <c r="C223" s="86" t="str">
        <f>IF(B223="","",VLOOKUP(A223,Journal!$B$7:$E$84,4))</f>
        <v/>
      </c>
      <c r="D223" s="114" t="str">
        <f>IF(B223="","",VLOOKUP(A223,Journal!$B$7:$J$84,9))</f>
        <v/>
      </c>
      <c r="E223" s="116"/>
      <c r="F223" s="116"/>
      <c r="G223" s="115"/>
      <c r="H223" s="84" t="str">
        <f>IF(B223="","",VLOOKUP(A223,Journal!$B$7:$L$84,11))</f>
        <v/>
      </c>
      <c r="I223" s="84" t="str">
        <f>IF(B223="","",VLOOKUP(A223,Journal!$B$7:$M$84,12))</f>
        <v/>
      </c>
      <c r="J223" s="105">
        <f>IF(B223="Total",SUM(J$8:J222)+0.0001,IF(OR(B223="",I$2=I223),0,VLOOKUP(A223,Journal!$B$7:M$84,8)))</f>
        <v>0</v>
      </c>
      <c r="K223" s="102">
        <f>IF(B223="Total",SUM(K$8:K222)+0.0001,IF(OR(B223="",J223&lt;&gt;0),0,VLOOKUP(A223,Journal!$B$7:M$84,8)))</f>
        <v>0</v>
      </c>
      <c r="L223" s="87">
        <f t="shared" si="21"/>
        <v>0</v>
      </c>
      <c r="P223">
        <f t="shared" si="24"/>
        <v>1.0000000000000001E-5</v>
      </c>
      <c r="R223" s="15">
        <f t="shared" si="25"/>
        <v>216</v>
      </c>
      <c r="S223" s="126">
        <f>IF(VLOOKUP(A223,Journal!$A$7:$E$70,5)=0,S222+1,VLOOKUP(A223,Journal!$A$7:$E$70,5))</f>
        <v>45873</v>
      </c>
      <c r="T223" s="125">
        <f>IF(H$2=VLOOKUP(A223,Journal!$A$7:$F$70,6),VLOOKUP(A223,Journal!$A$7:M$70,9),0)</f>
        <v>0</v>
      </c>
      <c r="U223" s="125">
        <f>IF(H$2=VLOOKUP(A223,Journal!$A$7:$G$70,7),VLOOKUP(A223,Journal!$A$7:M$70,9),0)</f>
        <v>0</v>
      </c>
      <c r="V223" s="125">
        <f t="shared" si="26"/>
        <v>40</v>
      </c>
      <c r="X223">
        <f t="shared" si="23"/>
        <v>0</v>
      </c>
      <c r="Y223" s="143">
        <f t="shared" si="22"/>
        <v>-994.39473684211418</v>
      </c>
    </row>
    <row r="224" spans="1:25" x14ac:dyDescent="0.25">
      <c r="A224">
        <f t="shared" si="27"/>
        <v>217</v>
      </c>
      <c r="B224" s="88" t="str">
        <f>IF(OR(B223="Total",B223=""),"",IF(VLOOKUP(A224,Journal!$B$7:$E$84,4)=0,"Total",VLOOKUP(A224,Journal!$B$7:$D$84,3)))</f>
        <v/>
      </c>
      <c r="C224" s="86" t="str">
        <f>IF(B224="","",VLOOKUP(A224,Journal!$B$7:$E$84,4))</f>
        <v/>
      </c>
      <c r="D224" s="114" t="str">
        <f>IF(B224="","",VLOOKUP(A224,Journal!$B$7:$J$84,9))</f>
        <v/>
      </c>
      <c r="E224" s="116"/>
      <c r="F224" s="116"/>
      <c r="G224" s="115"/>
      <c r="H224" s="84" t="str">
        <f>IF(B224="","",VLOOKUP(A224,Journal!$B$7:$L$84,11))</f>
        <v/>
      </c>
      <c r="I224" s="84" t="str">
        <f>IF(B224="","",VLOOKUP(A224,Journal!$B$7:$M$84,12))</f>
        <v/>
      </c>
      <c r="J224" s="105">
        <f>IF(B224="Total",SUM(J$8:J223)+0.0001,IF(OR(B224="",I$2=I224),0,VLOOKUP(A224,Journal!$B$7:M$84,8)))</f>
        <v>0</v>
      </c>
      <c r="K224" s="102">
        <f>IF(B224="Total",SUM(K$8:K223)+0.0001,IF(OR(B224="",J224&lt;&gt;0),0,VLOOKUP(A224,Journal!$B$7:M$84,8)))</f>
        <v>0</v>
      </c>
      <c r="L224" s="87">
        <f t="shared" si="21"/>
        <v>0</v>
      </c>
      <c r="P224">
        <f t="shared" si="24"/>
        <v>1.0000000000000001E-5</v>
      </c>
      <c r="R224" s="15">
        <f t="shared" si="25"/>
        <v>217</v>
      </c>
      <c r="S224" s="126">
        <f>IF(VLOOKUP(A224,Journal!$A$7:$E$70,5)=0,S223+1,VLOOKUP(A224,Journal!$A$7:$E$70,5))</f>
        <v>45874</v>
      </c>
      <c r="T224" s="125">
        <f>IF(H$2=VLOOKUP(A224,Journal!$A$7:$F$70,6),VLOOKUP(A224,Journal!$A$7:M$70,9),0)</f>
        <v>0</v>
      </c>
      <c r="U224" s="125">
        <f>IF(H$2=VLOOKUP(A224,Journal!$A$7:$G$70,7),VLOOKUP(A224,Journal!$A$7:M$70,9),0)</f>
        <v>0</v>
      </c>
      <c r="V224" s="125">
        <f t="shared" si="26"/>
        <v>40</v>
      </c>
      <c r="X224">
        <f t="shared" si="23"/>
        <v>0</v>
      </c>
      <c r="Y224" s="143">
        <f t="shared" si="22"/>
        <v>-994.36842105264054</v>
      </c>
    </row>
    <row r="225" spans="1:25" x14ac:dyDescent="0.25">
      <c r="A225">
        <f t="shared" si="27"/>
        <v>218</v>
      </c>
      <c r="B225" s="88" t="str">
        <f>IF(OR(B224="Total",B224=""),"",IF(VLOOKUP(A225,Journal!$B$7:$E$84,4)=0,"Total",VLOOKUP(A225,Journal!$B$7:$D$84,3)))</f>
        <v/>
      </c>
      <c r="C225" s="86" t="str">
        <f>IF(B225="","",VLOOKUP(A225,Journal!$B$7:$E$84,4))</f>
        <v/>
      </c>
      <c r="D225" s="114" t="str">
        <f>IF(B225="","",VLOOKUP(A225,Journal!$B$7:$J$84,9))</f>
        <v/>
      </c>
      <c r="E225" s="116"/>
      <c r="F225" s="116"/>
      <c r="G225" s="115"/>
      <c r="H225" s="84" t="str">
        <f>IF(B225="","",VLOOKUP(A225,Journal!$B$7:$L$84,11))</f>
        <v/>
      </c>
      <c r="I225" s="84" t="str">
        <f>IF(B225="","",VLOOKUP(A225,Journal!$B$7:$M$84,12))</f>
        <v/>
      </c>
      <c r="J225" s="105">
        <f>IF(B225="Total",SUM(J$8:J224)+0.0001,IF(OR(B225="",I$2=I225),0,VLOOKUP(A225,Journal!$B$7:M$84,8)))</f>
        <v>0</v>
      </c>
      <c r="K225" s="102">
        <f>IF(B225="Total",SUM(K$8:K224)+0.0001,IF(OR(B225="",J225&lt;&gt;0),0,VLOOKUP(A225,Journal!$B$7:M$84,8)))</f>
        <v>0</v>
      </c>
      <c r="L225" s="87">
        <f t="shared" si="21"/>
        <v>0</v>
      </c>
      <c r="P225">
        <f t="shared" si="24"/>
        <v>1.0000000000000001E-5</v>
      </c>
      <c r="R225" s="15">
        <f t="shared" si="25"/>
        <v>218</v>
      </c>
      <c r="S225" s="126">
        <f>IF(VLOOKUP(A225,Journal!$A$7:$E$70,5)=0,S224+1,VLOOKUP(A225,Journal!$A$7:$E$70,5))</f>
        <v>45875</v>
      </c>
      <c r="T225" s="125">
        <f>IF(H$2=VLOOKUP(A225,Journal!$A$7:$F$70,6),VLOOKUP(A225,Journal!$A$7:M$70,9),0)</f>
        <v>0</v>
      </c>
      <c r="U225" s="125">
        <f>IF(H$2=VLOOKUP(A225,Journal!$A$7:$G$70,7),VLOOKUP(A225,Journal!$A$7:M$70,9),0)</f>
        <v>0</v>
      </c>
      <c r="V225" s="125">
        <f t="shared" si="26"/>
        <v>40</v>
      </c>
      <c r="X225">
        <f t="shared" si="23"/>
        <v>0</v>
      </c>
      <c r="Y225" s="143">
        <f t="shared" si="22"/>
        <v>-994.3421052631669</v>
      </c>
    </row>
    <row r="226" spans="1:25" x14ac:dyDescent="0.25">
      <c r="A226">
        <f t="shared" si="27"/>
        <v>219</v>
      </c>
      <c r="B226" s="88" t="str">
        <f>IF(OR(B225="Total",B225=""),"",IF(VLOOKUP(A226,Journal!$B$7:$E$84,4)=0,"Total",VLOOKUP(A226,Journal!$B$7:$D$84,3)))</f>
        <v/>
      </c>
      <c r="C226" s="86" t="str">
        <f>IF(B226="","",VLOOKUP(A226,Journal!$B$7:$E$84,4))</f>
        <v/>
      </c>
      <c r="D226" s="114" t="str">
        <f>IF(B226="","",VLOOKUP(A226,Journal!$B$7:$J$84,9))</f>
        <v/>
      </c>
      <c r="E226" s="116"/>
      <c r="F226" s="116"/>
      <c r="G226" s="115"/>
      <c r="H226" s="84" t="str">
        <f>IF(B226="","",VLOOKUP(A226,Journal!$B$7:$L$84,11))</f>
        <v/>
      </c>
      <c r="I226" s="84" t="str">
        <f>IF(B226="","",VLOOKUP(A226,Journal!$B$7:$M$84,12))</f>
        <v/>
      </c>
      <c r="J226" s="105">
        <f>IF(B226="Total",SUM(J$8:J225)+0.0001,IF(OR(B226="",I$2=I226),0,VLOOKUP(A226,Journal!$B$7:M$84,8)))</f>
        <v>0</v>
      </c>
      <c r="K226" s="102">
        <f>IF(B226="Total",SUM(K$8:K225)+0.0001,IF(OR(B226="",J226&lt;&gt;0),0,VLOOKUP(A226,Journal!$B$7:M$84,8)))</f>
        <v>0</v>
      </c>
      <c r="L226" s="87">
        <f t="shared" si="21"/>
        <v>0</v>
      </c>
      <c r="P226">
        <f t="shared" si="24"/>
        <v>1.0000000000000001E-5</v>
      </c>
      <c r="R226" s="15">
        <f t="shared" si="25"/>
        <v>219</v>
      </c>
      <c r="S226" s="126">
        <f>IF(VLOOKUP(A226,Journal!$A$7:$E$70,5)=0,S225+1,VLOOKUP(A226,Journal!$A$7:$E$70,5))</f>
        <v>45876</v>
      </c>
      <c r="T226" s="125">
        <f>IF(H$2=VLOOKUP(A226,Journal!$A$7:$F$70,6),VLOOKUP(A226,Journal!$A$7:M$70,9),0)</f>
        <v>0</v>
      </c>
      <c r="U226" s="125">
        <f>IF(H$2=VLOOKUP(A226,Journal!$A$7:$G$70,7),VLOOKUP(A226,Journal!$A$7:M$70,9),0)</f>
        <v>0</v>
      </c>
      <c r="V226" s="125">
        <f t="shared" si="26"/>
        <v>40</v>
      </c>
      <c r="X226">
        <f t="shared" si="23"/>
        <v>0</v>
      </c>
      <c r="Y226" s="143">
        <f t="shared" si="22"/>
        <v>-994.31578947369326</v>
      </c>
    </row>
    <row r="227" spans="1:25" x14ac:dyDescent="0.25">
      <c r="A227">
        <f t="shared" si="27"/>
        <v>220</v>
      </c>
      <c r="B227" s="88" t="str">
        <f>IF(OR(B226="Total",B226=""),"",IF(VLOOKUP(A227,Journal!$B$7:$E$84,4)=0,"Total",VLOOKUP(A227,Journal!$B$7:$D$84,3)))</f>
        <v/>
      </c>
      <c r="C227" s="86" t="str">
        <f>IF(B227="","",VLOOKUP(A227,Journal!$B$7:$E$84,4))</f>
        <v/>
      </c>
      <c r="D227" s="114" t="str">
        <f>IF(B227="","",VLOOKUP(A227,Journal!$B$7:$J$84,9))</f>
        <v/>
      </c>
      <c r="E227" s="116"/>
      <c r="F227" s="116"/>
      <c r="G227" s="115"/>
      <c r="H227" s="84" t="str">
        <f>IF(B227="","",VLOOKUP(A227,Journal!$B$7:$L$84,11))</f>
        <v/>
      </c>
      <c r="I227" s="84" t="str">
        <f>IF(B227="","",VLOOKUP(A227,Journal!$B$7:$M$84,12))</f>
        <v/>
      </c>
      <c r="J227" s="105">
        <f>IF(B227="Total",SUM(J$8:J226)+0.0001,IF(OR(B227="",I$2=I227),0,VLOOKUP(A227,Journal!$B$7:M$84,8)))</f>
        <v>0</v>
      </c>
      <c r="K227" s="102">
        <f>IF(B227="Total",SUM(K$8:K226)+0.0001,IF(OR(B227="",J227&lt;&gt;0),0,VLOOKUP(A227,Journal!$B$7:M$84,8)))</f>
        <v>0</v>
      </c>
      <c r="L227" s="87">
        <f t="shared" si="21"/>
        <v>0</v>
      </c>
      <c r="P227">
        <f t="shared" si="24"/>
        <v>1.0000000000000001E-5</v>
      </c>
      <c r="R227" s="15">
        <f t="shared" si="25"/>
        <v>220</v>
      </c>
      <c r="S227" s="126">
        <f>IF(VLOOKUP(A227,Journal!$A$7:$E$70,5)=0,S226+1,VLOOKUP(A227,Journal!$A$7:$E$70,5))</f>
        <v>45877</v>
      </c>
      <c r="T227" s="125">
        <f>IF(H$2=VLOOKUP(A227,Journal!$A$7:$F$70,6),VLOOKUP(A227,Journal!$A$7:M$70,9),0)</f>
        <v>0</v>
      </c>
      <c r="U227" s="125">
        <f>IF(H$2=VLOOKUP(A227,Journal!$A$7:$G$70,7),VLOOKUP(A227,Journal!$A$7:M$70,9),0)</f>
        <v>0</v>
      </c>
      <c r="V227" s="125">
        <f t="shared" si="26"/>
        <v>40</v>
      </c>
      <c r="X227">
        <f t="shared" si="23"/>
        <v>0</v>
      </c>
      <c r="Y227" s="143">
        <f t="shared" si="22"/>
        <v>-994.28947368421962</v>
      </c>
    </row>
    <row r="228" spans="1:25" x14ac:dyDescent="0.25">
      <c r="A228">
        <f t="shared" si="27"/>
        <v>221</v>
      </c>
      <c r="B228" s="88" t="str">
        <f>IF(OR(B227="Total",B227=""),"",IF(VLOOKUP(A228,Journal!$B$7:$E$84,4)=0,"Total",VLOOKUP(A228,Journal!$B$7:$D$84,3)))</f>
        <v/>
      </c>
      <c r="C228" s="86" t="str">
        <f>IF(B228="","",VLOOKUP(A228,Journal!$B$7:$E$84,4))</f>
        <v/>
      </c>
      <c r="D228" s="114" t="str">
        <f>IF(B228="","",VLOOKUP(A228,Journal!$B$7:$J$84,9))</f>
        <v/>
      </c>
      <c r="E228" s="116"/>
      <c r="F228" s="116"/>
      <c r="G228" s="115"/>
      <c r="H228" s="84" t="str">
        <f>IF(B228="","",VLOOKUP(A228,Journal!$B$7:$L$84,11))</f>
        <v/>
      </c>
      <c r="I228" s="84" t="str">
        <f>IF(B228="","",VLOOKUP(A228,Journal!$B$7:$M$84,12))</f>
        <v/>
      </c>
      <c r="J228" s="105">
        <f>IF(B228="Total",SUM(J$8:J227)+0.0001,IF(OR(B228="",I$2=I228),0,VLOOKUP(A228,Journal!$B$7:M$84,8)))</f>
        <v>0</v>
      </c>
      <c r="K228" s="102">
        <f>IF(B228="Total",SUM(K$8:K227)+0.0001,IF(OR(B228="",J228&lt;&gt;0),0,VLOOKUP(A228,Journal!$B$7:M$84,8)))</f>
        <v>0</v>
      </c>
      <c r="L228" s="87">
        <f t="shared" si="21"/>
        <v>0</v>
      </c>
      <c r="P228">
        <f t="shared" si="24"/>
        <v>1.0000000000000001E-5</v>
      </c>
      <c r="R228" s="15">
        <f t="shared" si="25"/>
        <v>221</v>
      </c>
      <c r="S228" s="126">
        <f>IF(VLOOKUP(A228,Journal!$A$7:$E$70,5)=0,S227+1,VLOOKUP(A228,Journal!$A$7:$E$70,5))</f>
        <v>45878</v>
      </c>
      <c r="T228" s="125">
        <f>IF(H$2=VLOOKUP(A228,Journal!$A$7:$F$70,6),VLOOKUP(A228,Journal!$A$7:M$70,9),0)</f>
        <v>0</v>
      </c>
      <c r="U228" s="125">
        <f>IF(H$2=VLOOKUP(A228,Journal!$A$7:$G$70,7),VLOOKUP(A228,Journal!$A$7:M$70,9),0)</f>
        <v>0</v>
      </c>
      <c r="V228" s="125">
        <f t="shared" si="26"/>
        <v>40</v>
      </c>
      <c r="X228">
        <f t="shared" si="23"/>
        <v>0</v>
      </c>
      <c r="Y228" s="143">
        <f t="shared" si="22"/>
        <v>-994.26315789474597</v>
      </c>
    </row>
    <row r="229" spans="1:25" x14ac:dyDescent="0.25">
      <c r="A229">
        <f t="shared" si="27"/>
        <v>222</v>
      </c>
      <c r="B229" s="88" t="str">
        <f>IF(OR(B228="Total",B228=""),"",IF(VLOOKUP(A229,Journal!$B$7:$E$84,4)=0,"Total",VLOOKUP(A229,Journal!$B$7:$D$84,3)))</f>
        <v/>
      </c>
      <c r="C229" s="86" t="str">
        <f>IF(B229="","",VLOOKUP(A229,Journal!$B$7:$E$84,4))</f>
        <v/>
      </c>
      <c r="D229" s="114" t="str">
        <f>IF(B229="","",VLOOKUP(A229,Journal!$B$7:$J$84,9))</f>
        <v/>
      </c>
      <c r="E229" s="116"/>
      <c r="F229" s="116"/>
      <c r="G229" s="115"/>
      <c r="H229" s="84" t="str">
        <f>IF(B229="","",VLOOKUP(A229,Journal!$B$7:$L$84,11))</f>
        <v/>
      </c>
      <c r="I229" s="84" t="str">
        <f>IF(B229="","",VLOOKUP(A229,Journal!$B$7:$M$84,12))</f>
        <v/>
      </c>
      <c r="J229" s="105">
        <f>IF(B229="Total",SUM(J$8:J228)+0.0001,IF(OR(B229="",I$2=I229),0,VLOOKUP(A229,Journal!$B$7:M$84,8)))</f>
        <v>0</v>
      </c>
      <c r="K229" s="102">
        <f>IF(B229="Total",SUM(K$8:K228)+0.0001,IF(OR(B229="",J229&lt;&gt;0),0,VLOOKUP(A229,Journal!$B$7:M$84,8)))</f>
        <v>0</v>
      </c>
      <c r="L229" s="87">
        <f t="shared" si="21"/>
        <v>0</v>
      </c>
      <c r="P229">
        <f t="shared" si="24"/>
        <v>1.0000000000000001E-5</v>
      </c>
      <c r="R229" s="15">
        <f t="shared" si="25"/>
        <v>222</v>
      </c>
      <c r="S229" s="126">
        <f>IF(VLOOKUP(A229,Journal!$A$7:$E$70,5)=0,S228+1,VLOOKUP(A229,Journal!$A$7:$E$70,5))</f>
        <v>45879</v>
      </c>
      <c r="T229" s="125">
        <f>IF(H$2=VLOOKUP(A229,Journal!$A$7:$F$70,6),VLOOKUP(A229,Journal!$A$7:M$70,9),0)</f>
        <v>0</v>
      </c>
      <c r="U229" s="125">
        <f>IF(H$2=VLOOKUP(A229,Journal!$A$7:$G$70,7),VLOOKUP(A229,Journal!$A$7:M$70,9),0)</f>
        <v>0</v>
      </c>
      <c r="V229" s="125">
        <f t="shared" si="26"/>
        <v>40</v>
      </c>
      <c r="X229">
        <f t="shared" si="23"/>
        <v>0</v>
      </c>
      <c r="Y229" s="143">
        <f t="shared" si="22"/>
        <v>-994.23684210527233</v>
      </c>
    </row>
    <row r="230" spans="1:25" x14ac:dyDescent="0.25">
      <c r="A230">
        <f t="shared" si="27"/>
        <v>223</v>
      </c>
      <c r="B230" s="88" t="str">
        <f>IF(OR(B229="Total",B229=""),"",IF(VLOOKUP(A230,Journal!$B$7:$E$84,4)=0,"Total",VLOOKUP(A230,Journal!$B$7:$D$84,3)))</f>
        <v/>
      </c>
      <c r="C230" s="86" t="str">
        <f>IF(B230="","",VLOOKUP(A230,Journal!$B$7:$E$84,4))</f>
        <v/>
      </c>
      <c r="D230" s="114" t="str">
        <f>IF(B230="","",VLOOKUP(A230,Journal!$B$7:$J$84,9))</f>
        <v/>
      </c>
      <c r="E230" s="116"/>
      <c r="F230" s="116"/>
      <c r="G230" s="115"/>
      <c r="H230" s="84" t="str">
        <f>IF(B230="","",VLOOKUP(A230,Journal!$B$7:$L$84,11))</f>
        <v/>
      </c>
      <c r="I230" s="84" t="str">
        <f>IF(B230="","",VLOOKUP(A230,Journal!$B$7:$M$84,12))</f>
        <v/>
      </c>
      <c r="J230" s="105">
        <f>IF(B230="Total",SUM(J$8:J229)+0.0001,IF(OR(B230="",I$2=I230),0,VLOOKUP(A230,Journal!$B$7:M$84,8)))</f>
        <v>0</v>
      </c>
      <c r="K230" s="102">
        <f>IF(B230="Total",SUM(K$8:K229)+0.0001,IF(OR(B230="",J230&lt;&gt;0),0,VLOOKUP(A230,Journal!$B$7:M$84,8)))</f>
        <v>0</v>
      </c>
      <c r="L230" s="87">
        <f t="shared" si="21"/>
        <v>0</v>
      </c>
      <c r="P230">
        <f t="shared" si="24"/>
        <v>1.0000000000000001E-5</v>
      </c>
      <c r="R230" s="15">
        <f t="shared" si="25"/>
        <v>223</v>
      </c>
      <c r="S230" s="126">
        <f>IF(VLOOKUP(A230,Journal!$A$7:$E$70,5)=0,S229+1,VLOOKUP(A230,Journal!$A$7:$E$70,5))</f>
        <v>45880</v>
      </c>
      <c r="T230" s="125">
        <f>IF(H$2=VLOOKUP(A230,Journal!$A$7:$F$70,6),VLOOKUP(A230,Journal!$A$7:M$70,9),0)</f>
        <v>0</v>
      </c>
      <c r="U230" s="125">
        <f>IF(H$2=VLOOKUP(A230,Journal!$A$7:$G$70,7),VLOOKUP(A230,Journal!$A$7:M$70,9),0)</f>
        <v>0</v>
      </c>
      <c r="V230" s="125">
        <f t="shared" si="26"/>
        <v>40</v>
      </c>
      <c r="X230">
        <f t="shared" si="23"/>
        <v>0</v>
      </c>
      <c r="Y230" s="143">
        <f t="shared" si="22"/>
        <v>-994.21052631579869</v>
      </c>
    </row>
    <row r="231" spans="1:25" x14ac:dyDescent="0.25">
      <c r="A231">
        <f t="shared" si="27"/>
        <v>224</v>
      </c>
      <c r="B231" s="88" t="str">
        <f>IF(OR(B230="Total",B230=""),"",IF(VLOOKUP(A231,Journal!$B$7:$E$84,4)=0,"Total",VLOOKUP(A231,Journal!$B$7:$D$84,3)))</f>
        <v/>
      </c>
      <c r="C231" s="86" t="str">
        <f>IF(B231="","",VLOOKUP(A231,Journal!$B$7:$E$84,4))</f>
        <v/>
      </c>
      <c r="D231" s="114" t="str">
        <f>IF(B231="","",VLOOKUP(A231,Journal!$B$7:$J$84,9))</f>
        <v/>
      </c>
      <c r="E231" s="116"/>
      <c r="F231" s="116"/>
      <c r="G231" s="115"/>
      <c r="H231" s="84" t="str">
        <f>IF(B231="","",VLOOKUP(A231,Journal!$B$7:$L$84,11))</f>
        <v/>
      </c>
      <c r="I231" s="84" t="str">
        <f>IF(B231="","",VLOOKUP(A231,Journal!$B$7:$M$84,12))</f>
        <v/>
      </c>
      <c r="J231" s="105">
        <f>IF(B231="Total",SUM(J$8:J230)+0.0001,IF(OR(B231="",I$2=I231),0,VLOOKUP(A231,Journal!$B$7:M$84,8)))</f>
        <v>0</v>
      </c>
      <c r="K231" s="102">
        <f>IF(B231="Total",SUM(K$8:K230)+0.0001,IF(OR(B231="",J231&lt;&gt;0),0,VLOOKUP(A231,Journal!$B$7:M$84,8)))</f>
        <v>0</v>
      </c>
      <c r="L231" s="87">
        <f t="shared" si="21"/>
        <v>0</v>
      </c>
      <c r="P231">
        <f t="shared" si="24"/>
        <v>1.0000000000000001E-5</v>
      </c>
      <c r="R231" s="15">
        <f t="shared" si="25"/>
        <v>224</v>
      </c>
      <c r="S231" s="126">
        <f>IF(VLOOKUP(A231,Journal!$A$7:$E$70,5)=0,S230+1,VLOOKUP(A231,Journal!$A$7:$E$70,5))</f>
        <v>45881</v>
      </c>
      <c r="T231" s="125">
        <f>IF(H$2=VLOOKUP(A231,Journal!$A$7:$F$70,6),VLOOKUP(A231,Journal!$A$7:M$70,9),0)</f>
        <v>0</v>
      </c>
      <c r="U231" s="125">
        <f>IF(H$2=VLOOKUP(A231,Journal!$A$7:$G$70,7),VLOOKUP(A231,Journal!$A$7:M$70,9),0)</f>
        <v>0</v>
      </c>
      <c r="V231" s="125">
        <f t="shared" si="26"/>
        <v>40</v>
      </c>
      <c r="X231">
        <f t="shared" si="23"/>
        <v>0</v>
      </c>
      <c r="Y231" s="143">
        <f t="shared" si="22"/>
        <v>-994.18421052632505</v>
      </c>
    </row>
    <row r="232" spans="1:25" x14ac:dyDescent="0.25">
      <c r="A232">
        <f t="shared" si="27"/>
        <v>225</v>
      </c>
      <c r="B232" s="88" t="str">
        <f>IF(OR(B231="Total",B231=""),"",IF(VLOOKUP(A232,Journal!$B$7:$E$84,4)=0,"Total",VLOOKUP(A232,Journal!$B$7:$D$84,3)))</f>
        <v/>
      </c>
      <c r="C232" s="86" t="str">
        <f>IF(B232="","",VLOOKUP(A232,Journal!$B$7:$E$84,4))</f>
        <v/>
      </c>
      <c r="D232" s="114" t="str">
        <f>IF(B232="","",VLOOKUP(A232,Journal!$B$7:$J$84,9))</f>
        <v/>
      </c>
      <c r="E232" s="116"/>
      <c r="F232" s="116"/>
      <c r="G232" s="115"/>
      <c r="H232" s="84" t="str">
        <f>IF(B232="","",VLOOKUP(A232,Journal!$B$7:$L$84,11))</f>
        <v/>
      </c>
      <c r="I232" s="84" t="str">
        <f>IF(B232="","",VLOOKUP(A232,Journal!$B$7:$M$84,12))</f>
        <v/>
      </c>
      <c r="J232" s="105">
        <f>IF(B232="Total",SUM(J$8:J231)+0.0001,IF(OR(B232="",I$2=I232),0,VLOOKUP(A232,Journal!$B$7:M$84,8)))</f>
        <v>0</v>
      </c>
      <c r="K232" s="102">
        <f>IF(B232="Total",SUM(K$8:K231)+0.0001,IF(OR(B232="",J232&lt;&gt;0),0,VLOOKUP(A232,Journal!$B$7:M$84,8)))</f>
        <v>0</v>
      </c>
      <c r="L232" s="87">
        <f t="shared" si="21"/>
        <v>0</v>
      </c>
      <c r="P232">
        <f t="shared" si="24"/>
        <v>1.0000000000000001E-5</v>
      </c>
      <c r="R232" s="15">
        <f t="shared" si="25"/>
        <v>225</v>
      </c>
      <c r="S232" s="126">
        <f>IF(VLOOKUP(A232,Journal!$A$7:$E$70,5)=0,S231+1,VLOOKUP(A232,Journal!$A$7:$E$70,5))</f>
        <v>45882</v>
      </c>
      <c r="T232" s="125">
        <f>IF(H$2=VLOOKUP(A232,Journal!$A$7:$F$70,6),VLOOKUP(A232,Journal!$A$7:M$70,9),0)</f>
        <v>0</v>
      </c>
      <c r="U232" s="125">
        <f>IF(H$2=VLOOKUP(A232,Journal!$A$7:$G$70,7),VLOOKUP(A232,Journal!$A$7:M$70,9),0)</f>
        <v>0</v>
      </c>
      <c r="V232" s="125">
        <f t="shared" si="26"/>
        <v>40</v>
      </c>
      <c r="X232">
        <f t="shared" si="23"/>
        <v>0</v>
      </c>
      <c r="Y232" s="143">
        <f t="shared" si="22"/>
        <v>-994.1578947368514</v>
      </c>
    </row>
    <row r="233" spans="1:25" x14ac:dyDescent="0.25">
      <c r="A233">
        <f t="shared" si="27"/>
        <v>226</v>
      </c>
      <c r="B233" s="88" t="str">
        <f>IF(OR(B232="Total",B232=""),"",IF(VLOOKUP(A233,Journal!$B$7:$E$84,4)=0,"Total",VLOOKUP(A233,Journal!$B$7:$D$84,3)))</f>
        <v/>
      </c>
      <c r="C233" s="86" t="str">
        <f>IF(B233="","",VLOOKUP(A233,Journal!$B$7:$E$84,4))</f>
        <v/>
      </c>
      <c r="D233" s="114" t="str">
        <f>IF(B233="","",VLOOKUP(A233,Journal!$B$7:$J$84,9))</f>
        <v/>
      </c>
      <c r="E233" s="116"/>
      <c r="F233" s="116"/>
      <c r="G233" s="115"/>
      <c r="H233" s="84" t="str">
        <f>IF(B233="","",VLOOKUP(A233,Journal!$B$7:$L$84,11))</f>
        <v/>
      </c>
      <c r="I233" s="84" t="str">
        <f>IF(B233="","",VLOOKUP(A233,Journal!$B$7:$M$84,12))</f>
        <v/>
      </c>
      <c r="J233" s="105">
        <f>IF(B233="Total",SUM(J$8:J232)+0.0001,IF(OR(B233="",I$2=I233),0,VLOOKUP(A233,Journal!$B$7:M$84,8)))</f>
        <v>0</v>
      </c>
      <c r="K233" s="102">
        <f>IF(B233="Total",SUM(K$8:K232)+0.0001,IF(OR(B233="",J233&lt;&gt;0),0,VLOOKUP(A233,Journal!$B$7:M$84,8)))</f>
        <v>0</v>
      </c>
      <c r="L233" s="87">
        <f t="shared" si="21"/>
        <v>0</v>
      </c>
      <c r="P233">
        <f t="shared" si="24"/>
        <v>1.0000000000000001E-5</v>
      </c>
      <c r="R233" s="15">
        <f t="shared" si="25"/>
        <v>226</v>
      </c>
      <c r="S233" s="126">
        <f>IF(VLOOKUP(A233,Journal!$A$7:$E$70,5)=0,S232+1,VLOOKUP(A233,Journal!$A$7:$E$70,5))</f>
        <v>45883</v>
      </c>
      <c r="T233" s="125">
        <f>IF(H$2=VLOOKUP(A233,Journal!$A$7:$F$70,6),VLOOKUP(A233,Journal!$A$7:M$70,9),0)</f>
        <v>0</v>
      </c>
      <c r="U233" s="125">
        <f>IF(H$2=VLOOKUP(A233,Journal!$A$7:$G$70,7),VLOOKUP(A233,Journal!$A$7:M$70,9),0)</f>
        <v>0</v>
      </c>
      <c r="V233" s="125">
        <f t="shared" si="26"/>
        <v>40</v>
      </c>
      <c r="X233">
        <f t="shared" si="23"/>
        <v>0</v>
      </c>
      <c r="Y233" s="143">
        <f t="shared" si="22"/>
        <v>-994.13157894737776</v>
      </c>
    </row>
    <row r="234" spans="1:25" x14ac:dyDescent="0.25">
      <c r="A234">
        <f t="shared" si="27"/>
        <v>227</v>
      </c>
      <c r="B234" s="88" t="str">
        <f>IF(OR(B233="Total",B233=""),"",IF(VLOOKUP(A234,Journal!$B$7:$E$84,4)=0,"Total",VLOOKUP(A234,Journal!$B$7:$D$84,3)))</f>
        <v/>
      </c>
      <c r="C234" s="86" t="str">
        <f>IF(B234="","",VLOOKUP(A234,Journal!$B$7:$E$84,4))</f>
        <v/>
      </c>
      <c r="D234" s="114" t="str">
        <f>IF(B234="","",VLOOKUP(A234,Journal!$B$7:$J$84,9))</f>
        <v/>
      </c>
      <c r="E234" s="116"/>
      <c r="F234" s="116"/>
      <c r="G234" s="115"/>
      <c r="H234" s="84" t="str">
        <f>IF(B234="","",VLOOKUP(A234,Journal!$B$7:$L$84,11))</f>
        <v/>
      </c>
      <c r="I234" s="84" t="str">
        <f>IF(B234="","",VLOOKUP(A234,Journal!$B$7:$M$84,12))</f>
        <v/>
      </c>
      <c r="J234" s="105">
        <f>IF(B234="Total",SUM(J$8:J233)+0.0001,IF(OR(B234="",I$2=I234),0,VLOOKUP(A234,Journal!$B$7:M$84,8)))</f>
        <v>0</v>
      </c>
      <c r="K234" s="102">
        <f>IF(B234="Total",SUM(K$8:K233)+0.0001,IF(OR(B234="",J234&lt;&gt;0),0,VLOOKUP(A234,Journal!$B$7:M$84,8)))</f>
        <v>0</v>
      </c>
      <c r="L234" s="87">
        <f t="shared" si="21"/>
        <v>0</v>
      </c>
      <c r="P234">
        <f t="shared" si="24"/>
        <v>1.0000000000000001E-5</v>
      </c>
      <c r="R234" s="15">
        <f t="shared" si="25"/>
        <v>227</v>
      </c>
      <c r="S234" s="126">
        <f>IF(VLOOKUP(A234,Journal!$A$7:$E$70,5)=0,S233+1,VLOOKUP(A234,Journal!$A$7:$E$70,5))</f>
        <v>45884</v>
      </c>
      <c r="T234" s="125">
        <f>IF(H$2=VLOOKUP(A234,Journal!$A$7:$F$70,6),VLOOKUP(A234,Journal!$A$7:M$70,9),0)</f>
        <v>0</v>
      </c>
      <c r="U234" s="125">
        <f>IF(H$2=VLOOKUP(A234,Journal!$A$7:$G$70,7),VLOOKUP(A234,Journal!$A$7:M$70,9),0)</f>
        <v>0</v>
      </c>
      <c r="V234" s="125">
        <f t="shared" si="26"/>
        <v>40</v>
      </c>
      <c r="X234">
        <f t="shared" si="23"/>
        <v>0</v>
      </c>
      <c r="Y234" s="143">
        <f t="shared" si="22"/>
        <v>-994.10526315790412</v>
      </c>
    </row>
    <row r="235" spans="1:25" x14ac:dyDescent="0.25">
      <c r="A235">
        <f t="shared" si="27"/>
        <v>228</v>
      </c>
      <c r="B235" s="88" t="str">
        <f>IF(OR(B234="Total",B234=""),"",IF(VLOOKUP(A235,Journal!$B$7:$E$84,4)=0,"Total",VLOOKUP(A235,Journal!$B$7:$D$84,3)))</f>
        <v/>
      </c>
      <c r="C235" s="86" t="str">
        <f>IF(B235="","",VLOOKUP(A235,Journal!$B$7:$E$84,4))</f>
        <v/>
      </c>
      <c r="D235" s="114" t="str">
        <f>IF(B235="","",VLOOKUP(A235,Journal!$B$7:$J$84,9))</f>
        <v/>
      </c>
      <c r="E235" s="116"/>
      <c r="F235" s="116"/>
      <c r="G235" s="115"/>
      <c r="H235" s="84" t="str">
        <f>IF(B235="","",VLOOKUP(A235,Journal!$B$7:$L$84,11))</f>
        <v/>
      </c>
      <c r="I235" s="84" t="str">
        <f>IF(B235="","",VLOOKUP(A235,Journal!$B$7:$M$84,12))</f>
        <v/>
      </c>
      <c r="J235" s="105">
        <f>IF(B235="Total",SUM(J$8:J234)+0.0001,IF(OR(B235="",I$2=I235),0,VLOOKUP(A235,Journal!$B$7:M$84,8)))</f>
        <v>0</v>
      </c>
      <c r="K235" s="102">
        <f>IF(B235="Total",SUM(K$8:K234)+0.0001,IF(OR(B235="",J235&lt;&gt;0),0,VLOOKUP(A235,Journal!$B$7:M$84,8)))</f>
        <v>0</v>
      </c>
      <c r="L235" s="87">
        <f t="shared" si="21"/>
        <v>0</v>
      </c>
      <c r="P235">
        <f t="shared" si="24"/>
        <v>1.0000000000000001E-5</v>
      </c>
      <c r="R235" s="15">
        <f t="shared" si="25"/>
        <v>228</v>
      </c>
      <c r="S235" s="126">
        <f>IF(VLOOKUP(A235,Journal!$A$7:$E$70,5)=0,S234+1,VLOOKUP(A235,Journal!$A$7:$E$70,5))</f>
        <v>45885</v>
      </c>
      <c r="T235" s="125">
        <f>IF(H$2=VLOOKUP(A235,Journal!$A$7:$F$70,6),VLOOKUP(A235,Journal!$A$7:M$70,9),0)</f>
        <v>0</v>
      </c>
      <c r="U235" s="125">
        <f>IF(H$2=VLOOKUP(A235,Journal!$A$7:$G$70,7),VLOOKUP(A235,Journal!$A$7:M$70,9),0)</f>
        <v>0</v>
      </c>
      <c r="V235" s="125">
        <f t="shared" si="26"/>
        <v>40</v>
      </c>
      <c r="X235">
        <f t="shared" si="23"/>
        <v>0</v>
      </c>
      <c r="Y235" s="143">
        <f t="shared" si="22"/>
        <v>-994.07894736843048</v>
      </c>
    </row>
    <row r="236" spans="1:25" x14ac:dyDescent="0.25">
      <c r="A236">
        <f t="shared" si="27"/>
        <v>229</v>
      </c>
      <c r="B236" s="88" t="str">
        <f>IF(OR(B235="Total",B235=""),"",IF(VLOOKUP(A236,Journal!$B$7:$E$84,4)=0,"Total",VLOOKUP(A236,Journal!$B$7:$D$84,3)))</f>
        <v/>
      </c>
      <c r="C236" s="86" t="str">
        <f>IF(B236="","",VLOOKUP(A236,Journal!$B$7:$E$84,4))</f>
        <v/>
      </c>
      <c r="D236" s="114" t="str">
        <f>IF(B236="","",VLOOKUP(A236,Journal!$B$7:$J$84,9))</f>
        <v/>
      </c>
      <c r="E236" s="116"/>
      <c r="F236" s="116"/>
      <c r="G236" s="115"/>
      <c r="H236" s="84" t="str">
        <f>IF(B236="","",VLOOKUP(A236,Journal!$B$7:$L$84,11))</f>
        <v/>
      </c>
      <c r="I236" s="84" t="str">
        <f>IF(B236="","",VLOOKUP(A236,Journal!$B$7:$M$84,12))</f>
        <v/>
      </c>
      <c r="J236" s="105">
        <f>IF(B236="Total",SUM(J$8:J235)+0.0001,IF(OR(B236="",I$2=I236),0,VLOOKUP(A236,Journal!$B$7:M$84,8)))</f>
        <v>0</v>
      </c>
      <c r="K236" s="102">
        <f>IF(B236="Total",SUM(K$8:K235)+0.0001,IF(OR(B236="",J236&lt;&gt;0),0,VLOOKUP(A236,Journal!$B$7:M$84,8)))</f>
        <v>0</v>
      </c>
      <c r="L236" s="87">
        <f t="shared" si="21"/>
        <v>0</v>
      </c>
      <c r="P236">
        <f t="shared" si="24"/>
        <v>1.0000000000000001E-5</v>
      </c>
      <c r="R236" s="15">
        <f t="shared" si="25"/>
        <v>229</v>
      </c>
      <c r="S236" s="126">
        <f>IF(VLOOKUP(A236,Journal!$A$7:$E$70,5)=0,S235+1,VLOOKUP(A236,Journal!$A$7:$E$70,5))</f>
        <v>45886</v>
      </c>
      <c r="T236" s="125">
        <f>IF(H$2=VLOOKUP(A236,Journal!$A$7:$F$70,6),VLOOKUP(A236,Journal!$A$7:M$70,9),0)</f>
        <v>0</v>
      </c>
      <c r="U236" s="125">
        <f>IF(H$2=VLOOKUP(A236,Journal!$A$7:$G$70,7),VLOOKUP(A236,Journal!$A$7:M$70,9),0)</f>
        <v>0</v>
      </c>
      <c r="V236" s="125">
        <f t="shared" si="26"/>
        <v>40</v>
      </c>
      <c r="X236">
        <f t="shared" si="23"/>
        <v>0</v>
      </c>
      <c r="Y236" s="143">
        <f t="shared" si="22"/>
        <v>-994.05263157895683</v>
      </c>
    </row>
    <row r="237" spans="1:25" x14ac:dyDescent="0.25">
      <c r="A237">
        <f t="shared" si="27"/>
        <v>230</v>
      </c>
      <c r="B237" s="88" t="str">
        <f>IF(OR(B236="Total",B236=""),"",IF(VLOOKUP(A237,Journal!$B$7:$E$84,4)=0,"Total",VLOOKUP(A237,Journal!$B$7:$D$84,3)))</f>
        <v/>
      </c>
      <c r="C237" s="86" t="str">
        <f>IF(B237="","",VLOOKUP(A237,Journal!$B$7:$E$84,4))</f>
        <v/>
      </c>
      <c r="D237" s="114" t="str">
        <f>IF(B237="","",VLOOKUP(A237,Journal!$B$7:$J$84,9))</f>
        <v/>
      </c>
      <c r="E237" s="116"/>
      <c r="F237" s="116"/>
      <c r="G237" s="115"/>
      <c r="H237" s="84" t="str">
        <f>IF(B237="","",VLOOKUP(A237,Journal!$B$7:$L$84,11))</f>
        <v/>
      </c>
      <c r="I237" s="84" t="str">
        <f>IF(B237="","",VLOOKUP(A237,Journal!$B$7:$M$84,12))</f>
        <v/>
      </c>
      <c r="J237" s="105">
        <f>IF(B237="Total",SUM(J$8:J236)+0.0001,IF(OR(B237="",I$2=I237),0,VLOOKUP(A237,Journal!$B$7:M$84,8)))</f>
        <v>0</v>
      </c>
      <c r="K237" s="102">
        <f>IF(B237="Total",SUM(K$8:K236)+0.0001,IF(OR(B237="",J237&lt;&gt;0),0,VLOOKUP(A237,Journal!$B$7:M$84,8)))</f>
        <v>0</v>
      </c>
      <c r="L237" s="87">
        <f t="shared" si="21"/>
        <v>0</v>
      </c>
      <c r="P237">
        <f t="shared" si="24"/>
        <v>1.0000000000000001E-5</v>
      </c>
      <c r="R237" s="15">
        <f t="shared" si="25"/>
        <v>230</v>
      </c>
      <c r="S237" s="126">
        <f>IF(VLOOKUP(A237,Journal!$A$7:$E$70,5)=0,S236+1,VLOOKUP(A237,Journal!$A$7:$E$70,5))</f>
        <v>45887</v>
      </c>
      <c r="T237" s="125">
        <f>IF(H$2=VLOOKUP(A237,Journal!$A$7:$F$70,6),VLOOKUP(A237,Journal!$A$7:M$70,9),0)</f>
        <v>0</v>
      </c>
      <c r="U237" s="125">
        <f>IF(H$2=VLOOKUP(A237,Journal!$A$7:$G$70,7),VLOOKUP(A237,Journal!$A$7:M$70,9),0)</f>
        <v>0</v>
      </c>
      <c r="V237" s="125">
        <f t="shared" si="26"/>
        <v>40</v>
      </c>
      <c r="X237">
        <f t="shared" si="23"/>
        <v>0</v>
      </c>
      <c r="Y237" s="143">
        <f t="shared" si="22"/>
        <v>-994.02631578948319</v>
      </c>
    </row>
    <row r="238" spans="1:25" x14ac:dyDescent="0.25">
      <c r="A238">
        <f t="shared" si="27"/>
        <v>231</v>
      </c>
      <c r="B238" s="88" t="str">
        <f>IF(OR(B237="Total",B237=""),"",IF(VLOOKUP(A238,Journal!$B$7:$E$84,4)=0,"Total",VLOOKUP(A238,Journal!$B$7:$D$84,3)))</f>
        <v/>
      </c>
      <c r="C238" s="86" t="str">
        <f>IF(B238="","",VLOOKUP(A238,Journal!$B$7:$E$84,4))</f>
        <v/>
      </c>
      <c r="D238" s="114" t="str">
        <f>IF(B238="","",VLOOKUP(A238,Journal!$B$7:$J$84,9))</f>
        <v/>
      </c>
      <c r="E238" s="116"/>
      <c r="F238" s="116"/>
      <c r="G238" s="115"/>
      <c r="H238" s="84" t="str">
        <f>IF(B238="","",VLOOKUP(A238,Journal!$B$7:$L$84,11))</f>
        <v/>
      </c>
      <c r="I238" s="84" t="str">
        <f>IF(B238="","",VLOOKUP(A238,Journal!$B$7:$M$84,12))</f>
        <v/>
      </c>
      <c r="J238" s="105">
        <f>IF(B238="Total",SUM(J$8:J237)+0.0001,IF(OR(B238="",I$2=I238),0,VLOOKUP(A238,Journal!$B$7:M$84,8)))</f>
        <v>0</v>
      </c>
      <c r="K238" s="102">
        <f>IF(B238="Total",SUM(K$8:K237)+0.0001,IF(OR(B238="",J238&lt;&gt;0),0,VLOOKUP(A238,Journal!$B$7:M$84,8)))</f>
        <v>0</v>
      </c>
      <c r="L238" s="87">
        <f t="shared" si="21"/>
        <v>0</v>
      </c>
      <c r="P238">
        <f t="shared" si="24"/>
        <v>1.0000000000000001E-5</v>
      </c>
      <c r="R238" s="15">
        <f t="shared" si="25"/>
        <v>231</v>
      </c>
      <c r="S238" s="126">
        <f>IF(VLOOKUP(A238,Journal!$A$7:$E$70,5)=0,S237+1,VLOOKUP(A238,Journal!$A$7:$E$70,5))</f>
        <v>45888</v>
      </c>
      <c r="T238" s="125">
        <f>IF(H$2=VLOOKUP(A238,Journal!$A$7:$F$70,6),VLOOKUP(A238,Journal!$A$7:M$70,9),0)</f>
        <v>0</v>
      </c>
      <c r="U238" s="125">
        <f>IF(H$2=VLOOKUP(A238,Journal!$A$7:$G$70,7),VLOOKUP(A238,Journal!$A$7:M$70,9),0)</f>
        <v>0</v>
      </c>
      <c r="V238" s="125">
        <f t="shared" si="26"/>
        <v>40</v>
      </c>
      <c r="X238">
        <f t="shared" si="23"/>
        <v>0</v>
      </c>
      <c r="Y238" s="143">
        <f t="shared" si="22"/>
        <v>-994.00000000000955</v>
      </c>
    </row>
    <row r="239" spans="1:25" x14ac:dyDescent="0.25">
      <c r="A239">
        <f t="shared" si="27"/>
        <v>232</v>
      </c>
      <c r="B239" s="88" t="str">
        <f>IF(OR(B238="Total",B238=""),"",IF(VLOOKUP(A239,Journal!$B$7:$E$84,4)=0,"Total",VLOOKUP(A239,Journal!$B$7:$D$84,3)))</f>
        <v/>
      </c>
      <c r="C239" s="86" t="str">
        <f>IF(B239="","",VLOOKUP(A239,Journal!$B$7:$E$84,4))</f>
        <v/>
      </c>
      <c r="D239" s="114" t="str">
        <f>IF(B239="","",VLOOKUP(A239,Journal!$B$7:$J$84,9))</f>
        <v/>
      </c>
      <c r="E239" s="116"/>
      <c r="F239" s="116"/>
      <c r="G239" s="115"/>
      <c r="H239" s="84" t="str">
        <f>IF(B239="","",VLOOKUP(A239,Journal!$B$7:$L$84,11))</f>
        <v/>
      </c>
      <c r="I239" s="84" t="str">
        <f>IF(B239="","",VLOOKUP(A239,Journal!$B$7:$M$84,12))</f>
        <v/>
      </c>
      <c r="J239" s="105">
        <f>IF(B239="Total",SUM(J$8:J238)+0.0001,IF(OR(B239="",I$2=I239),0,VLOOKUP(A239,Journal!$B$7:M$84,8)))</f>
        <v>0</v>
      </c>
      <c r="K239" s="102">
        <f>IF(B239="Total",SUM(K$8:K238)+0.0001,IF(OR(B239="",J239&lt;&gt;0),0,VLOOKUP(A239,Journal!$B$7:M$84,8)))</f>
        <v>0</v>
      </c>
      <c r="L239" s="87">
        <f t="shared" si="21"/>
        <v>0</v>
      </c>
      <c r="P239">
        <f t="shared" si="24"/>
        <v>1.0000000000000001E-5</v>
      </c>
      <c r="R239" s="15">
        <f t="shared" si="25"/>
        <v>232</v>
      </c>
      <c r="S239" s="126">
        <f>IF(VLOOKUP(A239,Journal!$A$7:$E$70,5)=0,S238+1,VLOOKUP(A239,Journal!$A$7:$E$70,5))</f>
        <v>45889</v>
      </c>
      <c r="T239" s="125">
        <f>IF(H$2=VLOOKUP(A239,Journal!$A$7:$F$70,6),VLOOKUP(A239,Journal!$A$7:M$70,9),0)</f>
        <v>0</v>
      </c>
      <c r="U239" s="125">
        <f>IF(H$2=VLOOKUP(A239,Journal!$A$7:$G$70,7),VLOOKUP(A239,Journal!$A$7:M$70,9),0)</f>
        <v>0</v>
      </c>
      <c r="V239" s="125">
        <f t="shared" si="26"/>
        <v>40</v>
      </c>
      <c r="X239">
        <f t="shared" si="23"/>
        <v>0</v>
      </c>
      <c r="Y239" s="143">
        <f t="shared" si="22"/>
        <v>-993.97368421053591</v>
      </c>
    </row>
    <row r="240" spans="1:25" x14ac:dyDescent="0.25">
      <c r="A240">
        <f t="shared" si="27"/>
        <v>233</v>
      </c>
      <c r="B240" s="88" t="str">
        <f>IF(OR(B239="Total",B239=""),"",IF(VLOOKUP(A240,Journal!$B$7:$E$84,4)=0,"Total",VLOOKUP(A240,Journal!$B$7:$D$84,3)))</f>
        <v/>
      </c>
      <c r="C240" s="86" t="str">
        <f>IF(B240="","",VLOOKUP(A240,Journal!$B$7:$E$84,4))</f>
        <v/>
      </c>
      <c r="D240" s="114" t="str">
        <f>IF(B240="","",VLOOKUP(A240,Journal!$B$7:$J$84,9))</f>
        <v/>
      </c>
      <c r="E240" s="116"/>
      <c r="F240" s="116"/>
      <c r="G240" s="115"/>
      <c r="H240" s="84" t="str">
        <f>IF(B240="","",VLOOKUP(A240,Journal!$B$7:$L$84,11))</f>
        <v/>
      </c>
      <c r="I240" s="84" t="str">
        <f>IF(B240="","",VLOOKUP(A240,Journal!$B$7:$M$84,12))</f>
        <v/>
      </c>
      <c r="J240" s="105">
        <f>IF(B240="Total",SUM(J$8:J239)+0.0001,IF(OR(B240="",I$2=I240),0,VLOOKUP(A240,Journal!$B$7:M$84,8)))</f>
        <v>0</v>
      </c>
      <c r="K240" s="102">
        <f>IF(B240="Total",SUM(K$8:K239)+0.0001,IF(OR(B240="",J240&lt;&gt;0),0,VLOOKUP(A240,Journal!$B$7:M$84,8)))</f>
        <v>0</v>
      </c>
      <c r="L240" s="87">
        <f t="shared" si="21"/>
        <v>0</v>
      </c>
      <c r="P240">
        <f t="shared" si="24"/>
        <v>1.0000000000000001E-5</v>
      </c>
      <c r="R240" s="15">
        <f t="shared" si="25"/>
        <v>233</v>
      </c>
      <c r="S240" s="126">
        <f>IF(VLOOKUP(A240,Journal!$A$7:$E$70,5)=0,S239+1,VLOOKUP(A240,Journal!$A$7:$E$70,5))</f>
        <v>45890</v>
      </c>
      <c r="T240" s="125">
        <f>IF(H$2=VLOOKUP(A240,Journal!$A$7:$F$70,6),VLOOKUP(A240,Journal!$A$7:M$70,9),0)</f>
        <v>0</v>
      </c>
      <c r="U240" s="125">
        <f>IF(H$2=VLOOKUP(A240,Journal!$A$7:$G$70,7),VLOOKUP(A240,Journal!$A$7:M$70,9),0)</f>
        <v>0</v>
      </c>
      <c r="V240" s="125">
        <f t="shared" si="26"/>
        <v>40</v>
      </c>
      <c r="X240">
        <f t="shared" si="23"/>
        <v>0</v>
      </c>
      <c r="Y240" s="143">
        <f t="shared" si="22"/>
        <v>-993.94736842106227</v>
      </c>
    </row>
    <row r="241" spans="1:25" x14ac:dyDescent="0.25">
      <c r="A241">
        <f t="shared" si="27"/>
        <v>234</v>
      </c>
      <c r="B241" s="88" t="str">
        <f>IF(OR(B240="Total",B240=""),"",IF(VLOOKUP(A241,Journal!$B$7:$E$84,4)=0,"Total",VLOOKUP(A241,Journal!$B$7:$D$84,3)))</f>
        <v/>
      </c>
      <c r="C241" s="86" t="str">
        <f>IF(B241="","",VLOOKUP(A241,Journal!$B$7:$E$84,4))</f>
        <v/>
      </c>
      <c r="D241" s="114" t="str">
        <f>IF(B241="","",VLOOKUP(A241,Journal!$B$7:$J$84,9))</f>
        <v/>
      </c>
      <c r="E241" s="116"/>
      <c r="F241" s="116"/>
      <c r="G241" s="115"/>
      <c r="H241" s="84" t="str">
        <f>IF(B241="","",VLOOKUP(A241,Journal!$B$7:$L$84,11))</f>
        <v/>
      </c>
      <c r="I241" s="84" t="str">
        <f>IF(B241="","",VLOOKUP(A241,Journal!$B$7:$M$84,12))</f>
        <v/>
      </c>
      <c r="J241" s="105">
        <f>IF(B241="Total",SUM(J$8:J240)+0.0001,IF(OR(B241="",I$2=I241),0,VLOOKUP(A241,Journal!$B$7:M$84,8)))</f>
        <v>0</v>
      </c>
      <c r="K241" s="102">
        <f>IF(B241="Total",SUM(K$8:K240)+0.0001,IF(OR(B241="",J241&lt;&gt;0),0,VLOOKUP(A241,Journal!$B$7:M$84,8)))</f>
        <v>0</v>
      </c>
      <c r="L241" s="87">
        <f t="shared" si="21"/>
        <v>0</v>
      </c>
      <c r="P241">
        <f t="shared" si="24"/>
        <v>1.0000000000000001E-5</v>
      </c>
      <c r="R241" s="15">
        <f t="shared" si="25"/>
        <v>234</v>
      </c>
      <c r="S241" s="126">
        <f>IF(VLOOKUP(A241,Journal!$A$7:$E$70,5)=0,S240+1,VLOOKUP(A241,Journal!$A$7:$E$70,5))</f>
        <v>45891</v>
      </c>
      <c r="T241" s="125">
        <f>IF(H$2=VLOOKUP(A241,Journal!$A$7:$F$70,6),VLOOKUP(A241,Journal!$A$7:M$70,9),0)</f>
        <v>0</v>
      </c>
      <c r="U241" s="125">
        <f>IF(H$2=VLOOKUP(A241,Journal!$A$7:$G$70,7),VLOOKUP(A241,Journal!$A$7:M$70,9),0)</f>
        <v>0</v>
      </c>
      <c r="V241" s="125">
        <f t="shared" si="26"/>
        <v>40</v>
      </c>
      <c r="X241">
        <f t="shared" si="23"/>
        <v>0</v>
      </c>
      <c r="Y241" s="143">
        <f t="shared" si="22"/>
        <v>-993.92105263158862</v>
      </c>
    </row>
    <row r="242" spans="1:25" x14ac:dyDescent="0.25">
      <c r="A242">
        <f t="shared" si="27"/>
        <v>235</v>
      </c>
      <c r="B242" s="88" t="str">
        <f>IF(OR(B241="Total",B241=""),"",IF(VLOOKUP(A242,Journal!$B$7:$E$84,4)=0,"Total",VLOOKUP(A242,Journal!$B$7:$D$84,3)))</f>
        <v/>
      </c>
      <c r="C242" s="86" t="str">
        <f>IF(B242="","",VLOOKUP(A242,Journal!$B$7:$E$84,4))</f>
        <v/>
      </c>
      <c r="D242" s="114" t="str">
        <f>IF(B242="","",VLOOKUP(A242,Journal!$B$7:$J$84,9))</f>
        <v/>
      </c>
      <c r="E242" s="116"/>
      <c r="F242" s="116"/>
      <c r="G242" s="115"/>
      <c r="H242" s="84" t="str">
        <f>IF(B242="","",VLOOKUP(A242,Journal!$B$7:$L$84,11))</f>
        <v/>
      </c>
      <c r="I242" s="84" t="str">
        <f>IF(B242="","",VLOOKUP(A242,Journal!$B$7:$M$84,12))</f>
        <v/>
      </c>
      <c r="J242" s="105">
        <f>IF(B242="Total",SUM(J$8:J241)+0.0001,IF(OR(B242="",I$2=I242),0,VLOOKUP(A242,Journal!$B$7:M$84,8)))</f>
        <v>0</v>
      </c>
      <c r="K242" s="102">
        <f>IF(B242="Total",SUM(K$8:K241)+0.0001,IF(OR(B242="",J242&lt;&gt;0),0,VLOOKUP(A242,Journal!$B$7:M$84,8)))</f>
        <v>0</v>
      </c>
      <c r="L242" s="87">
        <f t="shared" si="21"/>
        <v>0</v>
      </c>
      <c r="P242">
        <f t="shared" si="24"/>
        <v>1.0000000000000001E-5</v>
      </c>
      <c r="R242" s="15">
        <f t="shared" si="25"/>
        <v>235</v>
      </c>
      <c r="S242" s="126">
        <f>IF(VLOOKUP(A242,Journal!$A$7:$E$70,5)=0,S241+1,VLOOKUP(A242,Journal!$A$7:$E$70,5))</f>
        <v>45892</v>
      </c>
      <c r="T242" s="125">
        <f>IF(H$2=VLOOKUP(A242,Journal!$A$7:$F$70,6),VLOOKUP(A242,Journal!$A$7:M$70,9),0)</f>
        <v>0</v>
      </c>
      <c r="U242" s="125">
        <f>IF(H$2=VLOOKUP(A242,Journal!$A$7:$G$70,7),VLOOKUP(A242,Journal!$A$7:M$70,9),0)</f>
        <v>0</v>
      </c>
      <c r="V242" s="125">
        <f t="shared" si="26"/>
        <v>40</v>
      </c>
      <c r="X242">
        <f t="shared" si="23"/>
        <v>0</v>
      </c>
      <c r="Y242" s="143">
        <f t="shared" si="22"/>
        <v>-993.89473684211498</v>
      </c>
    </row>
    <row r="243" spans="1:25" x14ac:dyDescent="0.25">
      <c r="A243">
        <f t="shared" si="27"/>
        <v>236</v>
      </c>
      <c r="B243" s="88" t="str">
        <f>IF(OR(B242="Total",B242=""),"",IF(VLOOKUP(A243,Journal!$B$7:$E$84,4)=0,"Total",VLOOKUP(A243,Journal!$B$7:$D$84,3)))</f>
        <v/>
      </c>
      <c r="C243" s="86" t="str">
        <f>IF(B243="","",VLOOKUP(A243,Journal!$B$7:$E$84,4))</f>
        <v/>
      </c>
      <c r="D243" s="114" t="str">
        <f>IF(B243="","",VLOOKUP(A243,Journal!$B$7:$J$84,9))</f>
        <v/>
      </c>
      <c r="E243" s="116"/>
      <c r="F243" s="116"/>
      <c r="G243" s="115"/>
      <c r="H243" s="84" t="str">
        <f>IF(B243="","",VLOOKUP(A243,Journal!$B$7:$L$84,11))</f>
        <v/>
      </c>
      <c r="I243" s="84" t="str">
        <f>IF(B243="","",VLOOKUP(A243,Journal!$B$7:$M$84,12))</f>
        <v/>
      </c>
      <c r="J243" s="105">
        <f>IF(B243="Total",SUM(J$8:J242)+0.0001,IF(OR(B243="",I$2=I243),0,VLOOKUP(A243,Journal!$B$7:M$84,8)))</f>
        <v>0</v>
      </c>
      <c r="K243" s="102">
        <f>IF(B243="Total",SUM(K$8:K242)+0.0001,IF(OR(B243="",J243&lt;&gt;0),0,VLOOKUP(A243,Journal!$B$7:M$84,8)))</f>
        <v>0</v>
      </c>
      <c r="L243" s="87">
        <f t="shared" si="21"/>
        <v>0</v>
      </c>
      <c r="P243">
        <f t="shared" si="24"/>
        <v>1.0000000000000001E-5</v>
      </c>
      <c r="R243" s="15">
        <f t="shared" si="25"/>
        <v>236</v>
      </c>
      <c r="S243" s="126">
        <f>IF(VLOOKUP(A243,Journal!$A$7:$E$70,5)=0,S242+1,VLOOKUP(A243,Journal!$A$7:$E$70,5))</f>
        <v>45893</v>
      </c>
      <c r="T243" s="125">
        <f>IF(H$2=VLOOKUP(A243,Journal!$A$7:$F$70,6),VLOOKUP(A243,Journal!$A$7:M$70,9),0)</f>
        <v>0</v>
      </c>
      <c r="U243" s="125">
        <f>IF(H$2=VLOOKUP(A243,Journal!$A$7:$G$70,7),VLOOKUP(A243,Journal!$A$7:M$70,9),0)</f>
        <v>0</v>
      </c>
      <c r="V243" s="125">
        <f t="shared" si="26"/>
        <v>40</v>
      </c>
      <c r="X243">
        <f t="shared" si="23"/>
        <v>0</v>
      </c>
      <c r="Y243" s="143">
        <f t="shared" si="22"/>
        <v>-993.86842105264134</v>
      </c>
    </row>
    <row r="244" spans="1:25" x14ac:dyDescent="0.25">
      <c r="A244">
        <f t="shared" si="27"/>
        <v>237</v>
      </c>
      <c r="B244" s="88" t="str">
        <f>IF(OR(B243="Total",B243=""),"",IF(VLOOKUP(A244,Journal!$B$7:$E$84,4)=0,"Total",VLOOKUP(A244,Journal!$B$7:$D$84,3)))</f>
        <v/>
      </c>
      <c r="C244" s="86" t="str">
        <f>IF(B244="","",VLOOKUP(A244,Journal!$B$7:$E$84,4))</f>
        <v/>
      </c>
      <c r="D244" s="114" t="str">
        <f>IF(B244="","",VLOOKUP(A244,Journal!$B$7:$J$84,9))</f>
        <v/>
      </c>
      <c r="E244" s="116"/>
      <c r="F244" s="116"/>
      <c r="G244" s="115"/>
      <c r="H244" s="84" t="str">
        <f>IF(B244="","",VLOOKUP(A244,Journal!$B$7:$L$84,11))</f>
        <v/>
      </c>
      <c r="I244" s="84" t="str">
        <f>IF(B244="","",VLOOKUP(A244,Journal!$B$7:$M$84,12))</f>
        <v/>
      </c>
      <c r="J244" s="105">
        <f>IF(B244="Total",SUM(J$8:J243)+0.0001,IF(OR(B244="",I$2=I244),0,VLOOKUP(A244,Journal!$B$7:M$84,8)))</f>
        <v>0</v>
      </c>
      <c r="K244" s="102">
        <f>IF(B244="Total",SUM(K$8:K243)+0.0001,IF(OR(B244="",J244&lt;&gt;0),0,VLOOKUP(A244,Journal!$B$7:M$84,8)))</f>
        <v>0</v>
      </c>
      <c r="L244" s="87">
        <f t="shared" si="21"/>
        <v>0</v>
      </c>
      <c r="P244">
        <f t="shared" si="24"/>
        <v>1.0000000000000001E-5</v>
      </c>
      <c r="R244" s="15">
        <f t="shared" si="25"/>
        <v>237</v>
      </c>
      <c r="S244" s="126">
        <f>IF(VLOOKUP(A244,Journal!$A$7:$E$70,5)=0,S243+1,VLOOKUP(A244,Journal!$A$7:$E$70,5))</f>
        <v>45894</v>
      </c>
      <c r="T244" s="125">
        <f>IF(H$2=VLOOKUP(A244,Journal!$A$7:$F$70,6),VLOOKUP(A244,Journal!$A$7:M$70,9),0)</f>
        <v>0</v>
      </c>
      <c r="U244" s="125">
        <f>IF(H$2=VLOOKUP(A244,Journal!$A$7:$G$70,7),VLOOKUP(A244,Journal!$A$7:M$70,9),0)</f>
        <v>0</v>
      </c>
      <c r="V244" s="125">
        <f t="shared" si="26"/>
        <v>40</v>
      </c>
      <c r="X244">
        <f t="shared" si="23"/>
        <v>0</v>
      </c>
      <c r="Y244" s="143">
        <f t="shared" si="22"/>
        <v>-993.8421052631677</v>
      </c>
    </row>
    <row r="245" spans="1:25" x14ac:dyDescent="0.25">
      <c r="A245">
        <f t="shared" si="27"/>
        <v>238</v>
      </c>
      <c r="B245" s="88" t="str">
        <f>IF(OR(B244="Total",B244=""),"",IF(VLOOKUP(A245,Journal!$B$7:$E$84,4)=0,"Total",VLOOKUP(A245,Journal!$B$7:$D$84,3)))</f>
        <v/>
      </c>
      <c r="C245" s="86" t="str">
        <f>IF(B245="","",VLOOKUP(A245,Journal!$B$7:$E$84,4))</f>
        <v/>
      </c>
      <c r="D245" s="114" t="str">
        <f>IF(B245="","",VLOOKUP(A245,Journal!$B$7:$J$84,9))</f>
        <v/>
      </c>
      <c r="E245" s="116"/>
      <c r="F245" s="116"/>
      <c r="G245" s="115"/>
      <c r="H245" s="84" t="str">
        <f>IF(B245="","",VLOOKUP(A245,Journal!$B$7:$L$84,11))</f>
        <v/>
      </c>
      <c r="I245" s="84" t="str">
        <f>IF(B245="","",VLOOKUP(A245,Journal!$B$7:$M$84,12))</f>
        <v/>
      </c>
      <c r="J245" s="105">
        <f>IF(B245="Total",SUM(J$8:J244)+0.0001,IF(OR(B245="",I$2=I245),0,VLOOKUP(A245,Journal!$B$7:M$84,8)))</f>
        <v>0</v>
      </c>
      <c r="K245" s="102">
        <f>IF(B245="Total",SUM(K$8:K244)+0.0001,IF(OR(B245="",J245&lt;&gt;0),0,VLOOKUP(A245,Journal!$B$7:M$84,8)))</f>
        <v>0</v>
      </c>
      <c r="L245" s="87">
        <f t="shared" si="21"/>
        <v>0</v>
      </c>
      <c r="P245">
        <f t="shared" si="24"/>
        <v>1.0000000000000001E-5</v>
      </c>
      <c r="R245" s="15">
        <f t="shared" si="25"/>
        <v>238</v>
      </c>
      <c r="S245" s="126">
        <f>IF(VLOOKUP(A245,Journal!$A$7:$E$70,5)=0,S244+1,VLOOKUP(A245,Journal!$A$7:$E$70,5))</f>
        <v>45895</v>
      </c>
      <c r="T245" s="125">
        <f>IF(H$2=VLOOKUP(A245,Journal!$A$7:$F$70,6),VLOOKUP(A245,Journal!$A$7:M$70,9),0)</f>
        <v>0</v>
      </c>
      <c r="U245" s="125">
        <f>IF(H$2=VLOOKUP(A245,Journal!$A$7:$G$70,7),VLOOKUP(A245,Journal!$A$7:M$70,9),0)</f>
        <v>0</v>
      </c>
      <c r="V245" s="125">
        <f t="shared" si="26"/>
        <v>40</v>
      </c>
      <c r="X245">
        <f t="shared" si="23"/>
        <v>0</v>
      </c>
      <c r="Y245" s="143">
        <f t="shared" si="22"/>
        <v>-993.81578947369405</v>
      </c>
    </row>
    <row r="246" spans="1:25" x14ac:dyDescent="0.25">
      <c r="A246">
        <f t="shared" si="27"/>
        <v>239</v>
      </c>
      <c r="B246" s="88" t="str">
        <f>IF(OR(B245="Total",B245=""),"",IF(VLOOKUP(A246,Journal!$B$7:$E$84,4)=0,"Total",VLOOKUP(A246,Journal!$B$7:$D$84,3)))</f>
        <v/>
      </c>
      <c r="C246" s="86" t="str">
        <f>IF(B246="","",VLOOKUP(A246,Journal!$B$7:$E$84,4))</f>
        <v/>
      </c>
      <c r="D246" s="114" t="str">
        <f>IF(B246="","",VLOOKUP(A246,Journal!$B$7:$J$84,9))</f>
        <v/>
      </c>
      <c r="E246" s="116"/>
      <c r="F246" s="116"/>
      <c r="G246" s="115"/>
      <c r="H246" s="84" t="str">
        <f>IF(B246="","",VLOOKUP(A246,Journal!$B$7:$L$84,11))</f>
        <v/>
      </c>
      <c r="I246" s="84" t="str">
        <f>IF(B246="","",VLOOKUP(A246,Journal!$B$7:$M$84,12))</f>
        <v/>
      </c>
      <c r="J246" s="105">
        <f>IF(B246="Total",SUM(J$8:J245)+0.0001,IF(OR(B246="",I$2=I246),0,VLOOKUP(A246,Journal!$B$7:M$84,8)))</f>
        <v>0</v>
      </c>
      <c r="K246" s="102">
        <f>IF(B246="Total",SUM(K$8:K245)+0.0001,IF(OR(B246="",J246&lt;&gt;0),0,VLOOKUP(A246,Journal!$B$7:M$84,8)))</f>
        <v>0</v>
      </c>
      <c r="L246" s="87">
        <f t="shared" si="21"/>
        <v>0</v>
      </c>
      <c r="P246">
        <f t="shared" si="24"/>
        <v>1.0000000000000001E-5</v>
      </c>
      <c r="R246" s="15">
        <f t="shared" si="25"/>
        <v>239</v>
      </c>
      <c r="S246" s="126">
        <f>IF(VLOOKUP(A246,Journal!$A$7:$E$70,5)=0,S245+1,VLOOKUP(A246,Journal!$A$7:$E$70,5))</f>
        <v>45896</v>
      </c>
      <c r="T246" s="125">
        <f>IF(H$2=VLOOKUP(A246,Journal!$A$7:$F$70,6),VLOOKUP(A246,Journal!$A$7:M$70,9),0)</f>
        <v>0</v>
      </c>
      <c r="U246" s="125">
        <f>IF(H$2=VLOOKUP(A246,Journal!$A$7:$G$70,7),VLOOKUP(A246,Journal!$A$7:M$70,9),0)</f>
        <v>0</v>
      </c>
      <c r="V246" s="125">
        <f t="shared" si="26"/>
        <v>40</v>
      </c>
      <c r="X246">
        <f t="shared" si="23"/>
        <v>0</v>
      </c>
      <c r="Y246" s="143">
        <f t="shared" si="22"/>
        <v>-993.78947368422041</v>
      </c>
    </row>
    <row r="247" spans="1:25" x14ac:dyDescent="0.25">
      <c r="A247">
        <f t="shared" si="27"/>
        <v>240</v>
      </c>
      <c r="B247" s="88" t="str">
        <f>IF(OR(B246="Total",B246=""),"",IF(VLOOKUP(A247,Journal!$B$7:$E$84,4)=0,"Total",VLOOKUP(A247,Journal!$B$7:$D$84,3)))</f>
        <v/>
      </c>
      <c r="C247" s="86" t="str">
        <f>IF(B247="","",VLOOKUP(A247,Journal!$B$7:$E$84,4))</f>
        <v/>
      </c>
      <c r="D247" s="114" t="str">
        <f>IF(B247="","",VLOOKUP(A247,Journal!$B$7:$J$84,9))</f>
        <v/>
      </c>
      <c r="E247" s="116"/>
      <c r="F247" s="116"/>
      <c r="G247" s="115"/>
      <c r="H247" s="84" t="str">
        <f>IF(B247="","",VLOOKUP(A247,Journal!$B$7:$L$84,11))</f>
        <v/>
      </c>
      <c r="I247" s="84" t="str">
        <f>IF(B247="","",VLOOKUP(A247,Journal!$B$7:$M$84,12))</f>
        <v/>
      </c>
      <c r="J247" s="105">
        <f>IF(B247="Total",SUM(J$8:J246)+0.0001,IF(OR(B247="",I$2=I247),0,VLOOKUP(A247,Journal!$B$7:M$84,8)))</f>
        <v>0</v>
      </c>
      <c r="K247" s="102">
        <f>IF(B247="Total",SUM(K$8:K246)+0.0001,IF(OR(B247="",J247&lt;&gt;0),0,VLOOKUP(A247,Journal!$B$7:M$84,8)))</f>
        <v>0</v>
      </c>
      <c r="L247" s="87">
        <f t="shared" si="21"/>
        <v>0</v>
      </c>
      <c r="P247">
        <f t="shared" si="24"/>
        <v>1.0000000000000001E-5</v>
      </c>
      <c r="R247" s="15">
        <f t="shared" si="25"/>
        <v>240</v>
      </c>
      <c r="S247" s="126">
        <f>IF(VLOOKUP(A247,Journal!$A$7:$E$70,5)=0,S246+1,VLOOKUP(A247,Journal!$A$7:$E$70,5))</f>
        <v>45897</v>
      </c>
      <c r="T247" s="125">
        <f>IF(H$2=VLOOKUP(A247,Journal!$A$7:$F$70,6),VLOOKUP(A247,Journal!$A$7:M$70,9),0)</f>
        <v>0</v>
      </c>
      <c r="U247" s="125">
        <f>IF(H$2=VLOOKUP(A247,Journal!$A$7:$G$70,7),VLOOKUP(A247,Journal!$A$7:M$70,9),0)</f>
        <v>0</v>
      </c>
      <c r="V247" s="125">
        <f t="shared" si="26"/>
        <v>40</v>
      </c>
      <c r="X247">
        <f t="shared" si="23"/>
        <v>0</v>
      </c>
      <c r="Y247" s="143">
        <f t="shared" si="22"/>
        <v>-993.76315789474677</v>
      </c>
    </row>
    <row r="248" spans="1:25" x14ac:dyDescent="0.25">
      <c r="A248">
        <f t="shared" si="27"/>
        <v>241</v>
      </c>
      <c r="B248" s="88" t="str">
        <f>IF(OR(B247="Total",B247=""),"",IF(VLOOKUP(A248,Journal!$B$7:$E$84,4)=0,"Total",VLOOKUP(A248,Journal!$B$7:$D$84,3)))</f>
        <v/>
      </c>
      <c r="C248" s="86" t="str">
        <f>IF(B248="","",VLOOKUP(A248,Journal!$B$7:$E$84,4))</f>
        <v/>
      </c>
      <c r="D248" s="114" t="str">
        <f>IF(B248="","",VLOOKUP(A248,Journal!$B$7:$J$84,9))</f>
        <v/>
      </c>
      <c r="E248" s="116"/>
      <c r="F248" s="116"/>
      <c r="G248" s="115"/>
      <c r="H248" s="84" t="str">
        <f>IF(B248="","",VLOOKUP(A248,Journal!$B$7:$L$84,11))</f>
        <v/>
      </c>
      <c r="I248" s="84" t="str">
        <f>IF(B248="","",VLOOKUP(A248,Journal!$B$7:$M$84,12))</f>
        <v/>
      </c>
      <c r="J248" s="105">
        <f>IF(B248="Total",SUM(J$8:J247)+0.0001,IF(OR(B248="",I$2=I248),0,VLOOKUP(A248,Journal!$B$7:M$84,8)))</f>
        <v>0</v>
      </c>
      <c r="K248" s="102">
        <f>IF(B248="Total",SUM(K$8:K247)+0.0001,IF(OR(B248="",J248&lt;&gt;0),0,VLOOKUP(A248,Journal!$B$7:M$84,8)))</f>
        <v>0</v>
      </c>
      <c r="L248" s="87">
        <f t="shared" si="21"/>
        <v>0</v>
      </c>
      <c r="P248">
        <f t="shared" si="24"/>
        <v>1.0000000000000001E-5</v>
      </c>
      <c r="R248" s="15">
        <f t="shared" si="25"/>
        <v>241</v>
      </c>
      <c r="S248" s="126">
        <f>IF(VLOOKUP(A248,Journal!$A$7:$E$70,5)=0,S247+1,VLOOKUP(A248,Journal!$A$7:$E$70,5))</f>
        <v>45898</v>
      </c>
      <c r="T248" s="125">
        <f>IF(H$2=VLOOKUP(A248,Journal!$A$7:$F$70,6),VLOOKUP(A248,Journal!$A$7:M$70,9),0)</f>
        <v>0</v>
      </c>
      <c r="U248" s="125">
        <f>IF(H$2=VLOOKUP(A248,Journal!$A$7:$G$70,7),VLOOKUP(A248,Journal!$A$7:M$70,9),0)</f>
        <v>0</v>
      </c>
      <c r="V248" s="125">
        <f t="shared" si="26"/>
        <v>40</v>
      </c>
      <c r="X248">
        <f t="shared" si="23"/>
        <v>0</v>
      </c>
      <c r="Y248" s="143">
        <f t="shared" si="22"/>
        <v>-993.73684210527313</v>
      </c>
    </row>
    <row r="249" spans="1:25" x14ac:dyDescent="0.25">
      <c r="A249">
        <f t="shared" si="27"/>
        <v>242</v>
      </c>
      <c r="B249" s="88" t="str">
        <f>IF(OR(B248="Total",B248=""),"",IF(VLOOKUP(A249,Journal!$B$7:$E$84,4)=0,"Total",VLOOKUP(A249,Journal!$B$7:$D$84,3)))</f>
        <v/>
      </c>
      <c r="C249" s="86" t="str">
        <f>IF(B249="","",VLOOKUP(A249,Journal!$B$7:$E$84,4))</f>
        <v/>
      </c>
      <c r="D249" s="114" t="str">
        <f>IF(B249="","",VLOOKUP(A249,Journal!$B$7:$J$84,9))</f>
        <v/>
      </c>
      <c r="E249" s="116"/>
      <c r="F249" s="116"/>
      <c r="G249" s="115"/>
      <c r="H249" s="84" t="str">
        <f>IF(B249="","",VLOOKUP(A249,Journal!$B$7:$L$84,11))</f>
        <v/>
      </c>
      <c r="I249" s="84" t="str">
        <f>IF(B249="","",VLOOKUP(A249,Journal!$B$7:$M$84,12))</f>
        <v/>
      </c>
      <c r="J249" s="105">
        <f>IF(B249="Total",SUM(J$8:J248)+0.0001,IF(OR(B249="",I$2=I249),0,VLOOKUP(A249,Journal!$B$7:M$84,8)))</f>
        <v>0</v>
      </c>
      <c r="K249" s="102">
        <f>IF(B249="Total",SUM(K$8:K248)+0.0001,IF(OR(B249="",J249&lt;&gt;0),0,VLOOKUP(A249,Journal!$B$7:M$84,8)))</f>
        <v>0</v>
      </c>
      <c r="L249" s="87">
        <f t="shared" si="21"/>
        <v>0</v>
      </c>
      <c r="P249">
        <f t="shared" si="24"/>
        <v>1.0000000000000001E-5</v>
      </c>
      <c r="R249" s="15">
        <f t="shared" si="25"/>
        <v>242</v>
      </c>
      <c r="S249" s="126">
        <f>IF(VLOOKUP(A249,Journal!$A$7:$E$70,5)=0,S248+1,VLOOKUP(A249,Journal!$A$7:$E$70,5))</f>
        <v>45899</v>
      </c>
      <c r="T249" s="125">
        <f>IF(H$2=VLOOKUP(A249,Journal!$A$7:$F$70,6),VLOOKUP(A249,Journal!$A$7:M$70,9),0)</f>
        <v>0</v>
      </c>
      <c r="U249" s="125">
        <f>IF(H$2=VLOOKUP(A249,Journal!$A$7:$G$70,7),VLOOKUP(A249,Journal!$A$7:M$70,9),0)</f>
        <v>0</v>
      </c>
      <c r="V249" s="125">
        <f t="shared" si="26"/>
        <v>40</v>
      </c>
      <c r="X249">
        <f t="shared" si="23"/>
        <v>0</v>
      </c>
      <c r="Y249" s="143">
        <f t="shared" si="22"/>
        <v>-993.71052631579948</v>
      </c>
    </row>
    <row r="250" spans="1:25" x14ac:dyDescent="0.25">
      <c r="A250">
        <f t="shared" si="27"/>
        <v>243</v>
      </c>
      <c r="B250" s="88" t="str">
        <f>IF(OR(B249="Total",B249=""),"",IF(VLOOKUP(A250,Journal!$B$7:$E$84,4)=0,"Total",VLOOKUP(A250,Journal!$B$7:$D$84,3)))</f>
        <v/>
      </c>
      <c r="C250" s="86" t="str">
        <f>IF(B250="","",VLOOKUP(A250,Journal!$B$7:$E$84,4))</f>
        <v/>
      </c>
      <c r="D250" s="114" t="str">
        <f>IF(B250="","",VLOOKUP(A250,Journal!$B$7:$J$84,9))</f>
        <v/>
      </c>
      <c r="E250" s="116"/>
      <c r="F250" s="116"/>
      <c r="G250" s="115"/>
      <c r="H250" s="84" t="str">
        <f>IF(B250="","",VLOOKUP(A250,Journal!$B$7:$L$84,11))</f>
        <v/>
      </c>
      <c r="I250" s="84" t="str">
        <f>IF(B250="","",VLOOKUP(A250,Journal!$B$7:$M$84,12))</f>
        <v/>
      </c>
      <c r="J250" s="105">
        <f>IF(B250="Total",SUM(J$8:J249)+0.0001,IF(OR(B250="",I$2=I250),0,VLOOKUP(A250,Journal!$B$7:M$84,8)))</f>
        <v>0</v>
      </c>
      <c r="K250" s="102">
        <f>IF(B250="Total",SUM(K$8:K249)+0.0001,IF(OR(B250="",J250&lt;&gt;0),0,VLOOKUP(A250,Journal!$B$7:M$84,8)))</f>
        <v>0</v>
      </c>
      <c r="L250" s="87">
        <f t="shared" si="21"/>
        <v>0</v>
      </c>
      <c r="P250">
        <f t="shared" si="24"/>
        <v>1.0000000000000001E-5</v>
      </c>
      <c r="R250" s="15">
        <f t="shared" si="25"/>
        <v>243</v>
      </c>
      <c r="S250" s="126">
        <f>IF(VLOOKUP(A250,Journal!$A$7:$E$70,5)=0,S249+1,VLOOKUP(A250,Journal!$A$7:$E$70,5))</f>
        <v>45900</v>
      </c>
      <c r="T250" s="125">
        <f>IF(H$2=VLOOKUP(A250,Journal!$A$7:$F$70,6),VLOOKUP(A250,Journal!$A$7:M$70,9),0)</f>
        <v>0</v>
      </c>
      <c r="U250" s="125">
        <f>IF(H$2=VLOOKUP(A250,Journal!$A$7:$G$70,7),VLOOKUP(A250,Journal!$A$7:M$70,9),0)</f>
        <v>0</v>
      </c>
      <c r="V250" s="125">
        <f t="shared" si="26"/>
        <v>40</v>
      </c>
      <c r="X250">
        <f t="shared" si="23"/>
        <v>0</v>
      </c>
      <c r="Y250" s="143">
        <f t="shared" si="22"/>
        <v>-993.68421052632584</v>
      </c>
    </row>
    <row r="251" spans="1:25" x14ac:dyDescent="0.25">
      <c r="A251">
        <f t="shared" si="27"/>
        <v>244</v>
      </c>
      <c r="B251" s="88" t="str">
        <f>IF(OR(B250="Total",B250=""),"",IF(VLOOKUP(A251,Journal!$B$7:$E$84,4)=0,"Total",VLOOKUP(A251,Journal!$B$7:$D$84,3)))</f>
        <v/>
      </c>
      <c r="C251" s="86" t="str">
        <f>IF(B251="","",VLOOKUP(A251,Journal!$B$7:$E$84,4))</f>
        <v/>
      </c>
      <c r="D251" s="114" t="str">
        <f>IF(B251="","",VLOOKUP(A251,Journal!$B$7:$J$84,9))</f>
        <v/>
      </c>
      <c r="E251" s="116"/>
      <c r="F251" s="116"/>
      <c r="G251" s="115"/>
      <c r="H251" s="84" t="str">
        <f>IF(B251="","",VLOOKUP(A251,Journal!$B$7:$L$84,11))</f>
        <v/>
      </c>
      <c r="I251" s="84" t="str">
        <f>IF(B251="","",VLOOKUP(A251,Journal!$B$7:$M$84,12))</f>
        <v/>
      </c>
      <c r="J251" s="105">
        <f>IF(B251="Total",SUM(J$8:J250)+0.0001,IF(OR(B251="",I$2=I251),0,VLOOKUP(A251,Journal!$B$7:M$84,8)))</f>
        <v>0</v>
      </c>
      <c r="K251" s="102">
        <f>IF(B251="Total",SUM(K$8:K250)+0.0001,IF(OR(B251="",J251&lt;&gt;0),0,VLOOKUP(A251,Journal!$B$7:M$84,8)))</f>
        <v>0</v>
      </c>
      <c r="L251" s="87">
        <f t="shared" si="21"/>
        <v>0</v>
      </c>
      <c r="P251">
        <f t="shared" si="24"/>
        <v>1.0000000000000001E-5</v>
      </c>
      <c r="R251" s="15">
        <f t="shared" si="25"/>
        <v>244</v>
      </c>
      <c r="S251" s="126">
        <f>IF(VLOOKUP(A251,Journal!$A$7:$E$70,5)=0,S250+1,VLOOKUP(A251,Journal!$A$7:$E$70,5))</f>
        <v>45901</v>
      </c>
      <c r="T251" s="125">
        <f>IF(H$2=VLOOKUP(A251,Journal!$A$7:$F$70,6),VLOOKUP(A251,Journal!$A$7:M$70,9),0)</f>
        <v>0</v>
      </c>
      <c r="U251" s="125">
        <f>IF(H$2=VLOOKUP(A251,Journal!$A$7:$G$70,7),VLOOKUP(A251,Journal!$A$7:M$70,9),0)</f>
        <v>0</v>
      </c>
      <c r="V251" s="125">
        <f t="shared" si="26"/>
        <v>40</v>
      </c>
      <c r="X251">
        <f t="shared" si="23"/>
        <v>0</v>
      </c>
      <c r="Y251" s="143">
        <f t="shared" si="22"/>
        <v>-993.6578947368522</v>
      </c>
    </row>
    <row r="252" spans="1:25" x14ac:dyDescent="0.25">
      <c r="A252">
        <f t="shared" si="27"/>
        <v>245</v>
      </c>
      <c r="B252" s="88" t="str">
        <f>IF(OR(B251="Total",B251=""),"",IF(VLOOKUP(A252,Journal!$B$7:$E$84,4)=0,"Total",VLOOKUP(A252,Journal!$B$7:$D$84,3)))</f>
        <v/>
      </c>
      <c r="C252" s="86" t="str">
        <f>IF(B252="","",VLOOKUP(A252,Journal!$B$7:$E$84,4))</f>
        <v/>
      </c>
      <c r="D252" s="114" t="str">
        <f>IF(B252="","",VLOOKUP(A252,Journal!$B$7:$J$84,9))</f>
        <v/>
      </c>
      <c r="E252" s="116"/>
      <c r="F252" s="116"/>
      <c r="G252" s="115"/>
      <c r="H252" s="84" t="str">
        <f>IF(B252="","",VLOOKUP(A252,Journal!$B$7:$L$84,11))</f>
        <v/>
      </c>
      <c r="I252" s="84" t="str">
        <f>IF(B252="","",VLOOKUP(A252,Journal!$B$7:$M$84,12))</f>
        <v/>
      </c>
      <c r="J252" s="105">
        <f>IF(B252="Total",SUM(J$8:J251)+0.0001,IF(OR(B252="",I$2=I252),0,VLOOKUP(A252,Journal!$B$7:M$84,8)))</f>
        <v>0</v>
      </c>
      <c r="K252" s="102">
        <f>IF(B252="Total",SUM(K$8:K251)+0.0001,IF(OR(B252="",J252&lt;&gt;0),0,VLOOKUP(A252,Journal!$B$7:M$84,8)))</f>
        <v>0</v>
      </c>
      <c r="L252" s="87">
        <f t="shared" si="21"/>
        <v>0</v>
      </c>
      <c r="P252">
        <f t="shared" si="24"/>
        <v>1.0000000000000001E-5</v>
      </c>
      <c r="R252" s="15">
        <f t="shared" si="25"/>
        <v>245</v>
      </c>
      <c r="S252" s="126">
        <f>IF(VLOOKUP(A252,Journal!$A$7:$E$70,5)=0,S251+1,VLOOKUP(A252,Journal!$A$7:$E$70,5))</f>
        <v>45902</v>
      </c>
      <c r="T252" s="125">
        <f>IF(H$2=VLOOKUP(A252,Journal!$A$7:$F$70,6),VLOOKUP(A252,Journal!$A$7:M$70,9),0)</f>
        <v>0</v>
      </c>
      <c r="U252" s="125">
        <f>IF(H$2=VLOOKUP(A252,Journal!$A$7:$G$70,7),VLOOKUP(A252,Journal!$A$7:M$70,9),0)</f>
        <v>0</v>
      </c>
      <c r="V252" s="125">
        <f t="shared" si="26"/>
        <v>40</v>
      </c>
      <c r="X252">
        <f t="shared" si="23"/>
        <v>0</v>
      </c>
      <c r="Y252" s="143">
        <f t="shared" si="22"/>
        <v>-993.63157894737856</v>
      </c>
    </row>
    <row r="253" spans="1:25" x14ac:dyDescent="0.25">
      <c r="A253">
        <f t="shared" si="27"/>
        <v>246</v>
      </c>
      <c r="B253" s="88" t="str">
        <f>IF(OR(B252="Total",B252=""),"",IF(VLOOKUP(A253,Journal!$B$7:$E$84,4)=0,"Total",VLOOKUP(A253,Journal!$B$7:$D$84,3)))</f>
        <v/>
      </c>
      <c r="C253" s="86" t="str">
        <f>IF(B253="","",VLOOKUP(A253,Journal!$B$7:$E$84,4))</f>
        <v/>
      </c>
      <c r="D253" s="114" t="str">
        <f>IF(B253="","",VLOOKUP(A253,Journal!$B$7:$J$84,9))</f>
        <v/>
      </c>
      <c r="E253" s="116"/>
      <c r="F253" s="116"/>
      <c r="G253" s="115"/>
      <c r="H253" s="84" t="str">
        <f>IF(B253="","",VLOOKUP(A253,Journal!$B$7:$L$84,11))</f>
        <v/>
      </c>
      <c r="I253" s="84" t="str">
        <f>IF(B253="","",VLOOKUP(A253,Journal!$B$7:$M$84,12))</f>
        <v/>
      </c>
      <c r="J253" s="105">
        <f>IF(B253="Total",SUM(J$8:J252)+0.0001,IF(OR(B253="",I$2=I253),0,VLOOKUP(A253,Journal!$B$7:M$84,8)))</f>
        <v>0</v>
      </c>
      <c r="K253" s="102">
        <f>IF(B253="Total",SUM(K$8:K252)+0.0001,IF(OR(B253="",J253&lt;&gt;0),0,VLOOKUP(A253,Journal!$B$7:M$84,8)))</f>
        <v>0</v>
      </c>
      <c r="L253" s="87">
        <f t="shared" si="21"/>
        <v>0</v>
      </c>
      <c r="P253">
        <f t="shared" si="24"/>
        <v>1.0000000000000001E-5</v>
      </c>
      <c r="R253" s="15">
        <f t="shared" si="25"/>
        <v>246</v>
      </c>
      <c r="S253" s="126">
        <f>IF(VLOOKUP(A253,Journal!$A$7:$E$70,5)=0,S252+1,VLOOKUP(A253,Journal!$A$7:$E$70,5))</f>
        <v>45903</v>
      </c>
      <c r="T253" s="125">
        <f>IF(H$2=VLOOKUP(A253,Journal!$A$7:$F$70,6),VLOOKUP(A253,Journal!$A$7:M$70,9),0)</f>
        <v>0</v>
      </c>
      <c r="U253" s="125">
        <f>IF(H$2=VLOOKUP(A253,Journal!$A$7:$G$70,7),VLOOKUP(A253,Journal!$A$7:M$70,9),0)</f>
        <v>0</v>
      </c>
      <c r="V253" s="125">
        <f t="shared" si="26"/>
        <v>40</v>
      </c>
      <c r="X253">
        <f t="shared" si="23"/>
        <v>0</v>
      </c>
      <c r="Y253" s="143">
        <f t="shared" si="22"/>
        <v>-993.60526315790491</v>
      </c>
    </row>
    <row r="254" spans="1:25" x14ac:dyDescent="0.25">
      <c r="A254">
        <f t="shared" si="27"/>
        <v>247</v>
      </c>
      <c r="B254" s="88" t="str">
        <f>IF(OR(B253="Total",B253=""),"",IF(VLOOKUP(A254,Journal!$B$7:$E$84,4)=0,"Total",VLOOKUP(A254,Journal!$B$7:$D$84,3)))</f>
        <v/>
      </c>
      <c r="C254" s="86" t="str">
        <f>IF(B254="","",VLOOKUP(A254,Journal!$B$7:$E$84,4))</f>
        <v/>
      </c>
      <c r="D254" s="114" t="str">
        <f>IF(B254="","",VLOOKUP(A254,Journal!$B$7:$J$84,9))</f>
        <v/>
      </c>
      <c r="E254" s="116"/>
      <c r="F254" s="116"/>
      <c r="G254" s="115"/>
      <c r="H254" s="84" t="str">
        <f>IF(B254="","",VLOOKUP(A254,Journal!$B$7:$L$84,11))</f>
        <v/>
      </c>
      <c r="I254" s="84" t="str">
        <f>IF(B254="","",VLOOKUP(A254,Journal!$B$7:$M$84,12))</f>
        <v/>
      </c>
      <c r="J254" s="105">
        <f>IF(B254="Total",SUM(J$8:J253)+0.0001,IF(OR(B254="",I$2=I254),0,VLOOKUP(A254,Journal!$B$7:M$84,8)))</f>
        <v>0</v>
      </c>
      <c r="K254" s="102">
        <f>IF(B254="Total",SUM(K$8:K253)+0.0001,IF(OR(B254="",J254&lt;&gt;0),0,VLOOKUP(A254,Journal!$B$7:M$84,8)))</f>
        <v>0</v>
      </c>
      <c r="L254" s="87">
        <f t="shared" si="21"/>
        <v>0</v>
      </c>
      <c r="P254">
        <f t="shared" si="24"/>
        <v>1.0000000000000001E-5</v>
      </c>
      <c r="R254" s="15">
        <f t="shared" si="25"/>
        <v>247</v>
      </c>
      <c r="S254" s="126">
        <f>IF(VLOOKUP(A254,Journal!$A$7:$E$70,5)=0,S253+1,VLOOKUP(A254,Journal!$A$7:$E$70,5))</f>
        <v>45904</v>
      </c>
      <c r="T254" s="125">
        <f>IF(H$2=VLOOKUP(A254,Journal!$A$7:$F$70,6),VLOOKUP(A254,Journal!$A$7:M$70,9),0)</f>
        <v>0</v>
      </c>
      <c r="U254" s="125">
        <f>IF(H$2=VLOOKUP(A254,Journal!$A$7:$G$70,7),VLOOKUP(A254,Journal!$A$7:M$70,9),0)</f>
        <v>0</v>
      </c>
      <c r="V254" s="125">
        <f t="shared" si="26"/>
        <v>40</v>
      </c>
      <c r="X254">
        <f t="shared" si="23"/>
        <v>0</v>
      </c>
      <c r="Y254" s="143">
        <f t="shared" si="22"/>
        <v>-993.57894736843127</v>
      </c>
    </row>
    <row r="255" spans="1:25" x14ac:dyDescent="0.25">
      <c r="A255">
        <f t="shared" si="27"/>
        <v>248</v>
      </c>
      <c r="B255" s="88" t="str">
        <f>IF(OR(B254="Total",B254=""),"",IF(VLOOKUP(A255,Journal!$B$7:$E$84,4)=0,"Total",VLOOKUP(A255,Journal!$B$7:$D$84,3)))</f>
        <v/>
      </c>
      <c r="C255" s="86" t="str">
        <f>IF(B255="","",VLOOKUP(A255,Journal!$B$7:$E$84,4))</f>
        <v/>
      </c>
      <c r="D255" s="114" t="str">
        <f>IF(B255="","",VLOOKUP(A255,Journal!$B$7:$J$84,9))</f>
        <v/>
      </c>
      <c r="E255" s="116"/>
      <c r="F255" s="116"/>
      <c r="G255" s="115"/>
      <c r="H255" s="84" t="str">
        <f>IF(B255="","",VLOOKUP(A255,Journal!$B$7:$L$84,11))</f>
        <v/>
      </c>
      <c r="I255" s="84" t="str">
        <f>IF(B255="","",VLOOKUP(A255,Journal!$B$7:$M$84,12))</f>
        <v/>
      </c>
      <c r="J255" s="105">
        <f>IF(B255="Total",SUM(J$8:J254)+0.0001,IF(OR(B255="",I$2=I255),0,VLOOKUP(A255,Journal!$B$7:M$84,8)))</f>
        <v>0</v>
      </c>
      <c r="K255" s="102">
        <f>IF(B255="Total",SUM(K$8:K254)+0.0001,IF(OR(B255="",J255&lt;&gt;0),0,VLOOKUP(A255,Journal!$B$7:M$84,8)))</f>
        <v>0</v>
      </c>
      <c r="L255" s="87">
        <f t="shared" si="21"/>
        <v>0</v>
      </c>
      <c r="P255">
        <f t="shared" si="24"/>
        <v>1.0000000000000001E-5</v>
      </c>
      <c r="R255" s="15">
        <f t="shared" si="25"/>
        <v>248</v>
      </c>
      <c r="S255" s="126">
        <f>IF(VLOOKUP(A255,Journal!$A$7:$E$70,5)=0,S254+1,VLOOKUP(A255,Journal!$A$7:$E$70,5))</f>
        <v>45905</v>
      </c>
      <c r="T255" s="125">
        <f>IF(H$2=VLOOKUP(A255,Journal!$A$7:$F$70,6),VLOOKUP(A255,Journal!$A$7:M$70,9),0)</f>
        <v>0</v>
      </c>
      <c r="U255" s="125">
        <f>IF(H$2=VLOOKUP(A255,Journal!$A$7:$G$70,7),VLOOKUP(A255,Journal!$A$7:M$70,9),0)</f>
        <v>0</v>
      </c>
      <c r="V255" s="125">
        <f t="shared" si="26"/>
        <v>40</v>
      </c>
      <c r="X255">
        <f t="shared" si="23"/>
        <v>0</v>
      </c>
      <c r="Y255" s="143">
        <f t="shared" si="22"/>
        <v>-993.55263157895763</v>
      </c>
    </row>
    <row r="256" spans="1:25" x14ac:dyDescent="0.25">
      <c r="A256">
        <f t="shared" si="27"/>
        <v>249</v>
      </c>
      <c r="B256" s="88" t="str">
        <f>IF(OR(B255="Total",B255=""),"",IF(VLOOKUP(A256,Journal!$B$7:$E$84,4)=0,"Total",VLOOKUP(A256,Journal!$B$7:$D$84,3)))</f>
        <v/>
      </c>
      <c r="C256" s="86" t="str">
        <f>IF(B256="","",VLOOKUP(A256,Journal!$B$7:$E$84,4))</f>
        <v/>
      </c>
      <c r="D256" s="114" t="str">
        <f>IF(B256="","",VLOOKUP(A256,Journal!$B$7:$J$84,9))</f>
        <v/>
      </c>
      <c r="E256" s="116"/>
      <c r="F256" s="116"/>
      <c r="G256" s="115"/>
      <c r="H256" s="84" t="str">
        <f>IF(B256="","",VLOOKUP(A256,Journal!$B$7:$L$84,11))</f>
        <v/>
      </c>
      <c r="I256" s="84" t="str">
        <f>IF(B256="","",VLOOKUP(A256,Journal!$B$7:$M$84,12))</f>
        <v/>
      </c>
      <c r="J256" s="105">
        <f>IF(B256="Total",SUM(J$8:J255)+0.0001,IF(OR(B256="",I$2=I256),0,VLOOKUP(A256,Journal!$B$7:M$84,8)))</f>
        <v>0</v>
      </c>
      <c r="K256" s="102">
        <f>IF(B256="Total",SUM(K$8:K255)+0.0001,IF(OR(B256="",J256&lt;&gt;0),0,VLOOKUP(A256,Journal!$B$7:M$84,8)))</f>
        <v>0</v>
      </c>
      <c r="L256" s="87">
        <f t="shared" si="21"/>
        <v>0</v>
      </c>
      <c r="P256">
        <f t="shared" si="24"/>
        <v>1.0000000000000001E-5</v>
      </c>
      <c r="R256" s="15">
        <f t="shared" si="25"/>
        <v>249</v>
      </c>
      <c r="S256" s="126">
        <f>IF(VLOOKUP(A256,Journal!$A$7:$E$70,5)=0,S255+1,VLOOKUP(A256,Journal!$A$7:$E$70,5))</f>
        <v>45906</v>
      </c>
      <c r="T256" s="125">
        <f>IF(H$2=VLOOKUP(A256,Journal!$A$7:$F$70,6),VLOOKUP(A256,Journal!$A$7:M$70,9),0)</f>
        <v>0</v>
      </c>
      <c r="U256" s="125">
        <f>IF(H$2=VLOOKUP(A256,Journal!$A$7:$G$70,7),VLOOKUP(A256,Journal!$A$7:M$70,9),0)</f>
        <v>0</v>
      </c>
      <c r="V256" s="125">
        <f t="shared" si="26"/>
        <v>40</v>
      </c>
      <c r="X256">
        <f t="shared" si="23"/>
        <v>0</v>
      </c>
      <c r="Y256" s="143">
        <f t="shared" si="22"/>
        <v>-993.52631578948399</v>
      </c>
    </row>
    <row r="257" spans="1:25" x14ac:dyDescent="0.25">
      <c r="A257">
        <f t="shared" si="27"/>
        <v>250</v>
      </c>
      <c r="B257" s="88" t="str">
        <f>IF(OR(B256="Total",B256=""),"",IF(VLOOKUP(A257,Journal!$B$7:$E$84,4)=0,"Total",VLOOKUP(A257,Journal!$B$7:$D$84,3)))</f>
        <v/>
      </c>
      <c r="C257" s="86" t="str">
        <f>IF(B257="","",VLOOKUP(A257,Journal!$B$7:$E$84,4))</f>
        <v/>
      </c>
      <c r="D257" s="114" t="str">
        <f>IF(B257="","",VLOOKUP(A257,Journal!$B$7:$J$84,9))</f>
        <v/>
      </c>
      <c r="E257" s="116"/>
      <c r="F257" s="116"/>
      <c r="G257" s="115"/>
      <c r="H257" s="84" t="str">
        <f>IF(B257="","",VLOOKUP(A257,Journal!$B$7:$L$84,11))</f>
        <v/>
      </c>
      <c r="I257" s="84" t="str">
        <f>IF(B257="","",VLOOKUP(A257,Journal!$B$7:$M$84,12))</f>
        <v/>
      </c>
      <c r="J257" s="105">
        <f>IF(B257="Total",SUM(J$8:J256)+0.0001,IF(OR(B257="",I$2=I257),0,VLOOKUP(A257,Journal!$B$7:M$84,8)))</f>
        <v>0</v>
      </c>
      <c r="K257" s="102">
        <f>IF(B257="Total",SUM(K$8:K256)+0.0001,IF(OR(B257="",J257&lt;&gt;0),0,VLOOKUP(A257,Journal!$B$7:M$84,8)))</f>
        <v>0</v>
      </c>
      <c r="L257" s="87">
        <f t="shared" si="21"/>
        <v>0</v>
      </c>
      <c r="P257">
        <f t="shared" si="24"/>
        <v>1.0000000000000001E-5</v>
      </c>
      <c r="R257" s="15">
        <f t="shared" si="25"/>
        <v>250</v>
      </c>
      <c r="S257" s="126">
        <f>IF(VLOOKUP(A257,Journal!$A$7:$E$70,5)=0,S256+1,VLOOKUP(A257,Journal!$A$7:$E$70,5))</f>
        <v>45907</v>
      </c>
      <c r="T257" s="125">
        <f>IF(H$2=VLOOKUP(A257,Journal!$A$7:$F$70,6),VLOOKUP(A257,Journal!$A$7:M$70,9),0)</f>
        <v>0</v>
      </c>
      <c r="U257" s="125">
        <f>IF(H$2=VLOOKUP(A257,Journal!$A$7:$G$70,7),VLOOKUP(A257,Journal!$A$7:M$70,9),0)</f>
        <v>0</v>
      </c>
      <c r="V257" s="125">
        <f t="shared" si="26"/>
        <v>40</v>
      </c>
      <c r="X257">
        <f t="shared" si="23"/>
        <v>0</v>
      </c>
      <c r="Y257" s="143">
        <f t="shared" si="22"/>
        <v>-993.50000000001035</v>
      </c>
    </row>
    <row r="258" spans="1:25" x14ac:dyDescent="0.25">
      <c r="A258">
        <f t="shared" si="27"/>
        <v>251</v>
      </c>
      <c r="B258" s="88" t="str">
        <f>IF(OR(B257="Total",B257=""),"",IF(VLOOKUP(A258,Journal!$B$7:$E$84,4)=0,"Total",VLOOKUP(A258,Journal!$B$7:$D$84,3)))</f>
        <v/>
      </c>
      <c r="C258" s="86" t="str">
        <f>IF(B258="","",VLOOKUP(A258,Journal!$B$7:$E$84,4))</f>
        <v/>
      </c>
      <c r="D258" s="114" t="str">
        <f>IF(B258="","",VLOOKUP(A258,Journal!$B$7:$J$84,9))</f>
        <v/>
      </c>
      <c r="E258" s="116"/>
      <c r="F258" s="116"/>
      <c r="G258" s="115"/>
      <c r="H258" s="84" t="str">
        <f>IF(B258="","",VLOOKUP(A258,Journal!$B$7:$L$84,11))</f>
        <v/>
      </c>
      <c r="I258" s="84" t="str">
        <f>IF(B258="","",VLOOKUP(A258,Journal!$B$7:$M$84,12))</f>
        <v/>
      </c>
      <c r="J258" s="105">
        <f>IF(B258="Total",SUM(J$8:J257)+0.0001,IF(OR(B258="",I$2=I258),0,VLOOKUP(A258,Journal!$B$7:M$84,8)))</f>
        <v>0</v>
      </c>
      <c r="K258" s="102">
        <f>IF(B258="Total",SUM(K$8:K257)+0.0001,IF(OR(B258="",J258&lt;&gt;0),0,VLOOKUP(A258,Journal!$B$7:M$84,8)))</f>
        <v>0</v>
      </c>
      <c r="L258" s="87">
        <f t="shared" si="21"/>
        <v>0</v>
      </c>
      <c r="P258">
        <f t="shared" si="24"/>
        <v>1.0000000000000001E-5</v>
      </c>
      <c r="R258" s="15">
        <f t="shared" si="25"/>
        <v>251</v>
      </c>
      <c r="S258" s="126">
        <f>IF(VLOOKUP(A258,Journal!$A$7:$E$70,5)=0,S257+1,VLOOKUP(A258,Journal!$A$7:$E$70,5))</f>
        <v>45908</v>
      </c>
      <c r="T258" s="125">
        <f>IF(H$2=VLOOKUP(A258,Journal!$A$7:$F$70,6),VLOOKUP(A258,Journal!$A$7:M$70,9),0)</f>
        <v>0</v>
      </c>
      <c r="U258" s="125">
        <f>IF(H$2=VLOOKUP(A258,Journal!$A$7:$G$70,7),VLOOKUP(A258,Journal!$A$7:M$70,9),0)</f>
        <v>0</v>
      </c>
      <c r="V258" s="125">
        <f t="shared" si="26"/>
        <v>40</v>
      </c>
      <c r="X258">
        <f t="shared" si="23"/>
        <v>0</v>
      </c>
      <c r="Y258" s="143">
        <f t="shared" si="22"/>
        <v>-993.4736842105367</v>
      </c>
    </row>
    <row r="259" spans="1:25" x14ac:dyDescent="0.25">
      <c r="A259">
        <f t="shared" si="27"/>
        <v>252</v>
      </c>
      <c r="B259" s="88" t="str">
        <f>IF(OR(B258="Total",B258=""),"",IF(VLOOKUP(A259,Journal!$B$7:$E$84,4)=0,"Total",VLOOKUP(A259,Journal!$B$7:$D$84,3)))</f>
        <v/>
      </c>
      <c r="C259" s="86" t="str">
        <f>IF(B259="","",VLOOKUP(A259,Journal!$B$7:$E$84,4))</f>
        <v/>
      </c>
      <c r="D259" s="114" t="str">
        <f>IF(B259="","",VLOOKUP(A259,Journal!$B$7:$J$84,9))</f>
        <v/>
      </c>
      <c r="E259" s="116"/>
      <c r="F259" s="116"/>
      <c r="G259" s="115"/>
      <c r="H259" s="84" t="str">
        <f>IF(B259="","",VLOOKUP(A259,Journal!$B$7:$L$84,11))</f>
        <v/>
      </c>
      <c r="I259" s="84" t="str">
        <f>IF(B259="","",VLOOKUP(A259,Journal!$B$7:$M$84,12))</f>
        <v/>
      </c>
      <c r="J259" s="105">
        <f>IF(B259="Total",SUM(J$8:J258)+0.0001,IF(OR(B259="",I$2=I259),0,VLOOKUP(A259,Journal!$B$7:M$84,8)))</f>
        <v>0</v>
      </c>
      <c r="K259" s="102">
        <f>IF(B259="Total",SUM(K$8:K258)+0.0001,IF(OR(B259="",J259&lt;&gt;0),0,VLOOKUP(A259,Journal!$B$7:M$84,8)))</f>
        <v>0</v>
      </c>
      <c r="L259" s="87">
        <f t="shared" si="21"/>
        <v>0</v>
      </c>
      <c r="P259">
        <f t="shared" si="24"/>
        <v>1.0000000000000001E-5</v>
      </c>
      <c r="R259" s="15">
        <f t="shared" si="25"/>
        <v>252</v>
      </c>
      <c r="S259" s="126">
        <f>IF(VLOOKUP(A259,Journal!$A$7:$E$70,5)=0,S258+1,VLOOKUP(A259,Journal!$A$7:$E$70,5))</f>
        <v>45909</v>
      </c>
      <c r="T259" s="125">
        <f>IF(H$2=VLOOKUP(A259,Journal!$A$7:$F$70,6),VLOOKUP(A259,Journal!$A$7:M$70,9),0)</f>
        <v>0</v>
      </c>
      <c r="U259" s="125">
        <f>IF(H$2=VLOOKUP(A259,Journal!$A$7:$G$70,7),VLOOKUP(A259,Journal!$A$7:M$70,9),0)</f>
        <v>0</v>
      </c>
      <c r="V259" s="125">
        <f t="shared" si="26"/>
        <v>40</v>
      </c>
      <c r="X259">
        <f t="shared" si="23"/>
        <v>0</v>
      </c>
      <c r="Y259" s="143">
        <f t="shared" si="22"/>
        <v>-993.44736842106306</v>
      </c>
    </row>
    <row r="260" spans="1:25" x14ac:dyDescent="0.25">
      <c r="A260">
        <f t="shared" si="27"/>
        <v>253</v>
      </c>
      <c r="B260" s="88" t="str">
        <f>IF(OR(B259="Total",B259=""),"",IF(VLOOKUP(A260,Journal!$B$7:$E$84,4)=0,"Total",VLOOKUP(A260,Journal!$B$7:$D$84,3)))</f>
        <v/>
      </c>
      <c r="C260" s="86" t="str">
        <f>IF(B260="","",VLOOKUP(A260,Journal!$B$7:$E$84,4))</f>
        <v/>
      </c>
      <c r="D260" s="114" t="str">
        <f>IF(B260="","",VLOOKUP(A260,Journal!$B$7:$J$84,9))</f>
        <v/>
      </c>
      <c r="E260" s="116"/>
      <c r="F260" s="116"/>
      <c r="G260" s="115"/>
      <c r="H260" s="84" t="str">
        <f>IF(B260="","",VLOOKUP(A260,Journal!$B$7:$L$84,11))</f>
        <v/>
      </c>
      <c r="I260" s="84" t="str">
        <f>IF(B260="","",VLOOKUP(A260,Journal!$B$7:$M$84,12))</f>
        <v/>
      </c>
      <c r="J260" s="105">
        <f>IF(B260="Total",SUM(J$8:J259)+0.0001,IF(OR(B260="",I$2=I260),0,VLOOKUP(A260,Journal!$B$7:M$84,8)))</f>
        <v>0</v>
      </c>
      <c r="K260" s="102">
        <f>IF(B260="Total",SUM(K$8:K259)+0.0001,IF(OR(B260="",J260&lt;&gt;0),0,VLOOKUP(A260,Journal!$B$7:M$84,8)))</f>
        <v>0</v>
      </c>
      <c r="L260" s="87">
        <f t="shared" si="21"/>
        <v>0</v>
      </c>
      <c r="P260">
        <f t="shared" si="24"/>
        <v>1.0000000000000001E-5</v>
      </c>
      <c r="R260" s="15">
        <f t="shared" si="25"/>
        <v>253</v>
      </c>
      <c r="S260" s="126">
        <f>IF(VLOOKUP(A260,Journal!$A$7:$E$70,5)=0,S259+1,VLOOKUP(A260,Journal!$A$7:$E$70,5))</f>
        <v>45910</v>
      </c>
      <c r="T260" s="125">
        <f>IF(H$2=VLOOKUP(A260,Journal!$A$7:$F$70,6),VLOOKUP(A260,Journal!$A$7:M$70,9),0)</f>
        <v>0</v>
      </c>
      <c r="U260" s="125">
        <f>IF(H$2=VLOOKUP(A260,Journal!$A$7:$G$70,7),VLOOKUP(A260,Journal!$A$7:M$70,9),0)</f>
        <v>0</v>
      </c>
      <c r="V260" s="125">
        <f t="shared" si="26"/>
        <v>40</v>
      </c>
      <c r="X260">
        <f t="shared" si="23"/>
        <v>0</v>
      </c>
      <c r="Y260" s="143">
        <f t="shared" si="22"/>
        <v>-993.42105263158942</v>
      </c>
    </row>
    <row r="261" spans="1:25" x14ac:dyDescent="0.25">
      <c r="A261">
        <f t="shared" si="27"/>
        <v>254</v>
      </c>
      <c r="B261" s="88" t="str">
        <f>IF(OR(B260="Total",B260=""),"",IF(VLOOKUP(A261,Journal!$B$7:$E$84,4)=0,"Total",VLOOKUP(A261,Journal!$B$7:$D$84,3)))</f>
        <v/>
      </c>
      <c r="C261" s="86" t="str">
        <f>IF(B261="","",VLOOKUP(A261,Journal!$B$7:$E$84,4))</f>
        <v/>
      </c>
      <c r="D261" s="114" t="str">
        <f>IF(B261="","",VLOOKUP(A261,Journal!$B$7:$J$84,9))</f>
        <v/>
      </c>
      <c r="E261" s="116"/>
      <c r="F261" s="116"/>
      <c r="G261" s="115"/>
      <c r="H261" s="84" t="str">
        <f>IF(B261="","",VLOOKUP(A261,Journal!$B$7:$L$84,11))</f>
        <v/>
      </c>
      <c r="I261" s="84" t="str">
        <f>IF(B261="","",VLOOKUP(A261,Journal!$B$7:$M$84,12))</f>
        <v/>
      </c>
      <c r="J261" s="105">
        <f>IF(B261="Total",SUM(J$8:J260)+0.0001,IF(OR(B261="",I$2=I261),0,VLOOKUP(A261,Journal!$B$7:M$84,8)))</f>
        <v>0</v>
      </c>
      <c r="K261" s="102">
        <f>IF(B261="Total",SUM(K$8:K260)+0.0001,IF(OR(B261="",J261&lt;&gt;0),0,VLOOKUP(A261,Journal!$B$7:M$84,8)))</f>
        <v>0</v>
      </c>
      <c r="L261" s="87">
        <f t="shared" si="21"/>
        <v>0</v>
      </c>
      <c r="P261">
        <f t="shared" si="24"/>
        <v>1.0000000000000001E-5</v>
      </c>
      <c r="R261" s="15">
        <f t="shared" si="25"/>
        <v>254</v>
      </c>
      <c r="S261" s="126">
        <f>IF(VLOOKUP(A261,Journal!$A$7:$E$70,5)=0,S260+1,VLOOKUP(A261,Journal!$A$7:$E$70,5))</f>
        <v>45911</v>
      </c>
      <c r="T261" s="125">
        <f>IF(H$2=VLOOKUP(A261,Journal!$A$7:$F$70,6),VLOOKUP(A261,Journal!$A$7:M$70,9),0)</f>
        <v>0</v>
      </c>
      <c r="U261" s="125">
        <f>IF(H$2=VLOOKUP(A261,Journal!$A$7:$G$70,7),VLOOKUP(A261,Journal!$A$7:M$70,9),0)</f>
        <v>0</v>
      </c>
      <c r="V261" s="125">
        <f t="shared" si="26"/>
        <v>40</v>
      </c>
      <c r="X261">
        <f t="shared" si="23"/>
        <v>0</v>
      </c>
      <c r="Y261" s="143">
        <f t="shared" si="22"/>
        <v>-993.39473684211578</v>
      </c>
    </row>
    <row r="262" spans="1:25" x14ac:dyDescent="0.25">
      <c r="A262">
        <f t="shared" si="27"/>
        <v>255</v>
      </c>
      <c r="B262" s="88" t="str">
        <f>IF(OR(B261="Total",B261=""),"",IF(VLOOKUP(A262,Journal!$B$7:$E$84,4)=0,"Total",VLOOKUP(A262,Journal!$B$7:$D$84,3)))</f>
        <v/>
      </c>
      <c r="C262" s="86" t="str">
        <f>IF(B262="","",VLOOKUP(A262,Journal!$B$7:$E$84,4))</f>
        <v/>
      </c>
      <c r="D262" s="114" t="str">
        <f>IF(B262="","",VLOOKUP(A262,Journal!$B$7:$J$84,9))</f>
        <v/>
      </c>
      <c r="E262" s="116"/>
      <c r="F262" s="116"/>
      <c r="G262" s="115"/>
      <c r="H262" s="84" t="str">
        <f>IF(B262="","",VLOOKUP(A262,Journal!$B$7:$L$84,11))</f>
        <v/>
      </c>
      <c r="I262" s="84" t="str">
        <f>IF(B262="","",VLOOKUP(A262,Journal!$B$7:$M$84,12))</f>
        <v/>
      </c>
      <c r="J262" s="105">
        <f>IF(B262="Total",SUM(J$8:J261)+0.0001,IF(OR(B262="",I$2=I262),0,VLOOKUP(A262,Journal!$B$7:M$84,8)))</f>
        <v>0</v>
      </c>
      <c r="K262" s="102">
        <f>IF(B262="Total",SUM(K$8:K261)+0.0001,IF(OR(B262="",J262&lt;&gt;0),0,VLOOKUP(A262,Journal!$B$7:M$84,8)))</f>
        <v>0</v>
      </c>
      <c r="L262" s="87">
        <f t="shared" si="21"/>
        <v>0</v>
      </c>
      <c r="P262">
        <f t="shared" si="24"/>
        <v>1.0000000000000001E-5</v>
      </c>
      <c r="R262" s="15">
        <f t="shared" si="25"/>
        <v>255</v>
      </c>
      <c r="S262" s="126">
        <f>IF(VLOOKUP(A262,Journal!$A$7:$E$70,5)=0,S261+1,VLOOKUP(A262,Journal!$A$7:$E$70,5))</f>
        <v>45912</v>
      </c>
      <c r="T262" s="125">
        <f>IF(H$2=VLOOKUP(A262,Journal!$A$7:$F$70,6),VLOOKUP(A262,Journal!$A$7:M$70,9),0)</f>
        <v>0</v>
      </c>
      <c r="U262" s="125">
        <f>IF(H$2=VLOOKUP(A262,Journal!$A$7:$G$70,7),VLOOKUP(A262,Journal!$A$7:M$70,9),0)</f>
        <v>0</v>
      </c>
      <c r="V262" s="125">
        <f t="shared" si="26"/>
        <v>40</v>
      </c>
      <c r="X262">
        <f t="shared" si="23"/>
        <v>0</v>
      </c>
      <c r="Y262" s="143">
        <f t="shared" si="22"/>
        <v>-993.36842105264213</v>
      </c>
    </row>
    <row r="263" spans="1:25" x14ac:dyDescent="0.25">
      <c r="A263">
        <f t="shared" si="27"/>
        <v>256</v>
      </c>
      <c r="B263" s="88" t="str">
        <f>IF(OR(B262="Total",B262=""),"",IF(VLOOKUP(A263,Journal!$B$7:$E$84,4)=0,"Total",VLOOKUP(A263,Journal!$B$7:$D$84,3)))</f>
        <v/>
      </c>
      <c r="C263" s="86" t="str">
        <f>IF(B263="","",VLOOKUP(A263,Journal!$B$7:$E$84,4))</f>
        <v/>
      </c>
      <c r="D263" s="114" t="str">
        <f>IF(B263="","",VLOOKUP(A263,Journal!$B$7:$J$84,9))</f>
        <v/>
      </c>
      <c r="E263" s="116"/>
      <c r="F263" s="116"/>
      <c r="G263" s="115"/>
      <c r="H263" s="84" t="str">
        <f>IF(B263="","",VLOOKUP(A263,Journal!$B$7:$L$84,11))</f>
        <v/>
      </c>
      <c r="I263" s="84" t="str">
        <f>IF(B263="","",VLOOKUP(A263,Journal!$B$7:$M$84,12))</f>
        <v/>
      </c>
      <c r="J263" s="105">
        <f>IF(B263="Total",SUM(J$8:J262)+0.0001,IF(OR(B263="",I$2=I263),0,VLOOKUP(A263,Journal!$B$7:M$84,8)))</f>
        <v>0</v>
      </c>
      <c r="K263" s="102">
        <f>IF(B263="Total",SUM(K$8:K262)+0.0001,IF(OR(B263="",J263&lt;&gt;0),0,VLOOKUP(A263,Journal!$B$7:M$84,8)))</f>
        <v>0</v>
      </c>
      <c r="L263" s="87">
        <f t="shared" si="21"/>
        <v>0</v>
      </c>
      <c r="P263">
        <f t="shared" si="24"/>
        <v>1.0000000000000001E-5</v>
      </c>
      <c r="R263" s="15">
        <f t="shared" si="25"/>
        <v>256</v>
      </c>
      <c r="S263" s="126">
        <f>IF(VLOOKUP(A263,Journal!$A$7:$E$70,5)=0,S262+1,VLOOKUP(A263,Journal!$A$7:$E$70,5))</f>
        <v>45913</v>
      </c>
      <c r="T263" s="125">
        <f>IF(H$2=VLOOKUP(A263,Journal!$A$7:$F$70,6),VLOOKUP(A263,Journal!$A$7:M$70,9),0)</f>
        <v>0</v>
      </c>
      <c r="U263" s="125">
        <f>IF(H$2=VLOOKUP(A263,Journal!$A$7:$G$70,7),VLOOKUP(A263,Journal!$A$7:M$70,9),0)</f>
        <v>0</v>
      </c>
      <c r="V263" s="125">
        <f t="shared" si="26"/>
        <v>40</v>
      </c>
      <c r="X263">
        <f t="shared" si="23"/>
        <v>0</v>
      </c>
      <c r="Y263" s="143">
        <f t="shared" si="22"/>
        <v>-993.34210526316849</v>
      </c>
    </row>
    <row r="264" spans="1:25" x14ac:dyDescent="0.25">
      <c r="A264">
        <f t="shared" si="27"/>
        <v>257</v>
      </c>
      <c r="B264" s="88" t="str">
        <f>IF(OR(B263="Total",B263=""),"",IF(VLOOKUP(A264,Journal!$B$7:$E$84,4)=0,"Total",VLOOKUP(A264,Journal!$B$7:$D$84,3)))</f>
        <v/>
      </c>
      <c r="C264" s="86" t="str">
        <f>IF(B264="","",VLOOKUP(A264,Journal!$B$7:$E$84,4))</f>
        <v/>
      </c>
      <c r="D264" s="114" t="str">
        <f>IF(B264="","",VLOOKUP(A264,Journal!$B$7:$J$84,9))</f>
        <v/>
      </c>
      <c r="E264" s="116"/>
      <c r="F264" s="116"/>
      <c r="G264" s="115"/>
      <c r="H264" s="84" t="str">
        <f>IF(B264="","",VLOOKUP(A264,Journal!$B$7:$L$84,11))</f>
        <v/>
      </c>
      <c r="I264" s="84" t="str">
        <f>IF(B264="","",VLOOKUP(A264,Journal!$B$7:$M$84,12))</f>
        <v/>
      </c>
      <c r="J264" s="105">
        <f>IF(B264="Total",SUM(J$8:J263)+0.0001,IF(OR(B264="",I$2=I264),0,VLOOKUP(A264,Journal!$B$7:M$84,8)))</f>
        <v>0</v>
      </c>
      <c r="K264" s="102">
        <f>IF(B264="Total",SUM(K$8:K263)+0.0001,IF(OR(B264="",J264&lt;&gt;0),0,VLOOKUP(A264,Journal!$B$7:M$84,8)))</f>
        <v>0</v>
      </c>
      <c r="L264" s="87">
        <f t="shared" ref="L264:L327" si="28">IF(B264="Total",L263,IF(B264="",0,IF($M$1=1,L263+J264-K264,L263-J264+K264)))</f>
        <v>0</v>
      </c>
      <c r="P264">
        <f t="shared" si="24"/>
        <v>1.0000000000000001E-5</v>
      </c>
      <c r="R264" s="15">
        <f t="shared" si="25"/>
        <v>257</v>
      </c>
      <c r="S264" s="126">
        <f>IF(VLOOKUP(A264,Journal!$A$7:$E$70,5)=0,S263+1,VLOOKUP(A264,Journal!$A$7:$E$70,5))</f>
        <v>45914</v>
      </c>
      <c r="T264" s="125">
        <f>IF(H$2=VLOOKUP(A264,Journal!$A$7:$F$70,6),VLOOKUP(A264,Journal!$A$7:M$70,9),0)</f>
        <v>0</v>
      </c>
      <c r="U264" s="125">
        <f>IF(H$2=VLOOKUP(A264,Journal!$A$7:$G$70,7),VLOOKUP(A264,Journal!$A$7:M$70,9),0)</f>
        <v>0</v>
      </c>
      <c r="V264" s="125">
        <f t="shared" si="26"/>
        <v>40</v>
      </c>
      <c r="X264">
        <f t="shared" si="23"/>
        <v>0</v>
      </c>
      <c r="Y264" s="143">
        <f t="shared" ref="Y264:Y327" si="29">IF(B263="Total",-1000,Y263+Y$4)</f>
        <v>-993.31578947369485</v>
      </c>
    </row>
    <row r="265" spans="1:25" x14ac:dyDescent="0.25">
      <c r="A265">
        <f t="shared" si="27"/>
        <v>258</v>
      </c>
      <c r="B265" s="88" t="str">
        <f>IF(OR(B264="Total",B264=""),"",IF(VLOOKUP(A265,Journal!$B$7:$E$84,4)=0,"Total",VLOOKUP(A265,Journal!$B$7:$D$84,3)))</f>
        <v/>
      </c>
      <c r="C265" s="86" t="str">
        <f>IF(B265="","",VLOOKUP(A265,Journal!$B$7:$E$84,4))</f>
        <v/>
      </c>
      <c r="D265" s="114" t="str">
        <f>IF(B265="","",VLOOKUP(A265,Journal!$B$7:$J$84,9))</f>
        <v/>
      </c>
      <c r="E265" s="116"/>
      <c r="F265" s="116"/>
      <c r="G265" s="115"/>
      <c r="H265" s="84" t="str">
        <f>IF(B265="","",VLOOKUP(A265,Journal!$B$7:$L$84,11))</f>
        <v/>
      </c>
      <c r="I265" s="84" t="str">
        <f>IF(B265="","",VLOOKUP(A265,Journal!$B$7:$M$84,12))</f>
        <v/>
      </c>
      <c r="J265" s="105">
        <f>IF(B265="Total",SUM(J$8:J264)+0.0001,IF(OR(B265="",I$2=I265),0,VLOOKUP(A265,Journal!$B$7:M$84,8)))</f>
        <v>0</v>
      </c>
      <c r="K265" s="102">
        <f>IF(B265="Total",SUM(K$8:K264)+0.0001,IF(OR(B265="",J265&lt;&gt;0),0,VLOOKUP(A265,Journal!$B$7:M$84,8)))</f>
        <v>0</v>
      </c>
      <c r="L265" s="87">
        <f t="shared" si="28"/>
        <v>0</v>
      </c>
      <c r="P265">
        <f t="shared" si="24"/>
        <v>1.0000000000000001E-5</v>
      </c>
      <c r="R265" s="15">
        <f t="shared" si="25"/>
        <v>258</v>
      </c>
      <c r="S265" s="126">
        <f>IF(VLOOKUP(A265,Journal!$A$7:$E$70,5)=0,S264+1,VLOOKUP(A265,Journal!$A$7:$E$70,5))</f>
        <v>45915</v>
      </c>
      <c r="T265" s="125">
        <f>IF(H$2=VLOOKUP(A265,Journal!$A$7:$F$70,6),VLOOKUP(A265,Journal!$A$7:M$70,9),0)</f>
        <v>0</v>
      </c>
      <c r="U265" s="125">
        <f>IF(H$2=VLOOKUP(A265,Journal!$A$7:$G$70,7),VLOOKUP(A265,Journal!$A$7:M$70,9),0)</f>
        <v>0</v>
      </c>
      <c r="V265" s="125">
        <f t="shared" si="26"/>
        <v>40</v>
      </c>
      <c r="X265">
        <f t="shared" ref="X265:X328" si="30">IF(J$2&gt;S265,1,0)</f>
        <v>0</v>
      </c>
      <c r="Y265" s="143">
        <f t="shared" si="29"/>
        <v>-993.28947368422121</v>
      </c>
    </row>
    <row r="266" spans="1:25" x14ac:dyDescent="0.25">
      <c r="A266">
        <f t="shared" si="27"/>
        <v>259</v>
      </c>
      <c r="B266" s="88" t="str">
        <f>IF(OR(B265="Total",B265=""),"",IF(VLOOKUP(A266,Journal!$B$7:$E$84,4)=0,"Total",VLOOKUP(A266,Journal!$B$7:$D$84,3)))</f>
        <v/>
      </c>
      <c r="C266" s="86" t="str">
        <f>IF(B266="","",VLOOKUP(A266,Journal!$B$7:$E$84,4))</f>
        <v/>
      </c>
      <c r="D266" s="114" t="str">
        <f>IF(B266="","",VLOOKUP(A266,Journal!$B$7:$J$84,9))</f>
        <v/>
      </c>
      <c r="E266" s="116"/>
      <c r="F266" s="116"/>
      <c r="G266" s="115"/>
      <c r="H266" s="84" t="str">
        <f>IF(B266="","",VLOOKUP(A266,Journal!$B$7:$L$84,11))</f>
        <v/>
      </c>
      <c r="I266" s="84" t="str">
        <f>IF(B266="","",VLOOKUP(A266,Journal!$B$7:$M$84,12))</f>
        <v/>
      </c>
      <c r="J266" s="105">
        <f>IF(B266="Total",SUM(J$8:J265)+0.0001,IF(OR(B266="",I$2=I266),0,VLOOKUP(A266,Journal!$B$7:M$84,8)))</f>
        <v>0</v>
      </c>
      <c r="K266" s="102">
        <f>IF(B266="Total",SUM(K$8:K265)+0.0001,IF(OR(B266="",J266&lt;&gt;0),0,VLOOKUP(A266,Journal!$B$7:M$84,8)))</f>
        <v>0</v>
      </c>
      <c r="L266" s="87">
        <f t="shared" si="28"/>
        <v>0</v>
      </c>
      <c r="P266">
        <f t="shared" ref="P266:P329" si="31">IF(L265=L266,L265+0.00001,L266)</f>
        <v>1.0000000000000001E-5</v>
      </c>
      <c r="R266" s="15">
        <f t="shared" ref="R266:R329" si="32">R265+1</f>
        <v>259</v>
      </c>
      <c r="S266" s="126">
        <f>IF(VLOOKUP(A266,Journal!$A$7:$E$70,5)=0,S265+1,VLOOKUP(A266,Journal!$A$7:$E$70,5))</f>
        <v>45916</v>
      </c>
      <c r="T266" s="125">
        <f>IF(H$2=VLOOKUP(A266,Journal!$A$7:$F$70,6),VLOOKUP(A266,Journal!$A$7:M$70,9),0)</f>
        <v>0</v>
      </c>
      <c r="U266" s="125">
        <f>IF(H$2=VLOOKUP(A266,Journal!$A$7:$G$70,7),VLOOKUP(A266,Journal!$A$7:M$70,9),0)</f>
        <v>0</v>
      </c>
      <c r="V266" s="125">
        <f t="shared" ref="V266:V329" si="33">IF($M$1=1,V265+T266-U266,V265-T266+U266)</f>
        <v>40</v>
      </c>
      <c r="X266">
        <f t="shared" si="30"/>
        <v>0</v>
      </c>
      <c r="Y266" s="143">
        <f t="shared" si="29"/>
        <v>-993.26315789474756</v>
      </c>
    </row>
    <row r="267" spans="1:25" x14ac:dyDescent="0.25">
      <c r="A267">
        <f t="shared" ref="A267:A330" si="34">A266+1</f>
        <v>260</v>
      </c>
      <c r="B267" s="88" t="str">
        <f>IF(OR(B266="Total",B266=""),"",IF(VLOOKUP(A267,Journal!$B$7:$E$84,4)=0,"Total",VLOOKUP(A267,Journal!$B$7:$D$84,3)))</f>
        <v/>
      </c>
      <c r="C267" s="86" t="str">
        <f>IF(B267="","",VLOOKUP(A267,Journal!$B$7:$E$84,4))</f>
        <v/>
      </c>
      <c r="D267" s="114" t="str">
        <f>IF(B267="","",VLOOKUP(A267,Journal!$B$7:$J$84,9))</f>
        <v/>
      </c>
      <c r="E267" s="116"/>
      <c r="F267" s="116"/>
      <c r="G267" s="115"/>
      <c r="H267" s="84" t="str">
        <f>IF(B267="","",VLOOKUP(A267,Journal!$B$7:$L$84,11))</f>
        <v/>
      </c>
      <c r="I267" s="84" t="str">
        <f>IF(B267="","",VLOOKUP(A267,Journal!$B$7:$M$84,12))</f>
        <v/>
      </c>
      <c r="J267" s="105">
        <f>IF(B267="Total",SUM(J$8:J266)+0.0001,IF(OR(B267="",I$2=I267),0,VLOOKUP(A267,Journal!$B$7:M$84,8)))</f>
        <v>0</v>
      </c>
      <c r="K267" s="102">
        <f>IF(B267="Total",SUM(K$8:K266)+0.0001,IF(OR(B267="",J267&lt;&gt;0),0,VLOOKUP(A267,Journal!$B$7:M$84,8)))</f>
        <v>0</v>
      </c>
      <c r="L267" s="87">
        <f t="shared" si="28"/>
        <v>0</v>
      </c>
      <c r="P267">
        <f t="shared" si="31"/>
        <v>1.0000000000000001E-5</v>
      </c>
      <c r="R267" s="15">
        <f t="shared" si="32"/>
        <v>260</v>
      </c>
      <c r="S267" s="126">
        <f>IF(VLOOKUP(A267,Journal!$A$7:$E$70,5)=0,S266+1,VLOOKUP(A267,Journal!$A$7:$E$70,5))</f>
        <v>45917</v>
      </c>
      <c r="T267" s="125">
        <f>IF(H$2=VLOOKUP(A267,Journal!$A$7:$F$70,6),VLOOKUP(A267,Journal!$A$7:M$70,9),0)</f>
        <v>0</v>
      </c>
      <c r="U267" s="125">
        <f>IF(H$2=VLOOKUP(A267,Journal!$A$7:$G$70,7),VLOOKUP(A267,Journal!$A$7:M$70,9),0)</f>
        <v>0</v>
      </c>
      <c r="V267" s="125">
        <f t="shared" si="33"/>
        <v>40</v>
      </c>
      <c r="X267">
        <f t="shared" si="30"/>
        <v>0</v>
      </c>
      <c r="Y267" s="143">
        <f t="shared" si="29"/>
        <v>-993.23684210527392</v>
      </c>
    </row>
    <row r="268" spans="1:25" x14ac:dyDescent="0.25">
      <c r="A268">
        <f t="shared" si="34"/>
        <v>261</v>
      </c>
      <c r="B268" s="88" t="str">
        <f>IF(OR(B267="Total",B267=""),"",IF(VLOOKUP(A268,Journal!$B$7:$E$84,4)=0,"Total",VLOOKUP(A268,Journal!$B$7:$D$84,3)))</f>
        <v/>
      </c>
      <c r="C268" s="86" t="str">
        <f>IF(B268="","",VLOOKUP(A268,Journal!$B$7:$E$84,4))</f>
        <v/>
      </c>
      <c r="D268" s="114" t="str">
        <f>IF(B268="","",VLOOKUP(A268,Journal!$B$7:$J$84,9))</f>
        <v/>
      </c>
      <c r="E268" s="116"/>
      <c r="F268" s="116"/>
      <c r="G268" s="115"/>
      <c r="H268" s="84" t="str">
        <f>IF(B268="","",VLOOKUP(A268,Journal!$B$7:$L$84,11))</f>
        <v/>
      </c>
      <c r="I268" s="84" t="str">
        <f>IF(B268="","",VLOOKUP(A268,Journal!$B$7:$M$84,12))</f>
        <v/>
      </c>
      <c r="J268" s="105">
        <f>IF(B268="Total",SUM(J$8:J267)+0.0001,IF(OR(B268="",I$2=I268),0,VLOOKUP(A268,Journal!$B$7:M$84,8)))</f>
        <v>0</v>
      </c>
      <c r="K268" s="102">
        <f>IF(B268="Total",SUM(K$8:K267)+0.0001,IF(OR(B268="",J268&lt;&gt;0),0,VLOOKUP(A268,Journal!$B$7:M$84,8)))</f>
        <v>0</v>
      </c>
      <c r="L268" s="87">
        <f t="shared" si="28"/>
        <v>0</v>
      </c>
      <c r="P268">
        <f t="shared" si="31"/>
        <v>1.0000000000000001E-5</v>
      </c>
      <c r="R268" s="15">
        <f t="shared" si="32"/>
        <v>261</v>
      </c>
      <c r="S268" s="126">
        <f>IF(VLOOKUP(A268,Journal!$A$7:$E$70,5)=0,S267+1,VLOOKUP(A268,Journal!$A$7:$E$70,5))</f>
        <v>45918</v>
      </c>
      <c r="T268" s="125">
        <f>IF(H$2=VLOOKUP(A268,Journal!$A$7:$F$70,6),VLOOKUP(A268,Journal!$A$7:M$70,9),0)</f>
        <v>0</v>
      </c>
      <c r="U268" s="125">
        <f>IF(H$2=VLOOKUP(A268,Journal!$A$7:$G$70,7),VLOOKUP(A268,Journal!$A$7:M$70,9),0)</f>
        <v>0</v>
      </c>
      <c r="V268" s="125">
        <f t="shared" si="33"/>
        <v>40</v>
      </c>
      <c r="X268">
        <f t="shared" si="30"/>
        <v>0</v>
      </c>
      <c r="Y268" s="143">
        <f t="shared" si="29"/>
        <v>-993.21052631580028</v>
      </c>
    </row>
    <row r="269" spans="1:25" x14ac:dyDescent="0.25">
      <c r="A269">
        <f t="shared" si="34"/>
        <v>262</v>
      </c>
      <c r="B269" s="88" t="str">
        <f>IF(OR(B268="Total",B268=""),"",IF(VLOOKUP(A269,Journal!$B$7:$E$84,4)=0,"Total",VLOOKUP(A269,Journal!$B$7:$D$84,3)))</f>
        <v/>
      </c>
      <c r="C269" s="86" t="str">
        <f>IF(B269="","",VLOOKUP(A269,Journal!$B$7:$E$84,4))</f>
        <v/>
      </c>
      <c r="D269" s="114" t="str">
        <f>IF(B269="","",VLOOKUP(A269,Journal!$B$7:$J$84,9))</f>
        <v/>
      </c>
      <c r="E269" s="116"/>
      <c r="F269" s="116"/>
      <c r="G269" s="115"/>
      <c r="H269" s="84" t="str">
        <f>IF(B269="","",VLOOKUP(A269,Journal!$B$7:$L$84,11))</f>
        <v/>
      </c>
      <c r="I269" s="84" t="str">
        <f>IF(B269="","",VLOOKUP(A269,Journal!$B$7:$M$84,12))</f>
        <v/>
      </c>
      <c r="J269" s="105">
        <f>IF(B269="Total",SUM(J$8:J268)+0.0001,IF(OR(B269="",I$2=I269),0,VLOOKUP(A269,Journal!$B$7:M$84,8)))</f>
        <v>0</v>
      </c>
      <c r="K269" s="102">
        <f>IF(B269="Total",SUM(K$8:K268)+0.0001,IF(OR(B269="",J269&lt;&gt;0),0,VLOOKUP(A269,Journal!$B$7:M$84,8)))</f>
        <v>0</v>
      </c>
      <c r="L269" s="87">
        <f t="shared" si="28"/>
        <v>0</v>
      </c>
      <c r="P269">
        <f t="shared" si="31"/>
        <v>1.0000000000000001E-5</v>
      </c>
      <c r="R269" s="15">
        <f t="shared" si="32"/>
        <v>262</v>
      </c>
      <c r="S269" s="126">
        <f>IF(VLOOKUP(A269,Journal!$A$7:$E$70,5)=0,S268+1,VLOOKUP(A269,Journal!$A$7:$E$70,5))</f>
        <v>45919</v>
      </c>
      <c r="T269" s="125">
        <f>IF(H$2=VLOOKUP(A269,Journal!$A$7:$F$70,6),VLOOKUP(A269,Journal!$A$7:M$70,9),0)</f>
        <v>0</v>
      </c>
      <c r="U269" s="125">
        <f>IF(H$2=VLOOKUP(A269,Journal!$A$7:$G$70,7),VLOOKUP(A269,Journal!$A$7:M$70,9),0)</f>
        <v>0</v>
      </c>
      <c r="V269" s="125">
        <f t="shared" si="33"/>
        <v>40</v>
      </c>
      <c r="X269">
        <f t="shared" si="30"/>
        <v>0</v>
      </c>
      <c r="Y269" s="143">
        <f t="shared" si="29"/>
        <v>-993.18421052632664</v>
      </c>
    </row>
    <row r="270" spans="1:25" x14ac:dyDescent="0.25">
      <c r="A270">
        <f t="shared" si="34"/>
        <v>263</v>
      </c>
      <c r="B270" s="88" t="str">
        <f>IF(OR(B269="Total",B269=""),"",IF(VLOOKUP(A270,Journal!$B$7:$E$84,4)=0,"Total",VLOOKUP(A270,Journal!$B$7:$D$84,3)))</f>
        <v/>
      </c>
      <c r="C270" s="86" t="str">
        <f>IF(B270="","",VLOOKUP(A270,Journal!$B$7:$E$84,4))</f>
        <v/>
      </c>
      <c r="D270" s="114" t="str">
        <f>IF(B270="","",VLOOKUP(A270,Journal!$B$7:$J$84,9))</f>
        <v/>
      </c>
      <c r="E270" s="116"/>
      <c r="F270" s="116"/>
      <c r="G270" s="115"/>
      <c r="H270" s="84" t="str">
        <f>IF(B270="","",VLOOKUP(A270,Journal!$B$7:$L$84,11))</f>
        <v/>
      </c>
      <c r="I270" s="84" t="str">
        <f>IF(B270="","",VLOOKUP(A270,Journal!$B$7:$M$84,12))</f>
        <v/>
      </c>
      <c r="J270" s="105">
        <f>IF(B270="Total",SUM(J$8:J269)+0.0001,IF(OR(B270="",I$2=I270),0,VLOOKUP(A270,Journal!$B$7:M$84,8)))</f>
        <v>0</v>
      </c>
      <c r="K270" s="102">
        <f>IF(B270="Total",SUM(K$8:K269)+0.0001,IF(OR(B270="",J270&lt;&gt;0),0,VLOOKUP(A270,Journal!$B$7:M$84,8)))</f>
        <v>0</v>
      </c>
      <c r="L270" s="87">
        <f t="shared" si="28"/>
        <v>0</v>
      </c>
      <c r="P270">
        <f t="shared" si="31"/>
        <v>1.0000000000000001E-5</v>
      </c>
      <c r="R270" s="15">
        <f t="shared" si="32"/>
        <v>263</v>
      </c>
      <c r="S270" s="126">
        <f>IF(VLOOKUP(A270,Journal!$A$7:$E$70,5)=0,S269+1,VLOOKUP(A270,Journal!$A$7:$E$70,5))</f>
        <v>45920</v>
      </c>
      <c r="T270" s="125">
        <f>IF(H$2=VLOOKUP(A270,Journal!$A$7:$F$70,6),VLOOKUP(A270,Journal!$A$7:M$70,9),0)</f>
        <v>0</v>
      </c>
      <c r="U270" s="125">
        <f>IF(H$2=VLOOKUP(A270,Journal!$A$7:$G$70,7),VLOOKUP(A270,Journal!$A$7:M$70,9),0)</f>
        <v>0</v>
      </c>
      <c r="V270" s="125">
        <f t="shared" si="33"/>
        <v>40</v>
      </c>
      <c r="X270">
        <f t="shared" si="30"/>
        <v>0</v>
      </c>
      <c r="Y270" s="143">
        <f t="shared" si="29"/>
        <v>-993.157894736853</v>
      </c>
    </row>
    <row r="271" spans="1:25" x14ac:dyDescent="0.25">
      <c r="A271">
        <f t="shared" si="34"/>
        <v>264</v>
      </c>
      <c r="B271" s="88" t="str">
        <f>IF(OR(B270="Total",B270=""),"",IF(VLOOKUP(A271,Journal!$B$7:$E$84,4)=0,"Total",VLOOKUP(A271,Journal!$B$7:$D$84,3)))</f>
        <v/>
      </c>
      <c r="C271" s="86" t="str">
        <f>IF(B271="","",VLOOKUP(A271,Journal!$B$7:$E$84,4))</f>
        <v/>
      </c>
      <c r="D271" s="114" t="str">
        <f>IF(B271="","",VLOOKUP(A271,Journal!$B$7:$J$84,9))</f>
        <v/>
      </c>
      <c r="E271" s="116"/>
      <c r="F271" s="116"/>
      <c r="G271" s="115"/>
      <c r="H271" s="84" t="str">
        <f>IF(B271="","",VLOOKUP(A271,Journal!$B$7:$L$84,11))</f>
        <v/>
      </c>
      <c r="I271" s="84" t="str">
        <f>IF(B271="","",VLOOKUP(A271,Journal!$B$7:$M$84,12))</f>
        <v/>
      </c>
      <c r="J271" s="105">
        <f>IF(B271="Total",SUM(J$8:J270)+0.0001,IF(OR(B271="",I$2=I271),0,VLOOKUP(A271,Journal!$B$7:M$84,8)))</f>
        <v>0</v>
      </c>
      <c r="K271" s="102">
        <f>IF(B271="Total",SUM(K$8:K270)+0.0001,IF(OR(B271="",J271&lt;&gt;0),0,VLOOKUP(A271,Journal!$B$7:M$84,8)))</f>
        <v>0</v>
      </c>
      <c r="L271" s="87">
        <f t="shared" si="28"/>
        <v>0</v>
      </c>
      <c r="P271">
        <f t="shared" si="31"/>
        <v>1.0000000000000001E-5</v>
      </c>
      <c r="R271" s="15">
        <f t="shared" si="32"/>
        <v>264</v>
      </c>
      <c r="S271" s="126">
        <f>IF(VLOOKUP(A271,Journal!$A$7:$E$70,5)=0,S270+1,VLOOKUP(A271,Journal!$A$7:$E$70,5))</f>
        <v>45921</v>
      </c>
      <c r="T271" s="125">
        <f>IF(H$2=VLOOKUP(A271,Journal!$A$7:$F$70,6),VLOOKUP(A271,Journal!$A$7:M$70,9),0)</f>
        <v>0</v>
      </c>
      <c r="U271" s="125">
        <f>IF(H$2=VLOOKUP(A271,Journal!$A$7:$G$70,7),VLOOKUP(A271,Journal!$A$7:M$70,9),0)</f>
        <v>0</v>
      </c>
      <c r="V271" s="125">
        <f t="shared" si="33"/>
        <v>40</v>
      </c>
      <c r="X271">
        <f t="shared" si="30"/>
        <v>0</v>
      </c>
      <c r="Y271" s="143">
        <f t="shared" si="29"/>
        <v>-993.13157894737935</v>
      </c>
    </row>
    <row r="272" spans="1:25" x14ac:dyDescent="0.25">
      <c r="A272">
        <f t="shared" si="34"/>
        <v>265</v>
      </c>
      <c r="B272" s="88" t="str">
        <f>IF(OR(B271="Total",B271=""),"",IF(VLOOKUP(A272,Journal!$B$7:$E$84,4)=0,"Total",VLOOKUP(A272,Journal!$B$7:$D$84,3)))</f>
        <v/>
      </c>
      <c r="C272" s="86" t="str">
        <f>IF(B272="","",VLOOKUP(A272,Journal!$B$7:$E$84,4))</f>
        <v/>
      </c>
      <c r="D272" s="114" t="str">
        <f>IF(B272="","",VLOOKUP(A272,Journal!$B$7:$J$84,9))</f>
        <v/>
      </c>
      <c r="E272" s="116"/>
      <c r="F272" s="116"/>
      <c r="G272" s="115"/>
      <c r="H272" s="84" t="str">
        <f>IF(B272="","",VLOOKUP(A272,Journal!$B$7:$L$84,11))</f>
        <v/>
      </c>
      <c r="I272" s="84" t="str">
        <f>IF(B272="","",VLOOKUP(A272,Journal!$B$7:$M$84,12))</f>
        <v/>
      </c>
      <c r="J272" s="105">
        <f>IF(B272="Total",SUM(J$8:J271)+0.0001,IF(OR(B272="",I$2=I272),0,VLOOKUP(A272,Journal!$B$7:M$84,8)))</f>
        <v>0</v>
      </c>
      <c r="K272" s="102">
        <f>IF(B272="Total",SUM(K$8:K271)+0.0001,IF(OR(B272="",J272&lt;&gt;0),0,VLOOKUP(A272,Journal!$B$7:M$84,8)))</f>
        <v>0</v>
      </c>
      <c r="L272" s="87">
        <f t="shared" si="28"/>
        <v>0</v>
      </c>
      <c r="P272">
        <f t="shared" si="31"/>
        <v>1.0000000000000001E-5</v>
      </c>
      <c r="R272" s="15">
        <f t="shared" si="32"/>
        <v>265</v>
      </c>
      <c r="S272" s="126">
        <f>IF(VLOOKUP(A272,Journal!$A$7:$E$70,5)=0,S271+1,VLOOKUP(A272,Journal!$A$7:$E$70,5))</f>
        <v>45922</v>
      </c>
      <c r="T272" s="125">
        <f>IF(H$2=VLOOKUP(A272,Journal!$A$7:$F$70,6),VLOOKUP(A272,Journal!$A$7:M$70,9),0)</f>
        <v>0</v>
      </c>
      <c r="U272" s="125">
        <f>IF(H$2=VLOOKUP(A272,Journal!$A$7:$G$70,7),VLOOKUP(A272,Journal!$A$7:M$70,9),0)</f>
        <v>0</v>
      </c>
      <c r="V272" s="125">
        <f t="shared" si="33"/>
        <v>40</v>
      </c>
      <c r="X272">
        <f t="shared" si="30"/>
        <v>0</v>
      </c>
      <c r="Y272" s="143">
        <f t="shared" si="29"/>
        <v>-993.10526315790571</v>
      </c>
    </row>
    <row r="273" spans="1:25" x14ac:dyDescent="0.25">
      <c r="A273">
        <f t="shared" si="34"/>
        <v>266</v>
      </c>
      <c r="B273" s="88" t="str">
        <f>IF(OR(B272="Total",B272=""),"",IF(VLOOKUP(A273,Journal!$B$7:$E$84,4)=0,"Total",VLOOKUP(A273,Journal!$B$7:$D$84,3)))</f>
        <v/>
      </c>
      <c r="C273" s="86" t="str">
        <f>IF(B273="","",VLOOKUP(A273,Journal!$B$7:$E$84,4))</f>
        <v/>
      </c>
      <c r="D273" s="114" t="str">
        <f>IF(B273="","",VLOOKUP(A273,Journal!$B$7:$J$84,9))</f>
        <v/>
      </c>
      <c r="E273" s="116"/>
      <c r="F273" s="116"/>
      <c r="G273" s="115"/>
      <c r="H273" s="84" t="str">
        <f>IF(B273="","",VLOOKUP(A273,Journal!$B$7:$L$84,11))</f>
        <v/>
      </c>
      <c r="I273" s="84" t="str">
        <f>IF(B273="","",VLOOKUP(A273,Journal!$B$7:$M$84,12))</f>
        <v/>
      </c>
      <c r="J273" s="105">
        <f>IF(B273="Total",SUM(J$8:J272)+0.0001,IF(OR(B273="",I$2=I273),0,VLOOKUP(A273,Journal!$B$7:M$84,8)))</f>
        <v>0</v>
      </c>
      <c r="K273" s="102">
        <f>IF(B273="Total",SUM(K$8:K272)+0.0001,IF(OR(B273="",J273&lt;&gt;0),0,VLOOKUP(A273,Journal!$B$7:M$84,8)))</f>
        <v>0</v>
      </c>
      <c r="L273" s="87">
        <f t="shared" si="28"/>
        <v>0</v>
      </c>
      <c r="P273">
        <f t="shared" si="31"/>
        <v>1.0000000000000001E-5</v>
      </c>
      <c r="R273" s="15">
        <f t="shared" si="32"/>
        <v>266</v>
      </c>
      <c r="S273" s="126">
        <f>IF(VLOOKUP(A273,Journal!$A$7:$E$70,5)=0,S272+1,VLOOKUP(A273,Journal!$A$7:$E$70,5))</f>
        <v>45923</v>
      </c>
      <c r="T273" s="125">
        <f>IF(H$2=VLOOKUP(A273,Journal!$A$7:$F$70,6),VLOOKUP(A273,Journal!$A$7:M$70,9),0)</f>
        <v>0</v>
      </c>
      <c r="U273" s="125">
        <f>IF(H$2=VLOOKUP(A273,Journal!$A$7:$G$70,7),VLOOKUP(A273,Journal!$A$7:M$70,9),0)</f>
        <v>0</v>
      </c>
      <c r="V273" s="125">
        <f t="shared" si="33"/>
        <v>40</v>
      </c>
      <c r="X273">
        <f t="shared" si="30"/>
        <v>0</v>
      </c>
      <c r="Y273" s="143">
        <f t="shared" si="29"/>
        <v>-993.07894736843207</v>
      </c>
    </row>
    <row r="274" spans="1:25" x14ac:dyDescent="0.25">
      <c r="A274">
        <f t="shared" si="34"/>
        <v>267</v>
      </c>
      <c r="B274" s="88" t="str">
        <f>IF(OR(B273="Total",B273=""),"",IF(VLOOKUP(A274,Journal!$B$7:$E$84,4)=0,"Total",VLOOKUP(A274,Journal!$B$7:$D$84,3)))</f>
        <v/>
      </c>
      <c r="C274" s="86" t="str">
        <f>IF(B274="","",VLOOKUP(A274,Journal!$B$7:$E$84,4))</f>
        <v/>
      </c>
      <c r="D274" s="114" t="str">
        <f>IF(B274="","",VLOOKUP(A274,Journal!$B$7:$J$84,9))</f>
        <v/>
      </c>
      <c r="E274" s="116"/>
      <c r="F274" s="116"/>
      <c r="G274" s="115"/>
      <c r="H274" s="84" t="str">
        <f>IF(B274="","",VLOOKUP(A274,Journal!$B$7:$L$84,11))</f>
        <v/>
      </c>
      <c r="I274" s="84" t="str">
        <f>IF(B274="","",VLOOKUP(A274,Journal!$B$7:$M$84,12))</f>
        <v/>
      </c>
      <c r="J274" s="105">
        <f>IF(B274="Total",SUM(J$8:J273)+0.0001,IF(OR(B274="",I$2=I274),0,VLOOKUP(A274,Journal!$B$7:M$84,8)))</f>
        <v>0</v>
      </c>
      <c r="K274" s="102">
        <f>IF(B274="Total",SUM(K$8:K273)+0.0001,IF(OR(B274="",J274&lt;&gt;0),0,VLOOKUP(A274,Journal!$B$7:M$84,8)))</f>
        <v>0</v>
      </c>
      <c r="L274" s="87">
        <f t="shared" si="28"/>
        <v>0</v>
      </c>
      <c r="P274">
        <f t="shared" si="31"/>
        <v>1.0000000000000001E-5</v>
      </c>
      <c r="R274" s="15">
        <f t="shared" si="32"/>
        <v>267</v>
      </c>
      <c r="S274" s="126">
        <f>IF(VLOOKUP(A274,Journal!$A$7:$E$70,5)=0,S273+1,VLOOKUP(A274,Journal!$A$7:$E$70,5))</f>
        <v>45924</v>
      </c>
      <c r="T274" s="125">
        <f>IF(H$2=VLOOKUP(A274,Journal!$A$7:$F$70,6),VLOOKUP(A274,Journal!$A$7:M$70,9),0)</f>
        <v>0</v>
      </c>
      <c r="U274" s="125">
        <f>IF(H$2=VLOOKUP(A274,Journal!$A$7:$G$70,7),VLOOKUP(A274,Journal!$A$7:M$70,9),0)</f>
        <v>0</v>
      </c>
      <c r="V274" s="125">
        <f t="shared" si="33"/>
        <v>40</v>
      </c>
      <c r="X274">
        <f t="shared" si="30"/>
        <v>0</v>
      </c>
      <c r="Y274" s="143">
        <f t="shared" si="29"/>
        <v>-993.05263157895843</v>
      </c>
    </row>
    <row r="275" spans="1:25" x14ac:dyDescent="0.25">
      <c r="A275">
        <f t="shared" si="34"/>
        <v>268</v>
      </c>
      <c r="B275" s="88" t="str">
        <f>IF(OR(B274="Total",B274=""),"",IF(VLOOKUP(A275,Journal!$B$7:$E$84,4)=0,"Total",VLOOKUP(A275,Journal!$B$7:$D$84,3)))</f>
        <v/>
      </c>
      <c r="C275" s="86" t="str">
        <f>IF(B275="","",VLOOKUP(A275,Journal!$B$7:$E$84,4))</f>
        <v/>
      </c>
      <c r="D275" s="114" t="str">
        <f>IF(B275="","",VLOOKUP(A275,Journal!$B$7:$J$84,9))</f>
        <v/>
      </c>
      <c r="E275" s="116"/>
      <c r="F275" s="116"/>
      <c r="G275" s="115"/>
      <c r="H275" s="84" t="str">
        <f>IF(B275="","",VLOOKUP(A275,Journal!$B$7:$L$84,11))</f>
        <v/>
      </c>
      <c r="I275" s="84" t="str">
        <f>IF(B275="","",VLOOKUP(A275,Journal!$B$7:$M$84,12))</f>
        <v/>
      </c>
      <c r="J275" s="105">
        <f>IF(B275="Total",SUM(J$8:J274)+0.0001,IF(OR(B275="",I$2=I275),0,VLOOKUP(A275,Journal!$B$7:M$84,8)))</f>
        <v>0</v>
      </c>
      <c r="K275" s="102">
        <f>IF(B275="Total",SUM(K$8:K274)+0.0001,IF(OR(B275="",J275&lt;&gt;0),0,VLOOKUP(A275,Journal!$B$7:M$84,8)))</f>
        <v>0</v>
      </c>
      <c r="L275" s="87">
        <f t="shared" si="28"/>
        <v>0</v>
      </c>
      <c r="P275">
        <f t="shared" si="31"/>
        <v>1.0000000000000001E-5</v>
      </c>
      <c r="R275" s="15">
        <f t="shared" si="32"/>
        <v>268</v>
      </c>
      <c r="S275" s="126">
        <f>IF(VLOOKUP(A275,Journal!$A$7:$E$70,5)=0,S274+1,VLOOKUP(A275,Journal!$A$7:$E$70,5))</f>
        <v>45925</v>
      </c>
      <c r="T275" s="125">
        <f>IF(H$2=VLOOKUP(A275,Journal!$A$7:$F$70,6),VLOOKUP(A275,Journal!$A$7:M$70,9),0)</f>
        <v>0</v>
      </c>
      <c r="U275" s="125">
        <f>IF(H$2=VLOOKUP(A275,Journal!$A$7:$G$70,7),VLOOKUP(A275,Journal!$A$7:M$70,9),0)</f>
        <v>0</v>
      </c>
      <c r="V275" s="125">
        <f t="shared" si="33"/>
        <v>40</v>
      </c>
      <c r="X275">
        <f t="shared" si="30"/>
        <v>0</v>
      </c>
      <c r="Y275" s="143">
        <f t="shared" si="29"/>
        <v>-993.02631578948478</v>
      </c>
    </row>
    <row r="276" spans="1:25" x14ac:dyDescent="0.25">
      <c r="A276">
        <f t="shared" si="34"/>
        <v>269</v>
      </c>
      <c r="B276" s="88" t="str">
        <f>IF(OR(B275="Total",B275=""),"",IF(VLOOKUP(A276,Journal!$B$7:$E$84,4)=0,"Total",VLOOKUP(A276,Journal!$B$7:$D$84,3)))</f>
        <v/>
      </c>
      <c r="C276" s="86" t="str">
        <f>IF(B276="","",VLOOKUP(A276,Journal!$B$7:$E$84,4))</f>
        <v/>
      </c>
      <c r="D276" s="114" t="str">
        <f>IF(B276="","",VLOOKUP(A276,Journal!$B$7:$J$84,9))</f>
        <v/>
      </c>
      <c r="E276" s="116"/>
      <c r="F276" s="116"/>
      <c r="G276" s="115"/>
      <c r="H276" s="84" t="str">
        <f>IF(B276="","",VLOOKUP(A276,Journal!$B$7:$L$84,11))</f>
        <v/>
      </c>
      <c r="I276" s="84" t="str">
        <f>IF(B276="","",VLOOKUP(A276,Journal!$B$7:$M$84,12))</f>
        <v/>
      </c>
      <c r="J276" s="105">
        <f>IF(B276="Total",SUM(J$8:J275)+0.0001,IF(OR(B276="",I$2=I276),0,VLOOKUP(A276,Journal!$B$7:M$84,8)))</f>
        <v>0</v>
      </c>
      <c r="K276" s="102">
        <f>IF(B276="Total",SUM(K$8:K275)+0.0001,IF(OR(B276="",J276&lt;&gt;0),0,VLOOKUP(A276,Journal!$B$7:M$84,8)))</f>
        <v>0</v>
      </c>
      <c r="L276" s="87">
        <f t="shared" si="28"/>
        <v>0</v>
      </c>
      <c r="P276">
        <f t="shared" si="31"/>
        <v>1.0000000000000001E-5</v>
      </c>
      <c r="R276" s="15">
        <f t="shared" si="32"/>
        <v>269</v>
      </c>
      <c r="S276" s="126">
        <f>IF(VLOOKUP(A276,Journal!$A$7:$E$70,5)=0,S275+1,VLOOKUP(A276,Journal!$A$7:$E$70,5))</f>
        <v>45926</v>
      </c>
      <c r="T276" s="125">
        <f>IF(H$2=VLOOKUP(A276,Journal!$A$7:$F$70,6),VLOOKUP(A276,Journal!$A$7:M$70,9),0)</f>
        <v>0</v>
      </c>
      <c r="U276" s="125">
        <f>IF(H$2=VLOOKUP(A276,Journal!$A$7:$G$70,7),VLOOKUP(A276,Journal!$A$7:M$70,9),0)</f>
        <v>0</v>
      </c>
      <c r="V276" s="125">
        <f t="shared" si="33"/>
        <v>40</v>
      </c>
      <c r="X276">
        <f t="shared" si="30"/>
        <v>0</v>
      </c>
      <c r="Y276" s="143">
        <f t="shared" si="29"/>
        <v>-993.00000000001114</v>
      </c>
    </row>
    <row r="277" spans="1:25" x14ac:dyDescent="0.25">
      <c r="A277">
        <f t="shared" si="34"/>
        <v>270</v>
      </c>
      <c r="B277" s="88" t="str">
        <f>IF(OR(B276="Total",B276=""),"",IF(VLOOKUP(A277,Journal!$B$7:$E$84,4)=0,"Total",VLOOKUP(A277,Journal!$B$7:$D$84,3)))</f>
        <v/>
      </c>
      <c r="C277" s="86" t="str">
        <f>IF(B277="","",VLOOKUP(A277,Journal!$B$7:$E$84,4))</f>
        <v/>
      </c>
      <c r="D277" s="114" t="str">
        <f>IF(B277="","",VLOOKUP(A277,Journal!$B$7:$J$84,9))</f>
        <v/>
      </c>
      <c r="E277" s="116"/>
      <c r="F277" s="116"/>
      <c r="G277" s="115"/>
      <c r="H277" s="84" t="str">
        <f>IF(B277="","",VLOOKUP(A277,Journal!$B$7:$L$84,11))</f>
        <v/>
      </c>
      <c r="I277" s="84" t="str">
        <f>IF(B277="","",VLOOKUP(A277,Journal!$B$7:$M$84,12))</f>
        <v/>
      </c>
      <c r="J277" s="105">
        <f>IF(B277="Total",SUM(J$8:J276)+0.0001,IF(OR(B277="",I$2=I277),0,VLOOKUP(A277,Journal!$B$7:M$84,8)))</f>
        <v>0</v>
      </c>
      <c r="K277" s="102">
        <f>IF(B277="Total",SUM(K$8:K276)+0.0001,IF(OR(B277="",J277&lt;&gt;0),0,VLOOKUP(A277,Journal!$B$7:M$84,8)))</f>
        <v>0</v>
      </c>
      <c r="L277" s="87">
        <f t="shared" si="28"/>
        <v>0</v>
      </c>
      <c r="P277">
        <f t="shared" si="31"/>
        <v>1.0000000000000001E-5</v>
      </c>
      <c r="R277" s="15">
        <f t="shared" si="32"/>
        <v>270</v>
      </c>
      <c r="S277" s="126">
        <f>IF(VLOOKUP(A277,Journal!$A$7:$E$70,5)=0,S276+1,VLOOKUP(A277,Journal!$A$7:$E$70,5))</f>
        <v>45927</v>
      </c>
      <c r="T277" s="125">
        <f>IF(H$2=VLOOKUP(A277,Journal!$A$7:$F$70,6),VLOOKUP(A277,Journal!$A$7:M$70,9),0)</f>
        <v>0</v>
      </c>
      <c r="U277" s="125">
        <f>IF(H$2=VLOOKUP(A277,Journal!$A$7:$G$70,7),VLOOKUP(A277,Journal!$A$7:M$70,9),0)</f>
        <v>0</v>
      </c>
      <c r="V277" s="125">
        <f t="shared" si="33"/>
        <v>40</v>
      </c>
      <c r="X277">
        <f t="shared" si="30"/>
        <v>0</v>
      </c>
      <c r="Y277" s="143">
        <f t="shared" si="29"/>
        <v>-992.9736842105375</v>
      </c>
    </row>
    <row r="278" spans="1:25" x14ac:dyDescent="0.25">
      <c r="A278">
        <f t="shared" si="34"/>
        <v>271</v>
      </c>
      <c r="B278" s="88" t="str">
        <f>IF(OR(B277="Total",B277=""),"",IF(VLOOKUP(A278,Journal!$B$7:$E$84,4)=0,"Total",VLOOKUP(A278,Journal!$B$7:$D$84,3)))</f>
        <v/>
      </c>
      <c r="C278" s="86" t="str">
        <f>IF(B278="","",VLOOKUP(A278,Journal!$B$7:$E$84,4))</f>
        <v/>
      </c>
      <c r="D278" s="114" t="str">
        <f>IF(B278="","",VLOOKUP(A278,Journal!$B$7:$J$84,9))</f>
        <v/>
      </c>
      <c r="E278" s="116"/>
      <c r="F278" s="116"/>
      <c r="G278" s="115"/>
      <c r="H278" s="84" t="str">
        <f>IF(B278="","",VLOOKUP(A278,Journal!$B$7:$L$84,11))</f>
        <v/>
      </c>
      <c r="I278" s="84" t="str">
        <f>IF(B278="","",VLOOKUP(A278,Journal!$B$7:$M$84,12))</f>
        <v/>
      </c>
      <c r="J278" s="105">
        <f>IF(B278="Total",SUM(J$8:J277)+0.0001,IF(OR(B278="",I$2=I278),0,VLOOKUP(A278,Journal!$B$7:M$84,8)))</f>
        <v>0</v>
      </c>
      <c r="K278" s="102">
        <f>IF(B278="Total",SUM(K$8:K277)+0.0001,IF(OR(B278="",J278&lt;&gt;0),0,VLOOKUP(A278,Journal!$B$7:M$84,8)))</f>
        <v>0</v>
      </c>
      <c r="L278" s="87">
        <f t="shared" si="28"/>
        <v>0</v>
      </c>
      <c r="P278">
        <f t="shared" si="31"/>
        <v>1.0000000000000001E-5</v>
      </c>
      <c r="R278" s="15">
        <f t="shared" si="32"/>
        <v>271</v>
      </c>
      <c r="S278" s="126">
        <f>IF(VLOOKUP(A278,Journal!$A$7:$E$70,5)=0,S277+1,VLOOKUP(A278,Journal!$A$7:$E$70,5))</f>
        <v>45928</v>
      </c>
      <c r="T278" s="125">
        <f>IF(H$2=VLOOKUP(A278,Journal!$A$7:$F$70,6),VLOOKUP(A278,Journal!$A$7:M$70,9),0)</f>
        <v>0</v>
      </c>
      <c r="U278" s="125">
        <f>IF(H$2=VLOOKUP(A278,Journal!$A$7:$G$70,7),VLOOKUP(A278,Journal!$A$7:M$70,9),0)</f>
        <v>0</v>
      </c>
      <c r="V278" s="125">
        <f t="shared" si="33"/>
        <v>40</v>
      </c>
      <c r="X278">
        <f t="shared" si="30"/>
        <v>0</v>
      </c>
      <c r="Y278" s="143">
        <f t="shared" si="29"/>
        <v>-992.94736842106386</v>
      </c>
    </row>
    <row r="279" spans="1:25" x14ac:dyDescent="0.25">
      <c r="A279">
        <f t="shared" si="34"/>
        <v>272</v>
      </c>
      <c r="B279" s="88" t="str">
        <f>IF(OR(B278="Total",B278=""),"",IF(VLOOKUP(A279,Journal!$B$7:$E$84,4)=0,"Total",VLOOKUP(A279,Journal!$B$7:$D$84,3)))</f>
        <v/>
      </c>
      <c r="C279" s="86" t="str">
        <f>IF(B279="","",VLOOKUP(A279,Journal!$B$7:$E$84,4))</f>
        <v/>
      </c>
      <c r="D279" s="114" t="str">
        <f>IF(B279="","",VLOOKUP(A279,Journal!$B$7:$J$84,9))</f>
        <v/>
      </c>
      <c r="E279" s="116"/>
      <c r="F279" s="116"/>
      <c r="G279" s="115"/>
      <c r="H279" s="84" t="str">
        <f>IF(B279="","",VLOOKUP(A279,Journal!$B$7:$L$84,11))</f>
        <v/>
      </c>
      <c r="I279" s="84" t="str">
        <f>IF(B279="","",VLOOKUP(A279,Journal!$B$7:$M$84,12))</f>
        <v/>
      </c>
      <c r="J279" s="105">
        <f>IF(B279="Total",SUM(J$8:J278)+0.0001,IF(OR(B279="",I$2=I279),0,VLOOKUP(A279,Journal!$B$7:M$84,8)))</f>
        <v>0</v>
      </c>
      <c r="K279" s="102">
        <f>IF(B279="Total",SUM(K$8:K278)+0.0001,IF(OR(B279="",J279&lt;&gt;0),0,VLOOKUP(A279,Journal!$B$7:M$84,8)))</f>
        <v>0</v>
      </c>
      <c r="L279" s="87">
        <f t="shared" si="28"/>
        <v>0</v>
      </c>
      <c r="P279">
        <f t="shared" si="31"/>
        <v>1.0000000000000001E-5</v>
      </c>
      <c r="R279" s="15">
        <f t="shared" si="32"/>
        <v>272</v>
      </c>
      <c r="S279" s="126">
        <f>IF(VLOOKUP(A279,Journal!$A$7:$E$70,5)=0,S278+1,VLOOKUP(A279,Journal!$A$7:$E$70,5))</f>
        <v>45929</v>
      </c>
      <c r="T279" s="125">
        <f>IF(H$2=VLOOKUP(A279,Journal!$A$7:$F$70,6),VLOOKUP(A279,Journal!$A$7:M$70,9),0)</f>
        <v>0</v>
      </c>
      <c r="U279" s="125">
        <f>IF(H$2=VLOOKUP(A279,Journal!$A$7:$G$70,7),VLOOKUP(A279,Journal!$A$7:M$70,9),0)</f>
        <v>0</v>
      </c>
      <c r="V279" s="125">
        <f t="shared" si="33"/>
        <v>40</v>
      </c>
      <c r="X279">
        <f t="shared" si="30"/>
        <v>0</v>
      </c>
      <c r="Y279" s="143">
        <f t="shared" si="29"/>
        <v>-992.92105263159021</v>
      </c>
    </row>
    <row r="280" spans="1:25" x14ac:dyDescent="0.25">
      <c r="A280">
        <f t="shared" si="34"/>
        <v>273</v>
      </c>
      <c r="B280" s="88" t="str">
        <f>IF(OR(B279="Total",B279=""),"",IF(VLOOKUP(A280,Journal!$B$7:$E$84,4)=0,"Total",VLOOKUP(A280,Journal!$B$7:$D$84,3)))</f>
        <v/>
      </c>
      <c r="C280" s="86" t="str">
        <f>IF(B280="","",VLOOKUP(A280,Journal!$B$7:$E$84,4))</f>
        <v/>
      </c>
      <c r="D280" s="114" t="str">
        <f>IF(B280="","",VLOOKUP(A280,Journal!$B$7:$J$84,9))</f>
        <v/>
      </c>
      <c r="E280" s="116"/>
      <c r="F280" s="116"/>
      <c r="G280" s="115"/>
      <c r="H280" s="84" t="str">
        <f>IF(B280="","",VLOOKUP(A280,Journal!$B$7:$L$84,11))</f>
        <v/>
      </c>
      <c r="I280" s="84" t="str">
        <f>IF(B280="","",VLOOKUP(A280,Journal!$B$7:$M$84,12))</f>
        <v/>
      </c>
      <c r="J280" s="105">
        <f>IF(B280="Total",SUM(J$8:J279)+0.0001,IF(OR(B280="",I$2=I280),0,VLOOKUP(A280,Journal!$B$7:M$84,8)))</f>
        <v>0</v>
      </c>
      <c r="K280" s="102">
        <f>IF(B280="Total",SUM(K$8:K279)+0.0001,IF(OR(B280="",J280&lt;&gt;0),0,VLOOKUP(A280,Journal!$B$7:M$84,8)))</f>
        <v>0</v>
      </c>
      <c r="L280" s="87">
        <f t="shared" si="28"/>
        <v>0</v>
      </c>
      <c r="P280">
        <f t="shared" si="31"/>
        <v>1.0000000000000001E-5</v>
      </c>
      <c r="R280" s="15">
        <f t="shared" si="32"/>
        <v>273</v>
      </c>
      <c r="S280" s="126">
        <f>IF(VLOOKUP(A280,Journal!$A$7:$E$70,5)=0,S279+1,VLOOKUP(A280,Journal!$A$7:$E$70,5))</f>
        <v>45930</v>
      </c>
      <c r="T280" s="125">
        <f>IF(H$2=VLOOKUP(A280,Journal!$A$7:$F$70,6),VLOOKUP(A280,Journal!$A$7:M$70,9),0)</f>
        <v>0</v>
      </c>
      <c r="U280" s="125">
        <f>IF(H$2=VLOOKUP(A280,Journal!$A$7:$G$70,7),VLOOKUP(A280,Journal!$A$7:M$70,9),0)</f>
        <v>0</v>
      </c>
      <c r="V280" s="125">
        <f t="shared" si="33"/>
        <v>40</v>
      </c>
      <c r="X280">
        <f t="shared" si="30"/>
        <v>0</v>
      </c>
      <c r="Y280" s="143">
        <f t="shared" si="29"/>
        <v>-992.89473684211657</v>
      </c>
    </row>
    <row r="281" spans="1:25" x14ac:dyDescent="0.25">
      <c r="A281">
        <f t="shared" si="34"/>
        <v>274</v>
      </c>
      <c r="B281" s="88" t="str">
        <f>IF(OR(B280="Total",B280=""),"",IF(VLOOKUP(A281,Journal!$B$7:$E$84,4)=0,"Total",VLOOKUP(A281,Journal!$B$7:$D$84,3)))</f>
        <v/>
      </c>
      <c r="C281" s="86" t="str">
        <f>IF(B281="","",VLOOKUP(A281,Journal!$B$7:$E$84,4))</f>
        <v/>
      </c>
      <c r="D281" s="114" t="str">
        <f>IF(B281="","",VLOOKUP(A281,Journal!$B$7:$J$84,9))</f>
        <v/>
      </c>
      <c r="E281" s="116"/>
      <c r="F281" s="116"/>
      <c r="G281" s="115"/>
      <c r="H281" s="84" t="str">
        <f>IF(B281="","",VLOOKUP(A281,Journal!$B$7:$L$84,11))</f>
        <v/>
      </c>
      <c r="I281" s="84" t="str">
        <f>IF(B281="","",VLOOKUP(A281,Journal!$B$7:$M$84,12))</f>
        <v/>
      </c>
      <c r="J281" s="105">
        <f>IF(B281="Total",SUM(J$8:J280)+0.0001,IF(OR(B281="",I$2=I281),0,VLOOKUP(A281,Journal!$B$7:M$84,8)))</f>
        <v>0</v>
      </c>
      <c r="K281" s="102">
        <f>IF(B281="Total",SUM(K$8:K280)+0.0001,IF(OR(B281="",J281&lt;&gt;0),0,VLOOKUP(A281,Journal!$B$7:M$84,8)))</f>
        <v>0</v>
      </c>
      <c r="L281" s="87">
        <f t="shared" si="28"/>
        <v>0</v>
      </c>
      <c r="P281">
        <f t="shared" si="31"/>
        <v>1.0000000000000001E-5</v>
      </c>
      <c r="R281" s="15">
        <f t="shared" si="32"/>
        <v>274</v>
      </c>
      <c r="S281" s="126">
        <f>IF(VLOOKUP(A281,Journal!$A$7:$E$70,5)=0,S280+1,VLOOKUP(A281,Journal!$A$7:$E$70,5))</f>
        <v>45931</v>
      </c>
      <c r="T281" s="125">
        <f>IF(H$2=VLOOKUP(A281,Journal!$A$7:$F$70,6),VLOOKUP(A281,Journal!$A$7:M$70,9),0)</f>
        <v>0</v>
      </c>
      <c r="U281" s="125">
        <f>IF(H$2=VLOOKUP(A281,Journal!$A$7:$G$70,7),VLOOKUP(A281,Journal!$A$7:M$70,9),0)</f>
        <v>0</v>
      </c>
      <c r="V281" s="125">
        <f t="shared" si="33"/>
        <v>40</v>
      </c>
      <c r="X281">
        <f t="shared" si="30"/>
        <v>0</v>
      </c>
      <c r="Y281" s="143">
        <f t="shared" si="29"/>
        <v>-992.86842105264293</v>
      </c>
    </row>
    <row r="282" spans="1:25" x14ac:dyDescent="0.25">
      <c r="A282">
        <f t="shared" si="34"/>
        <v>275</v>
      </c>
      <c r="B282" s="88" t="str">
        <f>IF(OR(B281="Total",B281=""),"",IF(VLOOKUP(A282,Journal!$B$7:$E$84,4)=0,"Total",VLOOKUP(A282,Journal!$B$7:$D$84,3)))</f>
        <v/>
      </c>
      <c r="C282" s="86" t="str">
        <f>IF(B282="","",VLOOKUP(A282,Journal!$B$7:$E$84,4))</f>
        <v/>
      </c>
      <c r="D282" s="114" t="str">
        <f>IF(B282="","",VLOOKUP(A282,Journal!$B$7:$J$84,9))</f>
        <v/>
      </c>
      <c r="E282" s="116"/>
      <c r="F282" s="116"/>
      <c r="G282" s="115"/>
      <c r="H282" s="84" t="str">
        <f>IF(B282="","",VLOOKUP(A282,Journal!$B$7:$L$84,11))</f>
        <v/>
      </c>
      <c r="I282" s="84" t="str">
        <f>IF(B282="","",VLOOKUP(A282,Journal!$B$7:$M$84,12))</f>
        <v/>
      </c>
      <c r="J282" s="105">
        <f>IF(B282="Total",SUM(J$8:J281)+0.0001,IF(OR(B282="",I$2=I282),0,VLOOKUP(A282,Journal!$B$7:M$84,8)))</f>
        <v>0</v>
      </c>
      <c r="K282" s="102">
        <f>IF(B282="Total",SUM(K$8:K281)+0.0001,IF(OR(B282="",J282&lt;&gt;0),0,VLOOKUP(A282,Journal!$B$7:M$84,8)))</f>
        <v>0</v>
      </c>
      <c r="L282" s="87">
        <f t="shared" si="28"/>
        <v>0</v>
      </c>
      <c r="P282">
        <f t="shared" si="31"/>
        <v>1.0000000000000001E-5</v>
      </c>
      <c r="R282" s="15">
        <f t="shared" si="32"/>
        <v>275</v>
      </c>
      <c r="S282" s="126">
        <f>IF(VLOOKUP(A282,Journal!$A$7:$E$70,5)=0,S281+1,VLOOKUP(A282,Journal!$A$7:$E$70,5))</f>
        <v>45932</v>
      </c>
      <c r="T282" s="125">
        <f>IF(H$2=VLOOKUP(A282,Journal!$A$7:$F$70,6),VLOOKUP(A282,Journal!$A$7:M$70,9),0)</f>
        <v>0</v>
      </c>
      <c r="U282" s="125">
        <f>IF(H$2=VLOOKUP(A282,Journal!$A$7:$G$70,7),VLOOKUP(A282,Journal!$A$7:M$70,9),0)</f>
        <v>0</v>
      </c>
      <c r="V282" s="125">
        <f t="shared" si="33"/>
        <v>40</v>
      </c>
      <c r="X282">
        <f t="shared" si="30"/>
        <v>0</v>
      </c>
      <c r="Y282" s="143">
        <f t="shared" si="29"/>
        <v>-992.84210526316929</v>
      </c>
    </row>
    <row r="283" spans="1:25" x14ac:dyDescent="0.25">
      <c r="A283">
        <f t="shared" si="34"/>
        <v>276</v>
      </c>
      <c r="B283" s="88" t="str">
        <f>IF(OR(B282="Total",B282=""),"",IF(VLOOKUP(A283,Journal!$B$7:$E$84,4)=0,"Total",VLOOKUP(A283,Journal!$B$7:$D$84,3)))</f>
        <v/>
      </c>
      <c r="C283" s="86" t="str">
        <f>IF(B283="","",VLOOKUP(A283,Journal!$B$7:$E$84,4))</f>
        <v/>
      </c>
      <c r="D283" s="114" t="str">
        <f>IF(B283="","",VLOOKUP(A283,Journal!$B$7:$J$84,9))</f>
        <v/>
      </c>
      <c r="E283" s="116"/>
      <c r="F283" s="116"/>
      <c r="G283" s="115"/>
      <c r="H283" s="84" t="str">
        <f>IF(B283="","",VLOOKUP(A283,Journal!$B$7:$L$84,11))</f>
        <v/>
      </c>
      <c r="I283" s="84" t="str">
        <f>IF(B283="","",VLOOKUP(A283,Journal!$B$7:$M$84,12))</f>
        <v/>
      </c>
      <c r="J283" s="105">
        <f>IF(B283="Total",SUM(J$8:J282)+0.0001,IF(OR(B283="",I$2=I283),0,VLOOKUP(A283,Journal!$B$7:M$84,8)))</f>
        <v>0</v>
      </c>
      <c r="K283" s="102">
        <f>IF(B283="Total",SUM(K$8:K282)+0.0001,IF(OR(B283="",J283&lt;&gt;0),0,VLOOKUP(A283,Journal!$B$7:M$84,8)))</f>
        <v>0</v>
      </c>
      <c r="L283" s="87">
        <f t="shared" si="28"/>
        <v>0</v>
      </c>
      <c r="P283">
        <f t="shared" si="31"/>
        <v>1.0000000000000001E-5</v>
      </c>
      <c r="R283" s="15">
        <f t="shared" si="32"/>
        <v>276</v>
      </c>
      <c r="S283" s="126">
        <f>IF(VLOOKUP(A283,Journal!$A$7:$E$70,5)=0,S282+1,VLOOKUP(A283,Journal!$A$7:$E$70,5))</f>
        <v>45933</v>
      </c>
      <c r="T283" s="125">
        <f>IF(H$2=VLOOKUP(A283,Journal!$A$7:$F$70,6),VLOOKUP(A283,Journal!$A$7:M$70,9),0)</f>
        <v>0</v>
      </c>
      <c r="U283" s="125">
        <f>IF(H$2=VLOOKUP(A283,Journal!$A$7:$G$70,7),VLOOKUP(A283,Journal!$A$7:M$70,9),0)</f>
        <v>0</v>
      </c>
      <c r="V283" s="125">
        <f t="shared" si="33"/>
        <v>40</v>
      </c>
      <c r="X283">
        <f t="shared" si="30"/>
        <v>0</v>
      </c>
      <c r="Y283" s="143">
        <f t="shared" si="29"/>
        <v>-992.81578947369565</v>
      </c>
    </row>
    <row r="284" spans="1:25" x14ac:dyDescent="0.25">
      <c r="A284">
        <f t="shared" si="34"/>
        <v>277</v>
      </c>
      <c r="B284" s="88" t="str">
        <f>IF(OR(B283="Total",B283=""),"",IF(VLOOKUP(A284,Journal!$B$7:$E$84,4)=0,"Total",VLOOKUP(A284,Journal!$B$7:$D$84,3)))</f>
        <v/>
      </c>
      <c r="C284" s="86" t="str">
        <f>IF(B284="","",VLOOKUP(A284,Journal!$B$7:$E$84,4))</f>
        <v/>
      </c>
      <c r="D284" s="114" t="str">
        <f>IF(B284="","",VLOOKUP(A284,Journal!$B$7:$J$84,9))</f>
        <v/>
      </c>
      <c r="E284" s="116"/>
      <c r="F284" s="116"/>
      <c r="G284" s="115"/>
      <c r="H284" s="84" t="str">
        <f>IF(B284="","",VLOOKUP(A284,Journal!$B$7:$L$84,11))</f>
        <v/>
      </c>
      <c r="I284" s="84" t="str">
        <f>IF(B284="","",VLOOKUP(A284,Journal!$B$7:$M$84,12))</f>
        <v/>
      </c>
      <c r="J284" s="105">
        <f>IF(B284="Total",SUM(J$8:J283)+0.0001,IF(OR(B284="",I$2=I284),0,VLOOKUP(A284,Journal!$B$7:M$84,8)))</f>
        <v>0</v>
      </c>
      <c r="K284" s="102">
        <f>IF(B284="Total",SUM(K$8:K283)+0.0001,IF(OR(B284="",J284&lt;&gt;0),0,VLOOKUP(A284,Journal!$B$7:M$84,8)))</f>
        <v>0</v>
      </c>
      <c r="L284" s="87">
        <f t="shared" si="28"/>
        <v>0</v>
      </c>
      <c r="P284">
        <f t="shared" si="31"/>
        <v>1.0000000000000001E-5</v>
      </c>
      <c r="R284" s="15">
        <f t="shared" si="32"/>
        <v>277</v>
      </c>
      <c r="S284" s="126">
        <f>IF(VLOOKUP(A284,Journal!$A$7:$E$70,5)=0,S283+1,VLOOKUP(A284,Journal!$A$7:$E$70,5))</f>
        <v>45934</v>
      </c>
      <c r="T284" s="125">
        <f>IF(H$2=VLOOKUP(A284,Journal!$A$7:$F$70,6),VLOOKUP(A284,Journal!$A$7:M$70,9),0)</f>
        <v>0</v>
      </c>
      <c r="U284" s="125">
        <f>IF(H$2=VLOOKUP(A284,Journal!$A$7:$G$70,7),VLOOKUP(A284,Journal!$A$7:M$70,9),0)</f>
        <v>0</v>
      </c>
      <c r="V284" s="125">
        <f t="shared" si="33"/>
        <v>40</v>
      </c>
      <c r="X284">
        <f t="shared" si="30"/>
        <v>0</v>
      </c>
      <c r="Y284" s="143">
        <f t="shared" si="29"/>
        <v>-992.789473684222</v>
      </c>
    </row>
    <row r="285" spans="1:25" x14ac:dyDescent="0.25">
      <c r="A285">
        <f t="shared" si="34"/>
        <v>278</v>
      </c>
      <c r="B285" s="88" t="str">
        <f>IF(OR(B284="Total",B284=""),"",IF(VLOOKUP(A285,Journal!$B$7:$E$84,4)=0,"Total",VLOOKUP(A285,Journal!$B$7:$D$84,3)))</f>
        <v/>
      </c>
      <c r="C285" s="86" t="str">
        <f>IF(B285="","",VLOOKUP(A285,Journal!$B$7:$E$84,4))</f>
        <v/>
      </c>
      <c r="D285" s="114" t="str">
        <f>IF(B285="","",VLOOKUP(A285,Journal!$B$7:$J$84,9))</f>
        <v/>
      </c>
      <c r="E285" s="116"/>
      <c r="F285" s="116"/>
      <c r="G285" s="115"/>
      <c r="H285" s="84" t="str">
        <f>IF(B285="","",VLOOKUP(A285,Journal!$B$7:$L$84,11))</f>
        <v/>
      </c>
      <c r="I285" s="84" t="str">
        <f>IF(B285="","",VLOOKUP(A285,Journal!$B$7:$M$84,12))</f>
        <v/>
      </c>
      <c r="J285" s="105">
        <f>IF(B285="Total",SUM(J$8:J284)+0.0001,IF(OR(B285="",I$2=I285),0,VLOOKUP(A285,Journal!$B$7:M$84,8)))</f>
        <v>0</v>
      </c>
      <c r="K285" s="102">
        <f>IF(B285="Total",SUM(K$8:K284)+0.0001,IF(OR(B285="",J285&lt;&gt;0),0,VLOOKUP(A285,Journal!$B$7:M$84,8)))</f>
        <v>0</v>
      </c>
      <c r="L285" s="87">
        <f t="shared" si="28"/>
        <v>0</v>
      </c>
      <c r="P285">
        <f t="shared" si="31"/>
        <v>1.0000000000000001E-5</v>
      </c>
      <c r="R285" s="15">
        <f t="shared" si="32"/>
        <v>278</v>
      </c>
      <c r="S285" s="126">
        <f>IF(VLOOKUP(A285,Journal!$A$7:$E$70,5)=0,S284+1,VLOOKUP(A285,Journal!$A$7:$E$70,5))</f>
        <v>45935</v>
      </c>
      <c r="T285" s="125">
        <f>IF(H$2=VLOOKUP(A285,Journal!$A$7:$F$70,6),VLOOKUP(A285,Journal!$A$7:M$70,9),0)</f>
        <v>0</v>
      </c>
      <c r="U285" s="125">
        <f>IF(H$2=VLOOKUP(A285,Journal!$A$7:$G$70,7),VLOOKUP(A285,Journal!$A$7:M$70,9),0)</f>
        <v>0</v>
      </c>
      <c r="V285" s="125">
        <f t="shared" si="33"/>
        <v>40</v>
      </c>
      <c r="X285">
        <f t="shared" si="30"/>
        <v>0</v>
      </c>
      <c r="Y285" s="143">
        <f t="shared" si="29"/>
        <v>-992.76315789474836</v>
      </c>
    </row>
    <row r="286" spans="1:25" x14ac:dyDescent="0.25">
      <c r="A286">
        <f t="shared" si="34"/>
        <v>279</v>
      </c>
      <c r="B286" s="88" t="str">
        <f>IF(OR(B285="Total",B285=""),"",IF(VLOOKUP(A286,Journal!$B$7:$E$84,4)=0,"Total",VLOOKUP(A286,Journal!$B$7:$D$84,3)))</f>
        <v/>
      </c>
      <c r="C286" s="86" t="str">
        <f>IF(B286="","",VLOOKUP(A286,Journal!$B$7:$E$84,4))</f>
        <v/>
      </c>
      <c r="D286" s="114" t="str">
        <f>IF(B286="","",VLOOKUP(A286,Journal!$B$7:$J$84,9))</f>
        <v/>
      </c>
      <c r="E286" s="116"/>
      <c r="F286" s="116"/>
      <c r="G286" s="115"/>
      <c r="H286" s="84" t="str">
        <f>IF(B286="","",VLOOKUP(A286,Journal!$B$7:$L$84,11))</f>
        <v/>
      </c>
      <c r="I286" s="84" t="str">
        <f>IF(B286="","",VLOOKUP(A286,Journal!$B$7:$M$84,12))</f>
        <v/>
      </c>
      <c r="J286" s="105">
        <f>IF(B286="Total",SUM(J$8:J285)+0.0001,IF(OR(B286="",I$2=I286),0,VLOOKUP(A286,Journal!$B$7:M$84,8)))</f>
        <v>0</v>
      </c>
      <c r="K286" s="102">
        <f>IF(B286="Total",SUM(K$8:K285)+0.0001,IF(OR(B286="",J286&lt;&gt;0),0,VLOOKUP(A286,Journal!$B$7:M$84,8)))</f>
        <v>0</v>
      </c>
      <c r="L286" s="87">
        <f t="shared" si="28"/>
        <v>0</v>
      </c>
      <c r="P286">
        <f t="shared" si="31"/>
        <v>1.0000000000000001E-5</v>
      </c>
      <c r="R286" s="15">
        <f t="shared" si="32"/>
        <v>279</v>
      </c>
      <c r="S286" s="126">
        <f>IF(VLOOKUP(A286,Journal!$A$7:$E$70,5)=0,S285+1,VLOOKUP(A286,Journal!$A$7:$E$70,5))</f>
        <v>45936</v>
      </c>
      <c r="T286" s="125">
        <f>IF(H$2=VLOOKUP(A286,Journal!$A$7:$F$70,6),VLOOKUP(A286,Journal!$A$7:M$70,9),0)</f>
        <v>0</v>
      </c>
      <c r="U286" s="125">
        <f>IF(H$2=VLOOKUP(A286,Journal!$A$7:$G$70,7),VLOOKUP(A286,Journal!$A$7:M$70,9),0)</f>
        <v>0</v>
      </c>
      <c r="V286" s="125">
        <f t="shared" si="33"/>
        <v>40</v>
      </c>
      <c r="X286">
        <f t="shared" si="30"/>
        <v>0</v>
      </c>
      <c r="Y286" s="143">
        <f t="shared" si="29"/>
        <v>-992.73684210527472</v>
      </c>
    </row>
    <row r="287" spans="1:25" x14ac:dyDescent="0.25">
      <c r="A287">
        <f t="shared" si="34"/>
        <v>280</v>
      </c>
      <c r="B287" s="88" t="str">
        <f>IF(OR(B286="Total",B286=""),"",IF(VLOOKUP(A287,Journal!$B$7:$E$84,4)=0,"Total",VLOOKUP(A287,Journal!$B$7:$D$84,3)))</f>
        <v/>
      </c>
      <c r="C287" s="86" t="str">
        <f>IF(B287="","",VLOOKUP(A287,Journal!$B$7:$E$84,4))</f>
        <v/>
      </c>
      <c r="D287" s="114" t="str">
        <f>IF(B287="","",VLOOKUP(A287,Journal!$B$7:$J$84,9))</f>
        <v/>
      </c>
      <c r="E287" s="116"/>
      <c r="F287" s="116"/>
      <c r="G287" s="115"/>
      <c r="H287" s="84" t="str">
        <f>IF(B287="","",VLOOKUP(A287,Journal!$B$7:$L$84,11))</f>
        <v/>
      </c>
      <c r="I287" s="84" t="str">
        <f>IF(B287="","",VLOOKUP(A287,Journal!$B$7:$M$84,12))</f>
        <v/>
      </c>
      <c r="J287" s="105">
        <f>IF(B287="Total",SUM(J$8:J286)+0.0001,IF(OR(B287="",I$2=I287),0,VLOOKUP(A287,Journal!$B$7:M$84,8)))</f>
        <v>0</v>
      </c>
      <c r="K287" s="102">
        <f>IF(B287="Total",SUM(K$8:K286)+0.0001,IF(OR(B287="",J287&lt;&gt;0),0,VLOOKUP(A287,Journal!$B$7:M$84,8)))</f>
        <v>0</v>
      </c>
      <c r="L287" s="87">
        <f t="shared" si="28"/>
        <v>0</v>
      </c>
      <c r="P287">
        <f t="shared" si="31"/>
        <v>1.0000000000000001E-5</v>
      </c>
      <c r="R287" s="15">
        <f t="shared" si="32"/>
        <v>280</v>
      </c>
      <c r="S287" s="126">
        <f>IF(VLOOKUP(A287,Journal!$A$7:$E$70,5)=0,S286+1,VLOOKUP(A287,Journal!$A$7:$E$70,5))</f>
        <v>45937</v>
      </c>
      <c r="T287" s="125">
        <f>IF(H$2=VLOOKUP(A287,Journal!$A$7:$F$70,6),VLOOKUP(A287,Journal!$A$7:M$70,9),0)</f>
        <v>0</v>
      </c>
      <c r="U287" s="125">
        <f>IF(H$2=VLOOKUP(A287,Journal!$A$7:$G$70,7),VLOOKUP(A287,Journal!$A$7:M$70,9),0)</f>
        <v>0</v>
      </c>
      <c r="V287" s="125">
        <f t="shared" si="33"/>
        <v>40</v>
      </c>
      <c r="X287">
        <f t="shared" si="30"/>
        <v>0</v>
      </c>
      <c r="Y287" s="143">
        <f t="shared" si="29"/>
        <v>-992.71052631580108</v>
      </c>
    </row>
    <row r="288" spans="1:25" x14ac:dyDescent="0.25">
      <c r="A288">
        <f t="shared" si="34"/>
        <v>281</v>
      </c>
      <c r="B288" s="88" t="str">
        <f>IF(OR(B287="Total",B287=""),"",IF(VLOOKUP(A288,Journal!$B$7:$E$84,4)=0,"Total",VLOOKUP(A288,Journal!$B$7:$D$84,3)))</f>
        <v/>
      </c>
      <c r="C288" s="86" t="str">
        <f>IF(B288="","",VLOOKUP(A288,Journal!$B$7:$E$84,4))</f>
        <v/>
      </c>
      <c r="D288" s="114" t="str">
        <f>IF(B288="","",VLOOKUP(A288,Journal!$B$7:$J$84,9))</f>
        <v/>
      </c>
      <c r="E288" s="116"/>
      <c r="F288" s="116"/>
      <c r="G288" s="115"/>
      <c r="H288" s="84" t="str">
        <f>IF(B288="","",VLOOKUP(A288,Journal!$B$7:$L$84,11))</f>
        <v/>
      </c>
      <c r="I288" s="84" t="str">
        <f>IF(B288="","",VLOOKUP(A288,Journal!$B$7:$M$84,12))</f>
        <v/>
      </c>
      <c r="J288" s="105">
        <f>IF(B288="Total",SUM(J$8:J287)+0.0001,IF(OR(B288="",I$2=I288),0,VLOOKUP(A288,Journal!$B$7:M$84,8)))</f>
        <v>0</v>
      </c>
      <c r="K288" s="102">
        <f>IF(B288="Total",SUM(K$8:K287)+0.0001,IF(OR(B288="",J288&lt;&gt;0),0,VLOOKUP(A288,Journal!$B$7:M$84,8)))</f>
        <v>0</v>
      </c>
      <c r="L288" s="87">
        <f t="shared" si="28"/>
        <v>0</v>
      </c>
      <c r="P288">
        <f t="shared" si="31"/>
        <v>1.0000000000000001E-5</v>
      </c>
      <c r="R288" s="15">
        <f t="shared" si="32"/>
        <v>281</v>
      </c>
      <c r="S288" s="126">
        <f>IF(VLOOKUP(A288,Journal!$A$7:$E$70,5)=0,S287+1,VLOOKUP(A288,Journal!$A$7:$E$70,5))</f>
        <v>45938</v>
      </c>
      <c r="T288" s="125">
        <f>IF(H$2=VLOOKUP(A288,Journal!$A$7:$F$70,6),VLOOKUP(A288,Journal!$A$7:M$70,9),0)</f>
        <v>0</v>
      </c>
      <c r="U288" s="125">
        <f>IF(H$2=VLOOKUP(A288,Journal!$A$7:$G$70,7),VLOOKUP(A288,Journal!$A$7:M$70,9),0)</f>
        <v>0</v>
      </c>
      <c r="V288" s="125">
        <f t="shared" si="33"/>
        <v>40</v>
      </c>
      <c r="X288">
        <f t="shared" si="30"/>
        <v>0</v>
      </c>
      <c r="Y288" s="143">
        <f t="shared" si="29"/>
        <v>-992.68421052632743</v>
      </c>
    </row>
    <row r="289" spans="1:25" x14ac:dyDescent="0.25">
      <c r="A289">
        <f t="shared" si="34"/>
        <v>282</v>
      </c>
      <c r="B289" s="88" t="str">
        <f>IF(OR(B288="Total",B288=""),"",IF(VLOOKUP(A289,Journal!$B$7:$E$84,4)=0,"Total",VLOOKUP(A289,Journal!$B$7:$D$84,3)))</f>
        <v/>
      </c>
      <c r="C289" s="86" t="str">
        <f>IF(B289="","",VLOOKUP(A289,Journal!$B$7:$E$84,4))</f>
        <v/>
      </c>
      <c r="D289" s="114" t="str">
        <f>IF(B289="","",VLOOKUP(A289,Journal!$B$7:$J$84,9))</f>
        <v/>
      </c>
      <c r="E289" s="116"/>
      <c r="F289" s="116"/>
      <c r="G289" s="115"/>
      <c r="H289" s="84" t="str">
        <f>IF(B289="","",VLOOKUP(A289,Journal!$B$7:$L$84,11))</f>
        <v/>
      </c>
      <c r="I289" s="84" t="str">
        <f>IF(B289="","",VLOOKUP(A289,Journal!$B$7:$M$84,12))</f>
        <v/>
      </c>
      <c r="J289" s="105">
        <f>IF(B289="Total",SUM(J$8:J288)+0.0001,IF(OR(B289="",I$2=I289),0,VLOOKUP(A289,Journal!$B$7:M$84,8)))</f>
        <v>0</v>
      </c>
      <c r="K289" s="102">
        <f>IF(B289="Total",SUM(K$8:K288)+0.0001,IF(OR(B289="",J289&lt;&gt;0),0,VLOOKUP(A289,Journal!$B$7:M$84,8)))</f>
        <v>0</v>
      </c>
      <c r="L289" s="87">
        <f t="shared" si="28"/>
        <v>0</v>
      </c>
      <c r="P289">
        <f t="shared" si="31"/>
        <v>1.0000000000000001E-5</v>
      </c>
      <c r="R289" s="15">
        <f t="shared" si="32"/>
        <v>282</v>
      </c>
      <c r="S289" s="126">
        <f>IF(VLOOKUP(A289,Journal!$A$7:$E$70,5)=0,S288+1,VLOOKUP(A289,Journal!$A$7:$E$70,5))</f>
        <v>45939</v>
      </c>
      <c r="T289" s="125">
        <f>IF(H$2=VLOOKUP(A289,Journal!$A$7:$F$70,6),VLOOKUP(A289,Journal!$A$7:M$70,9),0)</f>
        <v>0</v>
      </c>
      <c r="U289" s="125">
        <f>IF(H$2=VLOOKUP(A289,Journal!$A$7:$G$70,7),VLOOKUP(A289,Journal!$A$7:M$70,9),0)</f>
        <v>0</v>
      </c>
      <c r="V289" s="125">
        <f t="shared" si="33"/>
        <v>40</v>
      </c>
      <c r="X289">
        <f t="shared" si="30"/>
        <v>0</v>
      </c>
      <c r="Y289" s="143">
        <f t="shared" si="29"/>
        <v>-992.65789473685379</v>
      </c>
    </row>
    <row r="290" spans="1:25" x14ac:dyDescent="0.25">
      <c r="A290">
        <f t="shared" si="34"/>
        <v>283</v>
      </c>
      <c r="B290" s="88" t="str">
        <f>IF(OR(B289="Total",B289=""),"",IF(VLOOKUP(A290,Journal!$B$7:$E$84,4)=0,"Total",VLOOKUP(A290,Journal!$B$7:$D$84,3)))</f>
        <v/>
      </c>
      <c r="C290" s="86" t="str">
        <f>IF(B290="","",VLOOKUP(A290,Journal!$B$7:$E$84,4))</f>
        <v/>
      </c>
      <c r="D290" s="114" t="str">
        <f>IF(B290="","",VLOOKUP(A290,Journal!$B$7:$J$84,9))</f>
        <v/>
      </c>
      <c r="E290" s="116"/>
      <c r="F290" s="116"/>
      <c r="G290" s="115"/>
      <c r="H290" s="84" t="str">
        <f>IF(B290="","",VLOOKUP(A290,Journal!$B$7:$L$84,11))</f>
        <v/>
      </c>
      <c r="I290" s="84" t="str">
        <f>IF(B290="","",VLOOKUP(A290,Journal!$B$7:$M$84,12))</f>
        <v/>
      </c>
      <c r="J290" s="105">
        <f>IF(B290="Total",SUM(J$8:J289)+0.0001,IF(OR(B290="",I$2=I290),0,VLOOKUP(A290,Journal!$B$7:M$84,8)))</f>
        <v>0</v>
      </c>
      <c r="K290" s="102">
        <f>IF(B290="Total",SUM(K$8:K289)+0.0001,IF(OR(B290="",J290&lt;&gt;0),0,VLOOKUP(A290,Journal!$B$7:M$84,8)))</f>
        <v>0</v>
      </c>
      <c r="L290" s="87">
        <f t="shared" si="28"/>
        <v>0</v>
      </c>
      <c r="P290">
        <f t="shared" si="31"/>
        <v>1.0000000000000001E-5</v>
      </c>
      <c r="R290" s="15">
        <f t="shared" si="32"/>
        <v>283</v>
      </c>
      <c r="S290" s="126">
        <f>IF(VLOOKUP(A290,Journal!$A$7:$E$70,5)=0,S289+1,VLOOKUP(A290,Journal!$A$7:$E$70,5))</f>
        <v>45940</v>
      </c>
      <c r="T290" s="125">
        <f>IF(H$2=VLOOKUP(A290,Journal!$A$7:$F$70,6),VLOOKUP(A290,Journal!$A$7:M$70,9),0)</f>
        <v>0</v>
      </c>
      <c r="U290" s="125">
        <f>IF(H$2=VLOOKUP(A290,Journal!$A$7:$G$70,7),VLOOKUP(A290,Journal!$A$7:M$70,9),0)</f>
        <v>0</v>
      </c>
      <c r="V290" s="125">
        <f t="shared" si="33"/>
        <v>40</v>
      </c>
      <c r="X290">
        <f t="shared" si="30"/>
        <v>0</v>
      </c>
      <c r="Y290" s="143">
        <f t="shared" si="29"/>
        <v>-992.63157894738015</v>
      </c>
    </row>
    <row r="291" spans="1:25" x14ac:dyDescent="0.25">
      <c r="A291">
        <f t="shared" si="34"/>
        <v>284</v>
      </c>
      <c r="B291" s="88" t="str">
        <f>IF(OR(B290="Total",B290=""),"",IF(VLOOKUP(A291,Journal!$B$7:$E$84,4)=0,"Total",VLOOKUP(A291,Journal!$B$7:$D$84,3)))</f>
        <v/>
      </c>
      <c r="C291" s="86" t="str">
        <f>IF(B291="","",VLOOKUP(A291,Journal!$B$7:$E$84,4))</f>
        <v/>
      </c>
      <c r="D291" s="114" t="str">
        <f>IF(B291="","",VLOOKUP(A291,Journal!$B$7:$J$84,9))</f>
        <v/>
      </c>
      <c r="E291" s="116"/>
      <c r="F291" s="116"/>
      <c r="G291" s="115"/>
      <c r="H291" s="84" t="str">
        <f>IF(B291="","",VLOOKUP(A291,Journal!$B$7:$L$84,11))</f>
        <v/>
      </c>
      <c r="I291" s="84" t="str">
        <f>IF(B291="","",VLOOKUP(A291,Journal!$B$7:$M$84,12))</f>
        <v/>
      </c>
      <c r="J291" s="105">
        <f>IF(B291="Total",SUM(J$8:J290)+0.0001,IF(OR(B291="",I$2=I291),0,VLOOKUP(A291,Journal!$B$7:M$84,8)))</f>
        <v>0</v>
      </c>
      <c r="K291" s="102">
        <f>IF(B291="Total",SUM(K$8:K290)+0.0001,IF(OR(B291="",J291&lt;&gt;0),0,VLOOKUP(A291,Journal!$B$7:M$84,8)))</f>
        <v>0</v>
      </c>
      <c r="L291" s="87">
        <f t="shared" si="28"/>
        <v>0</v>
      </c>
      <c r="P291">
        <f t="shared" si="31"/>
        <v>1.0000000000000001E-5</v>
      </c>
      <c r="R291" s="15">
        <f t="shared" si="32"/>
        <v>284</v>
      </c>
      <c r="S291" s="126">
        <f>IF(VLOOKUP(A291,Journal!$A$7:$E$70,5)=0,S290+1,VLOOKUP(A291,Journal!$A$7:$E$70,5))</f>
        <v>45941</v>
      </c>
      <c r="T291" s="125">
        <f>IF(H$2=VLOOKUP(A291,Journal!$A$7:$F$70,6),VLOOKUP(A291,Journal!$A$7:M$70,9),0)</f>
        <v>0</v>
      </c>
      <c r="U291" s="125">
        <f>IF(H$2=VLOOKUP(A291,Journal!$A$7:$G$70,7),VLOOKUP(A291,Journal!$A$7:M$70,9),0)</f>
        <v>0</v>
      </c>
      <c r="V291" s="125">
        <f t="shared" si="33"/>
        <v>40</v>
      </c>
      <c r="X291">
        <f t="shared" si="30"/>
        <v>0</v>
      </c>
      <c r="Y291" s="143">
        <f t="shared" si="29"/>
        <v>-992.60526315790651</v>
      </c>
    </row>
    <row r="292" spans="1:25" x14ac:dyDescent="0.25">
      <c r="A292">
        <f t="shared" si="34"/>
        <v>285</v>
      </c>
      <c r="B292" s="88" t="str">
        <f>IF(OR(B291="Total",B291=""),"",IF(VLOOKUP(A292,Journal!$B$7:$E$84,4)=0,"Total",VLOOKUP(A292,Journal!$B$7:$D$84,3)))</f>
        <v/>
      </c>
      <c r="C292" s="86" t="str">
        <f>IF(B292="","",VLOOKUP(A292,Journal!$B$7:$E$84,4))</f>
        <v/>
      </c>
      <c r="D292" s="114" t="str">
        <f>IF(B292="","",VLOOKUP(A292,Journal!$B$7:$J$84,9))</f>
        <v/>
      </c>
      <c r="E292" s="116"/>
      <c r="F292" s="116"/>
      <c r="G292" s="115"/>
      <c r="H292" s="84" t="str">
        <f>IF(B292="","",VLOOKUP(A292,Journal!$B$7:$L$84,11))</f>
        <v/>
      </c>
      <c r="I292" s="84" t="str">
        <f>IF(B292="","",VLOOKUP(A292,Journal!$B$7:$M$84,12))</f>
        <v/>
      </c>
      <c r="J292" s="105">
        <f>IF(B292="Total",SUM(J$8:J291)+0.0001,IF(OR(B292="",I$2=I292),0,VLOOKUP(A292,Journal!$B$7:M$84,8)))</f>
        <v>0</v>
      </c>
      <c r="K292" s="102">
        <f>IF(B292="Total",SUM(K$8:K291)+0.0001,IF(OR(B292="",J292&lt;&gt;0),0,VLOOKUP(A292,Journal!$B$7:M$84,8)))</f>
        <v>0</v>
      </c>
      <c r="L292" s="87">
        <f t="shared" si="28"/>
        <v>0</v>
      </c>
      <c r="P292">
        <f t="shared" si="31"/>
        <v>1.0000000000000001E-5</v>
      </c>
      <c r="R292" s="15">
        <f t="shared" si="32"/>
        <v>285</v>
      </c>
      <c r="S292" s="126">
        <f>IF(VLOOKUP(A292,Journal!$A$7:$E$70,5)=0,S291+1,VLOOKUP(A292,Journal!$A$7:$E$70,5))</f>
        <v>45942</v>
      </c>
      <c r="T292" s="125">
        <f>IF(H$2=VLOOKUP(A292,Journal!$A$7:$F$70,6),VLOOKUP(A292,Journal!$A$7:M$70,9),0)</f>
        <v>0</v>
      </c>
      <c r="U292" s="125">
        <f>IF(H$2=VLOOKUP(A292,Journal!$A$7:$G$70,7),VLOOKUP(A292,Journal!$A$7:M$70,9),0)</f>
        <v>0</v>
      </c>
      <c r="V292" s="125">
        <f t="shared" si="33"/>
        <v>40</v>
      </c>
      <c r="X292">
        <f t="shared" si="30"/>
        <v>0</v>
      </c>
      <c r="Y292" s="143">
        <f t="shared" si="29"/>
        <v>-992.57894736843286</v>
      </c>
    </row>
    <row r="293" spans="1:25" x14ac:dyDescent="0.25">
      <c r="A293">
        <f t="shared" si="34"/>
        <v>286</v>
      </c>
      <c r="B293" s="88" t="str">
        <f>IF(OR(B292="Total",B292=""),"",IF(VLOOKUP(A293,Journal!$B$7:$E$84,4)=0,"Total",VLOOKUP(A293,Journal!$B$7:$D$84,3)))</f>
        <v/>
      </c>
      <c r="C293" s="86" t="str">
        <f>IF(B293="","",VLOOKUP(A293,Journal!$B$7:$E$84,4))</f>
        <v/>
      </c>
      <c r="D293" s="114" t="str">
        <f>IF(B293="","",VLOOKUP(A293,Journal!$B$7:$J$84,9))</f>
        <v/>
      </c>
      <c r="E293" s="116"/>
      <c r="F293" s="116"/>
      <c r="G293" s="115"/>
      <c r="H293" s="84" t="str">
        <f>IF(B293="","",VLOOKUP(A293,Journal!$B$7:$L$84,11))</f>
        <v/>
      </c>
      <c r="I293" s="84" t="str">
        <f>IF(B293="","",VLOOKUP(A293,Journal!$B$7:$M$84,12))</f>
        <v/>
      </c>
      <c r="J293" s="105">
        <f>IF(B293="Total",SUM(J$8:J292)+0.0001,IF(OR(B293="",I$2=I293),0,VLOOKUP(A293,Journal!$B$7:M$84,8)))</f>
        <v>0</v>
      </c>
      <c r="K293" s="102">
        <f>IF(B293="Total",SUM(K$8:K292)+0.0001,IF(OR(B293="",J293&lt;&gt;0),0,VLOOKUP(A293,Journal!$B$7:M$84,8)))</f>
        <v>0</v>
      </c>
      <c r="L293" s="87">
        <f t="shared" si="28"/>
        <v>0</v>
      </c>
      <c r="P293">
        <f t="shared" si="31"/>
        <v>1.0000000000000001E-5</v>
      </c>
      <c r="R293" s="15">
        <f t="shared" si="32"/>
        <v>286</v>
      </c>
      <c r="S293" s="126">
        <f>IF(VLOOKUP(A293,Journal!$A$7:$E$70,5)=0,S292+1,VLOOKUP(A293,Journal!$A$7:$E$70,5))</f>
        <v>45943</v>
      </c>
      <c r="T293" s="125">
        <f>IF(H$2=VLOOKUP(A293,Journal!$A$7:$F$70,6),VLOOKUP(A293,Journal!$A$7:M$70,9),0)</f>
        <v>0</v>
      </c>
      <c r="U293" s="125">
        <f>IF(H$2=VLOOKUP(A293,Journal!$A$7:$G$70,7),VLOOKUP(A293,Journal!$A$7:M$70,9),0)</f>
        <v>0</v>
      </c>
      <c r="V293" s="125">
        <f t="shared" si="33"/>
        <v>40</v>
      </c>
      <c r="X293">
        <f t="shared" si="30"/>
        <v>0</v>
      </c>
      <c r="Y293" s="143">
        <f t="shared" si="29"/>
        <v>-992.55263157895922</v>
      </c>
    </row>
    <row r="294" spans="1:25" x14ac:dyDescent="0.25">
      <c r="A294">
        <f t="shared" si="34"/>
        <v>287</v>
      </c>
      <c r="B294" s="88" t="str">
        <f>IF(OR(B293="Total",B293=""),"",IF(VLOOKUP(A294,Journal!$B$7:$E$84,4)=0,"Total",VLOOKUP(A294,Journal!$B$7:$D$84,3)))</f>
        <v/>
      </c>
      <c r="C294" s="86" t="str">
        <f>IF(B294="","",VLOOKUP(A294,Journal!$B$7:$E$84,4))</f>
        <v/>
      </c>
      <c r="D294" s="114" t="str">
        <f>IF(B294="","",VLOOKUP(A294,Journal!$B$7:$J$84,9))</f>
        <v/>
      </c>
      <c r="E294" s="116"/>
      <c r="F294" s="116"/>
      <c r="G294" s="115"/>
      <c r="H294" s="84" t="str">
        <f>IF(B294="","",VLOOKUP(A294,Journal!$B$7:$L$84,11))</f>
        <v/>
      </c>
      <c r="I294" s="84" t="str">
        <f>IF(B294="","",VLOOKUP(A294,Journal!$B$7:$M$84,12))</f>
        <v/>
      </c>
      <c r="J294" s="105">
        <f>IF(B294="Total",SUM(J$8:J293)+0.0001,IF(OR(B294="",I$2=I294),0,VLOOKUP(A294,Journal!$B$7:M$84,8)))</f>
        <v>0</v>
      </c>
      <c r="K294" s="102">
        <f>IF(B294="Total",SUM(K$8:K293)+0.0001,IF(OR(B294="",J294&lt;&gt;0),0,VLOOKUP(A294,Journal!$B$7:M$84,8)))</f>
        <v>0</v>
      </c>
      <c r="L294" s="87">
        <f t="shared" si="28"/>
        <v>0</v>
      </c>
      <c r="P294">
        <f t="shared" si="31"/>
        <v>1.0000000000000001E-5</v>
      </c>
      <c r="R294" s="15">
        <f t="shared" si="32"/>
        <v>287</v>
      </c>
      <c r="S294" s="126">
        <f>IF(VLOOKUP(A294,Journal!$A$7:$E$70,5)=0,S293+1,VLOOKUP(A294,Journal!$A$7:$E$70,5))</f>
        <v>45944</v>
      </c>
      <c r="T294" s="125">
        <f>IF(H$2=VLOOKUP(A294,Journal!$A$7:$F$70,6),VLOOKUP(A294,Journal!$A$7:M$70,9),0)</f>
        <v>0</v>
      </c>
      <c r="U294" s="125">
        <f>IF(H$2=VLOOKUP(A294,Journal!$A$7:$G$70,7),VLOOKUP(A294,Journal!$A$7:M$70,9),0)</f>
        <v>0</v>
      </c>
      <c r="V294" s="125">
        <f t="shared" si="33"/>
        <v>40</v>
      </c>
      <c r="X294">
        <f t="shared" si="30"/>
        <v>0</v>
      </c>
      <c r="Y294" s="143">
        <f t="shared" si="29"/>
        <v>-992.52631578948558</v>
      </c>
    </row>
    <row r="295" spans="1:25" x14ac:dyDescent="0.25">
      <c r="A295">
        <f t="shared" si="34"/>
        <v>288</v>
      </c>
      <c r="B295" s="88" t="str">
        <f>IF(OR(B294="Total",B294=""),"",IF(VLOOKUP(A295,Journal!$B$7:$E$84,4)=0,"Total",VLOOKUP(A295,Journal!$B$7:$D$84,3)))</f>
        <v/>
      </c>
      <c r="C295" s="86" t="str">
        <f>IF(B295="","",VLOOKUP(A295,Journal!$B$7:$E$84,4))</f>
        <v/>
      </c>
      <c r="D295" s="114" t="str">
        <f>IF(B295="","",VLOOKUP(A295,Journal!$B$7:$J$84,9))</f>
        <v/>
      </c>
      <c r="E295" s="116"/>
      <c r="F295" s="116"/>
      <c r="G295" s="115"/>
      <c r="H295" s="84" t="str">
        <f>IF(B295="","",VLOOKUP(A295,Journal!$B$7:$L$84,11))</f>
        <v/>
      </c>
      <c r="I295" s="84" t="str">
        <f>IF(B295="","",VLOOKUP(A295,Journal!$B$7:$M$84,12))</f>
        <v/>
      </c>
      <c r="J295" s="105">
        <f>IF(B295="Total",SUM(J$8:J294)+0.0001,IF(OR(B295="",I$2=I295),0,VLOOKUP(A295,Journal!$B$7:M$84,8)))</f>
        <v>0</v>
      </c>
      <c r="K295" s="102">
        <f>IF(B295="Total",SUM(K$8:K294)+0.0001,IF(OR(B295="",J295&lt;&gt;0),0,VLOOKUP(A295,Journal!$B$7:M$84,8)))</f>
        <v>0</v>
      </c>
      <c r="L295" s="87">
        <f t="shared" si="28"/>
        <v>0</v>
      </c>
      <c r="P295">
        <f t="shared" si="31"/>
        <v>1.0000000000000001E-5</v>
      </c>
      <c r="R295" s="15">
        <f t="shared" si="32"/>
        <v>288</v>
      </c>
      <c r="S295" s="126">
        <f>IF(VLOOKUP(A295,Journal!$A$7:$E$70,5)=0,S294+1,VLOOKUP(A295,Journal!$A$7:$E$70,5))</f>
        <v>45945</v>
      </c>
      <c r="T295" s="125">
        <f>IF(H$2=VLOOKUP(A295,Journal!$A$7:$F$70,6),VLOOKUP(A295,Journal!$A$7:M$70,9),0)</f>
        <v>0</v>
      </c>
      <c r="U295" s="125">
        <f>IF(H$2=VLOOKUP(A295,Journal!$A$7:$G$70,7),VLOOKUP(A295,Journal!$A$7:M$70,9),0)</f>
        <v>0</v>
      </c>
      <c r="V295" s="125">
        <f t="shared" si="33"/>
        <v>40</v>
      </c>
      <c r="X295">
        <f t="shared" si="30"/>
        <v>0</v>
      </c>
      <c r="Y295" s="143">
        <f t="shared" si="29"/>
        <v>-992.50000000001194</v>
      </c>
    </row>
    <row r="296" spans="1:25" x14ac:dyDescent="0.25">
      <c r="A296">
        <f t="shared" si="34"/>
        <v>289</v>
      </c>
      <c r="B296" s="88" t="str">
        <f>IF(OR(B295="Total",B295=""),"",IF(VLOOKUP(A296,Journal!$B$7:$E$84,4)=0,"Total",VLOOKUP(A296,Journal!$B$7:$D$84,3)))</f>
        <v/>
      </c>
      <c r="C296" s="86" t="str">
        <f>IF(B296="","",VLOOKUP(A296,Journal!$B$7:$E$84,4))</f>
        <v/>
      </c>
      <c r="D296" s="114" t="str">
        <f>IF(B296="","",VLOOKUP(A296,Journal!$B$7:$J$84,9))</f>
        <v/>
      </c>
      <c r="E296" s="116"/>
      <c r="F296" s="116"/>
      <c r="G296" s="115"/>
      <c r="H296" s="84" t="str">
        <f>IF(B296="","",VLOOKUP(A296,Journal!$B$7:$L$84,11))</f>
        <v/>
      </c>
      <c r="I296" s="84" t="str">
        <f>IF(B296="","",VLOOKUP(A296,Journal!$B$7:$M$84,12))</f>
        <v/>
      </c>
      <c r="J296" s="105">
        <f>IF(B296="Total",SUM(J$8:J295)+0.0001,IF(OR(B296="",I$2=I296),0,VLOOKUP(A296,Journal!$B$7:M$84,8)))</f>
        <v>0</v>
      </c>
      <c r="K296" s="102">
        <f>IF(B296="Total",SUM(K$8:K295)+0.0001,IF(OR(B296="",J296&lt;&gt;0),0,VLOOKUP(A296,Journal!$B$7:M$84,8)))</f>
        <v>0</v>
      </c>
      <c r="L296" s="87">
        <f t="shared" si="28"/>
        <v>0</v>
      </c>
      <c r="P296">
        <f t="shared" si="31"/>
        <v>1.0000000000000001E-5</v>
      </c>
      <c r="R296" s="15">
        <f t="shared" si="32"/>
        <v>289</v>
      </c>
      <c r="S296" s="126">
        <f>IF(VLOOKUP(A296,Journal!$A$7:$E$70,5)=0,S295+1,VLOOKUP(A296,Journal!$A$7:$E$70,5))</f>
        <v>45946</v>
      </c>
      <c r="T296" s="125">
        <f>IF(H$2=VLOOKUP(A296,Journal!$A$7:$F$70,6),VLOOKUP(A296,Journal!$A$7:M$70,9),0)</f>
        <v>0</v>
      </c>
      <c r="U296" s="125">
        <f>IF(H$2=VLOOKUP(A296,Journal!$A$7:$G$70,7),VLOOKUP(A296,Journal!$A$7:M$70,9),0)</f>
        <v>0</v>
      </c>
      <c r="V296" s="125">
        <f t="shared" si="33"/>
        <v>40</v>
      </c>
      <c r="X296">
        <f t="shared" si="30"/>
        <v>0</v>
      </c>
      <c r="Y296" s="143">
        <f t="shared" si="29"/>
        <v>-992.47368421053829</v>
      </c>
    </row>
    <row r="297" spans="1:25" x14ac:dyDescent="0.25">
      <c r="A297">
        <f t="shared" si="34"/>
        <v>290</v>
      </c>
      <c r="B297" s="88" t="str">
        <f>IF(OR(B296="Total",B296=""),"",IF(VLOOKUP(A297,Journal!$B$7:$E$84,4)=0,"Total",VLOOKUP(A297,Journal!$B$7:$D$84,3)))</f>
        <v/>
      </c>
      <c r="C297" s="86" t="str">
        <f>IF(B297="","",VLOOKUP(A297,Journal!$B$7:$E$84,4))</f>
        <v/>
      </c>
      <c r="D297" s="114" t="str">
        <f>IF(B297="","",VLOOKUP(A297,Journal!$B$7:$J$84,9))</f>
        <v/>
      </c>
      <c r="E297" s="116"/>
      <c r="F297" s="116"/>
      <c r="G297" s="115"/>
      <c r="H297" s="84" t="str">
        <f>IF(B297="","",VLOOKUP(A297,Journal!$B$7:$L$84,11))</f>
        <v/>
      </c>
      <c r="I297" s="84" t="str">
        <f>IF(B297="","",VLOOKUP(A297,Journal!$B$7:$M$84,12))</f>
        <v/>
      </c>
      <c r="J297" s="105">
        <f>IF(B297="Total",SUM(J$8:J296)+0.0001,IF(OR(B297="",I$2=I297),0,VLOOKUP(A297,Journal!$B$7:M$84,8)))</f>
        <v>0</v>
      </c>
      <c r="K297" s="102">
        <f>IF(B297="Total",SUM(K$8:K296)+0.0001,IF(OR(B297="",J297&lt;&gt;0),0,VLOOKUP(A297,Journal!$B$7:M$84,8)))</f>
        <v>0</v>
      </c>
      <c r="L297" s="87">
        <f t="shared" si="28"/>
        <v>0</v>
      </c>
      <c r="P297">
        <f t="shared" si="31"/>
        <v>1.0000000000000001E-5</v>
      </c>
      <c r="R297" s="15">
        <f t="shared" si="32"/>
        <v>290</v>
      </c>
      <c r="S297" s="126">
        <f>IF(VLOOKUP(A297,Journal!$A$7:$E$70,5)=0,S296+1,VLOOKUP(A297,Journal!$A$7:$E$70,5))</f>
        <v>45947</v>
      </c>
      <c r="T297" s="125">
        <f>IF(H$2=VLOOKUP(A297,Journal!$A$7:$F$70,6),VLOOKUP(A297,Journal!$A$7:M$70,9),0)</f>
        <v>0</v>
      </c>
      <c r="U297" s="125">
        <f>IF(H$2=VLOOKUP(A297,Journal!$A$7:$G$70,7),VLOOKUP(A297,Journal!$A$7:M$70,9),0)</f>
        <v>0</v>
      </c>
      <c r="V297" s="125">
        <f t="shared" si="33"/>
        <v>40</v>
      </c>
      <c r="X297">
        <f t="shared" si="30"/>
        <v>0</v>
      </c>
      <c r="Y297" s="143">
        <f t="shared" si="29"/>
        <v>-992.44736842106465</v>
      </c>
    </row>
    <row r="298" spans="1:25" x14ac:dyDescent="0.25">
      <c r="A298">
        <f t="shared" si="34"/>
        <v>291</v>
      </c>
      <c r="B298" s="88" t="str">
        <f>IF(OR(B297="Total",B297=""),"",IF(VLOOKUP(A298,Journal!$B$7:$E$84,4)=0,"Total",VLOOKUP(A298,Journal!$B$7:$D$84,3)))</f>
        <v/>
      </c>
      <c r="C298" s="86" t="str">
        <f>IF(B298="","",VLOOKUP(A298,Journal!$B$7:$E$84,4))</f>
        <v/>
      </c>
      <c r="D298" s="114" t="str">
        <f>IF(B298="","",VLOOKUP(A298,Journal!$B$7:$J$84,9))</f>
        <v/>
      </c>
      <c r="E298" s="116"/>
      <c r="F298" s="116"/>
      <c r="G298" s="115"/>
      <c r="H298" s="84" t="str">
        <f>IF(B298="","",VLOOKUP(A298,Journal!$B$7:$L$84,11))</f>
        <v/>
      </c>
      <c r="I298" s="84" t="str">
        <f>IF(B298="","",VLOOKUP(A298,Journal!$B$7:$M$84,12))</f>
        <v/>
      </c>
      <c r="J298" s="105">
        <f>IF(B298="Total",SUM(J$8:J297)+0.0001,IF(OR(B298="",I$2=I298),0,VLOOKUP(A298,Journal!$B$7:M$84,8)))</f>
        <v>0</v>
      </c>
      <c r="K298" s="102">
        <f>IF(B298="Total",SUM(K$8:K297)+0.0001,IF(OR(B298="",J298&lt;&gt;0),0,VLOOKUP(A298,Journal!$B$7:M$84,8)))</f>
        <v>0</v>
      </c>
      <c r="L298" s="87">
        <f t="shared" si="28"/>
        <v>0</v>
      </c>
      <c r="P298">
        <f t="shared" si="31"/>
        <v>1.0000000000000001E-5</v>
      </c>
      <c r="R298" s="15">
        <f t="shared" si="32"/>
        <v>291</v>
      </c>
      <c r="S298" s="126">
        <f>IF(VLOOKUP(A298,Journal!$A$7:$E$70,5)=0,S297+1,VLOOKUP(A298,Journal!$A$7:$E$70,5))</f>
        <v>45948</v>
      </c>
      <c r="T298" s="125">
        <f>IF(H$2=VLOOKUP(A298,Journal!$A$7:$F$70,6),VLOOKUP(A298,Journal!$A$7:M$70,9),0)</f>
        <v>0</v>
      </c>
      <c r="U298" s="125">
        <f>IF(H$2=VLOOKUP(A298,Journal!$A$7:$G$70,7),VLOOKUP(A298,Journal!$A$7:M$70,9),0)</f>
        <v>0</v>
      </c>
      <c r="V298" s="125">
        <f t="shared" si="33"/>
        <v>40</v>
      </c>
      <c r="X298">
        <f t="shared" si="30"/>
        <v>0</v>
      </c>
      <c r="Y298" s="143">
        <f t="shared" si="29"/>
        <v>-992.42105263159101</v>
      </c>
    </row>
    <row r="299" spans="1:25" x14ac:dyDescent="0.25">
      <c r="A299">
        <f t="shared" si="34"/>
        <v>292</v>
      </c>
      <c r="B299" s="88" t="str">
        <f>IF(OR(B298="Total",B298=""),"",IF(VLOOKUP(A299,Journal!$B$7:$E$84,4)=0,"Total",VLOOKUP(A299,Journal!$B$7:$D$84,3)))</f>
        <v/>
      </c>
      <c r="C299" s="86" t="str">
        <f>IF(B299="","",VLOOKUP(A299,Journal!$B$7:$E$84,4))</f>
        <v/>
      </c>
      <c r="D299" s="114" t="str">
        <f>IF(B299="","",VLOOKUP(A299,Journal!$B$7:$J$84,9))</f>
        <v/>
      </c>
      <c r="E299" s="116"/>
      <c r="F299" s="116"/>
      <c r="G299" s="115"/>
      <c r="H299" s="84" t="str">
        <f>IF(B299="","",VLOOKUP(A299,Journal!$B$7:$L$84,11))</f>
        <v/>
      </c>
      <c r="I299" s="84" t="str">
        <f>IF(B299="","",VLOOKUP(A299,Journal!$B$7:$M$84,12))</f>
        <v/>
      </c>
      <c r="J299" s="105">
        <f>IF(B299="Total",SUM(J$8:J298)+0.0001,IF(OR(B299="",I$2=I299),0,VLOOKUP(A299,Journal!$B$7:M$84,8)))</f>
        <v>0</v>
      </c>
      <c r="K299" s="102">
        <f>IF(B299="Total",SUM(K$8:K298)+0.0001,IF(OR(B299="",J299&lt;&gt;0),0,VLOOKUP(A299,Journal!$B$7:M$84,8)))</f>
        <v>0</v>
      </c>
      <c r="L299" s="87">
        <f t="shared" si="28"/>
        <v>0</v>
      </c>
      <c r="P299">
        <f t="shared" si="31"/>
        <v>1.0000000000000001E-5</v>
      </c>
      <c r="R299" s="15">
        <f t="shared" si="32"/>
        <v>292</v>
      </c>
      <c r="S299" s="126">
        <f>IF(VLOOKUP(A299,Journal!$A$7:$E$70,5)=0,S298+1,VLOOKUP(A299,Journal!$A$7:$E$70,5))</f>
        <v>45949</v>
      </c>
      <c r="T299" s="125">
        <f>IF(H$2=VLOOKUP(A299,Journal!$A$7:$F$70,6),VLOOKUP(A299,Journal!$A$7:M$70,9),0)</f>
        <v>0</v>
      </c>
      <c r="U299" s="125">
        <f>IF(H$2=VLOOKUP(A299,Journal!$A$7:$G$70,7),VLOOKUP(A299,Journal!$A$7:M$70,9),0)</f>
        <v>0</v>
      </c>
      <c r="V299" s="125">
        <f t="shared" si="33"/>
        <v>40</v>
      </c>
      <c r="X299">
        <f t="shared" si="30"/>
        <v>0</v>
      </c>
      <c r="Y299" s="143">
        <f t="shared" si="29"/>
        <v>-992.39473684211737</v>
      </c>
    </row>
    <row r="300" spans="1:25" x14ac:dyDescent="0.25">
      <c r="A300">
        <f t="shared" si="34"/>
        <v>293</v>
      </c>
      <c r="B300" s="88" t="str">
        <f>IF(OR(B299="Total",B299=""),"",IF(VLOOKUP(A300,Journal!$B$7:$E$84,4)=0,"Total",VLOOKUP(A300,Journal!$B$7:$D$84,3)))</f>
        <v/>
      </c>
      <c r="C300" s="86" t="str">
        <f>IF(B300="","",VLOOKUP(A300,Journal!$B$7:$E$84,4))</f>
        <v/>
      </c>
      <c r="D300" s="114" t="str">
        <f>IF(B300="","",VLOOKUP(A300,Journal!$B$7:$J$84,9))</f>
        <v/>
      </c>
      <c r="E300" s="116"/>
      <c r="F300" s="116"/>
      <c r="G300" s="115"/>
      <c r="H300" s="84" t="str">
        <f>IF(B300="","",VLOOKUP(A300,Journal!$B$7:$L$84,11))</f>
        <v/>
      </c>
      <c r="I300" s="84" t="str">
        <f>IF(B300="","",VLOOKUP(A300,Journal!$B$7:$M$84,12))</f>
        <v/>
      </c>
      <c r="J300" s="105">
        <f>IF(B300="Total",SUM(J$8:J299)+0.0001,IF(OR(B300="",I$2=I300),0,VLOOKUP(A300,Journal!$B$7:M$84,8)))</f>
        <v>0</v>
      </c>
      <c r="K300" s="102">
        <f>IF(B300="Total",SUM(K$8:K299)+0.0001,IF(OR(B300="",J300&lt;&gt;0),0,VLOOKUP(A300,Journal!$B$7:M$84,8)))</f>
        <v>0</v>
      </c>
      <c r="L300" s="87">
        <f t="shared" si="28"/>
        <v>0</v>
      </c>
      <c r="P300">
        <f t="shared" si="31"/>
        <v>1.0000000000000001E-5</v>
      </c>
      <c r="R300" s="15">
        <f t="shared" si="32"/>
        <v>293</v>
      </c>
      <c r="S300" s="126">
        <f>IF(VLOOKUP(A300,Journal!$A$7:$E$70,5)=0,S299+1,VLOOKUP(A300,Journal!$A$7:$E$70,5))</f>
        <v>45950</v>
      </c>
      <c r="T300" s="125">
        <f>IF(H$2=VLOOKUP(A300,Journal!$A$7:$F$70,6),VLOOKUP(A300,Journal!$A$7:M$70,9),0)</f>
        <v>0</v>
      </c>
      <c r="U300" s="125">
        <f>IF(H$2=VLOOKUP(A300,Journal!$A$7:$G$70,7),VLOOKUP(A300,Journal!$A$7:M$70,9),0)</f>
        <v>0</v>
      </c>
      <c r="V300" s="125">
        <f t="shared" si="33"/>
        <v>40</v>
      </c>
      <c r="X300">
        <f t="shared" si="30"/>
        <v>0</v>
      </c>
      <c r="Y300" s="143">
        <f t="shared" si="29"/>
        <v>-992.36842105264373</v>
      </c>
    </row>
    <row r="301" spans="1:25" x14ac:dyDescent="0.25">
      <c r="A301">
        <f t="shared" si="34"/>
        <v>294</v>
      </c>
      <c r="B301" s="88" t="str">
        <f>IF(OR(B300="Total",B300=""),"",IF(VLOOKUP(A301,Journal!$B$7:$E$84,4)=0,"Total",VLOOKUP(A301,Journal!$B$7:$D$84,3)))</f>
        <v/>
      </c>
      <c r="C301" s="86" t="str">
        <f>IF(B301="","",VLOOKUP(A301,Journal!$B$7:$E$84,4))</f>
        <v/>
      </c>
      <c r="D301" s="114" t="str">
        <f>IF(B301="","",VLOOKUP(A301,Journal!$B$7:$J$84,9))</f>
        <v/>
      </c>
      <c r="E301" s="116"/>
      <c r="F301" s="116"/>
      <c r="G301" s="115"/>
      <c r="H301" s="84" t="str">
        <f>IF(B301="","",VLOOKUP(A301,Journal!$B$7:$L$84,11))</f>
        <v/>
      </c>
      <c r="I301" s="84" t="str">
        <f>IF(B301="","",VLOOKUP(A301,Journal!$B$7:$M$84,12))</f>
        <v/>
      </c>
      <c r="J301" s="105">
        <f>IF(B301="Total",SUM(J$8:J300)+0.0001,IF(OR(B301="",I$2=I301),0,VLOOKUP(A301,Journal!$B$7:M$84,8)))</f>
        <v>0</v>
      </c>
      <c r="K301" s="102">
        <f>IF(B301="Total",SUM(K$8:K300)+0.0001,IF(OR(B301="",J301&lt;&gt;0),0,VLOOKUP(A301,Journal!$B$7:M$84,8)))</f>
        <v>0</v>
      </c>
      <c r="L301" s="87">
        <f t="shared" si="28"/>
        <v>0</v>
      </c>
      <c r="P301">
        <f t="shared" si="31"/>
        <v>1.0000000000000001E-5</v>
      </c>
      <c r="R301" s="15">
        <f t="shared" si="32"/>
        <v>294</v>
      </c>
      <c r="S301" s="126">
        <f>IF(VLOOKUP(A301,Journal!$A$7:$E$70,5)=0,S300+1,VLOOKUP(A301,Journal!$A$7:$E$70,5))</f>
        <v>45951</v>
      </c>
      <c r="T301" s="125">
        <f>IF(H$2=VLOOKUP(A301,Journal!$A$7:$F$70,6),VLOOKUP(A301,Journal!$A$7:M$70,9),0)</f>
        <v>0</v>
      </c>
      <c r="U301" s="125">
        <f>IF(H$2=VLOOKUP(A301,Journal!$A$7:$G$70,7),VLOOKUP(A301,Journal!$A$7:M$70,9),0)</f>
        <v>0</v>
      </c>
      <c r="V301" s="125">
        <f t="shared" si="33"/>
        <v>40</v>
      </c>
      <c r="X301">
        <f t="shared" si="30"/>
        <v>0</v>
      </c>
      <c r="Y301" s="143">
        <f t="shared" si="29"/>
        <v>-992.34210526317008</v>
      </c>
    </row>
    <row r="302" spans="1:25" x14ac:dyDescent="0.25">
      <c r="A302">
        <f t="shared" si="34"/>
        <v>295</v>
      </c>
      <c r="B302" s="88" t="str">
        <f>IF(OR(B301="Total",B301=""),"",IF(VLOOKUP(A302,Journal!$B$7:$E$84,4)=0,"Total",VLOOKUP(A302,Journal!$B$7:$D$84,3)))</f>
        <v/>
      </c>
      <c r="C302" s="86" t="str">
        <f>IF(B302="","",VLOOKUP(A302,Journal!$B$7:$E$84,4))</f>
        <v/>
      </c>
      <c r="D302" s="114" t="str">
        <f>IF(B302="","",VLOOKUP(A302,Journal!$B$7:$J$84,9))</f>
        <v/>
      </c>
      <c r="E302" s="116"/>
      <c r="F302" s="116"/>
      <c r="G302" s="115"/>
      <c r="H302" s="84" t="str">
        <f>IF(B302="","",VLOOKUP(A302,Journal!$B$7:$L$84,11))</f>
        <v/>
      </c>
      <c r="I302" s="84" t="str">
        <f>IF(B302="","",VLOOKUP(A302,Journal!$B$7:$M$84,12))</f>
        <v/>
      </c>
      <c r="J302" s="105">
        <f>IF(B302="Total",SUM(J$8:J301)+0.0001,IF(OR(B302="",I$2=I302),0,VLOOKUP(A302,Journal!$B$7:M$84,8)))</f>
        <v>0</v>
      </c>
      <c r="K302" s="102">
        <f>IF(B302="Total",SUM(K$8:K301)+0.0001,IF(OR(B302="",J302&lt;&gt;0),0,VLOOKUP(A302,Journal!$B$7:M$84,8)))</f>
        <v>0</v>
      </c>
      <c r="L302" s="87">
        <f t="shared" si="28"/>
        <v>0</v>
      </c>
      <c r="P302">
        <f t="shared" si="31"/>
        <v>1.0000000000000001E-5</v>
      </c>
      <c r="R302" s="15">
        <f t="shared" si="32"/>
        <v>295</v>
      </c>
      <c r="S302" s="126">
        <f>IF(VLOOKUP(A302,Journal!$A$7:$E$70,5)=0,S301+1,VLOOKUP(A302,Journal!$A$7:$E$70,5))</f>
        <v>45952</v>
      </c>
      <c r="T302" s="125">
        <f>IF(H$2=VLOOKUP(A302,Journal!$A$7:$F$70,6),VLOOKUP(A302,Journal!$A$7:M$70,9),0)</f>
        <v>0</v>
      </c>
      <c r="U302" s="125">
        <f>IF(H$2=VLOOKUP(A302,Journal!$A$7:$G$70,7),VLOOKUP(A302,Journal!$A$7:M$70,9),0)</f>
        <v>0</v>
      </c>
      <c r="V302" s="125">
        <f t="shared" si="33"/>
        <v>40</v>
      </c>
      <c r="X302">
        <f t="shared" si="30"/>
        <v>0</v>
      </c>
      <c r="Y302" s="143">
        <f t="shared" si="29"/>
        <v>-992.31578947369644</v>
      </c>
    </row>
    <row r="303" spans="1:25" x14ac:dyDescent="0.25">
      <c r="A303">
        <f t="shared" si="34"/>
        <v>296</v>
      </c>
      <c r="B303" s="88" t="str">
        <f>IF(OR(B302="Total",B302=""),"",IF(VLOOKUP(A303,Journal!$B$7:$E$84,4)=0,"Total",VLOOKUP(A303,Journal!$B$7:$D$84,3)))</f>
        <v/>
      </c>
      <c r="C303" s="86" t="str">
        <f>IF(B303="","",VLOOKUP(A303,Journal!$B$7:$E$84,4))</f>
        <v/>
      </c>
      <c r="D303" s="114" t="str">
        <f>IF(B303="","",VLOOKUP(A303,Journal!$B$7:$J$84,9))</f>
        <v/>
      </c>
      <c r="E303" s="116"/>
      <c r="F303" s="116"/>
      <c r="G303" s="115"/>
      <c r="H303" s="84" t="str">
        <f>IF(B303="","",VLOOKUP(A303,Journal!$B$7:$L$84,11))</f>
        <v/>
      </c>
      <c r="I303" s="84" t="str">
        <f>IF(B303="","",VLOOKUP(A303,Journal!$B$7:$M$84,12))</f>
        <v/>
      </c>
      <c r="J303" s="105">
        <f>IF(B303="Total",SUM(J$8:J302)+0.0001,IF(OR(B303="",I$2=I303),0,VLOOKUP(A303,Journal!$B$7:M$84,8)))</f>
        <v>0</v>
      </c>
      <c r="K303" s="102">
        <f>IF(B303="Total",SUM(K$8:K302)+0.0001,IF(OR(B303="",J303&lt;&gt;0),0,VLOOKUP(A303,Journal!$B$7:M$84,8)))</f>
        <v>0</v>
      </c>
      <c r="L303" s="87">
        <f t="shared" si="28"/>
        <v>0</v>
      </c>
      <c r="P303">
        <f t="shared" si="31"/>
        <v>1.0000000000000001E-5</v>
      </c>
      <c r="R303" s="15">
        <f t="shared" si="32"/>
        <v>296</v>
      </c>
      <c r="S303" s="126">
        <f>IF(VLOOKUP(A303,Journal!$A$7:$E$70,5)=0,S302+1,VLOOKUP(A303,Journal!$A$7:$E$70,5))</f>
        <v>45953</v>
      </c>
      <c r="T303" s="125">
        <f>IF(H$2=VLOOKUP(A303,Journal!$A$7:$F$70,6),VLOOKUP(A303,Journal!$A$7:M$70,9),0)</f>
        <v>0</v>
      </c>
      <c r="U303" s="125">
        <f>IF(H$2=VLOOKUP(A303,Journal!$A$7:$G$70,7),VLOOKUP(A303,Journal!$A$7:M$70,9),0)</f>
        <v>0</v>
      </c>
      <c r="V303" s="125">
        <f t="shared" si="33"/>
        <v>40</v>
      </c>
      <c r="X303">
        <f t="shared" si="30"/>
        <v>0</v>
      </c>
      <c r="Y303" s="143">
        <f t="shared" si="29"/>
        <v>-992.2894736842228</v>
      </c>
    </row>
    <row r="304" spans="1:25" x14ac:dyDescent="0.25">
      <c r="A304">
        <f t="shared" si="34"/>
        <v>297</v>
      </c>
      <c r="B304" s="88" t="str">
        <f>IF(OR(B303="Total",B303=""),"",IF(VLOOKUP(A304,Journal!$B$7:$E$84,4)=0,"Total",VLOOKUP(A304,Journal!$B$7:$D$84,3)))</f>
        <v/>
      </c>
      <c r="C304" s="86" t="str">
        <f>IF(B304="","",VLOOKUP(A304,Journal!$B$7:$E$84,4))</f>
        <v/>
      </c>
      <c r="D304" s="114" t="str">
        <f>IF(B304="","",VLOOKUP(A304,Journal!$B$7:$J$84,9))</f>
        <v/>
      </c>
      <c r="E304" s="116"/>
      <c r="F304" s="116"/>
      <c r="G304" s="115"/>
      <c r="H304" s="84" t="str">
        <f>IF(B304="","",VLOOKUP(A304,Journal!$B$7:$L$84,11))</f>
        <v/>
      </c>
      <c r="I304" s="84" t="str">
        <f>IF(B304="","",VLOOKUP(A304,Journal!$B$7:$M$84,12))</f>
        <v/>
      </c>
      <c r="J304" s="105">
        <f>IF(B304="Total",SUM(J$8:J303)+0.0001,IF(OR(B304="",I$2=I304),0,VLOOKUP(A304,Journal!$B$7:M$84,8)))</f>
        <v>0</v>
      </c>
      <c r="K304" s="102">
        <f>IF(B304="Total",SUM(K$8:K303)+0.0001,IF(OR(B304="",J304&lt;&gt;0),0,VLOOKUP(A304,Journal!$B$7:M$84,8)))</f>
        <v>0</v>
      </c>
      <c r="L304" s="87">
        <f t="shared" si="28"/>
        <v>0</v>
      </c>
      <c r="P304">
        <f t="shared" si="31"/>
        <v>1.0000000000000001E-5</v>
      </c>
      <c r="R304" s="15">
        <f t="shared" si="32"/>
        <v>297</v>
      </c>
      <c r="S304" s="126">
        <f>IF(VLOOKUP(A304,Journal!$A$7:$E$70,5)=0,S303+1,VLOOKUP(A304,Journal!$A$7:$E$70,5))</f>
        <v>45954</v>
      </c>
      <c r="T304" s="125">
        <f>IF(H$2=VLOOKUP(A304,Journal!$A$7:$F$70,6),VLOOKUP(A304,Journal!$A$7:M$70,9),0)</f>
        <v>0</v>
      </c>
      <c r="U304" s="125">
        <f>IF(H$2=VLOOKUP(A304,Journal!$A$7:$G$70,7),VLOOKUP(A304,Journal!$A$7:M$70,9),0)</f>
        <v>0</v>
      </c>
      <c r="V304" s="125">
        <f t="shared" si="33"/>
        <v>40</v>
      </c>
      <c r="X304">
        <f t="shared" si="30"/>
        <v>0</v>
      </c>
      <c r="Y304" s="143">
        <f t="shared" si="29"/>
        <v>-992.26315789474916</v>
      </c>
    </row>
    <row r="305" spans="1:25" x14ac:dyDescent="0.25">
      <c r="A305">
        <f t="shared" si="34"/>
        <v>298</v>
      </c>
      <c r="B305" s="88" t="str">
        <f>IF(OR(B304="Total",B304=""),"",IF(VLOOKUP(A305,Journal!$B$7:$E$84,4)=0,"Total",VLOOKUP(A305,Journal!$B$7:$D$84,3)))</f>
        <v/>
      </c>
      <c r="C305" s="86" t="str">
        <f>IF(B305="","",VLOOKUP(A305,Journal!$B$7:$E$84,4))</f>
        <v/>
      </c>
      <c r="D305" s="114" t="str">
        <f>IF(B305="","",VLOOKUP(A305,Journal!$B$7:$J$84,9))</f>
        <v/>
      </c>
      <c r="E305" s="116"/>
      <c r="F305" s="116"/>
      <c r="G305" s="115"/>
      <c r="H305" s="84" t="str">
        <f>IF(B305="","",VLOOKUP(A305,Journal!$B$7:$L$84,11))</f>
        <v/>
      </c>
      <c r="I305" s="84" t="str">
        <f>IF(B305="","",VLOOKUP(A305,Journal!$B$7:$M$84,12))</f>
        <v/>
      </c>
      <c r="J305" s="105">
        <f>IF(B305="Total",SUM(J$8:J304)+0.0001,IF(OR(B305="",I$2=I305),0,VLOOKUP(A305,Journal!$B$7:M$84,8)))</f>
        <v>0</v>
      </c>
      <c r="K305" s="102">
        <f>IF(B305="Total",SUM(K$8:K304)+0.0001,IF(OR(B305="",J305&lt;&gt;0),0,VLOOKUP(A305,Journal!$B$7:M$84,8)))</f>
        <v>0</v>
      </c>
      <c r="L305" s="87">
        <f t="shared" si="28"/>
        <v>0</v>
      </c>
      <c r="P305">
        <f t="shared" si="31"/>
        <v>1.0000000000000001E-5</v>
      </c>
      <c r="R305" s="15">
        <f t="shared" si="32"/>
        <v>298</v>
      </c>
      <c r="S305" s="126">
        <f>IF(VLOOKUP(A305,Journal!$A$7:$E$70,5)=0,S304+1,VLOOKUP(A305,Journal!$A$7:$E$70,5))</f>
        <v>45955</v>
      </c>
      <c r="T305" s="125">
        <f>IF(H$2=VLOOKUP(A305,Journal!$A$7:$F$70,6),VLOOKUP(A305,Journal!$A$7:M$70,9),0)</f>
        <v>0</v>
      </c>
      <c r="U305" s="125">
        <f>IF(H$2=VLOOKUP(A305,Journal!$A$7:$G$70,7),VLOOKUP(A305,Journal!$A$7:M$70,9),0)</f>
        <v>0</v>
      </c>
      <c r="V305" s="125">
        <f t="shared" si="33"/>
        <v>40</v>
      </c>
      <c r="X305">
        <f t="shared" si="30"/>
        <v>0</v>
      </c>
      <c r="Y305" s="143">
        <f t="shared" si="29"/>
        <v>-992.23684210527551</v>
      </c>
    </row>
    <row r="306" spans="1:25" x14ac:dyDescent="0.25">
      <c r="A306">
        <f t="shared" si="34"/>
        <v>299</v>
      </c>
      <c r="B306" s="88" t="str">
        <f>IF(OR(B305="Total",B305=""),"",IF(VLOOKUP(A306,Journal!$B$7:$E$84,4)=0,"Total",VLOOKUP(A306,Journal!$B$7:$D$84,3)))</f>
        <v/>
      </c>
      <c r="C306" s="86" t="str">
        <f>IF(B306="","",VLOOKUP(A306,Journal!$B$7:$E$84,4))</f>
        <v/>
      </c>
      <c r="D306" s="114" t="str">
        <f>IF(B306="","",VLOOKUP(A306,Journal!$B$7:$J$84,9))</f>
        <v/>
      </c>
      <c r="E306" s="116"/>
      <c r="F306" s="116"/>
      <c r="G306" s="115"/>
      <c r="H306" s="84" t="str">
        <f>IF(B306="","",VLOOKUP(A306,Journal!$B$7:$L$84,11))</f>
        <v/>
      </c>
      <c r="I306" s="84" t="str">
        <f>IF(B306="","",VLOOKUP(A306,Journal!$B$7:$M$84,12))</f>
        <v/>
      </c>
      <c r="J306" s="105">
        <f>IF(B306="Total",SUM(J$8:J305)+0.0001,IF(OR(B306="",I$2=I306),0,VLOOKUP(A306,Journal!$B$7:M$84,8)))</f>
        <v>0</v>
      </c>
      <c r="K306" s="102">
        <f>IF(B306="Total",SUM(K$8:K305)+0.0001,IF(OR(B306="",J306&lt;&gt;0),0,VLOOKUP(A306,Journal!$B$7:M$84,8)))</f>
        <v>0</v>
      </c>
      <c r="L306" s="87">
        <f t="shared" si="28"/>
        <v>0</v>
      </c>
      <c r="P306">
        <f t="shared" si="31"/>
        <v>1.0000000000000001E-5</v>
      </c>
      <c r="R306" s="15">
        <f t="shared" si="32"/>
        <v>299</v>
      </c>
      <c r="S306" s="126">
        <f>IF(VLOOKUP(A306,Journal!$A$7:$E$70,5)=0,S305+1,VLOOKUP(A306,Journal!$A$7:$E$70,5))</f>
        <v>45956</v>
      </c>
      <c r="T306" s="125">
        <f>IF(H$2=VLOOKUP(A306,Journal!$A$7:$F$70,6),VLOOKUP(A306,Journal!$A$7:M$70,9),0)</f>
        <v>0</v>
      </c>
      <c r="U306" s="125">
        <f>IF(H$2=VLOOKUP(A306,Journal!$A$7:$G$70,7),VLOOKUP(A306,Journal!$A$7:M$70,9),0)</f>
        <v>0</v>
      </c>
      <c r="V306" s="125">
        <f t="shared" si="33"/>
        <v>40</v>
      </c>
      <c r="X306">
        <f t="shared" si="30"/>
        <v>0</v>
      </c>
      <c r="Y306" s="143">
        <f t="shared" si="29"/>
        <v>-992.21052631580187</v>
      </c>
    </row>
    <row r="307" spans="1:25" x14ac:dyDescent="0.25">
      <c r="A307">
        <f t="shared" si="34"/>
        <v>300</v>
      </c>
      <c r="B307" s="88" t="str">
        <f>IF(OR(B306="Total",B306=""),"",IF(VLOOKUP(A307,Journal!$B$7:$E$84,4)=0,"Total",VLOOKUP(A307,Journal!$B$7:$D$84,3)))</f>
        <v/>
      </c>
      <c r="C307" s="86" t="str">
        <f>IF(B307="","",VLOOKUP(A307,Journal!$B$7:$E$84,4))</f>
        <v/>
      </c>
      <c r="D307" s="114" t="str">
        <f>IF(B307="","",VLOOKUP(A307,Journal!$B$7:$J$84,9))</f>
        <v/>
      </c>
      <c r="E307" s="116"/>
      <c r="F307" s="116"/>
      <c r="G307" s="115"/>
      <c r="H307" s="84" t="str">
        <f>IF(B307="","",VLOOKUP(A307,Journal!$B$7:$L$84,11))</f>
        <v/>
      </c>
      <c r="I307" s="84" t="str">
        <f>IF(B307="","",VLOOKUP(A307,Journal!$B$7:$M$84,12))</f>
        <v/>
      </c>
      <c r="J307" s="105">
        <f>IF(B307="Total",SUM(J$8:J306)+0.0001,IF(OR(B307="",I$2=I307),0,VLOOKUP(A307,Journal!$B$7:M$84,8)))</f>
        <v>0</v>
      </c>
      <c r="K307" s="102">
        <f>IF(B307="Total",SUM(K$8:K306)+0.0001,IF(OR(B307="",J307&lt;&gt;0),0,VLOOKUP(A307,Journal!$B$7:M$84,8)))</f>
        <v>0</v>
      </c>
      <c r="L307" s="87">
        <f t="shared" si="28"/>
        <v>0</v>
      </c>
      <c r="P307">
        <f t="shared" si="31"/>
        <v>1.0000000000000001E-5</v>
      </c>
      <c r="R307" s="15">
        <f t="shared" si="32"/>
        <v>300</v>
      </c>
      <c r="S307" s="126">
        <f>IF(VLOOKUP(A307,Journal!$A$7:$E$70,5)=0,S306+1,VLOOKUP(A307,Journal!$A$7:$E$70,5))</f>
        <v>45957</v>
      </c>
      <c r="T307" s="125">
        <f>IF(H$2=VLOOKUP(A307,Journal!$A$7:$F$70,6),VLOOKUP(A307,Journal!$A$7:M$70,9),0)</f>
        <v>0</v>
      </c>
      <c r="U307" s="125">
        <f>IF(H$2=VLOOKUP(A307,Journal!$A$7:$G$70,7),VLOOKUP(A307,Journal!$A$7:M$70,9),0)</f>
        <v>0</v>
      </c>
      <c r="V307" s="125">
        <f t="shared" si="33"/>
        <v>40</v>
      </c>
      <c r="X307">
        <f t="shared" si="30"/>
        <v>0</v>
      </c>
      <c r="Y307" s="143">
        <f t="shared" si="29"/>
        <v>-992.18421052632823</v>
      </c>
    </row>
    <row r="308" spans="1:25" x14ac:dyDescent="0.25">
      <c r="A308">
        <f t="shared" si="34"/>
        <v>301</v>
      </c>
      <c r="B308" s="88" t="str">
        <f>IF(OR(B307="Total",B307=""),"",IF(VLOOKUP(A308,Journal!$B$7:$E$84,4)=0,"Total",VLOOKUP(A308,Journal!$B$7:$D$84,3)))</f>
        <v/>
      </c>
      <c r="C308" s="86" t="str">
        <f>IF(B308="","",VLOOKUP(A308,Journal!$B$7:$E$84,4))</f>
        <v/>
      </c>
      <c r="D308" s="114" t="str">
        <f>IF(B308="","",VLOOKUP(A308,Journal!$B$7:$J$84,9))</f>
        <v/>
      </c>
      <c r="E308" s="116"/>
      <c r="F308" s="116"/>
      <c r="G308" s="115"/>
      <c r="H308" s="84" t="str">
        <f>IF(B308="","",VLOOKUP(A308,Journal!$B$7:$L$84,11))</f>
        <v/>
      </c>
      <c r="I308" s="84" t="str">
        <f>IF(B308="","",VLOOKUP(A308,Journal!$B$7:$M$84,12))</f>
        <v/>
      </c>
      <c r="J308" s="105">
        <f>IF(B308="Total",SUM(J$8:J307)+0.0001,IF(OR(B308="",I$2=I308),0,VLOOKUP(A308,Journal!$B$7:M$84,8)))</f>
        <v>0</v>
      </c>
      <c r="K308" s="102">
        <f>IF(B308="Total",SUM(K$8:K307)+0.0001,IF(OR(B308="",J308&lt;&gt;0),0,VLOOKUP(A308,Journal!$B$7:M$84,8)))</f>
        <v>0</v>
      </c>
      <c r="L308" s="87">
        <f t="shared" si="28"/>
        <v>0</v>
      </c>
      <c r="P308">
        <f t="shared" si="31"/>
        <v>1.0000000000000001E-5</v>
      </c>
      <c r="R308" s="15">
        <f t="shared" si="32"/>
        <v>301</v>
      </c>
      <c r="S308" s="126">
        <f>IF(VLOOKUP(A308,Journal!$A$7:$E$70,5)=0,S307+1,VLOOKUP(A308,Journal!$A$7:$E$70,5))</f>
        <v>45958</v>
      </c>
      <c r="T308" s="125">
        <f>IF(H$2=VLOOKUP(A308,Journal!$A$7:$F$70,6),VLOOKUP(A308,Journal!$A$7:M$70,9),0)</f>
        <v>0</v>
      </c>
      <c r="U308" s="125">
        <f>IF(H$2=VLOOKUP(A308,Journal!$A$7:$G$70,7),VLOOKUP(A308,Journal!$A$7:M$70,9),0)</f>
        <v>0</v>
      </c>
      <c r="V308" s="125">
        <f t="shared" si="33"/>
        <v>40</v>
      </c>
      <c r="X308">
        <f t="shared" si="30"/>
        <v>0</v>
      </c>
      <c r="Y308" s="143">
        <f t="shared" si="29"/>
        <v>-992.15789473685459</v>
      </c>
    </row>
    <row r="309" spans="1:25" x14ac:dyDescent="0.25">
      <c r="A309">
        <f t="shared" si="34"/>
        <v>302</v>
      </c>
      <c r="B309" s="88" t="str">
        <f>IF(OR(B308="Total",B308=""),"",IF(VLOOKUP(A309,Journal!$B$7:$E$84,4)=0,"Total",VLOOKUP(A309,Journal!$B$7:$D$84,3)))</f>
        <v/>
      </c>
      <c r="C309" s="86" t="str">
        <f>IF(B309="","",VLOOKUP(A309,Journal!$B$7:$E$84,4))</f>
        <v/>
      </c>
      <c r="D309" s="114" t="str">
        <f>IF(B309="","",VLOOKUP(A309,Journal!$B$7:$J$84,9))</f>
        <v/>
      </c>
      <c r="E309" s="116"/>
      <c r="F309" s="116"/>
      <c r="G309" s="115"/>
      <c r="H309" s="84" t="str">
        <f>IF(B309="","",VLOOKUP(A309,Journal!$B$7:$L$84,11))</f>
        <v/>
      </c>
      <c r="I309" s="84" t="str">
        <f>IF(B309="","",VLOOKUP(A309,Journal!$B$7:$M$84,12))</f>
        <v/>
      </c>
      <c r="J309" s="105">
        <f>IF(B309="Total",SUM(J$8:J308)+0.0001,IF(OR(B309="",I$2=I309),0,VLOOKUP(A309,Journal!$B$7:M$84,8)))</f>
        <v>0</v>
      </c>
      <c r="K309" s="102">
        <f>IF(B309="Total",SUM(K$8:K308)+0.0001,IF(OR(B309="",J309&lt;&gt;0),0,VLOOKUP(A309,Journal!$B$7:M$84,8)))</f>
        <v>0</v>
      </c>
      <c r="L309" s="87">
        <f t="shared" si="28"/>
        <v>0</v>
      </c>
      <c r="P309">
        <f t="shared" si="31"/>
        <v>1.0000000000000001E-5</v>
      </c>
      <c r="R309" s="15">
        <f t="shared" si="32"/>
        <v>302</v>
      </c>
      <c r="S309" s="126">
        <f>IF(VLOOKUP(A309,Journal!$A$7:$E$70,5)=0,S308+1,VLOOKUP(A309,Journal!$A$7:$E$70,5))</f>
        <v>45959</v>
      </c>
      <c r="T309" s="125">
        <f>IF(H$2=VLOOKUP(A309,Journal!$A$7:$F$70,6),VLOOKUP(A309,Journal!$A$7:M$70,9),0)</f>
        <v>0</v>
      </c>
      <c r="U309" s="125">
        <f>IF(H$2=VLOOKUP(A309,Journal!$A$7:$G$70,7),VLOOKUP(A309,Journal!$A$7:M$70,9),0)</f>
        <v>0</v>
      </c>
      <c r="V309" s="125">
        <f t="shared" si="33"/>
        <v>40</v>
      </c>
      <c r="X309">
        <f t="shared" si="30"/>
        <v>0</v>
      </c>
      <c r="Y309" s="143">
        <f t="shared" si="29"/>
        <v>-992.13157894738094</v>
      </c>
    </row>
    <row r="310" spans="1:25" x14ac:dyDescent="0.25">
      <c r="A310">
        <f t="shared" si="34"/>
        <v>303</v>
      </c>
      <c r="B310" s="88" t="str">
        <f>IF(OR(B309="Total",B309=""),"",IF(VLOOKUP(A310,Journal!$B$7:$E$84,4)=0,"Total",VLOOKUP(A310,Journal!$B$7:$D$84,3)))</f>
        <v/>
      </c>
      <c r="C310" s="86" t="str">
        <f>IF(B310="","",VLOOKUP(A310,Journal!$B$7:$E$84,4))</f>
        <v/>
      </c>
      <c r="D310" s="114" t="str">
        <f>IF(B310="","",VLOOKUP(A310,Journal!$B$7:$J$84,9))</f>
        <v/>
      </c>
      <c r="E310" s="116"/>
      <c r="F310" s="116"/>
      <c r="G310" s="115"/>
      <c r="H310" s="84" t="str">
        <f>IF(B310="","",VLOOKUP(A310,Journal!$B$7:$L$84,11))</f>
        <v/>
      </c>
      <c r="I310" s="84" t="str">
        <f>IF(B310="","",VLOOKUP(A310,Journal!$B$7:$M$84,12))</f>
        <v/>
      </c>
      <c r="J310" s="105">
        <f>IF(B310="Total",SUM(J$8:J309)+0.0001,IF(OR(B310="",I$2=I310),0,VLOOKUP(A310,Journal!$B$7:M$84,8)))</f>
        <v>0</v>
      </c>
      <c r="K310" s="102">
        <f>IF(B310="Total",SUM(K$8:K309)+0.0001,IF(OR(B310="",J310&lt;&gt;0),0,VLOOKUP(A310,Journal!$B$7:M$84,8)))</f>
        <v>0</v>
      </c>
      <c r="L310" s="87">
        <f t="shared" si="28"/>
        <v>0</v>
      </c>
      <c r="P310">
        <f t="shared" si="31"/>
        <v>1.0000000000000001E-5</v>
      </c>
      <c r="R310" s="15">
        <f t="shared" si="32"/>
        <v>303</v>
      </c>
      <c r="S310" s="126">
        <f>IF(VLOOKUP(A310,Journal!$A$7:$E$70,5)=0,S309+1,VLOOKUP(A310,Journal!$A$7:$E$70,5))</f>
        <v>45960</v>
      </c>
      <c r="T310" s="125">
        <f>IF(H$2=VLOOKUP(A310,Journal!$A$7:$F$70,6),VLOOKUP(A310,Journal!$A$7:M$70,9),0)</f>
        <v>0</v>
      </c>
      <c r="U310" s="125">
        <f>IF(H$2=VLOOKUP(A310,Journal!$A$7:$G$70,7),VLOOKUP(A310,Journal!$A$7:M$70,9),0)</f>
        <v>0</v>
      </c>
      <c r="V310" s="125">
        <f t="shared" si="33"/>
        <v>40</v>
      </c>
      <c r="X310">
        <f t="shared" si="30"/>
        <v>0</v>
      </c>
      <c r="Y310" s="143">
        <f t="shared" si="29"/>
        <v>-992.1052631579073</v>
      </c>
    </row>
    <row r="311" spans="1:25" x14ac:dyDescent="0.25">
      <c r="A311">
        <f t="shared" si="34"/>
        <v>304</v>
      </c>
      <c r="B311" s="88" t="str">
        <f>IF(OR(B310="Total",B310=""),"",IF(VLOOKUP(A311,Journal!$B$7:$E$84,4)=0,"Total",VLOOKUP(A311,Journal!$B$7:$D$84,3)))</f>
        <v/>
      </c>
      <c r="C311" s="86" t="str">
        <f>IF(B311="","",VLOOKUP(A311,Journal!$B$7:$E$84,4))</f>
        <v/>
      </c>
      <c r="D311" s="114" t="str">
        <f>IF(B311="","",VLOOKUP(A311,Journal!$B$7:$J$84,9))</f>
        <v/>
      </c>
      <c r="E311" s="116"/>
      <c r="F311" s="116"/>
      <c r="G311" s="115"/>
      <c r="H311" s="84" t="str">
        <f>IF(B311="","",VLOOKUP(A311,Journal!$B$7:$L$84,11))</f>
        <v/>
      </c>
      <c r="I311" s="84" t="str">
        <f>IF(B311="","",VLOOKUP(A311,Journal!$B$7:$M$84,12))</f>
        <v/>
      </c>
      <c r="J311" s="105">
        <f>IF(B311="Total",SUM(J$8:J310)+0.0001,IF(OR(B311="",I$2=I311),0,VLOOKUP(A311,Journal!$B$7:M$84,8)))</f>
        <v>0</v>
      </c>
      <c r="K311" s="102">
        <f>IF(B311="Total",SUM(K$8:K310)+0.0001,IF(OR(B311="",J311&lt;&gt;0),0,VLOOKUP(A311,Journal!$B$7:M$84,8)))</f>
        <v>0</v>
      </c>
      <c r="L311" s="87">
        <f t="shared" si="28"/>
        <v>0</v>
      </c>
      <c r="P311">
        <f t="shared" si="31"/>
        <v>1.0000000000000001E-5</v>
      </c>
      <c r="R311" s="15">
        <f t="shared" si="32"/>
        <v>304</v>
      </c>
      <c r="S311" s="126">
        <f>IF(VLOOKUP(A311,Journal!$A$7:$E$70,5)=0,S310+1,VLOOKUP(A311,Journal!$A$7:$E$70,5))</f>
        <v>45961</v>
      </c>
      <c r="T311" s="125">
        <f>IF(H$2=VLOOKUP(A311,Journal!$A$7:$F$70,6),VLOOKUP(A311,Journal!$A$7:M$70,9),0)</f>
        <v>0</v>
      </c>
      <c r="U311" s="125">
        <f>IF(H$2=VLOOKUP(A311,Journal!$A$7:$G$70,7),VLOOKUP(A311,Journal!$A$7:M$70,9),0)</f>
        <v>0</v>
      </c>
      <c r="V311" s="125">
        <f t="shared" si="33"/>
        <v>40</v>
      </c>
      <c r="X311">
        <f t="shared" si="30"/>
        <v>0</v>
      </c>
      <c r="Y311" s="143">
        <f t="shared" si="29"/>
        <v>-992.07894736843366</v>
      </c>
    </row>
    <row r="312" spans="1:25" x14ac:dyDescent="0.25">
      <c r="A312">
        <f t="shared" si="34"/>
        <v>305</v>
      </c>
      <c r="B312" s="88" t="str">
        <f>IF(OR(B311="Total",B311=""),"",IF(VLOOKUP(A312,Journal!$B$7:$E$84,4)=0,"Total",VLOOKUP(A312,Journal!$B$7:$D$84,3)))</f>
        <v/>
      </c>
      <c r="C312" s="86" t="str">
        <f>IF(B312="","",VLOOKUP(A312,Journal!$B$7:$E$84,4))</f>
        <v/>
      </c>
      <c r="D312" s="114" t="str">
        <f>IF(B312="","",VLOOKUP(A312,Journal!$B$7:$J$84,9))</f>
        <v/>
      </c>
      <c r="E312" s="116"/>
      <c r="F312" s="116"/>
      <c r="G312" s="115"/>
      <c r="H312" s="84" t="str">
        <f>IF(B312="","",VLOOKUP(A312,Journal!$B$7:$L$84,11))</f>
        <v/>
      </c>
      <c r="I312" s="84" t="str">
        <f>IF(B312="","",VLOOKUP(A312,Journal!$B$7:$M$84,12))</f>
        <v/>
      </c>
      <c r="J312" s="105">
        <f>IF(B312="Total",SUM(J$8:J311)+0.0001,IF(OR(B312="",I$2=I312),0,VLOOKUP(A312,Journal!$B$7:M$84,8)))</f>
        <v>0</v>
      </c>
      <c r="K312" s="102">
        <f>IF(B312="Total",SUM(K$8:K311)+0.0001,IF(OR(B312="",J312&lt;&gt;0),0,VLOOKUP(A312,Journal!$B$7:M$84,8)))</f>
        <v>0</v>
      </c>
      <c r="L312" s="87">
        <f t="shared" si="28"/>
        <v>0</v>
      </c>
      <c r="P312">
        <f t="shared" si="31"/>
        <v>1.0000000000000001E-5</v>
      </c>
      <c r="R312" s="15">
        <f t="shared" si="32"/>
        <v>305</v>
      </c>
      <c r="S312" s="126">
        <f>IF(VLOOKUP(A312,Journal!$A$7:$E$70,5)=0,S311+1,VLOOKUP(A312,Journal!$A$7:$E$70,5))</f>
        <v>45962</v>
      </c>
      <c r="T312" s="125">
        <f>IF(H$2=VLOOKUP(A312,Journal!$A$7:$F$70,6),VLOOKUP(A312,Journal!$A$7:M$70,9),0)</f>
        <v>0</v>
      </c>
      <c r="U312" s="125">
        <f>IF(H$2=VLOOKUP(A312,Journal!$A$7:$G$70,7),VLOOKUP(A312,Journal!$A$7:M$70,9),0)</f>
        <v>0</v>
      </c>
      <c r="V312" s="125">
        <f t="shared" si="33"/>
        <v>40</v>
      </c>
      <c r="X312">
        <f t="shared" si="30"/>
        <v>0</v>
      </c>
      <c r="Y312" s="143">
        <f t="shared" si="29"/>
        <v>-992.05263157896002</v>
      </c>
    </row>
    <row r="313" spans="1:25" x14ac:dyDescent="0.25">
      <c r="A313">
        <f t="shared" si="34"/>
        <v>306</v>
      </c>
      <c r="B313" s="88" t="str">
        <f>IF(OR(B312="Total",B312=""),"",IF(VLOOKUP(A313,Journal!$B$7:$E$84,4)=0,"Total",VLOOKUP(A313,Journal!$B$7:$D$84,3)))</f>
        <v/>
      </c>
      <c r="C313" s="86" t="str">
        <f>IF(B313="","",VLOOKUP(A313,Journal!$B$7:$E$84,4))</f>
        <v/>
      </c>
      <c r="D313" s="114" t="str">
        <f>IF(B313="","",VLOOKUP(A313,Journal!$B$7:$J$84,9))</f>
        <v/>
      </c>
      <c r="E313" s="116"/>
      <c r="F313" s="116"/>
      <c r="G313" s="115"/>
      <c r="H313" s="84" t="str">
        <f>IF(B313="","",VLOOKUP(A313,Journal!$B$7:$L$84,11))</f>
        <v/>
      </c>
      <c r="I313" s="84" t="str">
        <f>IF(B313="","",VLOOKUP(A313,Journal!$B$7:$M$84,12))</f>
        <v/>
      </c>
      <c r="J313" s="105">
        <f>IF(B313="Total",SUM(J$8:J312)+0.0001,IF(OR(B313="",I$2=I313),0,VLOOKUP(A313,Journal!$B$7:M$84,8)))</f>
        <v>0</v>
      </c>
      <c r="K313" s="102">
        <f>IF(B313="Total",SUM(K$8:K312)+0.0001,IF(OR(B313="",J313&lt;&gt;0),0,VLOOKUP(A313,Journal!$B$7:M$84,8)))</f>
        <v>0</v>
      </c>
      <c r="L313" s="87">
        <f t="shared" si="28"/>
        <v>0</v>
      </c>
      <c r="P313">
        <f t="shared" si="31"/>
        <v>1.0000000000000001E-5</v>
      </c>
      <c r="R313" s="15">
        <f t="shared" si="32"/>
        <v>306</v>
      </c>
      <c r="S313" s="126">
        <f>IF(VLOOKUP(A313,Journal!$A$7:$E$70,5)=0,S312+1,VLOOKUP(A313,Journal!$A$7:$E$70,5))</f>
        <v>45963</v>
      </c>
      <c r="T313" s="125">
        <f>IF(H$2=VLOOKUP(A313,Journal!$A$7:$F$70,6),VLOOKUP(A313,Journal!$A$7:M$70,9),0)</f>
        <v>0</v>
      </c>
      <c r="U313" s="125">
        <f>IF(H$2=VLOOKUP(A313,Journal!$A$7:$G$70,7),VLOOKUP(A313,Journal!$A$7:M$70,9),0)</f>
        <v>0</v>
      </c>
      <c r="V313" s="125">
        <f t="shared" si="33"/>
        <v>40</v>
      </c>
      <c r="X313">
        <f t="shared" si="30"/>
        <v>0</v>
      </c>
      <c r="Y313" s="143">
        <f t="shared" si="29"/>
        <v>-992.02631578948638</v>
      </c>
    </row>
    <row r="314" spans="1:25" x14ac:dyDescent="0.25">
      <c r="A314">
        <f t="shared" si="34"/>
        <v>307</v>
      </c>
      <c r="B314" s="88" t="str">
        <f>IF(OR(B313="Total",B313=""),"",IF(VLOOKUP(A314,Journal!$B$7:$E$84,4)=0,"Total",VLOOKUP(A314,Journal!$B$7:$D$84,3)))</f>
        <v/>
      </c>
      <c r="C314" s="86" t="str">
        <f>IF(B314="","",VLOOKUP(A314,Journal!$B$7:$E$84,4))</f>
        <v/>
      </c>
      <c r="D314" s="114" t="str">
        <f>IF(B314="","",VLOOKUP(A314,Journal!$B$7:$J$84,9))</f>
        <v/>
      </c>
      <c r="E314" s="116"/>
      <c r="F314" s="116"/>
      <c r="G314" s="115"/>
      <c r="H314" s="84" t="str">
        <f>IF(B314="","",VLOOKUP(A314,Journal!$B$7:$L$84,11))</f>
        <v/>
      </c>
      <c r="I314" s="84" t="str">
        <f>IF(B314="","",VLOOKUP(A314,Journal!$B$7:$M$84,12))</f>
        <v/>
      </c>
      <c r="J314" s="105">
        <f>IF(B314="Total",SUM(J$8:J313)+0.0001,IF(OR(B314="",I$2=I314),0,VLOOKUP(A314,Journal!$B$7:M$84,8)))</f>
        <v>0</v>
      </c>
      <c r="K314" s="102">
        <f>IF(B314="Total",SUM(K$8:K313)+0.0001,IF(OR(B314="",J314&lt;&gt;0),0,VLOOKUP(A314,Journal!$B$7:M$84,8)))</f>
        <v>0</v>
      </c>
      <c r="L314" s="87">
        <f t="shared" si="28"/>
        <v>0</v>
      </c>
      <c r="P314">
        <f t="shared" si="31"/>
        <v>1.0000000000000001E-5</v>
      </c>
      <c r="R314" s="15">
        <f t="shared" si="32"/>
        <v>307</v>
      </c>
      <c r="S314" s="126">
        <f>IF(VLOOKUP(A314,Journal!$A$7:$E$70,5)=0,S313+1,VLOOKUP(A314,Journal!$A$7:$E$70,5))</f>
        <v>45964</v>
      </c>
      <c r="T314" s="125">
        <f>IF(H$2=VLOOKUP(A314,Journal!$A$7:$F$70,6),VLOOKUP(A314,Journal!$A$7:M$70,9),0)</f>
        <v>0</v>
      </c>
      <c r="U314" s="125">
        <f>IF(H$2=VLOOKUP(A314,Journal!$A$7:$G$70,7),VLOOKUP(A314,Journal!$A$7:M$70,9),0)</f>
        <v>0</v>
      </c>
      <c r="V314" s="125">
        <f t="shared" si="33"/>
        <v>40</v>
      </c>
      <c r="X314">
        <f t="shared" si="30"/>
        <v>0</v>
      </c>
      <c r="Y314" s="143">
        <f t="shared" si="29"/>
        <v>-992.00000000001273</v>
      </c>
    </row>
    <row r="315" spans="1:25" x14ac:dyDescent="0.25">
      <c r="A315">
        <f t="shared" si="34"/>
        <v>308</v>
      </c>
      <c r="B315" s="88" t="str">
        <f>IF(OR(B314="Total",B314=""),"",IF(VLOOKUP(A315,Journal!$B$7:$E$84,4)=0,"Total",VLOOKUP(A315,Journal!$B$7:$D$84,3)))</f>
        <v/>
      </c>
      <c r="C315" s="86" t="str">
        <f>IF(B315="","",VLOOKUP(A315,Journal!$B$7:$E$84,4))</f>
        <v/>
      </c>
      <c r="D315" s="114" t="str">
        <f>IF(B315="","",VLOOKUP(A315,Journal!$B$7:$J$84,9))</f>
        <v/>
      </c>
      <c r="E315" s="116"/>
      <c r="F315" s="116"/>
      <c r="G315" s="115"/>
      <c r="H315" s="84" t="str">
        <f>IF(B315="","",VLOOKUP(A315,Journal!$B$7:$L$84,11))</f>
        <v/>
      </c>
      <c r="I315" s="84" t="str">
        <f>IF(B315="","",VLOOKUP(A315,Journal!$B$7:$M$84,12))</f>
        <v/>
      </c>
      <c r="J315" s="105">
        <f>IF(B315="Total",SUM(J$8:J314)+0.0001,IF(OR(B315="",I$2=I315),0,VLOOKUP(A315,Journal!$B$7:M$84,8)))</f>
        <v>0</v>
      </c>
      <c r="K315" s="102">
        <f>IF(B315="Total",SUM(K$8:K314)+0.0001,IF(OR(B315="",J315&lt;&gt;0),0,VLOOKUP(A315,Journal!$B$7:M$84,8)))</f>
        <v>0</v>
      </c>
      <c r="L315" s="87">
        <f t="shared" si="28"/>
        <v>0</v>
      </c>
      <c r="P315">
        <f t="shared" si="31"/>
        <v>1.0000000000000001E-5</v>
      </c>
      <c r="R315" s="15">
        <f t="shared" si="32"/>
        <v>308</v>
      </c>
      <c r="S315" s="126">
        <f>IF(VLOOKUP(A315,Journal!$A$7:$E$70,5)=0,S314+1,VLOOKUP(A315,Journal!$A$7:$E$70,5))</f>
        <v>45965</v>
      </c>
      <c r="T315" s="125">
        <f>IF(H$2=VLOOKUP(A315,Journal!$A$7:$F$70,6),VLOOKUP(A315,Journal!$A$7:M$70,9),0)</f>
        <v>0</v>
      </c>
      <c r="U315" s="125">
        <f>IF(H$2=VLOOKUP(A315,Journal!$A$7:$G$70,7),VLOOKUP(A315,Journal!$A$7:M$70,9),0)</f>
        <v>0</v>
      </c>
      <c r="V315" s="125">
        <f t="shared" si="33"/>
        <v>40</v>
      </c>
      <c r="X315">
        <f t="shared" si="30"/>
        <v>0</v>
      </c>
      <c r="Y315" s="143">
        <f t="shared" si="29"/>
        <v>-991.97368421053909</v>
      </c>
    </row>
    <row r="316" spans="1:25" x14ac:dyDescent="0.25">
      <c r="A316">
        <f t="shared" si="34"/>
        <v>309</v>
      </c>
      <c r="B316" s="88" t="str">
        <f>IF(OR(B315="Total",B315=""),"",IF(VLOOKUP(A316,Journal!$B$7:$E$84,4)=0,"Total",VLOOKUP(A316,Journal!$B$7:$D$84,3)))</f>
        <v/>
      </c>
      <c r="C316" s="86" t="str">
        <f>IF(B316="","",VLOOKUP(A316,Journal!$B$7:$E$84,4))</f>
        <v/>
      </c>
      <c r="D316" s="114" t="str">
        <f>IF(B316="","",VLOOKUP(A316,Journal!$B$7:$J$84,9))</f>
        <v/>
      </c>
      <c r="E316" s="116"/>
      <c r="F316" s="116"/>
      <c r="G316" s="115"/>
      <c r="H316" s="84" t="str">
        <f>IF(B316="","",VLOOKUP(A316,Journal!$B$7:$L$84,11))</f>
        <v/>
      </c>
      <c r="I316" s="84" t="str">
        <f>IF(B316="","",VLOOKUP(A316,Journal!$B$7:$M$84,12))</f>
        <v/>
      </c>
      <c r="J316" s="105">
        <f>IF(B316="Total",SUM(J$8:J315)+0.0001,IF(OR(B316="",I$2=I316),0,VLOOKUP(A316,Journal!$B$7:M$84,8)))</f>
        <v>0</v>
      </c>
      <c r="K316" s="102">
        <f>IF(B316="Total",SUM(K$8:K315)+0.0001,IF(OR(B316="",J316&lt;&gt;0),0,VLOOKUP(A316,Journal!$B$7:M$84,8)))</f>
        <v>0</v>
      </c>
      <c r="L316" s="87">
        <f t="shared" si="28"/>
        <v>0</v>
      </c>
      <c r="P316">
        <f t="shared" si="31"/>
        <v>1.0000000000000001E-5</v>
      </c>
      <c r="R316" s="15">
        <f t="shared" si="32"/>
        <v>309</v>
      </c>
      <c r="S316" s="126">
        <f>IF(VLOOKUP(A316,Journal!$A$7:$E$70,5)=0,S315+1,VLOOKUP(A316,Journal!$A$7:$E$70,5))</f>
        <v>45966</v>
      </c>
      <c r="T316" s="125">
        <f>IF(H$2=VLOOKUP(A316,Journal!$A$7:$F$70,6),VLOOKUP(A316,Journal!$A$7:M$70,9),0)</f>
        <v>0</v>
      </c>
      <c r="U316" s="125">
        <f>IF(H$2=VLOOKUP(A316,Journal!$A$7:$G$70,7),VLOOKUP(A316,Journal!$A$7:M$70,9),0)</f>
        <v>0</v>
      </c>
      <c r="V316" s="125">
        <f t="shared" si="33"/>
        <v>40</v>
      </c>
      <c r="X316">
        <f t="shared" si="30"/>
        <v>0</v>
      </c>
      <c r="Y316" s="143">
        <f t="shared" si="29"/>
        <v>-991.94736842106545</v>
      </c>
    </row>
    <row r="317" spans="1:25" x14ac:dyDescent="0.25">
      <c r="A317">
        <f t="shared" si="34"/>
        <v>310</v>
      </c>
      <c r="B317" s="88" t="str">
        <f>IF(OR(B316="Total",B316=""),"",IF(VLOOKUP(A317,Journal!$B$7:$E$84,4)=0,"Total",VLOOKUP(A317,Journal!$B$7:$D$84,3)))</f>
        <v/>
      </c>
      <c r="C317" s="86" t="str">
        <f>IF(B317="","",VLOOKUP(A317,Journal!$B$7:$E$84,4))</f>
        <v/>
      </c>
      <c r="D317" s="114" t="str">
        <f>IF(B317="","",VLOOKUP(A317,Journal!$B$7:$J$84,9))</f>
        <v/>
      </c>
      <c r="E317" s="116"/>
      <c r="F317" s="116"/>
      <c r="G317" s="115"/>
      <c r="H317" s="84" t="str">
        <f>IF(B317="","",VLOOKUP(A317,Journal!$B$7:$L$84,11))</f>
        <v/>
      </c>
      <c r="I317" s="84" t="str">
        <f>IF(B317="","",VLOOKUP(A317,Journal!$B$7:$M$84,12))</f>
        <v/>
      </c>
      <c r="J317" s="105">
        <f>IF(B317="Total",SUM(J$8:J316)+0.0001,IF(OR(B317="",I$2=I317),0,VLOOKUP(A317,Journal!$B$7:M$84,8)))</f>
        <v>0</v>
      </c>
      <c r="K317" s="102">
        <f>IF(B317="Total",SUM(K$8:K316)+0.0001,IF(OR(B317="",J317&lt;&gt;0),0,VLOOKUP(A317,Journal!$B$7:M$84,8)))</f>
        <v>0</v>
      </c>
      <c r="L317" s="87">
        <f t="shared" si="28"/>
        <v>0</v>
      </c>
      <c r="P317">
        <f t="shared" si="31"/>
        <v>1.0000000000000001E-5</v>
      </c>
      <c r="R317" s="15">
        <f t="shared" si="32"/>
        <v>310</v>
      </c>
      <c r="S317" s="126">
        <f>IF(VLOOKUP(A317,Journal!$A$7:$E$70,5)=0,S316+1,VLOOKUP(A317,Journal!$A$7:$E$70,5))</f>
        <v>45967</v>
      </c>
      <c r="T317" s="125">
        <f>IF(H$2=VLOOKUP(A317,Journal!$A$7:$F$70,6),VLOOKUP(A317,Journal!$A$7:M$70,9),0)</f>
        <v>0</v>
      </c>
      <c r="U317" s="125">
        <f>IF(H$2=VLOOKUP(A317,Journal!$A$7:$G$70,7),VLOOKUP(A317,Journal!$A$7:M$70,9),0)</f>
        <v>0</v>
      </c>
      <c r="V317" s="125">
        <f t="shared" si="33"/>
        <v>40</v>
      </c>
      <c r="X317">
        <f t="shared" si="30"/>
        <v>0</v>
      </c>
      <c r="Y317" s="143">
        <f t="shared" si="29"/>
        <v>-991.92105263159181</v>
      </c>
    </row>
    <row r="318" spans="1:25" x14ac:dyDescent="0.25">
      <c r="A318">
        <f t="shared" si="34"/>
        <v>311</v>
      </c>
      <c r="B318" s="88" t="str">
        <f>IF(OR(B317="Total",B317=""),"",IF(VLOOKUP(A318,Journal!$B$7:$E$84,4)=0,"Total",VLOOKUP(A318,Journal!$B$7:$D$84,3)))</f>
        <v/>
      </c>
      <c r="C318" s="86" t="str">
        <f>IF(B318="","",VLOOKUP(A318,Journal!$B$7:$E$84,4))</f>
        <v/>
      </c>
      <c r="D318" s="114" t="str">
        <f>IF(B318="","",VLOOKUP(A318,Journal!$B$7:$J$84,9))</f>
        <v/>
      </c>
      <c r="E318" s="116"/>
      <c r="F318" s="116"/>
      <c r="G318" s="115"/>
      <c r="H318" s="84" t="str">
        <f>IF(B318="","",VLOOKUP(A318,Journal!$B$7:$L$84,11))</f>
        <v/>
      </c>
      <c r="I318" s="84" t="str">
        <f>IF(B318="","",VLOOKUP(A318,Journal!$B$7:$M$84,12))</f>
        <v/>
      </c>
      <c r="J318" s="105">
        <f>IF(B318="Total",SUM(J$8:J317)+0.0001,IF(OR(B318="",I$2=I318),0,VLOOKUP(A318,Journal!$B$7:M$84,8)))</f>
        <v>0</v>
      </c>
      <c r="K318" s="102">
        <f>IF(B318="Total",SUM(K$8:K317)+0.0001,IF(OR(B318="",J318&lt;&gt;0),0,VLOOKUP(A318,Journal!$B$7:M$84,8)))</f>
        <v>0</v>
      </c>
      <c r="L318" s="87">
        <f t="shared" si="28"/>
        <v>0</v>
      </c>
      <c r="P318">
        <f t="shared" si="31"/>
        <v>1.0000000000000001E-5</v>
      </c>
      <c r="R318" s="15">
        <f t="shared" si="32"/>
        <v>311</v>
      </c>
      <c r="S318" s="126">
        <f>IF(VLOOKUP(A318,Journal!$A$7:$E$70,5)=0,S317+1,VLOOKUP(A318,Journal!$A$7:$E$70,5))</f>
        <v>45968</v>
      </c>
      <c r="T318" s="125">
        <f>IF(H$2=VLOOKUP(A318,Journal!$A$7:$F$70,6),VLOOKUP(A318,Journal!$A$7:M$70,9),0)</f>
        <v>0</v>
      </c>
      <c r="U318" s="125">
        <f>IF(H$2=VLOOKUP(A318,Journal!$A$7:$G$70,7),VLOOKUP(A318,Journal!$A$7:M$70,9),0)</f>
        <v>0</v>
      </c>
      <c r="V318" s="125">
        <f t="shared" si="33"/>
        <v>40</v>
      </c>
      <c r="X318">
        <f t="shared" si="30"/>
        <v>0</v>
      </c>
      <c r="Y318" s="143">
        <f t="shared" si="29"/>
        <v>-991.89473684211816</v>
      </c>
    </row>
    <row r="319" spans="1:25" x14ac:dyDescent="0.25">
      <c r="A319">
        <f t="shared" si="34"/>
        <v>312</v>
      </c>
      <c r="B319" s="88" t="str">
        <f>IF(OR(B318="Total",B318=""),"",IF(VLOOKUP(A319,Journal!$B$7:$E$84,4)=0,"Total",VLOOKUP(A319,Journal!$B$7:$D$84,3)))</f>
        <v/>
      </c>
      <c r="C319" s="86" t="str">
        <f>IF(B319="","",VLOOKUP(A319,Journal!$B$7:$E$84,4))</f>
        <v/>
      </c>
      <c r="D319" s="114" t="str">
        <f>IF(B319="","",VLOOKUP(A319,Journal!$B$7:$J$84,9))</f>
        <v/>
      </c>
      <c r="E319" s="116"/>
      <c r="F319" s="116"/>
      <c r="G319" s="115"/>
      <c r="H319" s="84" t="str">
        <f>IF(B319="","",VLOOKUP(A319,Journal!$B$7:$L$84,11))</f>
        <v/>
      </c>
      <c r="I319" s="84" t="str">
        <f>IF(B319="","",VLOOKUP(A319,Journal!$B$7:$M$84,12))</f>
        <v/>
      </c>
      <c r="J319" s="105">
        <f>IF(B319="Total",SUM(J$8:J318)+0.0001,IF(OR(B319="",I$2=I319),0,VLOOKUP(A319,Journal!$B$7:M$84,8)))</f>
        <v>0</v>
      </c>
      <c r="K319" s="102">
        <f>IF(B319="Total",SUM(K$8:K318)+0.0001,IF(OR(B319="",J319&lt;&gt;0),0,VLOOKUP(A319,Journal!$B$7:M$84,8)))</f>
        <v>0</v>
      </c>
      <c r="L319" s="87">
        <f t="shared" si="28"/>
        <v>0</v>
      </c>
      <c r="P319">
        <f t="shared" si="31"/>
        <v>1.0000000000000001E-5</v>
      </c>
      <c r="R319" s="15">
        <f t="shared" si="32"/>
        <v>312</v>
      </c>
      <c r="S319" s="126">
        <f>IF(VLOOKUP(A319,Journal!$A$7:$E$70,5)=0,S318+1,VLOOKUP(A319,Journal!$A$7:$E$70,5))</f>
        <v>45969</v>
      </c>
      <c r="T319" s="125">
        <f>IF(H$2=VLOOKUP(A319,Journal!$A$7:$F$70,6),VLOOKUP(A319,Journal!$A$7:M$70,9),0)</f>
        <v>0</v>
      </c>
      <c r="U319" s="125">
        <f>IF(H$2=VLOOKUP(A319,Journal!$A$7:$G$70,7),VLOOKUP(A319,Journal!$A$7:M$70,9),0)</f>
        <v>0</v>
      </c>
      <c r="V319" s="125">
        <f t="shared" si="33"/>
        <v>40</v>
      </c>
      <c r="X319">
        <f t="shared" si="30"/>
        <v>0</v>
      </c>
      <c r="Y319" s="143">
        <f t="shared" si="29"/>
        <v>-991.86842105264452</v>
      </c>
    </row>
    <row r="320" spans="1:25" x14ac:dyDescent="0.25">
      <c r="A320">
        <f t="shared" si="34"/>
        <v>313</v>
      </c>
      <c r="B320" s="88" t="str">
        <f>IF(OR(B319="Total",B319=""),"",IF(VLOOKUP(A320,Journal!$B$7:$E$84,4)=0,"Total",VLOOKUP(A320,Journal!$B$7:$D$84,3)))</f>
        <v/>
      </c>
      <c r="C320" s="86" t="str">
        <f>IF(B320="","",VLOOKUP(A320,Journal!$B$7:$E$84,4))</f>
        <v/>
      </c>
      <c r="D320" s="114" t="str">
        <f>IF(B320="","",VLOOKUP(A320,Journal!$B$7:$J$84,9))</f>
        <v/>
      </c>
      <c r="E320" s="116"/>
      <c r="F320" s="116"/>
      <c r="G320" s="115"/>
      <c r="H320" s="84" t="str">
        <f>IF(B320="","",VLOOKUP(A320,Journal!$B$7:$L$84,11))</f>
        <v/>
      </c>
      <c r="I320" s="84" t="str">
        <f>IF(B320="","",VLOOKUP(A320,Journal!$B$7:$M$84,12))</f>
        <v/>
      </c>
      <c r="J320" s="105">
        <f>IF(B320="Total",SUM(J$8:J319)+0.0001,IF(OR(B320="",I$2=I320),0,VLOOKUP(A320,Journal!$B$7:M$84,8)))</f>
        <v>0</v>
      </c>
      <c r="K320" s="102">
        <f>IF(B320="Total",SUM(K$8:K319)+0.0001,IF(OR(B320="",J320&lt;&gt;0),0,VLOOKUP(A320,Journal!$B$7:M$84,8)))</f>
        <v>0</v>
      </c>
      <c r="L320" s="87">
        <f t="shared" si="28"/>
        <v>0</v>
      </c>
      <c r="P320">
        <f t="shared" si="31"/>
        <v>1.0000000000000001E-5</v>
      </c>
      <c r="R320" s="15">
        <f t="shared" si="32"/>
        <v>313</v>
      </c>
      <c r="S320" s="126">
        <f>IF(VLOOKUP(A320,Journal!$A$7:$E$70,5)=0,S319+1,VLOOKUP(A320,Journal!$A$7:$E$70,5))</f>
        <v>45970</v>
      </c>
      <c r="T320" s="125">
        <f>IF(H$2=VLOOKUP(A320,Journal!$A$7:$F$70,6),VLOOKUP(A320,Journal!$A$7:M$70,9),0)</f>
        <v>0</v>
      </c>
      <c r="U320" s="125">
        <f>IF(H$2=VLOOKUP(A320,Journal!$A$7:$G$70,7),VLOOKUP(A320,Journal!$A$7:M$70,9),0)</f>
        <v>0</v>
      </c>
      <c r="V320" s="125">
        <f t="shared" si="33"/>
        <v>40</v>
      </c>
      <c r="X320">
        <f t="shared" si="30"/>
        <v>0</v>
      </c>
      <c r="Y320" s="143">
        <f t="shared" si="29"/>
        <v>-991.84210526317088</v>
      </c>
    </row>
    <row r="321" spans="1:25" x14ac:dyDescent="0.25">
      <c r="A321">
        <f t="shared" si="34"/>
        <v>314</v>
      </c>
      <c r="B321" s="88" t="str">
        <f>IF(OR(B320="Total",B320=""),"",IF(VLOOKUP(A321,Journal!$B$7:$E$84,4)=0,"Total",VLOOKUP(A321,Journal!$B$7:$D$84,3)))</f>
        <v/>
      </c>
      <c r="C321" s="86" t="str">
        <f>IF(B321="","",VLOOKUP(A321,Journal!$B$7:$E$84,4))</f>
        <v/>
      </c>
      <c r="D321" s="114" t="str">
        <f>IF(B321="","",VLOOKUP(A321,Journal!$B$7:$J$84,9))</f>
        <v/>
      </c>
      <c r="E321" s="116"/>
      <c r="F321" s="116"/>
      <c r="G321" s="115"/>
      <c r="H321" s="84" t="str">
        <f>IF(B321="","",VLOOKUP(A321,Journal!$B$7:$L$84,11))</f>
        <v/>
      </c>
      <c r="I321" s="84" t="str">
        <f>IF(B321="","",VLOOKUP(A321,Journal!$B$7:$M$84,12))</f>
        <v/>
      </c>
      <c r="J321" s="105">
        <f>IF(B321="Total",SUM(J$8:J320)+0.0001,IF(OR(B321="",I$2=I321),0,VLOOKUP(A321,Journal!$B$7:M$84,8)))</f>
        <v>0</v>
      </c>
      <c r="K321" s="102">
        <f>IF(B321="Total",SUM(K$8:K320)+0.0001,IF(OR(B321="",J321&lt;&gt;0),0,VLOOKUP(A321,Journal!$B$7:M$84,8)))</f>
        <v>0</v>
      </c>
      <c r="L321" s="87">
        <f t="shared" si="28"/>
        <v>0</v>
      </c>
      <c r="P321">
        <f t="shared" si="31"/>
        <v>1.0000000000000001E-5</v>
      </c>
      <c r="R321" s="15">
        <f t="shared" si="32"/>
        <v>314</v>
      </c>
      <c r="S321" s="126">
        <f>IF(VLOOKUP(A321,Journal!$A$7:$E$70,5)=0,S320+1,VLOOKUP(A321,Journal!$A$7:$E$70,5))</f>
        <v>45971</v>
      </c>
      <c r="T321" s="125">
        <f>IF(H$2=VLOOKUP(A321,Journal!$A$7:$F$70,6),VLOOKUP(A321,Journal!$A$7:M$70,9),0)</f>
        <v>0</v>
      </c>
      <c r="U321" s="125">
        <f>IF(H$2=VLOOKUP(A321,Journal!$A$7:$G$70,7),VLOOKUP(A321,Journal!$A$7:M$70,9),0)</f>
        <v>0</v>
      </c>
      <c r="V321" s="125">
        <f t="shared" si="33"/>
        <v>40</v>
      </c>
      <c r="X321">
        <f t="shared" si="30"/>
        <v>0</v>
      </c>
      <c r="Y321" s="143">
        <f t="shared" si="29"/>
        <v>-991.81578947369724</v>
      </c>
    </row>
    <row r="322" spans="1:25" x14ac:dyDescent="0.25">
      <c r="A322">
        <f t="shared" si="34"/>
        <v>315</v>
      </c>
      <c r="B322" s="88" t="str">
        <f>IF(OR(B321="Total",B321=""),"",IF(VLOOKUP(A322,Journal!$B$7:$E$84,4)=0,"Total",VLOOKUP(A322,Journal!$B$7:$D$84,3)))</f>
        <v/>
      </c>
      <c r="C322" s="86" t="str">
        <f>IF(B322="","",VLOOKUP(A322,Journal!$B$7:$E$84,4))</f>
        <v/>
      </c>
      <c r="D322" s="114" t="str">
        <f>IF(B322="","",VLOOKUP(A322,Journal!$B$7:$J$84,9))</f>
        <v/>
      </c>
      <c r="E322" s="116"/>
      <c r="F322" s="116"/>
      <c r="G322" s="115"/>
      <c r="H322" s="84" t="str">
        <f>IF(B322="","",VLOOKUP(A322,Journal!$B$7:$L$84,11))</f>
        <v/>
      </c>
      <c r="I322" s="84" t="str">
        <f>IF(B322="","",VLOOKUP(A322,Journal!$B$7:$M$84,12))</f>
        <v/>
      </c>
      <c r="J322" s="105">
        <f>IF(B322="Total",SUM(J$8:J321)+0.0001,IF(OR(B322="",I$2=I322),0,VLOOKUP(A322,Journal!$B$7:M$84,8)))</f>
        <v>0</v>
      </c>
      <c r="K322" s="102">
        <f>IF(B322="Total",SUM(K$8:K321)+0.0001,IF(OR(B322="",J322&lt;&gt;0),0,VLOOKUP(A322,Journal!$B$7:M$84,8)))</f>
        <v>0</v>
      </c>
      <c r="L322" s="87">
        <f t="shared" si="28"/>
        <v>0</v>
      </c>
      <c r="P322">
        <f t="shared" si="31"/>
        <v>1.0000000000000001E-5</v>
      </c>
      <c r="R322" s="15">
        <f t="shared" si="32"/>
        <v>315</v>
      </c>
      <c r="S322" s="126">
        <f>IF(VLOOKUP(A322,Journal!$A$7:$E$70,5)=0,S321+1,VLOOKUP(A322,Journal!$A$7:$E$70,5))</f>
        <v>45972</v>
      </c>
      <c r="T322" s="125">
        <f>IF(H$2=VLOOKUP(A322,Journal!$A$7:$F$70,6),VLOOKUP(A322,Journal!$A$7:M$70,9),0)</f>
        <v>0</v>
      </c>
      <c r="U322" s="125">
        <f>IF(H$2=VLOOKUP(A322,Journal!$A$7:$G$70,7),VLOOKUP(A322,Journal!$A$7:M$70,9),0)</f>
        <v>0</v>
      </c>
      <c r="V322" s="125">
        <f t="shared" si="33"/>
        <v>40</v>
      </c>
      <c r="X322">
        <f t="shared" si="30"/>
        <v>0</v>
      </c>
      <c r="Y322" s="143">
        <f t="shared" si="29"/>
        <v>-991.78947368422359</v>
      </c>
    </row>
    <row r="323" spans="1:25" x14ac:dyDescent="0.25">
      <c r="A323">
        <f t="shared" si="34"/>
        <v>316</v>
      </c>
      <c r="B323" s="88" t="str">
        <f>IF(OR(B322="Total",B322=""),"",IF(VLOOKUP(A323,Journal!$B$7:$E$84,4)=0,"Total",VLOOKUP(A323,Journal!$B$7:$D$84,3)))</f>
        <v/>
      </c>
      <c r="C323" s="86" t="str">
        <f>IF(B323="","",VLOOKUP(A323,Journal!$B$7:$E$84,4))</f>
        <v/>
      </c>
      <c r="D323" s="114" t="str">
        <f>IF(B323="","",VLOOKUP(A323,Journal!$B$7:$J$84,9))</f>
        <v/>
      </c>
      <c r="E323" s="116"/>
      <c r="F323" s="116"/>
      <c r="G323" s="115"/>
      <c r="H323" s="84" t="str">
        <f>IF(B323="","",VLOOKUP(A323,Journal!$B$7:$L$84,11))</f>
        <v/>
      </c>
      <c r="I323" s="84" t="str">
        <f>IF(B323="","",VLOOKUP(A323,Journal!$B$7:$M$84,12))</f>
        <v/>
      </c>
      <c r="J323" s="105">
        <f>IF(B323="Total",SUM(J$8:J322)+0.0001,IF(OR(B323="",I$2=I323),0,VLOOKUP(A323,Journal!$B$7:M$84,8)))</f>
        <v>0</v>
      </c>
      <c r="K323" s="102">
        <f>IF(B323="Total",SUM(K$8:K322)+0.0001,IF(OR(B323="",J323&lt;&gt;0),0,VLOOKUP(A323,Journal!$B$7:M$84,8)))</f>
        <v>0</v>
      </c>
      <c r="L323" s="87">
        <f t="shared" si="28"/>
        <v>0</v>
      </c>
      <c r="P323">
        <f t="shared" si="31"/>
        <v>1.0000000000000001E-5</v>
      </c>
      <c r="R323" s="15">
        <f t="shared" si="32"/>
        <v>316</v>
      </c>
      <c r="S323" s="126">
        <f>IF(VLOOKUP(A323,Journal!$A$7:$E$70,5)=0,S322+1,VLOOKUP(A323,Journal!$A$7:$E$70,5))</f>
        <v>45973</v>
      </c>
      <c r="T323" s="125">
        <f>IF(H$2=VLOOKUP(A323,Journal!$A$7:$F$70,6),VLOOKUP(A323,Journal!$A$7:M$70,9),0)</f>
        <v>0</v>
      </c>
      <c r="U323" s="125">
        <f>IF(H$2=VLOOKUP(A323,Journal!$A$7:$G$70,7),VLOOKUP(A323,Journal!$A$7:M$70,9),0)</f>
        <v>0</v>
      </c>
      <c r="V323" s="125">
        <f t="shared" si="33"/>
        <v>40</v>
      </c>
      <c r="X323">
        <f t="shared" si="30"/>
        <v>0</v>
      </c>
      <c r="Y323" s="143">
        <f t="shared" si="29"/>
        <v>-991.76315789474995</v>
      </c>
    </row>
    <row r="324" spans="1:25" x14ac:dyDescent="0.25">
      <c r="A324">
        <f t="shared" si="34"/>
        <v>317</v>
      </c>
      <c r="B324" s="88" t="str">
        <f>IF(OR(B323="Total",B323=""),"",IF(VLOOKUP(A324,Journal!$B$7:$E$84,4)=0,"Total",VLOOKUP(A324,Journal!$B$7:$D$84,3)))</f>
        <v/>
      </c>
      <c r="C324" s="86" t="str">
        <f>IF(B324="","",VLOOKUP(A324,Journal!$B$7:$E$84,4))</f>
        <v/>
      </c>
      <c r="D324" s="114" t="str">
        <f>IF(B324="","",VLOOKUP(A324,Journal!$B$7:$J$84,9))</f>
        <v/>
      </c>
      <c r="E324" s="116"/>
      <c r="F324" s="116"/>
      <c r="G324" s="115"/>
      <c r="H324" s="84" t="str">
        <f>IF(B324="","",VLOOKUP(A324,Journal!$B$7:$L$84,11))</f>
        <v/>
      </c>
      <c r="I324" s="84" t="str">
        <f>IF(B324="","",VLOOKUP(A324,Journal!$B$7:$M$84,12))</f>
        <v/>
      </c>
      <c r="J324" s="105">
        <f>IF(B324="Total",SUM(J$8:J323)+0.0001,IF(OR(B324="",I$2=I324),0,VLOOKUP(A324,Journal!$B$7:M$84,8)))</f>
        <v>0</v>
      </c>
      <c r="K324" s="102">
        <f>IF(B324="Total",SUM(K$8:K323)+0.0001,IF(OR(B324="",J324&lt;&gt;0),0,VLOOKUP(A324,Journal!$B$7:M$84,8)))</f>
        <v>0</v>
      </c>
      <c r="L324" s="87">
        <f t="shared" si="28"/>
        <v>0</v>
      </c>
      <c r="P324">
        <f t="shared" si="31"/>
        <v>1.0000000000000001E-5</v>
      </c>
      <c r="R324" s="15">
        <f t="shared" si="32"/>
        <v>317</v>
      </c>
      <c r="S324" s="126">
        <f>IF(VLOOKUP(A324,Journal!$A$7:$E$70,5)=0,S323+1,VLOOKUP(A324,Journal!$A$7:$E$70,5))</f>
        <v>45974</v>
      </c>
      <c r="T324" s="125">
        <f>IF(H$2=VLOOKUP(A324,Journal!$A$7:$F$70,6),VLOOKUP(A324,Journal!$A$7:M$70,9),0)</f>
        <v>0</v>
      </c>
      <c r="U324" s="125">
        <f>IF(H$2=VLOOKUP(A324,Journal!$A$7:$G$70,7),VLOOKUP(A324,Journal!$A$7:M$70,9),0)</f>
        <v>0</v>
      </c>
      <c r="V324" s="125">
        <f t="shared" si="33"/>
        <v>40</v>
      </c>
      <c r="X324">
        <f t="shared" si="30"/>
        <v>0</v>
      </c>
      <c r="Y324" s="143">
        <f t="shared" si="29"/>
        <v>-991.73684210527631</v>
      </c>
    </row>
    <row r="325" spans="1:25" x14ac:dyDescent="0.25">
      <c r="A325">
        <f t="shared" si="34"/>
        <v>318</v>
      </c>
      <c r="B325" s="88" t="str">
        <f>IF(OR(B324="Total",B324=""),"",IF(VLOOKUP(A325,Journal!$B$7:$E$84,4)=0,"Total",VLOOKUP(A325,Journal!$B$7:$D$84,3)))</f>
        <v/>
      </c>
      <c r="C325" s="86" t="str">
        <f>IF(B325="","",VLOOKUP(A325,Journal!$B$7:$E$84,4))</f>
        <v/>
      </c>
      <c r="D325" s="114" t="str">
        <f>IF(B325="","",VLOOKUP(A325,Journal!$B$7:$J$84,9))</f>
        <v/>
      </c>
      <c r="E325" s="116"/>
      <c r="F325" s="116"/>
      <c r="G325" s="115"/>
      <c r="H325" s="84" t="str">
        <f>IF(B325="","",VLOOKUP(A325,Journal!$B$7:$L$84,11))</f>
        <v/>
      </c>
      <c r="I325" s="84" t="str">
        <f>IF(B325="","",VLOOKUP(A325,Journal!$B$7:$M$84,12))</f>
        <v/>
      </c>
      <c r="J325" s="105">
        <f>IF(B325="Total",SUM(J$8:J324)+0.0001,IF(OR(B325="",I$2=I325),0,VLOOKUP(A325,Journal!$B$7:M$84,8)))</f>
        <v>0</v>
      </c>
      <c r="K325" s="102">
        <f>IF(B325="Total",SUM(K$8:K324)+0.0001,IF(OR(B325="",J325&lt;&gt;0),0,VLOOKUP(A325,Journal!$B$7:M$84,8)))</f>
        <v>0</v>
      </c>
      <c r="L325" s="87">
        <f t="shared" si="28"/>
        <v>0</v>
      </c>
      <c r="P325">
        <f t="shared" si="31"/>
        <v>1.0000000000000001E-5</v>
      </c>
      <c r="R325" s="15">
        <f t="shared" si="32"/>
        <v>318</v>
      </c>
      <c r="S325" s="126">
        <f>IF(VLOOKUP(A325,Journal!$A$7:$E$70,5)=0,S324+1,VLOOKUP(A325,Journal!$A$7:$E$70,5))</f>
        <v>45975</v>
      </c>
      <c r="T325" s="125">
        <f>IF(H$2=VLOOKUP(A325,Journal!$A$7:$F$70,6),VLOOKUP(A325,Journal!$A$7:M$70,9),0)</f>
        <v>0</v>
      </c>
      <c r="U325" s="125">
        <f>IF(H$2=VLOOKUP(A325,Journal!$A$7:$G$70,7),VLOOKUP(A325,Journal!$A$7:M$70,9),0)</f>
        <v>0</v>
      </c>
      <c r="V325" s="125">
        <f t="shared" si="33"/>
        <v>40</v>
      </c>
      <c r="X325">
        <f t="shared" si="30"/>
        <v>0</v>
      </c>
      <c r="Y325" s="143">
        <f t="shared" si="29"/>
        <v>-991.71052631580267</v>
      </c>
    </row>
    <row r="326" spans="1:25" x14ac:dyDescent="0.25">
      <c r="A326">
        <f t="shared" si="34"/>
        <v>319</v>
      </c>
      <c r="B326" s="88" t="str">
        <f>IF(OR(B325="Total",B325=""),"",IF(VLOOKUP(A326,Journal!$B$7:$E$84,4)=0,"Total",VLOOKUP(A326,Journal!$B$7:$D$84,3)))</f>
        <v/>
      </c>
      <c r="C326" s="86" t="str">
        <f>IF(B326="","",VLOOKUP(A326,Journal!$B$7:$E$84,4))</f>
        <v/>
      </c>
      <c r="D326" s="114" t="str">
        <f>IF(B326="","",VLOOKUP(A326,Journal!$B$7:$J$84,9))</f>
        <v/>
      </c>
      <c r="E326" s="116"/>
      <c r="F326" s="116"/>
      <c r="G326" s="115"/>
      <c r="H326" s="84" t="str">
        <f>IF(B326="","",VLOOKUP(A326,Journal!$B$7:$L$84,11))</f>
        <v/>
      </c>
      <c r="I326" s="84" t="str">
        <f>IF(B326="","",VLOOKUP(A326,Journal!$B$7:$M$84,12))</f>
        <v/>
      </c>
      <c r="J326" s="105">
        <f>IF(B326="Total",SUM(J$8:J325)+0.0001,IF(OR(B326="",I$2=I326),0,VLOOKUP(A326,Journal!$B$7:M$84,8)))</f>
        <v>0</v>
      </c>
      <c r="K326" s="102">
        <f>IF(B326="Total",SUM(K$8:K325)+0.0001,IF(OR(B326="",J326&lt;&gt;0),0,VLOOKUP(A326,Journal!$B$7:M$84,8)))</f>
        <v>0</v>
      </c>
      <c r="L326" s="87">
        <f t="shared" si="28"/>
        <v>0</v>
      </c>
      <c r="P326">
        <f t="shared" si="31"/>
        <v>1.0000000000000001E-5</v>
      </c>
      <c r="R326" s="15">
        <f t="shared" si="32"/>
        <v>319</v>
      </c>
      <c r="S326" s="126">
        <f>IF(VLOOKUP(A326,Journal!$A$7:$E$70,5)=0,S325+1,VLOOKUP(A326,Journal!$A$7:$E$70,5))</f>
        <v>45976</v>
      </c>
      <c r="T326" s="125">
        <f>IF(H$2=VLOOKUP(A326,Journal!$A$7:$F$70,6),VLOOKUP(A326,Journal!$A$7:M$70,9),0)</f>
        <v>0</v>
      </c>
      <c r="U326" s="125">
        <f>IF(H$2=VLOOKUP(A326,Journal!$A$7:$G$70,7),VLOOKUP(A326,Journal!$A$7:M$70,9),0)</f>
        <v>0</v>
      </c>
      <c r="V326" s="125">
        <f t="shared" si="33"/>
        <v>40</v>
      </c>
      <c r="X326">
        <f t="shared" si="30"/>
        <v>0</v>
      </c>
      <c r="Y326" s="143">
        <f t="shared" si="29"/>
        <v>-991.68421052632903</v>
      </c>
    </row>
    <row r="327" spans="1:25" x14ac:dyDescent="0.25">
      <c r="A327">
        <f t="shared" si="34"/>
        <v>320</v>
      </c>
      <c r="B327" s="88" t="str">
        <f>IF(OR(B326="Total",B326=""),"",IF(VLOOKUP(A327,Journal!$B$7:$E$84,4)=0,"Total",VLOOKUP(A327,Journal!$B$7:$D$84,3)))</f>
        <v/>
      </c>
      <c r="C327" s="86" t="str">
        <f>IF(B327="","",VLOOKUP(A327,Journal!$B$7:$E$84,4))</f>
        <v/>
      </c>
      <c r="D327" s="114" t="str">
        <f>IF(B327="","",VLOOKUP(A327,Journal!$B$7:$J$84,9))</f>
        <v/>
      </c>
      <c r="E327" s="116"/>
      <c r="F327" s="116"/>
      <c r="G327" s="115"/>
      <c r="H327" s="84" t="str">
        <f>IF(B327="","",VLOOKUP(A327,Journal!$B$7:$L$84,11))</f>
        <v/>
      </c>
      <c r="I327" s="84" t="str">
        <f>IF(B327="","",VLOOKUP(A327,Journal!$B$7:$M$84,12))</f>
        <v/>
      </c>
      <c r="J327" s="105">
        <f>IF(B327="Total",SUM(J$8:J326)+0.0001,IF(OR(B327="",I$2=I327),0,VLOOKUP(A327,Journal!$B$7:M$84,8)))</f>
        <v>0</v>
      </c>
      <c r="K327" s="102">
        <f>IF(B327="Total",SUM(K$8:K326)+0.0001,IF(OR(B327="",J327&lt;&gt;0),0,VLOOKUP(A327,Journal!$B$7:M$84,8)))</f>
        <v>0</v>
      </c>
      <c r="L327" s="87">
        <f t="shared" si="28"/>
        <v>0</v>
      </c>
      <c r="P327">
        <f t="shared" si="31"/>
        <v>1.0000000000000001E-5</v>
      </c>
      <c r="R327" s="15">
        <f t="shared" si="32"/>
        <v>320</v>
      </c>
      <c r="S327" s="126">
        <f>IF(VLOOKUP(A327,Journal!$A$7:$E$70,5)=0,S326+1,VLOOKUP(A327,Journal!$A$7:$E$70,5))</f>
        <v>45977</v>
      </c>
      <c r="T327" s="125">
        <f>IF(H$2=VLOOKUP(A327,Journal!$A$7:$F$70,6),VLOOKUP(A327,Journal!$A$7:M$70,9),0)</f>
        <v>0</v>
      </c>
      <c r="U327" s="125">
        <f>IF(H$2=VLOOKUP(A327,Journal!$A$7:$G$70,7),VLOOKUP(A327,Journal!$A$7:M$70,9),0)</f>
        <v>0</v>
      </c>
      <c r="V327" s="125">
        <f t="shared" si="33"/>
        <v>40</v>
      </c>
      <c r="X327">
        <f t="shared" si="30"/>
        <v>0</v>
      </c>
      <c r="Y327" s="143">
        <f t="shared" si="29"/>
        <v>-991.65789473685538</v>
      </c>
    </row>
    <row r="328" spans="1:25" x14ac:dyDescent="0.25">
      <c r="A328">
        <f t="shared" si="34"/>
        <v>321</v>
      </c>
      <c r="B328" s="88" t="str">
        <f>IF(OR(B327="Total",B327=""),"",IF(VLOOKUP(A328,Journal!$B$7:$E$84,4)=0,"Total",VLOOKUP(A328,Journal!$B$7:$D$84,3)))</f>
        <v/>
      </c>
      <c r="C328" s="86" t="str">
        <f>IF(B328="","",VLOOKUP(A328,Journal!$B$7:$E$84,4))</f>
        <v/>
      </c>
      <c r="D328" s="114" t="str">
        <f>IF(B328="","",VLOOKUP(A328,Journal!$B$7:$J$84,9))</f>
        <v/>
      </c>
      <c r="E328" s="116"/>
      <c r="F328" s="116"/>
      <c r="G328" s="115"/>
      <c r="H328" s="84" t="str">
        <f>IF(B328="","",VLOOKUP(A328,Journal!$B$7:$L$84,11))</f>
        <v/>
      </c>
      <c r="I328" s="84" t="str">
        <f>IF(B328="","",VLOOKUP(A328,Journal!$B$7:$M$84,12))</f>
        <v/>
      </c>
      <c r="J328" s="105">
        <f>IF(B328="Total",SUM(J$8:J327)+0.0001,IF(OR(B328="",I$2=I328),0,VLOOKUP(A328,Journal!$B$7:M$84,8)))</f>
        <v>0</v>
      </c>
      <c r="K328" s="102">
        <f>IF(B328="Total",SUM(K$8:K327)+0.0001,IF(OR(B328="",J328&lt;&gt;0),0,VLOOKUP(A328,Journal!$B$7:M$84,8)))</f>
        <v>0</v>
      </c>
      <c r="L328" s="87">
        <f t="shared" ref="L328:L391" si="35">IF(B328="Total",L327,IF(B328="",0,IF($M$1=1,L327+J328-K328,L327-J328+K328)))</f>
        <v>0</v>
      </c>
      <c r="P328">
        <f t="shared" si="31"/>
        <v>1.0000000000000001E-5</v>
      </c>
      <c r="R328" s="15">
        <f t="shared" si="32"/>
        <v>321</v>
      </c>
      <c r="S328" s="126">
        <f>IF(VLOOKUP(A328,Journal!$A$7:$E$70,5)=0,S327+1,VLOOKUP(A328,Journal!$A$7:$E$70,5))</f>
        <v>45978</v>
      </c>
      <c r="T328" s="125">
        <f>IF(H$2=VLOOKUP(A328,Journal!$A$7:$F$70,6),VLOOKUP(A328,Journal!$A$7:M$70,9),0)</f>
        <v>0</v>
      </c>
      <c r="U328" s="125">
        <f>IF(H$2=VLOOKUP(A328,Journal!$A$7:$G$70,7),VLOOKUP(A328,Journal!$A$7:M$70,9),0)</f>
        <v>0</v>
      </c>
      <c r="V328" s="125">
        <f t="shared" si="33"/>
        <v>40</v>
      </c>
      <c r="X328">
        <f t="shared" si="30"/>
        <v>0</v>
      </c>
      <c r="Y328" s="143">
        <f t="shared" ref="Y328:Y391" si="36">IF(B327="Total",-1000,Y327+Y$4)</f>
        <v>-991.63157894738174</v>
      </c>
    </row>
    <row r="329" spans="1:25" x14ac:dyDescent="0.25">
      <c r="A329">
        <f t="shared" si="34"/>
        <v>322</v>
      </c>
      <c r="B329" s="88" t="str">
        <f>IF(OR(B328="Total",B328=""),"",IF(VLOOKUP(A329,Journal!$B$7:$E$84,4)=0,"Total",VLOOKUP(A329,Journal!$B$7:$D$84,3)))</f>
        <v/>
      </c>
      <c r="C329" s="86" t="str">
        <f>IF(B329="","",VLOOKUP(A329,Journal!$B$7:$E$84,4))</f>
        <v/>
      </c>
      <c r="D329" s="114" t="str">
        <f>IF(B329="","",VLOOKUP(A329,Journal!$B$7:$J$84,9))</f>
        <v/>
      </c>
      <c r="E329" s="116"/>
      <c r="F329" s="116"/>
      <c r="G329" s="115"/>
      <c r="H329" s="84" t="str">
        <f>IF(B329="","",VLOOKUP(A329,Journal!$B$7:$L$84,11))</f>
        <v/>
      </c>
      <c r="I329" s="84" t="str">
        <f>IF(B329="","",VLOOKUP(A329,Journal!$B$7:$M$84,12))</f>
        <v/>
      </c>
      <c r="J329" s="105">
        <f>IF(B329="Total",SUM(J$8:J328)+0.0001,IF(OR(B329="",I$2=I329),0,VLOOKUP(A329,Journal!$B$7:M$84,8)))</f>
        <v>0</v>
      </c>
      <c r="K329" s="102">
        <f>IF(B329="Total",SUM(K$8:K328)+0.0001,IF(OR(B329="",J329&lt;&gt;0),0,VLOOKUP(A329,Journal!$B$7:M$84,8)))</f>
        <v>0</v>
      </c>
      <c r="L329" s="87">
        <f t="shared" si="35"/>
        <v>0</v>
      </c>
      <c r="P329">
        <f t="shared" si="31"/>
        <v>1.0000000000000001E-5</v>
      </c>
      <c r="R329" s="15">
        <f t="shared" si="32"/>
        <v>322</v>
      </c>
      <c r="S329" s="126">
        <f>IF(VLOOKUP(A329,Journal!$A$7:$E$70,5)=0,S328+1,VLOOKUP(A329,Journal!$A$7:$E$70,5))</f>
        <v>45979</v>
      </c>
      <c r="T329" s="125">
        <f>IF(H$2=VLOOKUP(A329,Journal!$A$7:$F$70,6),VLOOKUP(A329,Journal!$A$7:M$70,9),0)</f>
        <v>0</v>
      </c>
      <c r="U329" s="125">
        <f>IF(H$2=VLOOKUP(A329,Journal!$A$7:$G$70,7),VLOOKUP(A329,Journal!$A$7:M$70,9),0)</f>
        <v>0</v>
      </c>
      <c r="V329" s="125">
        <f t="shared" si="33"/>
        <v>40</v>
      </c>
      <c r="X329">
        <f t="shared" ref="X329:X392" si="37">IF(J$2&gt;S329,1,0)</f>
        <v>0</v>
      </c>
      <c r="Y329" s="143">
        <f t="shared" si="36"/>
        <v>-991.6052631579081</v>
      </c>
    </row>
    <row r="330" spans="1:25" x14ac:dyDescent="0.25">
      <c r="A330">
        <f t="shared" si="34"/>
        <v>323</v>
      </c>
      <c r="B330" s="88" t="str">
        <f>IF(OR(B329="Total",B329=""),"",IF(VLOOKUP(A330,Journal!$B$7:$E$84,4)=0,"Total",VLOOKUP(A330,Journal!$B$7:$D$84,3)))</f>
        <v/>
      </c>
      <c r="C330" s="86" t="str">
        <f>IF(B330="","",VLOOKUP(A330,Journal!$B$7:$E$84,4))</f>
        <v/>
      </c>
      <c r="D330" s="114" t="str">
        <f>IF(B330="","",VLOOKUP(A330,Journal!$B$7:$J$84,9))</f>
        <v/>
      </c>
      <c r="E330" s="116"/>
      <c r="F330" s="116"/>
      <c r="G330" s="115"/>
      <c r="H330" s="84" t="str">
        <f>IF(B330="","",VLOOKUP(A330,Journal!$B$7:$L$84,11))</f>
        <v/>
      </c>
      <c r="I330" s="84" t="str">
        <f>IF(B330="","",VLOOKUP(A330,Journal!$B$7:$M$84,12))</f>
        <v/>
      </c>
      <c r="J330" s="105">
        <f>IF(B330="Total",SUM(J$8:J329)+0.0001,IF(OR(B330="",I$2=I330),0,VLOOKUP(A330,Journal!$B$7:M$84,8)))</f>
        <v>0</v>
      </c>
      <c r="K330" s="102">
        <f>IF(B330="Total",SUM(K$8:K329)+0.0001,IF(OR(B330="",J330&lt;&gt;0),0,VLOOKUP(A330,Journal!$B$7:M$84,8)))</f>
        <v>0</v>
      </c>
      <c r="L330" s="87">
        <f t="shared" si="35"/>
        <v>0</v>
      </c>
      <c r="P330">
        <f t="shared" ref="P330:P393" si="38">IF(L329=L330,L329+0.00001,L330)</f>
        <v>1.0000000000000001E-5</v>
      </c>
      <c r="R330" s="15">
        <f t="shared" ref="R330:R393" si="39">R329+1</f>
        <v>323</v>
      </c>
      <c r="S330" s="126">
        <f>IF(VLOOKUP(A330,Journal!$A$7:$E$70,5)=0,S329+1,VLOOKUP(A330,Journal!$A$7:$E$70,5))</f>
        <v>45980</v>
      </c>
      <c r="T330" s="125">
        <f>IF(H$2=VLOOKUP(A330,Journal!$A$7:$F$70,6),VLOOKUP(A330,Journal!$A$7:M$70,9),0)</f>
        <v>0</v>
      </c>
      <c r="U330" s="125">
        <f>IF(H$2=VLOOKUP(A330,Journal!$A$7:$G$70,7),VLOOKUP(A330,Journal!$A$7:M$70,9),0)</f>
        <v>0</v>
      </c>
      <c r="V330" s="125">
        <f t="shared" ref="V330:V393" si="40">IF($M$1=1,V329+T330-U330,V329-T330+U330)</f>
        <v>40</v>
      </c>
      <c r="X330">
        <f t="shared" si="37"/>
        <v>0</v>
      </c>
      <c r="Y330" s="143">
        <f t="shared" si="36"/>
        <v>-991.57894736843446</v>
      </c>
    </row>
    <row r="331" spans="1:25" x14ac:dyDescent="0.25">
      <c r="A331">
        <f t="shared" ref="A331:A394" si="41">A330+1</f>
        <v>324</v>
      </c>
      <c r="B331" s="88" t="str">
        <f>IF(OR(B330="Total",B330=""),"",IF(VLOOKUP(A331,Journal!$B$7:$E$84,4)=0,"Total",VLOOKUP(A331,Journal!$B$7:$D$84,3)))</f>
        <v/>
      </c>
      <c r="C331" s="86" t="str">
        <f>IF(B331="","",VLOOKUP(A331,Journal!$B$7:$E$84,4))</f>
        <v/>
      </c>
      <c r="D331" s="114" t="str">
        <f>IF(B331="","",VLOOKUP(A331,Journal!$B$7:$J$84,9))</f>
        <v/>
      </c>
      <c r="E331" s="116"/>
      <c r="F331" s="116"/>
      <c r="G331" s="115"/>
      <c r="H331" s="84" t="str">
        <f>IF(B331="","",VLOOKUP(A331,Journal!$B$7:$L$84,11))</f>
        <v/>
      </c>
      <c r="I331" s="84" t="str">
        <f>IF(B331="","",VLOOKUP(A331,Journal!$B$7:$M$84,12))</f>
        <v/>
      </c>
      <c r="J331" s="105">
        <f>IF(B331="Total",SUM(J$8:J330)+0.0001,IF(OR(B331="",I$2=I331),0,VLOOKUP(A331,Journal!$B$7:M$84,8)))</f>
        <v>0</v>
      </c>
      <c r="K331" s="102">
        <f>IF(B331="Total",SUM(K$8:K330)+0.0001,IF(OR(B331="",J331&lt;&gt;0),0,VLOOKUP(A331,Journal!$B$7:M$84,8)))</f>
        <v>0</v>
      </c>
      <c r="L331" s="87">
        <f t="shared" si="35"/>
        <v>0</v>
      </c>
      <c r="P331">
        <f t="shared" si="38"/>
        <v>1.0000000000000001E-5</v>
      </c>
      <c r="R331" s="15">
        <f t="shared" si="39"/>
        <v>324</v>
      </c>
      <c r="S331" s="126">
        <f>IF(VLOOKUP(A331,Journal!$A$7:$E$70,5)=0,S330+1,VLOOKUP(A331,Journal!$A$7:$E$70,5))</f>
        <v>45981</v>
      </c>
      <c r="T331" s="125">
        <f>IF(H$2=VLOOKUP(A331,Journal!$A$7:$F$70,6),VLOOKUP(A331,Journal!$A$7:M$70,9),0)</f>
        <v>0</v>
      </c>
      <c r="U331" s="125">
        <f>IF(H$2=VLOOKUP(A331,Journal!$A$7:$G$70,7),VLOOKUP(A331,Journal!$A$7:M$70,9),0)</f>
        <v>0</v>
      </c>
      <c r="V331" s="125">
        <f t="shared" si="40"/>
        <v>40</v>
      </c>
      <c r="X331">
        <f t="shared" si="37"/>
        <v>0</v>
      </c>
      <c r="Y331" s="143">
        <f t="shared" si="36"/>
        <v>-991.55263157896081</v>
      </c>
    </row>
    <row r="332" spans="1:25" x14ac:dyDescent="0.25">
      <c r="A332">
        <f t="shared" si="41"/>
        <v>325</v>
      </c>
      <c r="B332" s="88" t="str">
        <f>IF(OR(B331="Total",B331=""),"",IF(VLOOKUP(A332,Journal!$B$7:$E$84,4)=0,"Total",VLOOKUP(A332,Journal!$B$7:$D$84,3)))</f>
        <v/>
      </c>
      <c r="C332" s="86" t="str">
        <f>IF(B332="","",VLOOKUP(A332,Journal!$B$7:$E$84,4))</f>
        <v/>
      </c>
      <c r="D332" s="114" t="str">
        <f>IF(B332="","",VLOOKUP(A332,Journal!$B$7:$J$84,9))</f>
        <v/>
      </c>
      <c r="E332" s="116"/>
      <c r="F332" s="116"/>
      <c r="G332" s="115"/>
      <c r="H332" s="84" t="str">
        <f>IF(B332="","",VLOOKUP(A332,Journal!$B$7:$L$84,11))</f>
        <v/>
      </c>
      <c r="I332" s="84" t="str">
        <f>IF(B332="","",VLOOKUP(A332,Journal!$B$7:$M$84,12))</f>
        <v/>
      </c>
      <c r="J332" s="105">
        <f>IF(B332="Total",SUM(J$8:J331)+0.0001,IF(OR(B332="",I$2=I332),0,VLOOKUP(A332,Journal!$B$7:M$84,8)))</f>
        <v>0</v>
      </c>
      <c r="K332" s="102">
        <f>IF(B332="Total",SUM(K$8:K331)+0.0001,IF(OR(B332="",J332&lt;&gt;0),0,VLOOKUP(A332,Journal!$B$7:M$84,8)))</f>
        <v>0</v>
      </c>
      <c r="L332" s="87">
        <f t="shared" si="35"/>
        <v>0</v>
      </c>
      <c r="P332">
        <f t="shared" si="38"/>
        <v>1.0000000000000001E-5</v>
      </c>
      <c r="R332" s="15">
        <f t="shared" si="39"/>
        <v>325</v>
      </c>
      <c r="S332" s="126">
        <f>IF(VLOOKUP(A332,Journal!$A$7:$E$70,5)=0,S331+1,VLOOKUP(A332,Journal!$A$7:$E$70,5))</f>
        <v>45982</v>
      </c>
      <c r="T332" s="125">
        <f>IF(H$2=VLOOKUP(A332,Journal!$A$7:$F$70,6),VLOOKUP(A332,Journal!$A$7:M$70,9),0)</f>
        <v>0</v>
      </c>
      <c r="U332" s="125">
        <f>IF(H$2=VLOOKUP(A332,Journal!$A$7:$G$70,7),VLOOKUP(A332,Journal!$A$7:M$70,9),0)</f>
        <v>0</v>
      </c>
      <c r="V332" s="125">
        <f t="shared" si="40"/>
        <v>40</v>
      </c>
      <c r="X332">
        <f t="shared" si="37"/>
        <v>0</v>
      </c>
      <c r="Y332" s="143">
        <f t="shared" si="36"/>
        <v>-991.52631578948717</v>
      </c>
    </row>
    <row r="333" spans="1:25" x14ac:dyDescent="0.25">
      <c r="A333">
        <f t="shared" si="41"/>
        <v>326</v>
      </c>
      <c r="B333" s="88" t="str">
        <f>IF(OR(B332="Total",B332=""),"",IF(VLOOKUP(A333,Journal!$B$7:$E$84,4)=0,"Total",VLOOKUP(A333,Journal!$B$7:$D$84,3)))</f>
        <v/>
      </c>
      <c r="C333" s="86" t="str">
        <f>IF(B333="","",VLOOKUP(A333,Journal!$B$7:$E$84,4))</f>
        <v/>
      </c>
      <c r="D333" s="114" t="str">
        <f>IF(B333="","",VLOOKUP(A333,Journal!$B$7:$J$84,9))</f>
        <v/>
      </c>
      <c r="E333" s="116"/>
      <c r="F333" s="116"/>
      <c r="G333" s="115"/>
      <c r="H333" s="84" t="str">
        <f>IF(B333="","",VLOOKUP(A333,Journal!$B$7:$L$84,11))</f>
        <v/>
      </c>
      <c r="I333" s="84" t="str">
        <f>IF(B333="","",VLOOKUP(A333,Journal!$B$7:$M$84,12))</f>
        <v/>
      </c>
      <c r="J333" s="105">
        <f>IF(B333="Total",SUM(J$8:J332)+0.0001,IF(OR(B333="",I$2=I333),0,VLOOKUP(A333,Journal!$B$7:M$84,8)))</f>
        <v>0</v>
      </c>
      <c r="K333" s="102">
        <f>IF(B333="Total",SUM(K$8:K332)+0.0001,IF(OR(B333="",J333&lt;&gt;0),0,VLOOKUP(A333,Journal!$B$7:M$84,8)))</f>
        <v>0</v>
      </c>
      <c r="L333" s="87">
        <f t="shared" si="35"/>
        <v>0</v>
      </c>
      <c r="P333">
        <f t="shared" si="38"/>
        <v>1.0000000000000001E-5</v>
      </c>
      <c r="R333" s="15">
        <f t="shared" si="39"/>
        <v>326</v>
      </c>
      <c r="S333" s="126">
        <f>IF(VLOOKUP(A333,Journal!$A$7:$E$70,5)=0,S332+1,VLOOKUP(A333,Journal!$A$7:$E$70,5))</f>
        <v>45983</v>
      </c>
      <c r="T333" s="125">
        <f>IF(H$2=VLOOKUP(A333,Journal!$A$7:$F$70,6),VLOOKUP(A333,Journal!$A$7:M$70,9),0)</f>
        <v>0</v>
      </c>
      <c r="U333" s="125">
        <f>IF(H$2=VLOOKUP(A333,Journal!$A$7:$G$70,7),VLOOKUP(A333,Journal!$A$7:M$70,9),0)</f>
        <v>0</v>
      </c>
      <c r="V333" s="125">
        <f t="shared" si="40"/>
        <v>40</v>
      </c>
      <c r="X333">
        <f t="shared" si="37"/>
        <v>0</v>
      </c>
      <c r="Y333" s="143">
        <f t="shared" si="36"/>
        <v>-991.50000000001353</v>
      </c>
    </row>
    <row r="334" spans="1:25" x14ac:dyDescent="0.25">
      <c r="A334">
        <f t="shared" si="41"/>
        <v>327</v>
      </c>
      <c r="B334" s="88" t="str">
        <f>IF(OR(B333="Total",B333=""),"",IF(VLOOKUP(A334,Journal!$B$7:$E$84,4)=0,"Total",VLOOKUP(A334,Journal!$B$7:$D$84,3)))</f>
        <v/>
      </c>
      <c r="C334" s="86" t="str">
        <f>IF(B334="","",VLOOKUP(A334,Journal!$B$7:$E$84,4))</f>
        <v/>
      </c>
      <c r="D334" s="114" t="str">
        <f>IF(B334="","",VLOOKUP(A334,Journal!$B$7:$J$84,9))</f>
        <v/>
      </c>
      <c r="E334" s="116"/>
      <c r="F334" s="116"/>
      <c r="G334" s="115"/>
      <c r="H334" s="84" t="str">
        <f>IF(B334="","",VLOOKUP(A334,Journal!$B$7:$L$84,11))</f>
        <v/>
      </c>
      <c r="I334" s="84" t="str">
        <f>IF(B334="","",VLOOKUP(A334,Journal!$B$7:$M$84,12))</f>
        <v/>
      </c>
      <c r="J334" s="105">
        <f>IF(B334="Total",SUM(J$8:J333)+0.0001,IF(OR(B334="",I$2=I334),0,VLOOKUP(A334,Journal!$B$7:M$84,8)))</f>
        <v>0</v>
      </c>
      <c r="K334" s="102">
        <f>IF(B334="Total",SUM(K$8:K333)+0.0001,IF(OR(B334="",J334&lt;&gt;0),0,VLOOKUP(A334,Journal!$B$7:M$84,8)))</f>
        <v>0</v>
      </c>
      <c r="L334" s="87">
        <f t="shared" si="35"/>
        <v>0</v>
      </c>
      <c r="P334">
        <f t="shared" si="38"/>
        <v>1.0000000000000001E-5</v>
      </c>
      <c r="R334" s="15">
        <f t="shared" si="39"/>
        <v>327</v>
      </c>
      <c r="S334" s="126">
        <f>IF(VLOOKUP(A334,Journal!$A$7:$E$70,5)=0,S333+1,VLOOKUP(A334,Journal!$A$7:$E$70,5))</f>
        <v>45984</v>
      </c>
      <c r="T334" s="125">
        <f>IF(H$2=VLOOKUP(A334,Journal!$A$7:$F$70,6),VLOOKUP(A334,Journal!$A$7:M$70,9),0)</f>
        <v>0</v>
      </c>
      <c r="U334" s="125">
        <f>IF(H$2=VLOOKUP(A334,Journal!$A$7:$G$70,7),VLOOKUP(A334,Journal!$A$7:M$70,9),0)</f>
        <v>0</v>
      </c>
      <c r="V334" s="125">
        <f t="shared" si="40"/>
        <v>40</v>
      </c>
      <c r="X334">
        <f t="shared" si="37"/>
        <v>0</v>
      </c>
      <c r="Y334" s="143">
        <f t="shared" si="36"/>
        <v>-991.47368421053989</v>
      </c>
    </row>
    <row r="335" spans="1:25" x14ac:dyDescent="0.25">
      <c r="A335">
        <f t="shared" si="41"/>
        <v>328</v>
      </c>
      <c r="B335" s="88" t="str">
        <f>IF(OR(B334="Total",B334=""),"",IF(VLOOKUP(A335,Journal!$B$7:$E$84,4)=0,"Total",VLOOKUP(A335,Journal!$B$7:$D$84,3)))</f>
        <v/>
      </c>
      <c r="C335" s="86" t="str">
        <f>IF(B335="","",VLOOKUP(A335,Journal!$B$7:$E$84,4))</f>
        <v/>
      </c>
      <c r="D335" s="114" t="str">
        <f>IF(B335="","",VLOOKUP(A335,Journal!$B$7:$J$84,9))</f>
        <v/>
      </c>
      <c r="E335" s="116"/>
      <c r="F335" s="116"/>
      <c r="G335" s="115"/>
      <c r="H335" s="84" t="str">
        <f>IF(B335="","",VLOOKUP(A335,Journal!$B$7:$L$84,11))</f>
        <v/>
      </c>
      <c r="I335" s="84" t="str">
        <f>IF(B335="","",VLOOKUP(A335,Journal!$B$7:$M$84,12))</f>
        <v/>
      </c>
      <c r="J335" s="105">
        <f>IF(B335="Total",SUM(J$8:J334)+0.0001,IF(OR(B335="",I$2=I335),0,VLOOKUP(A335,Journal!$B$7:M$84,8)))</f>
        <v>0</v>
      </c>
      <c r="K335" s="102">
        <f>IF(B335="Total",SUM(K$8:K334)+0.0001,IF(OR(B335="",J335&lt;&gt;0),0,VLOOKUP(A335,Journal!$B$7:M$84,8)))</f>
        <v>0</v>
      </c>
      <c r="L335" s="87">
        <f t="shared" si="35"/>
        <v>0</v>
      </c>
      <c r="P335">
        <f t="shared" si="38"/>
        <v>1.0000000000000001E-5</v>
      </c>
      <c r="R335" s="15">
        <f t="shared" si="39"/>
        <v>328</v>
      </c>
      <c r="S335" s="126">
        <f>IF(VLOOKUP(A335,Journal!$A$7:$E$70,5)=0,S334+1,VLOOKUP(A335,Journal!$A$7:$E$70,5))</f>
        <v>45985</v>
      </c>
      <c r="T335" s="125">
        <f>IF(H$2=VLOOKUP(A335,Journal!$A$7:$F$70,6),VLOOKUP(A335,Journal!$A$7:M$70,9),0)</f>
        <v>0</v>
      </c>
      <c r="U335" s="125">
        <f>IF(H$2=VLOOKUP(A335,Journal!$A$7:$G$70,7),VLOOKUP(A335,Journal!$A$7:M$70,9),0)</f>
        <v>0</v>
      </c>
      <c r="V335" s="125">
        <f t="shared" si="40"/>
        <v>40</v>
      </c>
      <c r="X335">
        <f t="shared" si="37"/>
        <v>0</v>
      </c>
      <c r="Y335" s="143">
        <f t="shared" si="36"/>
        <v>-991.44736842106624</v>
      </c>
    </row>
    <row r="336" spans="1:25" x14ac:dyDescent="0.25">
      <c r="A336">
        <f t="shared" si="41"/>
        <v>329</v>
      </c>
      <c r="B336" s="88" t="str">
        <f>IF(OR(B335="Total",B335=""),"",IF(VLOOKUP(A336,Journal!$B$7:$E$84,4)=0,"Total",VLOOKUP(A336,Journal!$B$7:$D$84,3)))</f>
        <v/>
      </c>
      <c r="C336" s="86" t="str">
        <f>IF(B336="","",VLOOKUP(A336,Journal!$B$7:$E$84,4))</f>
        <v/>
      </c>
      <c r="D336" s="114" t="str">
        <f>IF(B336="","",VLOOKUP(A336,Journal!$B$7:$J$84,9))</f>
        <v/>
      </c>
      <c r="E336" s="116"/>
      <c r="F336" s="116"/>
      <c r="G336" s="115"/>
      <c r="H336" s="84" t="str">
        <f>IF(B336="","",VLOOKUP(A336,Journal!$B$7:$L$84,11))</f>
        <v/>
      </c>
      <c r="I336" s="84" t="str">
        <f>IF(B336="","",VLOOKUP(A336,Journal!$B$7:$M$84,12))</f>
        <v/>
      </c>
      <c r="J336" s="105">
        <f>IF(B336="Total",SUM(J$8:J335)+0.0001,IF(OR(B336="",I$2=I336),0,VLOOKUP(A336,Journal!$B$7:M$84,8)))</f>
        <v>0</v>
      </c>
      <c r="K336" s="102">
        <f>IF(B336="Total",SUM(K$8:K335)+0.0001,IF(OR(B336="",J336&lt;&gt;0),0,VLOOKUP(A336,Journal!$B$7:M$84,8)))</f>
        <v>0</v>
      </c>
      <c r="L336" s="87">
        <f t="shared" si="35"/>
        <v>0</v>
      </c>
      <c r="P336">
        <f t="shared" si="38"/>
        <v>1.0000000000000001E-5</v>
      </c>
      <c r="R336" s="15">
        <f t="shared" si="39"/>
        <v>329</v>
      </c>
      <c r="S336" s="126">
        <f>IF(VLOOKUP(A336,Journal!$A$7:$E$70,5)=0,S335+1,VLOOKUP(A336,Journal!$A$7:$E$70,5))</f>
        <v>45986</v>
      </c>
      <c r="T336" s="125">
        <f>IF(H$2=VLOOKUP(A336,Journal!$A$7:$F$70,6),VLOOKUP(A336,Journal!$A$7:M$70,9),0)</f>
        <v>0</v>
      </c>
      <c r="U336" s="125">
        <f>IF(H$2=VLOOKUP(A336,Journal!$A$7:$G$70,7),VLOOKUP(A336,Journal!$A$7:M$70,9),0)</f>
        <v>0</v>
      </c>
      <c r="V336" s="125">
        <f t="shared" si="40"/>
        <v>40</v>
      </c>
      <c r="X336">
        <f t="shared" si="37"/>
        <v>0</v>
      </c>
      <c r="Y336" s="143">
        <f t="shared" si="36"/>
        <v>-991.4210526315926</v>
      </c>
    </row>
    <row r="337" spans="1:25" x14ac:dyDescent="0.25">
      <c r="A337">
        <f t="shared" si="41"/>
        <v>330</v>
      </c>
      <c r="B337" s="88" t="str">
        <f>IF(OR(B336="Total",B336=""),"",IF(VLOOKUP(A337,Journal!$B$7:$E$84,4)=0,"Total",VLOOKUP(A337,Journal!$B$7:$D$84,3)))</f>
        <v/>
      </c>
      <c r="C337" s="86" t="str">
        <f>IF(B337="","",VLOOKUP(A337,Journal!$B$7:$E$84,4))</f>
        <v/>
      </c>
      <c r="D337" s="114" t="str">
        <f>IF(B337="","",VLOOKUP(A337,Journal!$B$7:$J$84,9))</f>
        <v/>
      </c>
      <c r="E337" s="116"/>
      <c r="F337" s="116"/>
      <c r="G337" s="115"/>
      <c r="H337" s="84" t="str">
        <f>IF(B337="","",VLOOKUP(A337,Journal!$B$7:$L$84,11))</f>
        <v/>
      </c>
      <c r="I337" s="84" t="str">
        <f>IF(B337="","",VLOOKUP(A337,Journal!$B$7:$M$84,12))</f>
        <v/>
      </c>
      <c r="J337" s="105">
        <f>IF(B337="Total",SUM(J$8:J336)+0.0001,IF(OR(B337="",I$2=I337),0,VLOOKUP(A337,Journal!$B$7:M$84,8)))</f>
        <v>0</v>
      </c>
      <c r="K337" s="102">
        <f>IF(B337="Total",SUM(K$8:K336)+0.0001,IF(OR(B337="",J337&lt;&gt;0),0,VLOOKUP(A337,Journal!$B$7:M$84,8)))</f>
        <v>0</v>
      </c>
      <c r="L337" s="87">
        <f t="shared" si="35"/>
        <v>0</v>
      </c>
      <c r="P337">
        <f t="shared" si="38"/>
        <v>1.0000000000000001E-5</v>
      </c>
      <c r="R337" s="15">
        <f t="shared" si="39"/>
        <v>330</v>
      </c>
      <c r="S337" s="126">
        <f>IF(VLOOKUP(A337,Journal!$A$7:$E$70,5)=0,S336+1,VLOOKUP(A337,Journal!$A$7:$E$70,5))</f>
        <v>45987</v>
      </c>
      <c r="T337" s="125">
        <f>IF(H$2=VLOOKUP(A337,Journal!$A$7:$F$70,6),VLOOKUP(A337,Journal!$A$7:M$70,9),0)</f>
        <v>0</v>
      </c>
      <c r="U337" s="125">
        <f>IF(H$2=VLOOKUP(A337,Journal!$A$7:$G$70,7),VLOOKUP(A337,Journal!$A$7:M$70,9),0)</f>
        <v>0</v>
      </c>
      <c r="V337" s="125">
        <f t="shared" si="40"/>
        <v>40</v>
      </c>
      <c r="X337">
        <f t="shared" si="37"/>
        <v>0</v>
      </c>
      <c r="Y337" s="143">
        <f t="shared" si="36"/>
        <v>-991.39473684211896</v>
      </c>
    </row>
    <row r="338" spans="1:25" x14ac:dyDescent="0.25">
      <c r="A338">
        <f t="shared" si="41"/>
        <v>331</v>
      </c>
      <c r="B338" s="88" t="str">
        <f>IF(OR(B337="Total",B337=""),"",IF(VLOOKUP(A338,Journal!$B$7:$E$84,4)=0,"Total",VLOOKUP(A338,Journal!$B$7:$D$84,3)))</f>
        <v/>
      </c>
      <c r="C338" s="86" t="str">
        <f>IF(B338="","",VLOOKUP(A338,Journal!$B$7:$E$84,4))</f>
        <v/>
      </c>
      <c r="D338" s="114" t="str">
        <f>IF(B338="","",VLOOKUP(A338,Journal!$B$7:$J$84,9))</f>
        <v/>
      </c>
      <c r="E338" s="116"/>
      <c r="F338" s="116"/>
      <c r="G338" s="115"/>
      <c r="H338" s="84" t="str">
        <f>IF(B338="","",VLOOKUP(A338,Journal!$B$7:$L$84,11))</f>
        <v/>
      </c>
      <c r="I338" s="84" t="str">
        <f>IF(B338="","",VLOOKUP(A338,Journal!$B$7:$M$84,12))</f>
        <v/>
      </c>
      <c r="J338" s="105">
        <f>IF(B338="Total",SUM(J$8:J337)+0.0001,IF(OR(B338="",I$2=I338),0,VLOOKUP(A338,Journal!$B$7:M$84,8)))</f>
        <v>0</v>
      </c>
      <c r="K338" s="102">
        <f>IF(B338="Total",SUM(K$8:K337)+0.0001,IF(OR(B338="",J338&lt;&gt;0),0,VLOOKUP(A338,Journal!$B$7:M$84,8)))</f>
        <v>0</v>
      </c>
      <c r="L338" s="87">
        <f t="shared" si="35"/>
        <v>0</v>
      </c>
      <c r="P338">
        <f t="shared" si="38"/>
        <v>1.0000000000000001E-5</v>
      </c>
      <c r="R338" s="15">
        <f t="shared" si="39"/>
        <v>331</v>
      </c>
      <c r="S338" s="126">
        <f>IF(VLOOKUP(A338,Journal!$A$7:$E$70,5)=0,S337+1,VLOOKUP(A338,Journal!$A$7:$E$70,5))</f>
        <v>45988</v>
      </c>
      <c r="T338" s="125">
        <f>IF(H$2=VLOOKUP(A338,Journal!$A$7:$F$70,6),VLOOKUP(A338,Journal!$A$7:M$70,9),0)</f>
        <v>0</v>
      </c>
      <c r="U338" s="125">
        <f>IF(H$2=VLOOKUP(A338,Journal!$A$7:$G$70,7),VLOOKUP(A338,Journal!$A$7:M$70,9),0)</f>
        <v>0</v>
      </c>
      <c r="V338" s="125">
        <f t="shared" si="40"/>
        <v>40</v>
      </c>
      <c r="X338">
        <f t="shared" si="37"/>
        <v>0</v>
      </c>
      <c r="Y338" s="143">
        <f t="shared" si="36"/>
        <v>-991.36842105264532</v>
      </c>
    </row>
    <row r="339" spans="1:25" x14ac:dyDescent="0.25">
      <c r="A339">
        <f t="shared" si="41"/>
        <v>332</v>
      </c>
      <c r="B339" s="88" t="str">
        <f>IF(OR(B338="Total",B338=""),"",IF(VLOOKUP(A339,Journal!$B$7:$E$84,4)=0,"Total",VLOOKUP(A339,Journal!$B$7:$D$84,3)))</f>
        <v/>
      </c>
      <c r="C339" s="86" t="str">
        <f>IF(B339="","",VLOOKUP(A339,Journal!$B$7:$E$84,4))</f>
        <v/>
      </c>
      <c r="D339" s="114" t="str">
        <f>IF(B339="","",VLOOKUP(A339,Journal!$B$7:$J$84,9))</f>
        <v/>
      </c>
      <c r="E339" s="116"/>
      <c r="F339" s="116"/>
      <c r="G339" s="115"/>
      <c r="H339" s="84" t="str">
        <f>IF(B339="","",VLOOKUP(A339,Journal!$B$7:$L$84,11))</f>
        <v/>
      </c>
      <c r="I339" s="84" t="str">
        <f>IF(B339="","",VLOOKUP(A339,Journal!$B$7:$M$84,12))</f>
        <v/>
      </c>
      <c r="J339" s="105">
        <f>IF(B339="Total",SUM(J$8:J338)+0.0001,IF(OR(B339="",I$2=I339),0,VLOOKUP(A339,Journal!$B$7:M$84,8)))</f>
        <v>0</v>
      </c>
      <c r="K339" s="102">
        <f>IF(B339="Total",SUM(K$8:K338)+0.0001,IF(OR(B339="",J339&lt;&gt;0),0,VLOOKUP(A339,Journal!$B$7:M$84,8)))</f>
        <v>0</v>
      </c>
      <c r="L339" s="87">
        <f t="shared" si="35"/>
        <v>0</v>
      </c>
      <c r="P339">
        <f t="shared" si="38"/>
        <v>1.0000000000000001E-5</v>
      </c>
      <c r="R339" s="15">
        <f t="shared" si="39"/>
        <v>332</v>
      </c>
      <c r="S339" s="126">
        <f>IF(VLOOKUP(A339,Journal!$A$7:$E$70,5)=0,S338+1,VLOOKUP(A339,Journal!$A$7:$E$70,5))</f>
        <v>45989</v>
      </c>
      <c r="T339" s="125">
        <f>IF(H$2=VLOOKUP(A339,Journal!$A$7:$F$70,6),VLOOKUP(A339,Journal!$A$7:M$70,9),0)</f>
        <v>0</v>
      </c>
      <c r="U339" s="125">
        <f>IF(H$2=VLOOKUP(A339,Journal!$A$7:$G$70,7),VLOOKUP(A339,Journal!$A$7:M$70,9),0)</f>
        <v>0</v>
      </c>
      <c r="V339" s="125">
        <f t="shared" si="40"/>
        <v>40</v>
      </c>
      <c r="X339">
        <f t="shared" si="37"/>
        <v>0</v>
      </c>
      <c r="Y339" s="143">
        <f t="shared" si="36"/>
        <v>-991.34210526317167</v>
      </c>
    </row>
    <row r="340" spans="1:25" x14ac:dyDescent="0.25">
      <c r="A340">
        <f t="shared" si="41"/>
        <v>333</v>
      </c>
      <c r="B340" s="88" t="str">
        <f>IF(OR(B339="Total",B339=""),"",IF(VLOOKUP(A340,Journal!$B$7:$E$84,4)=0,"Total",VLOOKUP(A340,Journal!$B$7:$D$84,3)))</f>
        <v/>
      </c>
      <c r="C340" s="86" t="str">
        <f>IF(B340="","",VLOOKUP(A340,Journal!$B$7:$E$84,4))</f>
        <v/>
      </c>
      <c r="D340" s="114" t="str">
        <f>IF(B340="","",VLOOKUP(A340,Journal!$B$7:$J$84,9))</f>
        <v/>
      </c>
      <c r="E340" s="116"/>
      <c r="F340" s="116"/>
      <c r="G340" s="115"/>
      <c r="H340" s="84" t="str">
        <f>IF(B340="","",VLOOKUP(A340,Journal!$B$7:$L$84,11))</f>
        <v/>
      </c>
      <c r="I340" s="84" t="str">
        <f>IF(B340="","",VLOOKUP(A340,Journal!$B$7:$M$84,12))</f>
        <v/>
      </c>
      <c r="J340" s="105">
        <f>IF(B340="Total",SUM(J$8:J339)+0.0001,IF(OR(B340="",I$2=I340),0,VLOOKUP(A340,Journal!$B$7:M$84,8)))</f>
        <v>0</v>
      </c>
      <c r="K340" s="102">
        <f>IF(B340="Total",SUM(K$8:K339)+0.0001,IF(OR(B340="",J340&lt;&gt;0),0,VLOOKUP(A340,Journal!$B$7:M$84,8)))</f>
        <v>0</v>
      </c>
      <c r="L340" s="87">
        <f t="shared" si="35"/>
        <v>0</v>
      </c>
      <c r="P340">
        <f t="shared" si="38"/>
        <v>1.0000000000000001E-5</v>
      </c>
      <c r="R340" s="15">
        <f t="shared" si="39"/>
        <v>333</v>
      </c>
      <c r="S340" s="126">
        <f>IF(VLOOKUP(A340,Journal!$A$7:$E$70,5)=0,S339+1,VLOOKUP(A340,Journal!$A$7:$E$70,5))</f>
        <v>45990</v>
      </c>
      <c r="T340" s="125">
        <f>IF(H$2=VLOOKUP(A340,Journal!$A$7:$F$70,6),VLOOKUP(A340,Journal!$A$7:M$70,9),0)</f>
        <v>0</v>
      </c>
      <c r="U340" s="125">
        <f>IF(H$2=VLOOKUP(A340,Journal!$A$7:$G$70,7),VLOOKUP(A340,Journal!$A$7:M$70,9),0)</f>
        <v>0</v>
      </c>
      <c r="V340" s="125">
        <f t="shared" si="40"/>
        <v>40</v>
      </c>
      <c r="X340">
        <f t="shared" si="37"/>
        <v>0</v>
      </c>
      <c r="Y340" s="143">
        <f t="shared" si="36"/>
        <v>-991.31578947369803</v>
      </c>
    </row>
    <row r="341" spans="1:25" x14ac:dyDescent="0.25">
      <c r="A341">
        <f t="shared" si="41"/>
        <v>334</v>
      </c>
      <c r="B341" s="88" t="str">
        <f>IF(OR(B340="Total",B340=""),"",IF(VLOOKUP(A341,Journal!$B$7:$E$84,4)=0,"Total",VLOOKUP(A341,Journal!$B$7:$D$84,3)))</f>
        <v/>
      </c>
      <c r="C341" s="86" t="str">
        <f>IF(B341="","",VLOOKUP(A341,Journal!$B$7:$E$84,4))</f>
        <v/>
      </c>
      <c r="D341" s="114" t="str">
        <f>IF(B341="","",VLOOKUP(A341,Journal!$B$7:$J$84,9))</f>
        <v/>
      </c>
      <c r="E341" s="116"/>
      <c r="F341" s="116"/>
      <c r="G341" s="115"/>
      <c r="H341" s="84" t="str">
        <f>IF(B341="","",VLOOKUP(A341,Journal!$B$7:$L$84,11))</f>
        <v/>
      </c>
      <c r="I341" s="84" t="str">
        <f>IF(B341="","",VLOOKUP(A341,Journal!$B$7:$M$84,12))</f>
        <v/>
      </c>
      <c r="J341" s="105">
        <f>IF(B341="Total",SUM(J$8:J340)+0.0001,IF(OR(B341="",I$2=I341),0,VLOOKUP(A341,Journal!$B$7:M$84,8)))</f>
        <v>0</v>
      </c>
      <c r="K341" s="102">
        <f>IF(B341="Total",SUM(K$8:K340)+0.0001,IF(OR(B341="",J341&lt;&gt;0),0,VLOOKUP(A341,Journal!$B$7:M$84,8)))</f>
        <v>0</v>
      </c>
      <c r="L341" s="87">
        <f t="shared" si="35"/>
        <v>0</v>
      </c>
      <c r="P341">
        <f t="shared" si="38"/>
        <v>1.0000000000000001E-5</v>
      </c>
      <c r="R341" s="15">
        <f t="shared" si="39"/>
        <v>334</v>
      </c>
      <c r="S341" s="126">
        <f>IF(VLOOKUP(A341,Journal!$A$7:$E$70,5)=0,S340+1,VLOOKUP(A341,Journal!$A$7:$E$70,5))</f>
        <v>45991</v>
      </c>
      <c r="T341" s="125">
        <f>IF(H$2=VLOOKUP(A341,Journal!$A$7:$F$70,6),VLOOKUP(A341,Journal!$A$7:M$70,9),0)</f>
        <v>0</v>
      </c>
      <c r="U341" s="125">
        <f>IF(H$2=VLOOKUP(A341,Journal!$A$7:$G$70,7),VLOOKUP(A341,Journal!$A$7:M$70,9),0)</f>
        <v>0</v>
      </c>
      <c r="V341" s="125">
        <f t="shared" si="40"/>
        <v>40</v>
      </c>
      <c r="X341">
        <f t="shared" si="37"/>
        <v>0</v>
      </c>
      <c r="Y341" s="143">
        <f t="shared" si="36"/>
        <v>-991.28947368422439</v>
      </c>
    </row>
    <row r="342" spans="1:25" x14ac:dyDescent="0.25">
      <c r="A342">
        <f t="shared" si="41"/>
        <v>335</v>
      </c>
      <c r="B342" s="88" t="str">
        <f>IF(OR(B341="Total",B341=""),"",IF(VLOOKUP(A342,Journal!$B$7:$E$84,4)=0,"Total",VLOOKUP(A342,Journal!$B$7:$D$84,3)))</f>
        <v/>
      </c>
      <c r="C342" s="86" t="str">
        <f>IF(B342="","",VLOOKUP(A342,Journal!$B$7:$E$84,4))</f>
        <v/>
      </c>
      <c r="D342" s="114" t="str">
        <f>IF(B342="","",VLOOKUP(A342,Journal!$B$7:$J$84,9))</f>
        <v/>
      </c>
      <c r="E342" s="116"/>
      <c r="F342" s="116"/>
      <c r="G342" s="115"/>
      <c r="H342" s="84" t="str">
        <f>IF(B342="","",VLOOKUP(A342,Journal!$B$7:$L$84,11))</f>
        <v/>
      </c>
      <c r="I342" s="84" t="str">
        <f>IF(B342="","",VLOOKUP(A342,Journal!$B$7:$M$84,12))</f>
        <v/>
      </c>
      <c r="J342" s="105">
        <f>IF(B342="Total",SUM(J$8:J341)+0.0001,IF(OR(B342="",I$2=I342),0,VLOOKUP(A342,Journal!$B$7:M$84,8)))</f>
        <v>0</v>
      </c>
      <c r="K342" s="102">
        <f>IF(B342="Total",SUM(K$8:K341)+0.0001,IF(OR(B342="",J342&lt;&gt;0),0,VLOOKUP(A342,Journal!$B$7:M$84,8)))</f>
        <v>0</v>
      </c>
      <c r="L342" s="87">
        <f t="shared" si="35"/>
        <v>0</v>
      </c>
      <c r="P342">
        <f t="shared" si="38"/>
        <v>1.0000000000000001E-5</v>
      </c>
      <c r="R342" s="15">
        <f t="shared" si="39"/>
        <v>335</v>
      </c>
      <c r="S342" s="126">
        <f>IF(VLOOKUP(A342,Journal!$A$7:$E$70,5)=0,S341+1,VLOOKUP(A342,Journal!$A$7:$E$70,5))</f>
        <v>45992</v>
      </c>
      <c r="T342" s="125">
        <f>IF(H$2=VLOOKUP(A342,Journal!$A$7:$F$70,6),VLOOKUP(A342,Journal!$A$7:M$70,9),0)</f>
        <v>0</v>
      </c>
      <c r="U342" s="125">
        <f>IF(H$2=VLOOKUP(A342,Journal!$A$7:$G$70,7),VLOOKUP(A342,Journal!$A$7:M$70,9),0)</f>
        <v>0</v>
      </c>
      <c r="V342" s="125">
        <f t="shared" si="40"/>
        <v>40</v>
      </c>
      <c r="X342">
        <f t="shared" si="37"/>
        <v>0</v>
      </c>
      <c r="Y342" s="143">
        <f t="shared" si="36"/>
        <v>-991.26315789475075</v>
      </c>
    </row>
    <row r="343" spans="1:25" x14ac:dyDescent="0.25">
      <c r="A343">
        <f t="shared" si="41"/>
        <v>336</v>
      </c>
      <c r="B343" s="88" t="str">
        <f>IF(OR(B342="Total",B342=""),"",IF(VLOOKUP(A343,Journal!$B$7:$E$84,4)=0,"Total",VLOOKUP(A343,Journal!$B$7:$D$84,3)))</f>
        <v/>
      </c>
      <c r="C343" s="86" t="str">
        <f>IF(B343="","",VLOOKUP(A343,Journal!$B$7:$E$84,4))</f>
        <v/>
      </c>
      <c r="D343" s="114" t="str">
        <f>IF(B343="","",VLOOKUP(A343,Journal!$B$7:$J$84,9))</f>
        <v/>
      </c>
      <c r="E343" s="116"/>
      <c r="F343" s="116"/>
      <c r="G343" s="115"/>
      <c r="H343" s="84" t="str">
        <f>IF(B343="","",VLOOKUP(A343,Journal!$B$7:$L$84,11))</f>
        <v/>
      </c>
      <c r="I343" s="84" t="str">
        <f>IF(B343="","",VLOOKUP(A343,Journal!$B$7:$M$84,12))</f>
        <v/>
      </c>
      <c r="J343" s="105">
        <f>IF(B343="Total",SUM(J$8:J342)+0.0001,IF(OR(B343="",I$2=I343),0,VLOOKUP(A343,Journal!$B$7:M$84,8)))</f>
        <v>0</v>
      </c>
      <c r="K343" s="102">
        <f>IF(B343="Total",SUM(K$8:K342)+0.0001,IF(OR(B343="",J343&lt;&gt;0),0,VLOOKUP(A343,Journal!$B$7:M$84,8)))</f>
        <v>0</v>
      </c>
      <c r="L343" s="87">
        <f t="shared" si="35"/>
        <v>0</v>
      </c>
      <c r="P343">
        <f t="shared" si="38"/>
        <v>1.0000000000000001E-5</v>
      </c>
      <c r="R343" s="15">
        <f t="shared" si="39"/>
        <v>336</v>
      </c>
      <c r="S343" s="126">
        <f>IF(VLOOKUP(A343,Journal!$A$7:$E$70,5)=0,S342+1,VLOOKUP(A343,Journal!$A$7:$E$70,5))</f>
        <v>45993</v>
      </c>
      <c r="T343" s="125">
        <f>IF(H$2=VLOOKUP(A343,Journal!$A$7:$F$70,6),VLOOKUP(A343,Journal!$A$7:M$70,9),0)</f>
        <v>0</v>
      </c>
      <c r="U343" s="125">
        <f>IF(H$2=VLOOKUP(A343,Journal!$A$7:$G$70,7),VLOOKUP(A343,Journal!$A$7:M$70,9),0)</f>
        <v>0</v>
      </c>
      <c r="V343" s="125">
        <f t="shared" si="40"/>
        <v>40</v>
      </c>
      <c r="X343">
        <f t="shared" si="37"/>
        <v>0</v>
      </c>
      <c r="Y343" s="143">
        <f t="shared" si="36"/>
        <v>-991.23684210527711</v>
      </c>
    </row>
    <row r="344" spans="1:25" x14ac:dyDescent="0.25">
      <c r="A344">
        <f t="shared" si="41"/>
        <v>337</v>
      </c>
      <c r="B344" s="88" t="str">
        <f>IF(OR(B343="Total",B343=""),"",IF(VLOOKUP(A344,Journal!$B$7:$E$84,4)=0,"Total",VLOOKUP(A344,Journal!$B$7:$D$84,3)))</f>
        <v/>
      </c>
      <c r="C344" s="86" t="str">
        <f>IF(B344="","",VLOOKUP(A344,Journal!$B$7:$E$84,4))</f>
        <v/>
      </c>
      <c r="D344" s="114" t="str">
        <f>IF(B344="","",VLOOKUP(A344,Journal!$B$7:$J$84,9))</f>
        <v/>
      </c>
      <c r="E344" s="116"/>
      <c r="F344" s="116"/>
      <c r="G344" s="115"/>
      <c r="H344" s="84" t="str">
        <f>IF(B344="","",VLOOKUP(A344,Journal!$B$7:$L$84,11))</f>
        <v/>
      </c>
      <c r="I344" s="84" t="str">
        <f>IF(B344="","",VLOOKUP(A344,Journal!$B$7:$M$84,12))</f>
        <v/>
      </c>
      <c r="J344" s="105">
        <f>IF(B344="Total",SUM(J$8:J343)+0.0001,IF(OR(B344="",I$2=I344),0,VLOOKUP(A344,Journal!$B$7:M$84,8)))</f>
        <v>0</v>
      </c>
      <c r="K344" s="102">
        <f>IF(B344="Total",SUM(K$8:K343)+0.0001,IF(OR(B344="",J344&lt;&gt;0),0,VLOOKUP(A344,Journal!$B$7:M$84,8)))</f>
        <v>0</v>
      </c>
      <c r="L344" s="87">
        <f t="shared" si="35"/>
        <v>0</v>
      </c>
      <c r="P344">
        <f t="shared" si="38"/>
        <v>1.0000000000000001E-5</v>
      </c>
      <c r="R344" s="15">
        <f t="shared" si="39"/>
        <v>337</v>
      </c>
      <c r="S344" s="126">
        <f>IF(VLOOKUP(A344,Journal!$A$7:$E$70,5)=0,S343+1,VLOOKUP(A344,Journal!$A$7:$E$70,5))</f>
        <v>45994</v>
      </c>
      <c r="T344" s="125">
        <f>IF(H$2=VLOOKUP(A344,Journal!$A$7:$F$70,6),VLOOKUP(A344,Journal!$A$7:M$70,9),0)</f>
        <v>0</v>
      </c>
      <c r="U344" s="125">
        <f>IF(H$2=VLOOKUP(A344,Journal!$A$7:$G$70,7),VLOOKUP(A344,Journal!$A$7:M$70,9),0)</f>
        <v>0</v>
      </c>
      <c r="V344" s="125">
        <f t="shared" si="40"/>
        <v>40</v>
      </c>
      <c r="X344">
        <f t="shared" si="37"/>
        <v>0</v>
      </c>
      <c r="Y344" s="143">
        <f t="shared" si="36"/>
        <v>-991.21052631580346</v>
      </c>
    </row>
    <row r="345" spans="1:25" x14ac:dyDescent="0.25">
      <c r="A345">
        <f t="shared" si="41"/>
        <v>338</v>
      </c>
      <c r="B345" s="88" t="str">
        <f>IF(OR(B344="Total",B344=""),"",IF(VLOOKUP(A345,Journal!$B$7:$E$84,4)=0,"Total",VLOOKUP(A345,Journal!$B$7:$D$84,3)))</f>
        <v/>
      </c>
      <c r="C345" s="86" t="str">
        <f>IF(B345="","",VLOOKUP(A345,Journal!$B$7:$E$84,4))</f>
        <v/>
      </c>
      <c r="D345" s="114" t="str">
        <f>IF(B345="","",VLOOKUP(A345,Journal!$B$7:$J$84,9))</f>
        <v/>
      </c>
      <c r="E345" s="116"/>
      <c r="F345" s="116"/>
      <c r="G345" s="115"/>
      <c r="H345" s="84" t="str">
        <f>IF(B345="","",VLOOKUP(A345,Journal!$B$7:$L$84,11))</f>
        <v/>
      </c>
      <c r="I345" s="84" t="str">
        <f>IF(B345="","",VLOOKUP(A345,Journal!$B$7:$M$84,12))</f>
        <v/>
      </c>
      <c r="J345" s="105">
        <f>IF(B345="Total",SUM(J$8:J344)+0.0001,IF(OR(B345="",I$2=I345),0,VLOOKUP(A345,Journal!$B$7:M$84,8)))</f>
        <v>0</v>
      </c>
      <c r="K345" s="102">
        <f>IF(B345="Total",SUM(K$8:K344)+0.0001,IF(OR(B345="",J345&lt;&gt;0),0,VLOOKUP(A345,Journal!$B$7:M$84,8)))</f>
        <v>0</v>
      </c>
      <c r="L345" s="87">
        <f t="shared" si="35"/>
        <v>0</v>
      </c>
      <c r="P345">
        <f t="shared" si="38"/>
        <v>1.0000000000000001E-5</v>
      </c>
      <c r="R345" s="15">
        <f t="shared" si="39"/>
        <v>338</v>
      </c>
      <c r="S345" s="126">
        <f>IF(VLOOKUP(A345,Journal!$A$7:$E$70,5)=0,S344+1,VLOOKUP(A345,Journal!$A$7:$E$70,5))</f>
        <v>45995</v>
      </c>
      <c r="T345" s="125">
        <f>IF(H$2=VLOOKUP(A345,Journal!$A$7:$F$70,6),VLOOKUP(A345,Journal!$A$7:M$70,9),0)</f>
        <v>0</v>
      </c>
      <c r="U345" s="125">
        <f>IF(H$2=VLOOKUP(A345,Journal!$A$7:$G$70,7),VLOOKUP(A345,Journal!$A$7:M$70,9),0)</f>
        <v>0</v>
      </c>
      <c r="V345" s="125">
        <f t="shared" si="40"/>
        <v>40</v>
      </c>
      <c r="X345">
        <f t="shared" si="37"/>
        <v>0</v>
      </c>
      <c r="Y345" s="143">
        <f t="shared" si="36"/>
        <v>-991.18421052632982</v>
      </c>
    </row>
    <row r="346" spans="1:25" x14ac:dyDescent="0.25">
      <c r="A346">
        <f t="shared" si="41"/>
        <v>339</v>
      </c>
      <c r="B346" s="88" t="str">
        <f>IF(OR(B345="Total",B345=""),"",IF(VLOOKUP(A346,Journal!$B$7:$E$84,4)=0,"Total",VLOOKUP(A346,Journal!$B$7:$D$84,3)))</f>
        <v/>
      </c>
      <c r="C346" s="86" t="str">
        <f>IF(B346="","",VLOOKUP(A346,Journal!$B$7:$E$84,4))</f>
        <v/>
      </c>
      <c r="D346" s="114" t="str">
        <f>IF(B346="","",VLOOKUP(A346,Journal!$B$7:$J$84,9))</f>
        <v/>
      </c>
      <c r="E346" s="116"/>
      <c r="F346" s="116"/>
      <c r="G346" s="115"/>
      <c r="H346" s="84" t="str">
        <f>IF(B346="","",VLOOKUP(A346,Journal!$B$7:$L$84,11))</f>
        <v/>
      </c>
      <c r="I346" s="84" t="str">
        <f>IF(B346="","",VLOOKUP(A346,Journal!$B$7:$M$84,12))</f>
        <v/>
      </c>
      <c r="J346" s="105">
        <f>IF(B346="Total",SUM(J$8:J345)+0.0001,IF(OR(B346="",I$2=I346),0,VLOOKUP(A346,Journal!$B$7:M$84,8)))</f>
        <v>0</v>
      </c>
      <c r="K346" s="102">
        <f>IF(B346="Total",SUM(K$8:K345)+0.0001,IF(OR(B346="",J346&lt;&gt;0),0,VLOOKUP(A346,Journal!$B$7:M$84,8)))</f>
        <v>0</v>
      </c>
      <c r="L346" s="87">
        <f t="shared" si="35"/>
        <v>0</v>
      </c>
      <c r="P346">
        <f t="shared" si="38"/>
        <v>1.0000000000000001E-5</v>
      </c>
      <c r="R346" s="15">
        <f t="shared" si="39"/>
        <v>339</v>
      </c>
      <c r="S346" s="126">
        <f>IF(VLOOKUP(A346,Journal!$A$7:$E$70,5)=0,S345+1,VLOOKUP(A346,Journal!$A$7:$E$70,5))</f>
        <v>45996</v>
      </c>
      <c r="T346" s="125">
        <f>IF(H$2=VLOOKUP(A346,Journal!$A$7:$F$70,6),VLOOKUP(A346,Journal!$A$7:M$70,9),0)</f>
        <v>0</v>
      </c>
      <c r="U346" s="125">
        <f>IF(H$2=VLOOKUP(A346,Journal!$A$7:$G$70,7),VLOOKUP(A346,Journal!$A$7:M$70,9),0)</f>
        <v>0</v>
      </c>
      <c r="V346" s="125">
        <f t="shared" si="40"/>
        <v>40</v>
      </c>
      <c r="X346">
        <f t="shared" si="37"/>
        <v>0</v>
      </c>
      <c r="Y346" s="143">
        <f t="shared" si="36"/>
        <v>-991.15789473685618</v>
      </c>
    </row>
    <row r="347" spans="1:25" x14ac:dyDescent="0.25">
      <c r="A347">
        <f t="shared" si="41"/>
        <v>340</v>
      </c>
      <c r="B347" s="88" t="str">
        <f>IF(OR(B346="Total",B346=""),"",IF(VLOOKUP(A347,Journal!$B$7:$E$84,4)=0,"Total",VLOOKUP(A347,Journal!$B$7:$D$84,3)))</f>
        <v/>
      </c>
      <c r="C347" s="86" t="str">
        <f>IF(B347="","",VLOOKUP(A347,Journal!$B$7:$E$84,4))</f>
        <v/>
      </c>
      <c r="D347" s="114" t="str">
        <f>IF(B347="","",VLOOKUP(A347,Journal!$B$7:$J$84,9))</f>
        <v/>
      </c>
      <c r="E347" s="116"/>
      <c r="F347" s="116"/>
      <c r="G347" s="115"/>
      <c r="H347" s="84" t="str">
        <f>IF(B347="","",VLOOKUP(A347,Journal!$B$7:$L$84,11))</f>
        <v/>
      </c>
      <c r="I347" s="84" t="str">
        <f>IF(B347="","",VLOOKUP(A347,Journal!$B$7:$M$84,12))</f>
        <v/>
      </c>
      <c r="J347" s="105">
        <f>IF(B347="Total",SUM(J$8:J346)+0.0001,IF(OR(B347="",I$2=I347),0,VLOOKUP(A347,Journal!$B$7:M$84,8)))</f>
        <v>0</v>
      </c>
      <c r="K347" s="102">
        <f>IF(B347="Total",SUM(K$8:K346)+0.0001,IF(OR(B347="",J347&lt;&gt;0),0,VLOOKUP(A347,Journal!$B$7:M$84,8)))</f>
        <v>0</v>
      </c>
      <c r="L347" s="87">
        <f t="shared" si="35"/>
        <v>0</v>
      </c>
      <c r="P347">
        <f t="shared" si="38"/>
        <v>1.0000000000000001E-5</v>
      </c>
      <c r="R347" s="15">
        <f t="shared" si="39"/>
        <v>340</v>
      </c>
      <c r="S347" s="126">
        <f>IF(VLOOKUP(A347,Journal!$A$7:$E$70,5)=0,S346+1,VLOOKUP(A347,Journal!$A$7:$E$70,5))</f>
        <v>45997</v>
      </c>
      <c r="T347" s="125">
        <f>IF(H$2=VLOOKUP(A347,Journal!$A$7:$F$70,6),VLOOKUP(A347,Journal!$A$7:M$70,9),0)</f>
        <v>0</v>
      </c>
      <c r="U347" s="125">
        <f>IF(H$2=VLOOKUP(A347,Journal!$A$7:$G$70,7),VLOOKUP(A347,Journal!$A$7:M$70,9),0)</f>
        <v>0</v>
      </c>
      <c r="V347" s="125">
        <f t="shared" si="40"/>
        <v>40</v>
      </c>
      <c r="X347">
        <f t="shared" si="37"/>
        <v>0</v>
      </c>
      <c r="Y347" s="143">
        <f t="shared" si="36"/>
        <v>-991.13157894738254</v>
      </c>
    </row>
    <row r="348" spans="1:25" x14ac:dyDescent="0.25">
      <c r="A348">
        <f t="shared" si="41"/>
        <v>341</v>
      </c>
      <c r="B348" s="88" t="str">
        <f>IF(OR(B347="Total",B347=""),"",IF(VLOOKUP(A348,Journal!$B$7:$E$84,4)=0,"Total",VLOOKUP(A348,Journal!$B$7:$D$84,3)))</f>
        <v/>
      </c>
      <c r="C348" s="86" t="str">
        <f>IF(B348="","",VLOOKUP(A348,Journal!$B$7:$E$84,4))</f>
        <v/>
      </c>
      <c r="D348" s="114" t="str">
        <f>IF(B348="","",VLOOKUP(A348,Journal!$B$7:$J$84,9))</f>
        <v/>
      </c>
      <c r="E348" s="116"/>
      <c r="F348" s="116"/>
      <c r="G348" s="115"/>
      <c r="H348" s="84" t="str">
        <f>IF(B348="","",VLOOKUP(A348,Journal!$B$7:$L$84,11))</f>
        <v/>
      </c>
      <c r="I348" s="84" t="str">
        <f>IF(B348="","",VLOOKUP(A348,Journal!$B$7:$M$84,12))</f>
        <v/>
      </c>
      <c r="J348" s="105">
        <f>IF(B348="Total",SUM(J$8:J347)+0.0001,IF(OR(B348="",I$2=I348),0,VLOOKUP(A348,Journal!$B$7:M$84,8)))</f>
        <v>0</v>
      </c>
      <c r="K348" s="102">
        <f>IF(B348="Total",SUM(K$8:K347)+0.0001,IF(OR(B348="",J348&lt;&gt;0),0,VLOOKUP(A348,Journal!$B$7:M$84,8)))</f>
        <v>0</v>
      </c>
      <c r="L348" s="87">
        <f t="shared" si="35"/>
        <v>0</v>
      </c>
      <c r="P348">
        <f t="shared" si="38"/>
        <v>1.0000000000000001E-5</v>
      </c>
      <c r="R348" s="15">
        <f t="shared" si="39"/>
        <v>341</v>
      </c>
      <c r="S348" s="126">
        <f>IF(VLOOKUP(A348,Journal!$A$7:$E$70,5)=0,S347+1,VLOOKUP(A348,Journal!$A$7:$E$70,5))</f>
        <v>45998</v>
      </c>
      <c r="T348" s="125">
        <f>IF(H$2=VLOOKUP(A348,Journal!$A$7:$F$70,6),VLOOKUP(A348,Journal!$A$7:M$70,9),0)</f>
        <v>0</v>
      </c>
      <c r="U348" s="125">
        <f>IF(H$2=VLOOKUP(A348,Journal!$A$7:$G$70,7),VLOOKUP(A348,Journal!$A$7:M$70,9),0)</f>
        <v>0</v>
      </c>
      <c r="V348" s="125">
        <f t="shared" si="40"/>
        <v>40</v>
      </c>
      <c r="X348">
        <f t="shared" si="37"/>
        <v>0</v>
      </c>
      <c r="Y348" s="143">
        <f t="shared" si="36"/>
        <v>-991.10526315790889</v>
      </c>
    </row>
    <row r="349" spans="1:25" x14ac:dyDescent="0.25">
      <c r="A349">
        <f t="shared" si="41"/>
        <v>342</v>
      </c>
      <c r="B349" s="88" t="str">
        <f>IF(OR(B348="Total",B348=""),"",IF(VLOOKUP(A349,Journal!$B$7:$E$84,4)=0,"Total",VLOOKUP(A349,Journal!$B$7:$D$84,3)))</f>
        <v/>
      </c>
      <c r="C349" s="86" t="str">
        <f>IF(B349="","",VLOOKUP(A349,Journal!$B$7:$E$84,4))</f>
        <v/>
      </c>
      <c r="D349" s="114" t="str">
        <f>IF(B349="","",VLOOKUP(A349,Journal!$B$7:$J$84,9))</f>
        <v/>
      </c>
      <c r="E349" s="116"/>
      <c r="F349" s="116"/>
      <c r="G349" s="115"/>
      <c r="H349" s="84" t="str">
        <f>IF(B349="","",VLOOKUP(A349,Journal!$B$7:$L$84,11))</f>
        <v/>
      </c>
      <c r="I349" s="84" t="str">
        <f>IF(B349="","",VLOOKUP(A349,Journal!$B$7:$M$84,12))</f>
        <v/>
      </c>
      <c r="J349" s="105">
        <f>IF(B349="Total",SUM(J$8:J348)+0.0001,IF(OR(B349="",I$2=I349),0,VLOOKUP(A349,Journal!$B$7:M$84,8)))</f>
        <v>0</v>
      </c>
      <c r="K349" s="102">
        <f>IF(B349="Total",SUM(K$8:K348)+0.0001,IF(OR(B349="",J349&lt;&gt;0),0,VLOOKUP(A349,Journal!$B$7:M$84,8)))</f>
        <v>0</v>
      </c>
      <c r="L349" s="87">
        <f t="shared" si="35"/>
        <v>0</v>
      </c>
      <c r="P349">
        <f t="shared" si="38"/>
        <v>1.0000000000000001E-5</v>
      </c>
      <c r="R349" s="15">
        <f t="shared" si="39"/>
        <v>342</v>
      </c>
      <c r="S349" s="126">
        <f>IF(VLOOKUP(A349,Journal!$A$7:$E$70,5)=0,S348+1,VLOOKUP(A349,Journal!$A$7:$E$70,5))</f>
        <v>45999</v>
      </c>
      <c r="T349" s="125">
        <f>IF(H$2=VLOOKUP(A349,Journal!$A$7:$F$70,6),VLOOKUP(A349,Journal!$A$7:M$70,9),0)</f>
        <v>0</v>
      </c>
      <c r="U349" s="125">
        <f>IF(H$2=VLOOKUP(A349,Journal!$A$7:$G$70,7),VLOOKUP(A349,Journal!$A$7:M$70,9),0)</f>
        <v>0</v>
      </c>
      <c r="V349" s="125">
        <f t="shared" si="40"/>
        <v>40</v>
      </c>
      <c r="X349">
        <f t="shared" si="37"/>
        <v>0</v>
      </c>
      <c r="Y349" s="143">
        <f t="shared" si="36"/>
        <v>-991.07894736843525</v>
      </c>
    </row>
    <row r="350" spans="1:25" x14ac:dyDescent="0.25">
      <c r="A350">
        <f t="shared" si="41"/>
        <v>343</v>
      </c>
      <c r="B350" s="88" t="str">
        <f>IF(OR(B349="Total",B349=""),"",IF(VLOOKUP(A350,Journal!$B$7:$E$84,4)=0,"Total",VLOOKUP(A350,Journal!$B$7:$D$84,3)))</f>
        <v/>
      </c>
      <c r="C350" s="86" t="str">
        <f>IF(B350="","",VLOOKUP(A350,Journal!$B$7:$E$84,4))</f>
        <v/>
      </c>
      <c r="D350" s="114" t="str">
        <f>IF(B350="","",VLOOKUP(A350,Journal!$B$7:$J$84,9))</f>
        <v/>
      </c>
      <c r="E350" s="116"/>
      <c r="F350" s="116"/>
      <c r="G350" s="115"/>
      <c r="H350" s="84" t="str">
        <f>IF(B350="","",VLOOKUP(A350,Journal!$B$7:$L$84,11))</f>
        <v/>
      </c>
      <c r="I350" s="84" t="str">
        <f>IF(B350="","",VLOOKUP(A350,Journal!$B$7:$M$84,12))</f>
        <v/>
      </c>
      <c r="J350" s="105">
        <f>IF(B350="Total",SUM(J$8:J349)+0.0001,IF(OR(B350="",I$2=I350),0,VLOOKUP(A350,Journal!$B$7:M$84,8)))</f>
        <v>0</v>
      </c>
      <c r="K350" s="102">
        <f>IF(B350="Total",SUM(K$8:K349)+0.0001,IF(OR(B350="",J350&lt;&gt;0),0,VLOOKUP(A350,Journal!$B$7:M$84,8)))</f>
        <v>0</v>
      </c>
      <c r="L350" s="87">
        <f t="shared" si="35"/>
        <v>0</v>
      </c>
      <c r="P350">
        <f t="shared" si="38"/>
        <v>1.0000000000000001E-5</v>
      </c>
      <c r="R350" s="15">
        <f t="shared" si="39"/>
        <v>343</v>
      </c>
      <c r="S350" s="126">
        <f>IF(VLOOKUP(A350,Journal!$A$7:$E$70,5)=0,S349+1,VLOOKUP(A350,Journal!$A$7:$E$70,5))</f>
        <v>46000</v>
      </c>
      <c r="T350" s="125">
        <f>IF(H$2=VLOOKUP(A350,Journal!$A$7:$F$70,6),VLOOKUP(A350,Journal!$A$7:M$70,9),0)</f>
        <v>0</v>
      </c>
      <c r="U350" s="125">
        <f>IF(H$2=VLOOKUP(A350,Journal!$A$7:$G$70,7),VLOOKUP(A350,Journal!$A$7:M$70,9),0)</f>
        <v>0</v>
      </c>
      <c r="V350" s="125">
        <f t="shared" si="40"/>
        <v>40</v>
      </c>
      <c r="X350">
        <f t="shared" si="37"/>
        <v>0</v>
      </c>
      <c r="Y350" s="143">
        <f t="shared" si="36"/>
        <v>-991.05263157896161</v>
      </c>
    </row>
    <row r="351" spans="1:25" x14ac:dyDescent="0.25">
      <c r="A351">
        <f t="shared" si="41"/>
        <v>344</v>
      </c>
      <c r="B351" s="88" t="str">
        <f>IF(OR(B350="Total",B350=""),"",IF(VLOOKUP(A351,Journal!$B$7:$E$84,4)=0,"Total",VLOOKUP(A351,Journal!$B$7:$D$84,3)))</f>
        <v/>
      </c>
      <c r="C351" s="86" t="str">
        <f>IF(B351="","",VLOOKUP(A351,Journal!$B$7:$E$84,4))</f>
        <v/>
      </c>
      <c r="D351" s="114" t="str">
        <f>IF(B351="","",VLOOKUP(A351,Journal!$B$7:$J$84,9))</f>
        <v/>
      </c>
      <c r="E351" s="116"/>
      <c r="F351" s="116"/>
      <c r="G351" s="115"/>
      <c r="H351" s="84" t="str">
        <f>IF(B351="","",VLOOKUP(A351,Journal!$B$7:$L$84,11))</f>
        <v/>
      </c>
      <c r="I351" s="84" t="str">
        <f>IF(B351="","",VLOOKUP(A351,Journal!$B$7:$M$84,12))</f>
        <v/>
      </c>
      <c r="J351" s="105">
        <f>IF(B351="Total",SUM(J$8:J350)+0.0001,IF(OR(B351="",I$2=I351),0,VLOOKUP(A351,Journal!$B$7:M$84,8)))</f>
        <v>0</v>
      </c>
      <c r="K351" s="102">
        <f>IF(B351="Total",SUM(K$8:K350)+0.0001,IF(OR(B351="",J351&lt;&gt;0),0,VLOOKUP(A351,Journal!$B$7:M$84,8)))</f>
        <v>0</v>
      </c>
      <c r="L351" s="87">
        <f t="shared" si="35"/>
        <v>0</v>
      </c>
      <c r="P351">
        <f t="shared" si="38"/>
        <v>1.0000000000000001E-5</v>
      </c>
      <c r="R351" s="15">
        <f t="shared" si="39"/>
        <v>344</v>
      </c>
      <c r="S351" s="126">
        <f>IF(VLOOKUP(A351,Journal!$A$7:$E$70,5)=0,S350+1,VLOOKUP(A351,Journal!$A$7:$E$70,5))</f>
        <v>46001</v>
      </c>
      <c r="T351" s="125">
        <f>IF(H$2=VLOOKUP(A351,Journal!$A$7:$F$70,6),VLOOKUP(A351,Journal!$A$7:M$70,9),0)</f>
        <v>0</v>
      </c>
      <c r="U351" s="125">
        <f>IF(H$2=VLOOKUP(A351,Journal!$A$7:$G$70,7),VLOOKUP(A351,Journal!$A$7:M$70,9),0)</f>
        <v>0</v>
      </c>
      <c r="V351" s="125">
        <f t="shared" si="40"/>
        <v>40</v>
      </c>
      <c r="X351">
        <f t="shared" si="37"/>
        <v>0</v>
      </c>
      <c r="Y351" s="143">
        <f t="shared" si="36"/>
        <v>-991.02631578948797</v>
      </c>
    </row>
    <row r="352" spans="1:25" x14ac:dyDescent="0.25">
      <c r="A352">
        <f t="shared" si="41"/>
        <v>345</v>
      </c>
      <c r="B352" s="88" t="str">
        <f>IF(OR(B351="Total",B351=""),"",IF(VLOOKUP(A352,Journal!$B$7:$E$84,4)=0,"Total",VLOOKUP(A352,Journal!$B$7:$D$84,3)))</f>
        <v/>
      </c>
      <c r="C352" s="86" t="str">
        <f>IF(B352="","",VLOOKUP(A352,Journal!$B$7:$E$84,4))</f>
        <v/>
      </c>
      <c r="D352" s="114" t="str">
        <f>IF(B352="","",VLOOKUP(A352,Journal!$B$7:$J$84,9))</f>
        <v/>
      </c>
      <c r="E352" s="116"/>
      <c r="F352" s="116"/>
      <c r="G352" s="115"/>
      <c r="H352" s="84" t="str">
        <f>IF(B352="","",VLOOKUP(A352,Journal!$B$7:$L$84,11))</f>
        <v/>
      </c>
      <c r="I352" s="84" t="str">
        <f>IF(B352="","",VLOOKUP(A352,Journal!$B$7:$M$84,12))</f>
        <v/>
      </c>
      <c r="J352" s="105">
        <f>IF(B352="Total",SUM(J$8:J351)+0.0001,IF(OR(B352="",I$2=I352),0,VLOOKUP(A352,Journal!$B$7:M$84,8)))</f>
        <v>0</v>
      </c>
      <c r="K352" s="102">
        <f>IF(B352="Total",SUM(K$8:K351)+0.0001,IF(OR(B352="",J352&lt;&gt;0),0,VLOOKUP(A352,Journal!$B$7:M$84,8)))</f>
        <v>0</v>
      </c>
      <c r="L352" s="87">
        <f t="shared" si="35"/>
        <v>0</v>
      </c>
      <c r="P352">
        <f t="shared" si="38"/>
        <v>1.0000000000000001E-5</v>
      </c>
      <c r="R352" s="15">
        <f t="shared" si="39"/>
        <v>345</v>
      </c>
      <c r="S352" s="126">
        <f>IF(VLOOKUP(A352,Journal!$A$7:$E$70,5)=0,S351+1,VLOOKUP(A352,Journal!$A$7:$E$70,5))</f>
        <v>46002</v>
      </c>
      <c r="T352" s="125">
        <f>IF(H$2=VLOOKUP(A352,Journal!$A$7:$F$70,6),VLOOKUP(A352,Journal!$A$7:M$70,9),0)</f>
        <v>0</v>
      </c>
      <c r="U352" s="125">
        <f>IF(H$2=VLOOKUP(A352,Journal!$A$7:$G$70,7),VLOOKUP(A352,Journal!$A$7:M$70,9),0)</f>
        <v>0</v>
      </c>
      <c r="V352" s="125">
        <f t="shared" si="40"/>
        <v>40</v>
      </c>
      <c r="X352">
        <f t="shared" si="37"/>
        <v>0</v>
      </c>
      <c r="Y352" s="143">
        <f t="shared" si="36"/>
        <v>-991.00000000001432</v>
      </c>
    </row>
    <row r="353" spans="1:25" x14ac:dyDescent="0.25">
      <c r="A353">
        <f t="shared" si="41"/>
        <v>346</v>
      </c>
      <c r="B353" s="88" t="str">
        <f>IF(OR(B352="Total",B352=""),"",IF(VLOOKUP(A353,Journal!$B$7:$E$84,4)=0,"Total",VLOOKUP(A353,Journal!$B$7:$D$84,3)))</f>
        <v/>
      </c>
      <c r="C353" s="86" t="str">
        <f>IF(B353="","",VLOOKUP(A353,Journal!$B$7:$E$84,4))</f>
        <v/>
      </c>
      <c r="D353" s="114" t="str">
        <f>IF(B353="","",VLOOKUP(A353,Journal!$B$7:$J$84,9))</f>
        <v/>
      </c>
      <c r="E353" s="116"/>
      <c r="F353" s="116"/>
      <c r="G353" s="115"/>
      <c r="H353" s="84" t="str">
        <f>IF(B353="","",VLOOKUP(A353,Journal!$B$7:$L$84,11))</f>
        <v/>
      </c>
      <c r="I353" s="84" t="str">
        <f>IF(B353="","",VLOOKUP(A353,Journal!$B$7:$M$84,12))</f>
        <v/>
      </c>
      <c r="J353" s="105">
        <f>IF(B353="Total",SUM(J$8:J352)+0.0001,IF(OR(B353="",I$2=I353),0,VLOOKUP(A353,Journal!$B$7:M$84,8)))</f>
        <v>0</v>
      </c>
      <c r="K353" s="102">
        <f>IF(B353="Total",SUM(K$8:K352)+0.0001,IF(OR(B353="",J353&lt;&gt;0),0,VLOOKUP(A353,Journal!$B$7:M$84,8)))</f>
        <v>0</v>
      </c>
      <c r="L353" s="87">
        <f t="shared" si="35"/>
        <v>0</v>
      </c>
      <c r="P353">
        <f t="shared" si="38"/>
        <v>1.0000000000000001E-5</v>
      </c>
      <c r="R353" s="15">
        <f t="shared" si="39"/>
        <v>346</v>
      </c>
      <c r="S353" s="126">
        <f>IF(VLOOKUP(A353,Journal!$A$7:$E$70,5)=0,S352+1,VLOOKUP(A353,Journal!$A$7:$E$70,5))</f>
        <v>46003</v>
      </c>
      <c r="T353" s="125">
        <f>IF(H$2=VLOOKUP(A353,Journal!$A$7:$F$70,6),VLOOKUP(A353,Journal!$A$7:M$70,9),0)</f>
        <v>0</v>
      </c>
      <c r="U353" s="125">
        <f>IF(H$2=VLOOKUP(A353,Journal!$A$7:$G$70,7),VLOOKUP(A353,Journal!$A$7:M$70,9),0)</f>
        <v>0</v>
      </c>
      <c r="V353" s="125">
        <f t="shared" si="40"/>
        <v>40</v>
      </c>
      <c r="X353">
        <f t="shared" si="37"/>
        <v>0</v>
      </c>
      <c r="Y353" s="143">
        <f t="shared" si="36"/>
        <v>-990.97368421054068</v>
      </c>
    </row>
    <row r="354" spans="1:25" x14ac:dyDescent="0.25">
      <c r="A354">
        <f t="shared" si="41"/>
        <v>347</v>
      </c>
      <c r="B354" s="88" t="str">
        <f>IF(OR(B353="Total",B353=""),"",IF(VLOOKUP(A354,Journal!$B$7:$E$84,4)=0,"Total",VLOOKUP(A354,Journal!$B$7:$D$84,3)))</f>
        <v/>
      </c>
      <c r="C354" s="86" t="str">
        <f>IF(B354="","",VLOOKUP(A354,Journal!$B$7:$E$84,4))</f>
        <v/>
      </c>
      <c r="D354" s="114" t="str">
        <f>IF(B354="","",VLOOKUP(A354,Journal!$B$7:$J$84,9))</f>
        <v/>
      </c>
      <c r="E354" s="116"/>
      <c r="F354" s="116"/>
      <c r="G354" s="115"/>
      <c r="H354" s="84" t="str">
        <f>IF(B354="","",VLOOKUP(A354,Journal!$B$7:$L$84,11))</f>
        <v/>
      </c>
      <c r="I354" s="84" t="str">
        <f>IF(B354="","",VLOOKUP(A354,Journal!$B$7:$M$84,12))</f>
        <v/>
      </c>
      <c r="J354" s="105">
        <f>IF(B354="Total",SUM(J$8:J353)+0.0001,IF(OR(B354="",I$2=I354),0,VLOOKUP(A354,Journal!$B$7:M$84,8)))</f>
        <v>0</v>
      </c>
      <c r="K354" s="102">
        <f>IF(B354="Total",SUM(K$8:K353)+0.0001,IF(OR(B354="",J354&lt;&gt;0),0,VLOOKUP(A354,Journal!$B$7:M$84,8)))</f>
        <v>0</v>
      </c>
      <c r="L354" s="87">
        <f t="shared" si="35"/>
        <v>0</v>
      </c>
      <c r="P354">
        <f t="shared" si="38"/>
        <v>1.0000000000000001E-5</v>
      </c>
      <c r="R354" s="15">
        <f t="shared" si="39"/>
        <v>347</v>
      </c>
      <c r="S354" s="126">
        <f>IF(VLOOKUP(A354,Journal!$A$7:$E$70,5)=0,S353+1,VLOOKUP(A354,Journal!$A$7:$E$70,5))</f>
        <v>46004</v>
      </c>
      <c r="T354" s="125">
        <f>IF(H$2=VLOOKUP(A354,Journal!$A$7:$F$70,6),VLOOKUP(A354,Journal!$A$7:M$70,9),0)</f>
        <v>0</v>
      </c>
      <c r="U354" s="125">
        <f>IF(H$2=VLOOKUP(A354,Journal!$A$7:$G$70,7),VLOOKUP(A354,Journal!$A$7:M$70,9),0)</f>
        <v>0</v>
      </c>
      <c r="V354" s="125">
        <f t="shared" si="40"/>
        <v>40</v>
      </c>
      <c r="X354">
        <f t="shared" si="37"/>
        <v>0</v>
      </c>
      <c r="Y354" s="143">
        <f t="shared" si="36"/>
        <v>-990.94736842106704</v>
      </c>
    </row>
    <row r="355" spans="1:25" x14ac:dyDescent="0.25">
      <c r="A355">
        <f t="shared" si="41"/>
        <v>348</v>
      </c>
      <c r="B355" s="88" t="str">
        <f>IF(OR(B354="Total",B354=""),"",IF(VLOOKUP(A355,Journal!$B$7:$E$84,4)=0,"Total",VLOOKUP(A355,Journal!$B$7:$D$84,3)))</f>
        <v/>
      </c>
      <c r="C355" s="86" t="str">
        <f>IF(B355="","",VLOOKUP(A355,Journal!$B$7:$E$84,4))</f>
        <v/>
      </c>
      <c r="D355" s="114" t="str">
        <f>IF(B355="","",VLOOKUP(A355,Journal!$B$7:$J$84,9))</f>
        <v/>
      </c>
      <c r="E355" s="116"/>
      <c r="F355" s="116"/>
      <c r="G355" s="115"/>
      <c r="H355" s="84" t="str">
        <f>IF(B355="","",VLOOKUP(A355,Journal!$B$7:$L$84,11))</f>
        <v/>
      </c>
      <c r="I355" s="84" t="str">
        <f>IF(B355="","",VLOOKUP(A355,Journal!$B$7:$M$84,12))</f>
        <v/>
      </c>
      <c r="J355" s="105">
        <f>IF(B355="Total",SUM(J$8:J354)+0.0001,IF(OR(B355="",I$2=I355),0,VLOOKUP(A355,Journal!$B$7:M$84,8)))</f>
        <v>0</v>
      </c>
      <c r="K355" s="102">
        <f>IF(B355="Total",SUM(K$8:K354)+0.0001,IF(OR(B355="",J355&lt;&gt;0),0,VLOOKUP(A355,Journal!$B$7:M$84,8)))</f>
        <v>0</v>
      </c>
      <c r="L355" s="87">
        <f t="shared" si="35"/>
        <v>0</v>
      </c>
      <c r="P355">
        <f t="shared" si="38"/>
        <v>1.0000000000000001E-5</v>
      </c>
      <c r="R355" s="15">
        <f t="shared" si="39"/>
        <v>348</v>
      </c>
      <c r="S355" s="126">
        <f>IF(VLOOKUP(A355,Journal!$A$7:$E$70,5)=0,S354+1,VLOOKUP(A355,Journal!$A$7:$E$70,5))</f>
        <v>46005</v>
      </c>
      <c r="T355" s="125">
        <f>IF(H$2=VLOOKUP(A355,Journal!$A$7:$F$70,6),VLOOKUP(A355,Journal!$A$7:M$70,9),0)</f>
        <v>0</v>
      </c>
      <c r="U355" s="125">
        <f>IF(H$2=VLOOKUP(A355,Journal!$A$7:$G$70,7),VLOOKUP(A355,Journal!$A$7:M$70,9),0)</f>
        <v>0</v>
      </c>
      <c r="V355" s="125">
        <f t="shared" si="40"/>
        <v>40</v>
      </c>
      <c r="X355">
        <f t="shared" si="37"/>
        <v>0</v>
      </c>
      <c r="Y355" s="143">
        <f t="shared" si="36"/>
        <v>-990.9210526315934</v>
      </c>
    </row>
    <row r="356" spans="1:25" x14ac:dyDescent="0.25">
      <c r="A356">
        <f t="shared" si="41"/>
        <v>349</v>
      </c>
      <c r="B356" s="88" t="str">
        <f>IF(OR(B355="Total",B355=""),"",IF(VLOOKUP(A356,Journal!$B$7:$E$84,4)=0,"Total",VLOOKUP(A356,Journal!$B$7:$D$84,3)))</f>
        <v/>
      </c>
      <c r="C356" s="86" t="str">
        <f>IF(B356="","",VLOOKUP(A356,Journal!$B$7:$E$84,4))</f>
        <v/>
      </c>
      <c r="D356" s="114" t="str">
        <f>IF(B356="","",VLOOKUP(A356,Journal!$B$7:$J$84,9))</f>
        <v/>
      </c>
      <c r="E356" s="116"/>
      <c r="F356" s="116"/>
      <c r="G356" s="115"/>
      <c r="H356" s="84" t="str">
        <f>IF(B356="","",VLOOKUP(A356,Journal!$B$7:$L$84,11))</f>
        <v/>
      </c>
      <c r="I356" s="84" t="str">
        <f>IF(B356="","",VLOOKUP(A356,Journal!$B$7:$M$84,12))</f>
        <v/>
      </c>
      <c r="J356" s="105">
        <f>IF(B356="Total",SUM(J$8:J355)+0.0001,IF(OR(B356="",I$2=I356),0,VLOOKUP(A356,Journal!$B$7:M$84,8)))</f>
        <v>0</v>
      </c>
      <c r="K356" s="102">
        <f>IF(B356="Total",SUM(K$8:K355)+0.0001,IF(OR(B356="",J356&lt;&gt;0),0,VLOOKUP(A356,Journal!$B$7:M$84,8)))</f>
        <v>0</v>
      </c>
      <c r="L356" s="87">
        <f t="shared" si="35"/>
        <v>0</v>
      </c>
      <c r="P356">
        <f t="shared" si="38"/>
        <v>1.0000000000000001E-5</v>
      </c>
      <c r="R356" s="15">
        <f t="shared" si="39"/>
        <v>349</v>
      </c>
      <c r="S356" s="126">
        <f>IF(VLOOKUP(A356,Journal!$A$7:$E$70,5)=0,S355+1,VLOOKUP(A356,Journal!$A$7:$E$70,5))</f>
        <v>46006</v>
      </c>
      <c r="T356" s="125">
        <f>IF(H$2=VLOOKUP(A356,Journal!$A$7:$F$70,6),VLOOKUP(A356,Journal!$A$7:M$70,9),0)</f>
        <v>0</v>
      </c>
      <c r="U356" s="125">
        <f>IF(H$2=VLOOKUP(A356,Journal!$A$7:$G$70,7),VLOOKUP(A356,Journal!$A$7:M$70,9),0)</f>
        <v>0</v>
      </c>
      <c r="V356" s="125">
        <f t="shared" si="40"/>
        <v>40</v>
      </c>
      <c r="X356">
        <f t="shared" si="37"/>
        <v>0</v>
      </c>
      <c r="Y356" s="143">
        <f t="shared" si="36"/>
        <v>-990.89473684211976</v>
      </c>
    </row>
    <row r="357" spans="1:25" x14ac:dyDescent="0.25">
      <c r="A357">
        <f t="shared" si="41"/>
        <v>350</v>
      </c>
      <c r="B357" s="88" t="str">
        <f>IF(OR(B356="Total",B356=""),"",IF(VLOOKUP(A357,Journal!$B$7:$E$84,4)=0,"Total",VLOOKUP(A357,Journal!$B$7:$D$84,3)))</f>
        <v/>
      </c>
      <c r="C357" s="86" t="str">
        <f>IF(B357="","",VLOOKUP(A357,Journal!$B$7:$E$84,4))</f>
        <v/>
      </c>
      <c r="D357" s="114" t="str">
        <f>IF(B357="","",VLOOKUP(A357,Journal!$B$7:$J$84,9))</f>
        <v/>
      </c>
      <c r="E357" s="116"/>
      <c r="F357" s="116"/>
      <c r="G357" s="115"/>
      <c r="H357" s="84" t="str">
        <f>IF(B357="","",VLOOKUP(A357,Journal!$B$7:$L$84,11))</f>
        <v/>
      </c>
      <c r="I357" s="84" t="str">
        <f>IF(B357="","",VLOOKUP(A357,Journal!$B$7:$M$84,12))</f>
        <v/>
      </c>
      <c r="J357" s="105">
        <f>IF(B357="Total",SUM(J$8:J356)+0.0001,IF(OR(B357="",I$2=I357),0,VLOOKUP(A357,Journal!$B$7:M$84,8)))</f>
        <v>0</v>
      </c>
      <c r="K357" s="102">
        <f>IF(B357="Total",SUM(K$8:K356)+0.0001,IF(OR(B357="",J357&lt;&gt;0),0,VLOOKUP(A357,Journal!$B$7:M$84,8)))</f>
        <v>0</v>
      </c>
      <c r="L357" s="87">
        <f t="shared" si="35"/>
        <v>0</v>
      </c>
      <c r="P357">
        <f t="shared" si="38"/>
        <v>1.0000000000000001E-5</v>
      </c>
      <c r="R357" s="15">
        <f t="shared" si="39"/>
        <v>350</v>
      </c>
      <c r="S357" s="126">
        <f>IF(VLOOKUP(A357,Journal!$A$7:$E$70,5)=0,S356+1,VLOOKUP(A357,Journal!$A$7:$E$70,5))</f>
        <v>46007</v>
      </c>
      <c r="T357" s="125">
        <f>IF(H$2=VLOOKUP(A357,Journal!$A$7:$F$70,6),VLOOKUP(A357,Journal!$A$7:M$70,9),0)</f>
        <v>0</v>
      </c>
      <c r="U357" s="125">
        <f>IF(H$2=VLOOKUP(A357,Journal!$A$7:$G$70,7),VLOOKUP(A357,Journal!$A$7:M$70,9),0)</f>
        <v>0</v>
      </c>
      <c r="V357" s="125">
        <f t="shared" si="40"/>
        <v>40</v>
      </c>
      <c r="X357">
        <f t="shared" si="37"/>
        <v>0</v>
      </c>
      <c r="Y357" s="143">
        <f t="shared" si="36"/>
        <v>-990.86842105264611</v>
      </c>
    </row>
    <row r="358" spans="1:25" x14ac:dyDescent="0.25">
      <c r="A358">
        <f t="shared" si="41"/>
        <v>351</v>
      </c>
      <c r="B358" s="88" t="str">
        <f>IF(OR(B357="Total",B357=""),"",IF(VLOOKUP(A358,Journal!$B$7:$E$84,4)=0,"Total",VLOOKUP(A358,Journal!$B$7:$D$84,3)))</f>
        <v/>
      </c>
      <c r="C358" s="86" t="str">
        <f>IF(B358="","",VLOOKUP(A358,Journal!$B$7:$E$84,4))</f>
        <v/>
      </c>
      <c r="D358" s="114" t="str">
        <f>IF(B358="","",VLOOKUP(A358,Journal!$B$7:$J$84,9))</f>
        <v/>
      </c>
      <c r="E358" s="116"/>
      <c r="F358" s="116"/>
      <c r="G358" s="115"/>
      <c r="H358" s="84" t="str">
        <f>IF(B358="","",VLOOKUP(A358,Journal!$B$7:$L$84,11))</f>
        <v/>
      </c>
      <c r="I358" s="84" t="str">
        <f>IF(B358="","",VLOOKUP(A358,Journal!$B$7:$M$84,12))</f>
        <v/>
      </c>
      <c r="J358" s="105">
        <f>IF(B358="Total",SUM(J$8:J357)+0.0001,IF(OR(B358="",I$2=I358),0,VLOOKUP(A358,Journal!$B$7:M$84,8)))</f>
        <v>0</v>
      </c>
      <c r="K358" s="102">
        <f>IF(B358="Total",SUM(K$8:K357)+0.0001,IF(OR(B358="",J358&lt;&gt;0),0,VLOOKUP(A358,Journal!$B$7:M$84,8)))</f>
        <v>0</v>
      </c>
      <c r="L358" s="87">
        <f t="shared" si="35"/>
        <v>0</v>
      </c>
      <c r="P358">
        <f t="shared" si="38"/>
        <v>1.0000000000000001E-5</v>
      </c>
      <c r="R358" s="15">
        <f t="shared" si="39"/>
        <v>351</v>
      </c>
      <c r="S358" s="126">
        <f>IF(VLOOKUP(A358,Journal!$A$7:$E$70,5)=0,S357+1,VLOOKUP(A358,Journal!$A$7:$E$70,5))</f>
        <v>46008</v>
      </c>
      <c r="T358" s="125">
        <f>IF(H$2=VLOOKUP(A358,Journal!$A$7:$F$70,6),VLOOKUP(A358,Journal!$A$7:M$70,9),0)</f>
        <v>0</v>
      </c>
      <c r="U358" s="125">
        <f>IF(H$2=VLOOKUP(A358,Journal!$A$7:$G$70,7),VLOOKUP(A358,Journal!$A$7:M$70,9),0)</f>
        <v>0</v>
      </c>
      <c r="V358" s="125">
        <f t="shared" si="40"/>
        <v>40</v>
      </c>
      <c r="X358">
        <f t="shared" si="37"/>
        <v>0</v>
      </c>
      <c r="Y358" s="143">
        <f t="shared" si="36"/>
        <v>-990.84210526317247</v>
      </c>
    </row>
    <row r="359" spans="1:25" x14ac:dyDescent="0.25">
      <c r="A359">
        <f t="shared" si="41"/>
        <v>352</v>
      </c>
      <c r="B359" s="88" t="str">
        <f>IF(OR(B358="Total",B358=""),"",IF(VLOOKUP(A359,Journal!$B$7:$E$84,4)=0,"Total",VLOOKUP(A359,Journal!$B$7:$D$84,3)))</f>
        <v/>
      </c>
      <c r="C359" s="86" t="str">
        <f>IF(B359="","",VLOOKUP(A359,Journal!$B$7:$E$84,4))</f>
        <v/>
      </c>
      <c r="D359" s="114" t="str">
        <f>IF(B359="","",VLOOKUP(A359,Journal!$B$7:$J$84,9))</f>
        <v/>
      </c>
      <c r="E359" s="116"/>
      <c r="F359" s="116"/>
      <c r="G359" s="115"/>
      <c r="H359" s="84" t="str">
        <f>IF(B359="","",VLOOKUP(A359,Journal!$B$7:$L$84,11))</f>
        <v/>
      </c>
      <c r="I359" s="84" t="str">
        <f>IF(B359="","",VLOOKUP(A359,Journal!$B$7:$M$84,12))</f>
        <v/>
      </c>
      <c r="J359" s="105">
        <f>IF(B359="Total",SUM(J$8:J358)+0.0001,IF(OR(B359="",I$2=I359),0,VLOOKUP(A359,Journal!$B$7:M$84,8)))</f>
        <v>0</v>
      </c>
      <c r="K359" s="102">
        <f>IF(B359="Total",SUM(K$8:K358)+0.0001,IF(OR(B359="",J359&lt;&gt;0),0,VLOOKUP(A359,Journal!$B$7:M$84,8)))</f>
        <v>0</v>
      </c>
      <c r="L359" s="87">
        <f t="shared" si="35"/>
        <v>0</v>
      </c>
      <c r="P359">
        <f t="shared" si="38"/>
        <v>1.0000000000000001E-5</v>
      </c>
      <c r="R359" s="15">
        <f t="shared" si="39"/>
        <v>352</v>
      </c>
      <c r="S359" s="126">
        <f>IF(VLOOKUP(A359,Journal!$A$7:$E$70,5)=0,S358+1,VLOOKUP(A359,Journal!$A$7:$E$70,5))</f>
        <v>46009</v>
      </c>
      <c r="T359" s="125">
        <f>IF(H$2=VLOOKUP(A359,Journal!$A$7:$F$70,6),VLOOKUP(A359,Journal!$A$7:M$70,9),0)</f>
        <v>0</v>
      </c>
      <c r="U359" s="125">
        <f>IF(H$2=VLOOKUP(A359,Journal!$A$7:$G$70,7),VLOOKUP(A359,Journal!$A$7:M$70,9),0)</f>
        <v>0</v>
      </c>
      <c r="V359" s="125">
        <f t="shared" si="40"/>
        <v>40</v>
      </c>
      <c r="X359">
        <f t="shared" si="37"/>
        <v>0</v>
      </c>
      <c r="Y359" s="143">
        <f t="shared" si="36"/>
        <v>-990.81578947369883</v>
      </c>
    </row>
    <row r="360" spans="1:25" x14ac:dyDescent="0.25">
      <c r="A360">
        <f t="shared" si="41"/>
        <v>353</v>
      </c>
      <c r="B360" s="88" t="str">
        <f>IF(OR(B359="Total",B359=""),"",IF(VLOOKUP(A360,Journal!$B$7:$E$84,4)=0,"Total",VLOOKUP(A360,Journal!$B$7:$D$84,3)))</f>
        <v/>
      </c>
      <c r="C360" s="86" t="str">
        <f>IF(B360="","",VLOOKUP(A360,Journal!$B$7:$E$84,4))</f>
        <v/>
      </c>
      <c r="D360" s="114" t="str">
        <f>IF(B360="","",VLOOKUP(A360,Journal!$B$7:$J$84,9))</f>
        <v/>
      </c>
      <c r="E360" s="116"/>
      <c r="F360" s="116"/>
      <c r="G360" s="115"/>
      <c r="H360" s="84" t="str">
        <f>IF(B360="","",VLOOKUP(A360,Journal!$B$7:$L$84,11))</f>
        <v/>
      </c>
      <c r="I360" s="84" t="str">
        <f>IF(B360="","",VLOOKUP(A360,Journal!$B$7:$M$84,12))</f>
        <v/>
      </c>
      <c r="J360" s="105">
        <f>IF(B360="Total",SUM(J$8:J359)+0.0001,IF(OR(B360="",I$2=I360),0,VLOOKUP(A360,Journal!$B$7:M$84,8)))</f>
        <v>0</v>
      </c>
      <c r="K360" s="102">
        <f>IF(B360="Total",SUM(K$8:K359)+0.0001,IF(OR(B360="",J360&lt;&gt;0),0,VLOOKUP(A360,Journal!$B$7:M$84,8)))</f>
        <v>0</v>
      </c>
      <c r="L360" s="87">
        <f t="shared" si="35"/>
        <v>0</v>
      </c>
      <c r="P360">
        <f t="shared" si="38"/>
        <v>1.0000000000000001E-5</v>
      </c>
      <c r="R360" s="15">
        <f t="shared" si="39"/>
        <v>353</v>
      </c>
      <c r="S360" s="126">
        <f>IF(VLOOKUP(A360,Journal!$A$7:$E$70,5)=0,S359+1,VLOOKUP(A360,Journal!$A$7:$E$70,5))</f>
        <v>46010</v>
      </c>
      <c r="T360" s="125">
        <f>IF(H$2=VLOOKUP(A360,Journal!$A$7:$F$70,6),VLOOKUP(A360,Journal!$A$7:M$70,9),0)</f>
        <v>0</v>
      </c>
      <c r="U360" s="125">
        <f>IF(H$2=VLOOKUP(A360,Journal!$A$7:$G$70,7),VLOOKUP(A360,Journal!$A$7:M$70,9),0)</f>
        <v>0</v>
      </c>
      <c r="V360" s="125">
        <f t="shared" si="40"/>
        <v>40</v>
      </c>
      <c r="X360">
        <f t="shared" si="37"/>
        <v>0</v>
      </c>
      <c r="Y360" s="143">
        <f t="shared" si="36"/>
        <v>-990.78947368422519</v>
      </c>
    </row>
    <row r="361" spans="1:25" x14ac:dyDescent="0.25">
      <c r="A361">
        <f t="shared" si="41"/>
        <v>354</v>
      </c>
      <c r="B361" s="88" t="str">
        <f>IF(OR(B360="Total",B360=""),"",IF(VLOOKUP(A361,Journal!$B$7:$E$84,4)=0,"Total",VLOOKUP(A361,Journal!$B$7:$D$84,3)))</f>
        <v/>
      </c>
      <c r="C361" s="86" t="str">
        <f>IF(B361="","",VLOOKUP(A361,Journal!$B$7:$E$84,4))</f>
        <v/>
      </c>
      <c r="D361" s="114" t="str">
        <f>IF(B361="","",VLOOKUP(A361,Journal!$B$7:$J$84,9))</f>
        <v/>
      </c>
      <c r="E361" s="116"/>
      <c r="F361" s="116"/>
      <c r="G361" s="115"/>
      <c r="H361" s="84" t="str">
        <f>IF(B361="","",VLOOKUP(A361,Journal!$B$7:$L$84,11))</f>
        <v/>
      </c>
      <c r="I361" s="84" t="str">
        <f>IF(B361="","",VLOOKUP(A361,Journal!$B$7:$M$84,12))</f>
        <v/>
      </c>
      <c r="J361" s="105">
        <f>IF(B361="Total",SUM(J$8:J360)+0.0001,IF(OR(B361="",I$2=I361),0,VLOOKUP(A361,Journal!$B$7:M$84,8)))</f>
        <v>0</v>
      </c>
      <c r="K361" s="102">
        <f>IF(B361="Total",SUM(K$8:K360)+0.0001,IF(OR(B361="",J361&lt;&gt;0),0,VLOOKUP(A361,Journal!$B$7:M$84,8)))</f>
        <v>0</v>
      </c>
      <c r="L361" s="87">
        <f t="shared" si="35"/>
        <v>0</v>
      </c>
      <c r="P361">
        <f t="shared" si="38"/>
        <v>1.0000000000000001E-5</v>
      </c>
      <c r="R361" s="15">
        <f t="shared" si="39"/>
        <v>354</v>
      </c>
      <c r="S361" s="126">
        <f>IF(VLOOKUP(A361,Journal!$A$7:$E$70,5)=0,S360+1,VLOOKUP(A361,Journal!$A$7:$E$70,5))</f>
        <v>46011</v>
      </c>
      <c r="T361" s="125">
        <f>IF(H$2=VLOOKUP(A361,Journal!$A$7:$F$70,6),VLOOKUP(A361,Journal!$A$7:M$70,9),0)</f>
        <v>0</v>
      </c>
      <c r="U361" s="125">
        <f>IF(H$2=VLOOKUP(A361,Journal!$A$7:$G$70,7),VLOOKUP(A361,Journal!$A$7:M$70,9),0)</f>
        <v>0</v>
      </c>
      <c r="V361" s="125">
        <f t="shared" si="40"/>
        <v>40</v>
      </c>
      <c r="X361">
        <f t="shared" si="37"/>
        <v>0</v>
      </c>
      <c r="Y361" s="143">
        <f t="shared" si="36"/>
        <v>-990.76315789475154</v>
      </c>
    </row>
    <row r="362" spans="1:25" x14ac:dyDescent="0.25">
      <c r="A362">
        <f t="shared" si="41"/>
        <v>355</v>
      </c>
      <c r="B362" s="88" t="str">
        <f>IF(OR(B361="Total",B361=""),"",IF(VLOOKUP(A362,Journal!$B$7:$E$84,4)=0,"Total",VLOOKUP(A362,Journal!$B$7:$D$84,3)))</f>
        <v/>
      </c>
      <c r="C362" s="86" t="str">
        <f>IF(B362="","",VLOOKUP(A362,Journal!$B$7:$E$84,4))</f>
        <v/>
      </c>
      <c r="D362" s="114" t="str">
        <f>IF(B362="","",VLOOKUP(A362,Journal!$B$7:$J$84,9))</f>
        <v/>
      </c>
      <c r="E362" s="116"/>
      <c r="F362" s="116"/>
      <c r="G362" s="115"/>
      <c r="H362" s="84" t="str">
        <f>IF(B362="","",VLOOKUP(A362,Journal!$B$7:$L$84,11))</f>
        <v/>
      </c>
      <c r="I362" s="84" t="str">
        <f>IF(B362="","",VLOOKUP(A362,Journal!$B$7:$M$84,12))</f>
        <v/>
      </c>
      <c r="J362" s="105">
        <f>IF(B362="Total",SUM(J$8:J361)+0.0001,IF(OR(B362="",I$2=I362),0,VLOOKUP(A362,Journal!$B$7:M$84,8)))</f>
        <v>0</v>
      </c>
      <c r="K362" s="102">
        <f>IF(B362="Total",SUM(K$8:K361)+0.0001,IF(OR(B362="",J362&lt;&gt;0),0,VLOOKUP(A362,Journal!$B$7:M$84,8)))</f>
        <v>0</v>
      </c>
      <c r="L362" s="87">
        <f t="shared" si="35"/>
        <v>0</v>
      </c>
      <c r="P362">
        <f t="shared" si="38"/>
        <v>1.0000000000000001E-5</v>
      </c>
      <c r="R362" s="15">
        <f t="shared" si="39"/>
        <v>355</v>
      </c>
      <c r="S362" s="126">
        <f>IF(VLOOKUP(A362,Journal!$A$7:$E$70,5)=0,S361+1,VLOOKUP(A362,Journal!$A$7:$E$70,5))</f>
        <v>46012</v>
      </c>
      <c r="T362" s="125">
        <f>IF(H$2=VLOOKUP(A362,Journal!$A$7:$F$70,6),VLOOKUP(A362,Journal!$A$7:M$70,9),0)</f>
        <v>0</v>
      </c>
      <c r="U362" s="125">
        <f>IF(H$2=VLOOKUP(A362,Journal!$A$7:$G$70,7),VLOOKUP(A362,Journal!$A$7:M$70,9),0)</f>
        <v>0</v>
      </c>
      <c r="V362" s="125">
        <f t="shared" si="40"/>
        <v>40</v>
      </c>
      <c r="X362">
        <f t="shared" si="37"/>
        <v>0</v>
      </c>
      <c r="Y362" s="143">
        <f t="shared" si="36"/>
        <v>-990.7368421052779</v>
      </c>
    </row>
    <row r="363" spans="1:25" x14ac:dyDescent="0.25">
      <c r="A363">
        <f t="shared" si="41"/>
        <v>356</v>
      </c>
      <c r="B363" s="88" t="str">
        <f>IF(OR(B362="Total",B362=""),"",IF(VLOOKUP(A363,Journal!$B$7:$E$84,4)=0,"Total",VLOOKUP(A363,Journal!$B$7:$D$84,3)))</f>
        <v/>
      </c>
      <c r="C363" s="86" t="str">
        <f>IF(B363="","",VLOOKUP(A363,Journal!$B$7:$E$84,4))</f>
        <v/>
      </c>
      <c r="D363" s="114" t="str">
        <f>IF(B363="","",VLOOKUP(A363,Journal!$B$7:$J$84,9))</f>
        <v/>
      </c>
      <c r="E363" s="116"/>
      <c r="F363" s="116"/>
      <c r="G363" s="115"/>
      <c r="H363" s="84" t="str">
        <f>IF(B363="","",VLOOKUP(A363,Journal!$B$7:$L$84,11))</f>
        <v/>
      </c>
      <c r="I363" s="84" t="str">
        <f>IF(B363="","",VLOOKUP(A363,Journal!$B$7:$M$84,12))</f>
        <v/>
      </c>
      <c r="J363" s="105">
        <f>IF(B363="Total",SUM(J$8:J362)+0.0001,IF(OR(B363="",I$2=I363),0,VLOOKUP(A363,Journal!$B$7:M$84,8)))</f>
        <v>0</v>
      </c>
      <c r="K363" s="102">
        <f>IF(B363="Total",SUM(K$8:K362)+0.0001,IF(OR(B363="",J363&lt;&gt;0),0,VLOOKUP(A363,Journal!$B$7:M$84,8)))</f>
        <v>0</v>
      </c>
      <c r="L363" s="87">
        <f t="shared" si="35"/>
        <v>0</v>
      </c>
      <c r="P363">
        <f t="shared" si="38"/>
        <v>1.0000000000000001E-5</v>
      </c>
      <c r="R363" s="15">
        <f t="shared" si="39"/>
        <v>356</v>
      </c>
      <c r="S363" s="126">
        <f>IF(VLOOKUP(A363,Journal!$A$7:$E$70,5)=0,S362+1,VLOOKUP(A363,Journal!$A$7:$E$70,5))</f>
        <v>46013</v>
      </c>
      <c r="T363" s="125">
        <f>IF(H$2=VLOOKUP(A363,Journal!$A$7:$F$70,6),VLOOKUP(A363,Journal!$A$7:M$70,9),0)</f>
        <v>0</v>
      </c>
      <c r="U363" s="125">
        <f>IF(H$2=VLOOKUP(A363,Journal!$A$7:$G$70,7),VLOOKUP(A363,Journal!$A$7:M$70,9),0)</f>
        <v>0</v>
      </c>
      <c r="V363" s="125">
        <f t="shared" si="40"/>
        <v>40</v>
      </c>
      <c r="X363">
        <f t="shared" si="37"/>
        <v>0</v>
      </c>
      <c r="Y363" s="143">
        <f t="shared" si="36"/>
        <v>-990.71052631580426</v>
      </c>
    </row>
    <row r="364" spans="1:25" x14ac:dyDescent="0.25">
      <c r="A364">
        <f t="shared" si="41"/>
        <v>357</v>
      </c>
      <c r="B364" s="88" t="str">
        <f>IF(OR(B363="Total",B363=""),"",IF(VLOOKUP(A364,Journal!$B$7:$E$84,4)=0,"Total",VLOOKUP(A364,Journal!$B$7:$D$84,3)))</f>
        <v/>
      </c>
      <c r="C364" s="86" t="str">
        <f>IF(B364="","",VLOOKUP(A364,Journal!$B$7:$E$84,4))</f>
        <v/>
      </c>
      <c r="D364" s="114" t="str">
        <f>IF(B364="","",VLOOKUP(A364,Journal!$B$7:$J$84,9))</f>
        <v/>
      </c>
      <c r="E364" s="116"/>
      <c r="F364" s="116"/>
      <c r="G364" s="115"/>
      <c r="H364" s="84" t="str">
        <f>IF(B364="","",VLOOKUP(A364,Journal!$B$7:$L$84,11))</f>
        <v/>
      </c>
      <c r="I364" s="84" t="str">
        <f>IF(B364="","",VLOOKUP(A364,Journal!$B$7:$M$84,12))</f>
        <v/>
      </c>
      <c r="J364" s="105">
        <f>IF(B364="Total",SUM(J$8:J363)+0.0001,IF(OR(B364="",I$2=I364),0,VLOOKUP(A364,Journal!$B$7:M$84,8)))</f>
        <v>0</v>
      </c>
      <c r="K364" s="102">
        <f>IF(B364="Total",SUM(K$8:K363)+0.0001,IF(OR(B364="",J364&lt;&gt;0),0,VLOOKUP(A364,Journal!$B$7:M$84,8)))</f>
        <v>0</v>
      </c>
      <c r="L364" s="87">
        <f t="shared" si="35"/>
        <v>0</v>
      </c>
      <c r="P364">
        <f t="shared" si="38"/>
        <v>1.0000000000000001E-5</v>
      </c>
      <c r="R364" s="15">
        <f t="shared" si="39"/>
        <v>357</v>
      </c>
      <c r="S364" s="126">
        <f>IF(VLOOKUP(A364,Journal!$A$7:$E$70,5)=0,S363+1,VLOOKUP(A364,Journal!$A$7:$E$70,5))</f>
        <v>46014</v>
      </c>
      <c r="T364" s="125">
        <f>IF(H$2=VLOOKUP(A364,Journal!$A$7:$F$70,6),VLOOKUP(A364,Journal!$A$7:M$70,9),0)</f>
        <v>0</v>
      </c>
      <c r="U364" s="125">
        <f>IF(H$2=VLOOKUP(A364,Journal!$A$7:$G$70,7),VLOOKUP(A364,Journal!$A$7:M$70,9),0)</f>
        <v>0</v>
      </c>
      <c r="V364" s="125">
        <f t="shared" si="40"/>
        <v>40</v>
      </c>
      <c r="X364">
        <f t="shared" si="37"/>
        <v>0</v>
      </c>
      <c r="Y364" s="143">
        <f t="shared" si="36"/>
        <v>-990.68421052633062</v>
      </c>
    </row>
    <row r="365" spans="1:25" x14ac:dyDescent="0.25">
      <c r="A365">
        <f t="shared" si="41"/>
        <v>358</v>
      </c>
      <c r="B365" s="88" t="str">
        <f>IF(OR(B364="Total",B364=""),"",IF(VLOOKUP(A365,Journal!$B$7:$E$84,4)=0,"Total",VLOOKUP(A365,Journal!$B$7:$D$84,3)))</f>
        <v/>
      </c>
      <c r="C365" s="86" t="str">
        <f>IF(B365="","",VLOOKUP(A365,Journal!$B$7:$E$84,4))</f>
        <v/>
      </c>
      <c r="D365" s="114" t="str">
        <f>IF(B365="","",VLOOKUP(A365,Journal!$B$7:$J$84,9))</f>
        <v/>
      </c>
      <c r="E365" s="116"/>
      <c r="F365" s="116"/>
      <c r="G365" s="115"/>
      <c r="H365" s="84" t="str">
        <f>IF(B365="","",VLOOKUP(A365,Journal!$B$7:$L$84,11))</f>
        <v/>
      </c>
      <c r="I365" s="84" t="str">
        <f>IF(B365="","",VLOOKUP(A365,Journal!$B$7:$M$84,12))</f>
        <v/>
      </c>
      <c r="J365" s="105">
        <f>IF(B365="Total",SUM(J$8:J364)+0.0001,IF(OR(B365="",I$2=I365),0,VLOOKUP(A365,Journal!$B$7:M$84,8)))</f>
        <v>0</v>
      </c>
      <c r="K365" s="102">
        <f>IF(B365="Total",SUM(K$8:K364)+0.0001,IF(OR(B365="",J365&lt;&gt;0),0,VLOOKUP(A365,Journal!$B$7:M$84,8)))</f>
        <v>0</v>
      </c>
      <c r="L365" s="87">
        <f t="shared" si="35"/>
        <v>0</v>
      </c>
      <c r="P365">
        <f t="shared" si="38"/>
        <v>1.0000000000000001E-5</v>
      </c>
      <c r="R365" s="15">
        <f t="shared" si="39"/>
        <v>358</v>
      </c>
      <c r="S365" s="126">
        <f>IF(VLOOKUP(A365,Journal!$A$7:$E$70,5)=0,S364+1,VLOOKUP(A365,Journal!$A$7:$E$70,5))</f>
        <v>46015</v>
      </c>
      <c r="T365" s="125">
        <f>IF(H$2=VLOOKUP(A365,Journal!$A$7:$F$70,6),VLOOKUP(A365,Journal!$A$7:M$70,9),0)</f>
        <v>0</v>
      </c>
      <c r="U365" s="125">
        <f>IF(H$2=VLOOKUP(A365,Journal!$A$7:$G$70,7),VLOOKUP(A365,Journal!$A$7:M$70,9),0)</f>
        <v>0</v>
      </c>
      <c r="V365" s="125">
        <f t="shared" si="40"/>
        <v>40</v>
      </c>
      <c r="X365">
        <f t="shared" si="37"/>
        <v>0</v>
      </c>
      <c r="Y365" s="143">
        <f t="shared" si="36"/>
        <v>-990.65789473685697</v>
      </c>
    </row>
    <row r="366" spans="1:25" x14ac:dyDescent="0.25">
      <c r="A366">
        <f t="shared" si="41"/>
        <v>359</v>
      </c>
      <c r="B366" s="88" t="str">
        <f>IF(OR(B365="Total",B365=""),"",IF(VLOOKUP(A366,Journal!$B$7:$E$84,4)=0,"Total",VLOOKUP(A366,Journal!$B$7:$D$84,3)))</f>
        <v/>
      </c>
      <c r="C366" s="86" t="str">
        <f>IF(B366="","",VLOOKUP(A366,Journal!$B$7:$E$84,4))</f>
        <v/>
      </c>
      <c r="D366" s="114" t="str">
        <f>IF(B366="","",VLOOKUP(A366,Journal!$B$7:$J$84,9))</f>
        <v/>
      </c>
      <c r="E366" s="116"/>
      <c r="F366" s="116"/>
      <c r="G366" s="115"/>
      <c r="H366" s="84" t="str">
        <f>IF(B366="","",VLOOKUP(A366,Journal!$B$7:$L$84,11))</f>
        <v/>
      </c>
      <c r="I366" s="84" t="str">
        <f>IF(B366="","",VLOOKUP(A366,Journal!$B$7:$M$84,12))</f>
        <v/>
      </c>
      <c r="J366" s="105">
        <f>IF(B366="Total",SUM(J$8:J365)+0.0001,IF(OR(B366="",I$2=I366),0,VLOOKUP(A366,Journal!$B$7:M$84,8)))</f>
        <v>0</v>
      </c>
      <c r="K366" s="102">
        <f>IF(B366="Total",SUM(K$8:K365)+0.0001,IF(OR(B366="",J366&lt;&gt;0),0,VLOOKUP(A366,Journal!$B$7:M$84,8)))</f>
        <v>0</v>
      </c>
      <c r="L366" s="87">
        <f t="shared" si="35"/>
        <v>0</v>
      </c>
      <c r="P366">
        <f t="shared" si="38"/>
        <v>1.0000000000000001E-5</v>
      </c>
      <c r="R366" s="15">
        <f t="shared" si="39"/>
        <v>359</v>
      </c>
      <c r="S366" s="126">
        <f>IF(VLOOKUP(A366,Journal!$A$7:$E$70,5)=0,S365+1,VLOOKUP(A366,Journal!$A$7:$E$70,5))</f>
        <v>46016</v>
      </c>
      <c r="T366" s="125">
        <f>IF(H$2=VLOOKUP(A366,Journal!$A$7:$F$70,6),VLOOKUP(A366,Journal!$A$7:M$70,9),0)</f>
        <v>0</v>
      </c>
      <c r="U366" s="125">
        <f>IF(H$2=VLOOKUP(A366,Journal!$A$7:$G$70,7),VLOOKUP(A366,Journal!$A$7:M$70,9),0)</f>
        <v>0</v>
      </c>
      <c r="V366" s="125">
        <f t="shared" si="40"/>
        <v>40</v>
      </c>
      <c r="X366">
        <f t="shared" si="37"/>
        <v>0</v>
      </c>
      <c r="Y366" s="143">
        <f t="shared" si="36"/>
        <v>-990.63157894738333</v>
      </c>
    </row>
    <row r="367" spans="1:25" x14ac:dyDescent="0.25">
      <c r="A367">
        <f t="shared" si="41"/>
        <v>360</v>
      </c>
      <c r="B367" s="88" t="str">
        <f>IF(OR(B366="Total",B366=""),"",IF(VLOOKUP(A367,Journal!$B$7:$E$84,4)=0,"Total",VLOOKUP(A367,Journal!$B$7:$D$84,3)))</f>
        <v/>
      </c>
      <c r="C367" s="86" t="str">
        <f>IF(B367="","",VLOOKUP(A367,Journal!$B$7:$E$84,4))</f>
        <v/>
      </c>
      <c r="D367" s="114" t="str">
        <f>IF(B367="","",VLOOKUP(A367,Journal!$B$7:$J$84,9))</f>
        <v/>
      </c>
      <c r="E367" s="116"/>
      <c r="F367" s="116"/>
      <c r="G367" s="115"/>
      <c r="H367" s="84" t="str">
        <f>IF(B367="","",VLOOKUP(A367,Journal!$B$7:$L$84,11))</f>
        <v/>
      </c>
      <c r="I367" s="84" t="str">
        <f>IF(B367="","",VLOOKUP(A367,Journal!$B$7:$M$84,12))</f>
        <v/>
      </c>
      <c r="J367" s="105">
        <f>IF(B367="Total",SUM(J$8:J366)+0.0001,IF(OR(B367="",I$2=I367),0,VLOOKUP(A367,Journal!$B$7:M$84,8)))</f>
        <v>0</v>
      </c>
      <c r="K367" s="102">
        <f>IF(B367="Total",SUM(K$8:K366)+0.0001,IF(OR(B367="",J367&lt;&gt;0),0,VLOOKUP(A367,Journal!$B$7:M$84,8)))</f>
        <v>0</v>
      </c>
      <c r="L367" s="87">
        <f t="shared" si="35"/>
        <v>0</v>
      </c>
      <c r="P367">
        <f t="shared" si="38"/>
        <v>1.0000000000000001E-5</v>
      </c>
      <c r="R367" s="15">
        <f t="shared" si="39"/>
        <v>360</v>
      </c>
      <c r="S367" s="126">
        <f>IF(VLOOKUP(A367,Journal!$A$7:$E$70,5)=0,S366+1,VLOOKUP(A367,Journal!$A$7:$E$70,5))</f>
        <v>46017</v>
      </c>
      <c r="T367" s="125">
        <f>IF(H$2=VLOOKUP(A367,Journal!$A$7:$F$70,6),VLOOKUP(A367,Journal!$A$7:M$70,9),0)</f>
        <v>0</v>
      </c>
      <c r="U367" s="125">
        <f>IF(H$2=VLOOKUP(A367,Journal!$A$7:$G$70,7),VLOOKUP(A367,Journal!$A$7:M$70,9),0)</f>
        <v>0</v>
      </c>
      <c r="V367" s="125">
        <f t="shared" si="40"/>
        <v>40</v>
      </c>
      <c r="X367">
        <f t="shared" si="37"/>
        <v>0</v>
      </c>
      <c r="Y367" s="143">
        <f t="shared" si="36"/>
        <v>-990.60526315790969</v>
      </c>
    </row>
    <row r="368" spans="1:25" x14ac:dyDescent="0.25">
      <c r="A368">
        <f t="shared" si="41"/>
        <v>361</v>
      </c>
      <c r="B368" s="88" t="str">
        <f>IF(OR(B367="Total",B367=""),"",IF(VLOOKUP(A368,Journal!$B$7:$E$84,4)=0,"Total",VLOOKUP(A368,Journal!$B$7:$D$84,3)))</f>
        <v/>
      </c>
      <c r="C368" s="86" t="str">
        <f>IF(B368="","",VLOOKUP(A368,Journal!$B$7:$E$84,4))</f>
        <v/>
      </c>
      <c r="D368" s="114" t="str">
        <f>IF(B368="","",VLOOKUP(A368,Journal!$B$7:$J$84,9))</f>
        <v/>
      </c>
      <c r="E368" s="116"/>
      <c r="F368" s="116"/>
      <c r="G368" s="115"/>
      <c r="H368" s="84" t="str">
        <f>IF(B368="","",VLOOKUP(A368,Journal!$B$7:$L$84,11))</f>
        <v/>
      </c>
      <c r="I368" s="84" t="str">
        <f>IF(B368="","",VLOOKUP(A368,Journal!$B$7:$M$84,12))</f>
        <v/>
      </c>
      <c r="J368" s="105">
        <f>IF(B368="Total",SUM(J$8:J367)+0.0001,IF(OR(B368="",I$2=I368),0,VLOOKUP(A368,Journal!$B$7:M$84,8)))</f>
        <v>0</v>
      </c>
      <c r="K368" s="102">
        <f>IF(B368="Total",SUM(K$8:K367)+0.0001,IF(OR(B368="",J368&lt;&gt;0),0,VLOOKUP(A368,Journal!$B$7:M$84,8)))</f>
        <v>0</v>
      </c>
      <c r="L368" s="87">
        <f t="shared" si="35"/>
        <v>0</v>
      </c>
      <c r="P368">
        <f t="shared" si="38"/>
        <v>1.0000000000000001E-5</v>
      </c>
      <c r="R368" s="15">
        <f t="shared" si="39"/>
        <v>361</v>
      </c>
      <c r="S368" s="126">
        <f>IF(VLOOKUP(A368,Journal!$A$7:$E$70,5)=0,S367+1,VLOOKUP(A368,Journal!$A$7:$E$70,5))</f>
        <v>46018</v>
      </c>
      <c r="T368" s="125">
        <f>IF(H$2=VLOOKUP(A368,Journal!$A$7:$F$70,6),VLOOKUP(A368,Journal!$A$7:M$70,9),0)</f>
        <v>0</v>
      </c>
      <c r="U368" s="125">
        <f>IF(H$2=VLOOKUP(A368,Journal!$A$7:$G$70,7),VLOOKUP(A368,Journal!$A$7:M$70,9),0)</f>
        <v>0</v>
      </c>
      <c r="V368" s="125">
        <f t="shared" si="40"/>
        <v>40</v>
      </c>
      <c r="X368">
        <f t="shared" si="37"/>
        <v>0</v>
      </c>
      <c r="Y368" s="143">
        <f t="shared" si="36"/>
        <v>-990.57894736843605</v>
      </c>
    </row>
    <row r="369" spans="1:25" x14ac:dyDescent="0.25">
      <c r="A369">
        <f t="shared" si="41"/>
        <v>362</v>
      </c>
      <c r="B369" s="88" t="str">
        <f>IF(OR(B368="Total",B368=""),"",IF(VLOOKUP(A369,Journal!$B$7:$E$84,4)=0,"Total",VLOOKUP(A369,Journal!$B$7:$D$84,3)))</f>
        <v/>
      </c>
      <c r="C369" s="86" t="str">
        <f>IF(B369="","",VLOOKUP(A369,Journal!$B$7:$E$84,4))</f>
        <v/>
      </c>
      <c r="D369" s="114" t="str">
        <f>IF(B369="","",VLOOKUP(A369,Journal!$B$7:$J$84,9))</f>
        <v/>
      </c>
      <c r="E369" s="116"/>
      <c r="F369" s="116"/>
      <c r="G369" s="115"/>
      <c r="H369" s="84" t="str">
        <f>IF(B369="","",VLOOKUP(A369,Journal!$B$7:$L$84,11))</f>
        <v/>
      </c>
      <c r="I369" s="84" t="str">
        <f>IF(B369="","",VLOOKUP(A369,Journal!$B$7:$M$84,12))</f>
        <v/>
      </c>
      <c r="J369" s="105">
        <f>IF(B369="Total",SUM(J$8:J368)+0.0001,IF(OR(B369="",I$2=I369),0,VLOOKUP(A369,Journal!$B$7:M$84,8)))</f>
        <v>0</v>
      </c>
      <c r="K369" s="102">
        <f>IF(B369="Total",SUM(K$8:K368)+0.0001,IF(OR(B369="",J369&lt;&gt;0),0,VLOOKUP(A369,Journal!$B$7:M$84,8)))</f>
        <v>0</v>
      </c>
      <c r="L369" s="87">
        <f t="shared" si="35"/>
        <v>0</v>
      </c>
      <c r="P369">
        <f t="shared" si="38"/>
        <v>1.0000000000000001E-5</v>
      </c>
      <c r="R369" s="15">
        <f t="shared" si="39"/>
        <v>362</v>
      </c>
      <c r="S369" s="126">
        <f>IF(VLOOKUP(A369,Journal!$A$7:$E$70,5)=0,S368+1,VLOOKUP(A369,Journal!$A$7:$E$70,5))</f>
        <v>46019</v>
      </c>
      <c r="T369" s="125">
        <f>IF(H$2=VLOOKUP(A369,Journal!$A$7:$F$70,6),VLOOKUP(A369,Journal!$A$7:M$70,9),0)</f>
        <v>0</v>
      </c>
      <c r="U369" s="125">
        <f>IF(H$2=VLOOKUP(A369,Journal!$A$7:$G$70,7),VLOOKUP(A369,Journal!$A$7:M$70,9),0)</f>
        <v>0</v>
      </c>
      <c r="V369" s="125">
        <f t="shared" si="40"/>
        <v>40</v>
      </c>
      <c r="X369">
        <f t="shared" si="37"/>
        <v>0</v>
      </c>
      <c r="Y369" s="143">
        <f t="shared" si="36"/>
        <v>-990.55263157896241</v>
      </c>
    </row>
    <row r="370" spans="1:25" x14ac:dyDescent="0.25">
      <c r="A370">
        <f t="shared" si="41"/>
        <v>363</v>
      </c>
      <c r="B370" s="88" t="str">
        <f>IF(OR(B369="Total",B369=""),"",IF(VLOOKUP(A370,Journal!$B$7:$E$84,4)=0,"Total",VLOOKUP(A370,Journal!$B$7:$D$84,3)))</f>
        <v/>
      </c>
      <c r="C370" s="86" t="str">
        <f>IF(B370="","",VLOOKUP(A370,Journal!$B$7:$E$84,4))</f>
        <v/>
      </c>
      <c r="D370" s="114" t="str">
        <f>IF(B370="","",VLOOKUP(A370,Journal!$B$7:$J$84,9))</f>
        <v/>
      </c>
      <c r="E370" s="116"/>
      <c r="F370" s="116"/>
      <c r="G370" s="115"/>
      <c r="H370" s="84" t="str">
        <f>IF(B370="","",VLOOKUP(A370,Journal!$B$7:$L$84,11))</f>
        <v/>
      </c>
      <c r="I370" s="84" t="str">
        <f>IF(B370="","",VLOOKUP(A370,Journal!$B$7:$M$84,12))</f>
        <v/>
      </c>
      <c r="J370" s="105">
        <f>IF(B370="Total",SUM(J$8:J369)+0.0001,IF(OR(B370="",I$2=I370),0,VLOOKUP(A370,Journal!$B$7:M$84,8)))</f>
        <v>0</v>
      </c>
      <c r="K370" s="102">
        <f>IF(B370="Total",SUM(K$8:K369)+0.0001,IF(OR(B370="",J370&lt;&gt;0),0,VLOOKUP(A370,Journal!$B$7:M$84,8)))</f>
        <v>0</v>
      </c>
      <c r="L370" s="87">
        <f t="shared" si="35"/>
        <v>0</v>
      </c>
      <c r="P370">
        <f t="shared" si="38"/>
        <v>1.0000000000000001E-5</v>
      </c>
      <c r="R370" s="15">
        <f t="shared" si="39"/>
        <v>363</v>
      </c>
      <c r="S370" s="126">
        <f>IF(VLOOKUP(A370,Journal!$A$7:$E$70,5)=0,S369+1,VLOOKUP(A370,Journal!$A$7:$E$70,5))</f>
        <v>46020</v>
      </c>
      <c r="T370" s="125">
        <f>IF(H$2=VLOOKUP(A370,Journal!$A$7:$F$70,6),VLOOKUP(A370,Journal!$A$7:M$70,9),0)</f>
        <v>0</v>
      </c>
      <c r="U370" s="125">
        <f>IF(H$2=VLOOKUP(A370,Journal!$A$7:$G$70,7),VLOOKUP(A370,Journal!$A$7:M$70,9),0)</f>
        <v>0</v>
      </c>
      <c r="V370" s="125">
        <f t="shared" si="40"/>
        <v>40</v>
      </c>
      <c r="X370">
        <f t="shared" si="37"/>
        <v>0</v>
      </c>
      <c r="Y370" s="143">
        <f t="shared" si="36"/>
        <v>-990.52631578948876</v>
      </c>
    </row>
    <row r="371" spans="1:25" x14ac:dyDescent="0.25">
      <c r="A371">
        <f t="shared" si="41"/>
        <v>364</v>
      </c>
      <c r="B371" s="88" t="str">
        <f>IF(OR(B370="Total",B370=""),"",IF(VLOOKUP(A371,Journal!$B$7:$E$84,4)=0,"Total",VLOOKUP(A371,Journal!$B$7:$D$84,3)))</f>
        <v/>
      </c>
      <c r="C371" s="86" t="str">
        <f>IF(B371="","",VLOOKUP(A371,Journal!$B$7:$E$84,4))</f>
        <v/>
      </c>
      <c r="D371" s="114" t="str">
        <f>IF(B371="","",VLOOKUP(A371,Journal!$B$7:$J$84,9))</f>
        <v/>
      </c>
      <c r="E371" s="116"/>
      <c r="F371" s="116"/>
      <c r="G371" s="115"/>
      <c r="H371" s="84" t="str">
        <f>IF(B371="","",VLOOKUP(A371,Journal!$B$7:$L$84,11))</f>
        <v/>
      </c>
      <c r="I371" s="84" t="str">
        <f>IF(B371="","",VLOOKUP(A371,Journal!$B$7:$M$84,12))</f>
        <v/>
      </c>
      <c r="J371" s="105">
        <f>IF(B371="Total",SUM(J$8:J370)+0.0001,IF(OR(B371="",I$2=I371),0,VLOOKUP(A371,Journal!$B$7:M$84,8)))</f>
        <v>0</v>
      </c>
      <c r="K371" s="102">
        <f>IF(B371="Total",SUM(K$8:K370)+0.0001,IF(OR(B371="",J371&lt;&gt;0),0,VLOOKUP(A371,Journal!$B$7:M$84,8)))</f>
        <v>0</v>
      </c>
      <c r="L371" s="87">
        <f t="shared" si="35"/>
        <v>0</v>
      </c>
      <c r="P371">
        <f t="shared" si="38"/>
        <v>1.0000000000000001E-5</v>
      </c>
      <c r="R371" s="15">
        <f t="shared" si="39"/>
        <v>364</v>
      </c>
      <c r="S371" s="126">
        <f>IF(VLOOKUP(A371,Journal!$A$7:$E$70,5)=0,S370+1,VLOOKUP(A371,Journal!$A$7:$E$70,5))</f>
        <v>46021</v>
      </c>
      <c r="T371" s="125">
        <f>IF(H$2=VLOOKUP(A371,Journal!$A$7:$F$70,6),VLOOKUP(A371,Journal!$A$7:M$70,9),0)</f>
        <v>0</v>
      </c>
      <c r="U371" s="125">
        <f>IF(H$2=VLOOKUP(A371,Journal!$A$7:$G$70,7),VLOOKUP(A371,Journal!$A$7:M$70,9),0)</f>
        <v>0</v>
      </c>
      <c r="V371" s="125">
        <f t="shared" si="40"/>
        <v>40</v>
      </c>
      <c r="X371">
        <f t="shared" si="37"/>
        <v>0</v>
      </c>
      <c r="Y371" s="143">
        <f t="shared" si="36"/>
        <v>-990.50000000001512</v>
      </c>
    </row>
    <row r="372" spans="1:25" x14ac:dyDescent="0.25">
      <c r="A372">
        <f t="shared" si="41"/>
        <v>365</v>
      </c>
      <c r="B372" s="88" t="str">
        <f>IF(OR(B371="Total",B371=""),"",IF(VLOOKUP(A372,Journal!$B$7:$E$84,4)=0,"Total",VLOOKUP(A372,Journal!$B$7:$D$84,3)))</f>
        <v/>
      </c>
      <c r="C372" s="86" t="str">
        <f>IF(B372="","",VLOOKUP(A372,Journal!$B$7:$E$84,4))</f>
        <v/>
      </c>
      <c r="D372" s="114" t="str">
        <f>IF(B372="","",VLOOKUP(A372,Journal!$B$7:$J$84,9))</f>
        <v/>
      </c>
      <c r="E372" s="116"/>
      <c r="F372" s="116"/>
      <c r="G372" s="115"/>
      <c r="H372" s="84" t="str">
        <f>IF(B372="","",VLOOKUP(A372,Journal!$B$7:$L$84,11))</f>
        <v/>
      </c>
      <c r="I372" s="84" t="str">
        <f>IF(B372="","",VLOOKUP(A372,Journal!$B$7:$M$84,12))</f>
        <v/>
      </c>
      <c r="J372" s="105">
        <f>IF(B372="Total",SUM(J$8:J371)+0.0001,IF(OR(B372="",I$2=I372),0,VLOOKUP(A372,Journal!$B$7:M$84,8)))</f>
        <v>0</v>
      </c>
      <c r="K372" s="102">
        <f>IF(B372="Total",SUM(K$8:K371)+0.0001,IF(OR(B372="",J372&lt;&gt;0),0,VLOOKUP(A372,Journal!$B$7:M$84,8)))</f>
        <v>0</v>
      </c>
      <c r="L372" s="87">
        <f t="shared" si="35"/>
        <v>0</v>
      </c>
      <c r="P372">
        <f t="shared" si="38"/>
        <v>1.0000000000000001E-5</v>
      </c>
      <c r="R372" s="15">
        <f t="shared" si="39"/>
        <v>365</v>
      </c>
      <c r="S372" s="126">
        <f>IF(VLOOKUP(A372,Journal!$A$7:$E$70,5)=0,S371+1,VLOOKUP(A372,Journal!$A$7:$E$70,5))</f>
        <v>46022</v>
      </c>
      <c r="T372" s="125">
        <f>IF(H$2=VLOOKUP(A372,Journal!$A$7:$F$70,6),VLOOKUP(A372,Journal!$A$7:M$70,9),0)</f>
        <v>0</v>
      </c>
      <c r="U372" s="125">
        <f>IF(H$2=VLOOKUP(A372,Journal!$A$7:$G$70,7),VLOOKUP(A372,Journal!$A$7:M$70,9),0)</f>
        <v>0</v>
      </c>
      <c r="V372" s="125">
        <f t="shared" si="40"/>
        <v>40</v>
      </c>
      <c r="X372">
        <f t="shared" si="37"/>
        <v>0</v>
      </c>
      <c r="Y372" s="143">
        <f t="shared" si="36"/>
        <v>-990.47368421054148</v>
      </c>
    </row>
    <row r="373" spans="1:25" x14ac:dyDescent="0.25">
      <c r="A373">
        <f t="shared" si="41"/>
        <v>366</v>
      </c>
      <c r="B373" s="88" t="str">
        <f>IF(OR(B372="Total",B372=""),"",IF(VLOOKUP(A373,Journal!$B$7:$E$84,4)=0,"Total",VLOOKUP(A373,Journal!$B$7:$D$84,3)))</f>
        <v/>
      </c>
      <c r="C373" s="86" t="str">
        <f>IF(B373="","",VLOOKUP(A373,Journal!$B$7:$E$84,4))</f>
        <v/>
      </c>
      <c r="D373" s="114" t="str">
        <f>IF(B373="","",VLOOKUP(A373,Journal!$B$7:$J$84,9))</f>
        <v/>
      </c>
      <c r="E373" s="116"/>
      <c r="F373" s="116"/>
      <c r="G373" s="115"/>
      <c r="H373" s="84" t="str">
        <f>IF(B373="","",VLOOKUP(A373,Journal!$B$7:$L$84,11))</f>
        <v/>
      </c>
      <c r="I373" s="84" t="str">
        <f>IF(B373="","",VLOOKUP(A373,Journal!$B$7:$M$84,12))</f>
        <v/>
      </c>
      <c r="J373" s="105">
        <f>IF(B373="Total",SUM(J$8:J372)+0.0001,IF(OR(B373="",I$2=I373),0,VLOOKUP(A373,Journal!$B$7:M$84,8)))</f>
        <v>0</v>
      </c>
      <c r="K373" s="102">
        <f>IF(B373="Total",SUM(K$8:K372)+0.0001,IF(OR(B373="",J373&lt;&gt;0),0,VLOOKUP(A373,Journal!$B$7:M$84,8)))</f>
        <v>0</v>
      </c>
      <c r="L373" s="87">
        <f t="shared" si="35"/>
        <v>0</v>
      </c>
      <c r="P373">
        <f t="shared" si="38"/>
        <v>1.0000000000000001E-5</v>
      </c>
      <c r="R373" s="15">
        <f t="shared" si="39"/>
        <v>366</v>
      </c>
      <c r="S373" s="126">
        <f>IF(VLOOKUP(A373,Journal!$A$7:$E$70,5)=0,S372+1,VLOOKUP(A373,Journal!$A$7:$E$70,5))</f>
        <v>46023</v>
      </c>
      <c r="T373" s="125">
        <f>IF(H$2=VLOOKUP(A373,Journal!$A$7:$F$70,6),VLOOKUP(A373,Journal!$A$7:M$70,9),0)</f>
        <v>0</v>
      </c>
      <c r="U373" s="125">
        <f>IF(H$2=VLOOKUP(A373,Journal!$A$7:$G$70,7),VLOOKUP(A373,Journal!$A$7:M$70,9),0)</f>
        <v>0</v>
      </c>
      <c r="V373" s="125">
        <f t="shared" si="40"/>
        <v>40</v>
      </c>
      <c r="X373">
        <f t="shared" si="37"/>
        <v>0</v>
      </c>
      <c r="Y373" s="143">
        <f t="shared" si="36"/>
        <v>-990.44736842106784</v>
      </c>
    </row>
    <row r="374" spans="1:25" x14ac:dyDescent="0.25">
      <c r="A374">
        <f t="shared" si="41"/>
        <v>367</v>
      </c>
      <c r="B374" s="88" t="str">
        <f>IF(OR(B373="Total",B373=""),"",IF(VLOOKUP(A374,Journal!$B$7:$E$84,4)=0,"Total",VLOOKUP(A374,Journal!$B$7:$D$84,3)))</f>
        <v/>
      </c>
      <c r="C374" s="86" t="str">
        <f>IF(B374="","",VLOOKUP(A374,Journal!$B$7:$E$84,4))</f>
        <v/>
      </c>
      <c r="D374" s="114" t="str">
        <f>IF(B374="","",VLOOKUP(A374,Journal!$B$7:$J$84,9))</f>
        <v/>
      </c>
      <c r="E374" s="116"/>
      <c r="F374" s="116"/>
      <c r="G374" s="115"/>
      <c r="H374" s="84" t="str">
        <f>IF(B374="","",VLOOKUP(A374,Journal!$B$7:$L$84,11))</f>
        <v/>
      </c>
      <c r="I374" s="84" t="str">
        <f>IF(B374="","",VLOOKUP(A374,Journal!$B$7:$M$84,12))</f>
        <v/>
      </c>
      <c r="J374" s="105">
        <f>IF(B374="Total",SUM(J$8:J373)+0.0001,IF(OR(B374="",I$2=I374),0,VLOOKUP(A374,Journal!$B$7:M$84,8)))</f>
        <v>0</v>
      </c>
      <c r="K374" s="102">
        <f>IF(B374="Total",SUM(K$8:K373)+0.0001,IF(OR(B374="",J374&lt;&gt;0),0,VLOOKUP(A374,Journal!$B$7:M$84,8)))</f>
        <v>0</v>
      </c>
      <c r="L374" s="87">
        <f t="shared" si="35"/>
        <v>0</v>
      </c>
      <c r="P374">
        <f t="shared" si="38"/>
        <v>1.0000000000000001E-5</v>
      </c>
      <c r="R374" s="15">
        <f t="shared" si="39"/>
        <v>367</v>
      </c>
      <c r="S374" s="126">
        <f>IF(VLOOKUP(A374,Journal!$A$7:$E$70,5)=0,S373+1,VLOOKUP(A374,Journal!$A$7:$E$70,5))</f>
        <v>46024</v>
      </c>
      <c r="T374" s="125">
        <f>IF(H$2=VLOOKUP(A374,Journal!$A$7:$F$70,6),VLOOKUP(A374,Journal!$A$7:M$70,9),0)</f>
        <v>0</v>
      </c>
      <c r="U374" s="125">
        <f>IF(H$2=VLOOKUP(A374,Journal!$A$7:$G$70,7),VLOOKUP(A374,Journal!$A$7:M$70,9),0)</f>
        <v>0</v>
      </c>
      <c r="V374" s="125">
        <f t="shared" si="40"/>
        <v>40</v>
      </c>
      <c r="X374">
        <f t="shared" si="37"/>
        <v>0</v>
      </c>
      <c r="Y374" s="143">
        <f t="shared" si="36"/>
        <v>-990.42105263159419</v>
      </c>
    </row>
    <row r="375" spans="1:25" x14ac:dyDescent="0.25">
      <c r="A375">
        <f t="shared" si="41"/>
        <v>368</v>
      </c>
      <c r="B375" s="88" t="str">
        <f>IF(OR(B374="Total",B374=""),"",IF(VLOOKUP(A375,Journal!$B$7:$E$84,4)=0,"Total",VLOOKUP(A375,Journal!$B$7:$D$84,3)))</f>
        <v/>
      </c>
      <c r="C375" s="86" t="str">
        <f>IF(B375="","",VLOOKUP(A375,Journal!$B$7:$E$84,4))</f>
        <v/>
      </c>
      <c r="D375" s="114" t="str">
        <f>IF(B375="","",VLOOKUP(A375,Journal!$B$7:$J$84,9))</f>
        <v/>
      </c>
      <c r="E375" s="116"/>
      <c r="F375" s="116"/>
      <c r="G375" s="115"/>
      <c r="H375" s="84" t="str">
        <f>IF(B375="","",VLOOKUP(A375,Journal!$B$7:$L$84,11))</f>
        <v/>
      </c>
      <c r="I375" s="84" t="str">
        <f>IF(B375="","",VLOOKUP(A375,Journal!$B$7:$M$84,12))</f>
        <v/>
      </c>
      <c r="J375" s="105">
        <f>IF(B375="Total",SUM(J$8:J374)+0.0001,IF(OR(B375="",I$2=I375),0,VLOOKUP(A375,Journal!$B$7:M$84,8)))</f>
        <v>0</v>
      </c>
      <c r="K375" s="102">
        <f>IF(B375="Total",SUM(K$8:K374)+0.0001,IF(OR(B375="",J375&lt;&gt;0),0,VLOOKUP(A375,Journal!$B$7:M$84,8)))</f>
        <v>0</v>
      </c>
      <c r="L375" s="87">
        <f t="shared" si="35"/>
        <v>0</v>
      </c>
      <c r="P375">
        <f t="shared" si="38"/>
        <v>1.0000000000000001E-5</v>
      </c>
      <c r="R375" s="15">
        <f t="shared" si="39"/>
        <v>368</v>
      </c>
      <c r="S375" s="126">
        <f>IF(VLOOKUP(A375,Journal!$A$7:$E$70,5)=0,S374+1,VLOOKUP(A375,Journal!$A$7:$E$70,5))</f>
        <v>46025</v>
      </c>
      <c r="T375" s="125">
        <f>IF(H$2=VLOOKUP(A375,Journal!$A$7:$F$70,6),VLOOKUP(A375,Journal!$A$7:M$70,9),0)</f>
        <v>0</v>
      </c>
      <c r="U375" s="125">
        <f>IF(H$2=VLOOKUP(A375,Journal!$A$7:$G$70,7),VLOOKUP(A375,Journal!$A$7:M$70,9),0)</f>
        <v>0</v>
      </c>
      <c r="V375" s="125">
        <f t="shared" si="40"/>
        <v>40</v>
      </c>
      <c r="X375">
        <f t="shared" si="37"/>
        <v>0</v>
      </c>
      <c r="Y375" s="143">
        <f t="shared" si="36"/>
        <v>-990.39473684212055</v>
      </c>
    </row>
    <row r="376" spans="1:25" x14ac:dyDescent="0.25">
      <c r="A376">
        <f t="shared" si="41"/>
        <v>369</v>
      </c>
      <c r="B376" s="88" t="str">
        <f>IF(OR(B375="Total",B375=""),"",IF(VLOOKUP(A376,Journal!$B$7:$E$84,4)=0,"Total",VLOOKUP(A376,Journal!$B$7:$D$84,3)))</f>
        <v/>
      </c>
      <c r="C376" s="86" t="str">
        <f>IF(B376="","",VLOOKUP(A376,Journal!$B$7:$E$84,4))</f>
        <v/>
      </c>
      <c r="D376" s="114" t="str">
        <f>IF(B376="","",VLOOKUP(A376,Journal!$B$7:$J$84,9))</f>
        <v/>
      </c>
      <c r="E376" s="116"/>
      <c r="F376" s="116"/>
      <c r="G376" s="115"/>
      <c r="H376" s="84" t="str">
        <f>IF(B376="","",VLOOKUP(A376,Journal!$B$7:$L$84,11))</f>
        <v/>
      </c>
      <c r="I376" s="84" t="str">
        <f>IF(B376="","",VLOOKUP(A376,Journal!$B$7:$M$84,12))</f>
        <v/>
      </c>
      <c r="J376" s="105">
        <f>IF(B376="Total",SUM(J$8:J375)+0.0001,IF(OR(B376="",I$2=I376),0,VLOOKUP(A376,Journal!$B$7:M$84,8)))</f>
        <v>0</v>
      </c>
      <c r="K376" s="102">
        <f>IF(B376="Total",SUM(K$8:K375)+0.0001,IF(OR(B376="",J376&lt;&gt;0),0,VLOOKUP(A376,Journal!$B$7:M$84,8)))</f>
        <v>0</v>
      </c>
      <c r="L376" s="87">
        <f t="shared" si="35"/>
        <v>0</v>
      </c>
      <c r="P376">
        <f t="shared" si="38"/>
        <v>1.0000000000000001E-5</v>
      </c>
      <c r="R376" s="15">
        <f t="shared" si="39"/>
        <v>369</v>
      </c>
      <c r="S376" s="126">
        <f>IF(VLOOKUP(A376,Journal!$A$7:$E$70,5)=0,S375+1,VLOOKUP(A376,Journal!$A$7:$E$70,5))</f>
        <v>46026</v>
      </c>
      <c r="T376" s="125">
        <f>IF(H$2=VLOOKUP(A376,Journal!$A$7:$F$70,6),VLOOKUP(A376,Journal!$A$7:M$70,9),0)</f>
        <v>0</v>
      </c>
      <c r="U376" s="125">
        <f>IF(H$2=VLOOKUP(A376,Journal!$A$7:$G$70,7),VLOOKUP(A376,Journal!$A$7:M$70,9),0)</f>
        <v>0</v>
      </c>
      <c r="V376" s="125">
        <f t="shared" si="40"/>
        <v>40</v>
      </c>
      <c r="X376">
        <f t="shared" si="37"/>
        <v>0</v>
      </c>
      <c r="Y376" s="143">
        <f t="shared" si="36"/>
        <v>-990.36842105264691</v>
      </c>
    </row>
    <row r="377" spans="1:25" x14ac:dyDescent="0.25">
      <c r="A377">
        <f t="shared" si="41"/>
        <v>370</v>
      </c>
      <c r="B377" s="88" t="str">
        <f>IF(OR(B376="Total",B376=""),"",IF(VLOOKUP(A377,Journal!$B$7:$E$84,4)=0,"Total",VLOOKUP(A377,Journal!$B$7:$D$84,3)))</f>
        <v/>
      </c>
      <c r="C377" s="86" t="str">
        <f>IF(B377="","",VLOOKUP(A377,Journal!$B$7:$E$84,4))</f>
        <v/>
      </c>
      <c r="D377" s="114" t="str">
        <f>IF(B377="","",VLOOKUP(A377,Journal!$B$7:$J$84,9))</f>
        <v/>
      </c>
      <c r="E377" s="116"/>
      <c r="F377" s="116"/>
      <c r="G377" s="115"/>
      <c r="H377" s="84" t="str">
        <f>IF(B377="","",VLOOKUP(A377,Journal!$B$7:$L$84,11))</f>
        <v/>
      </c>
      <c r="I377" s="84" t="str">
        <f>IF(B377="","",VLOOKUP(A377,Journal!$B$7:$M$84,12))</f>
        <v/>
      </c>
      <c r="J377" s="105">
        <f>IF(B377="Total",SUM(J$8:J376)+0.0001,IF(OR(B377="",I$2=I377),0,VLOOKUP(A377,Journal!$B$7:M$84,8)))</f>
        <v>0</v>
      </c>
      <c r="K377" s="102">
        <f>IF(B377="Total",SUM(K$8:K376)+0.0001,IF(OR(B377="",J377&lt;&gt;0),0,VLOOKUP(A377,Journal!$B$7:M$84,8)))</f>
        <v>0</v>
      </c>
      <c r="L377" s="87">
        <f t="shared" si="35"/>
        <v>0</v>
      </c>
      <c r="P377">
        <f t="shared" si="38"/>
        <v>1.0000000000000001E-5</v>
      </c>
      <c r="R377" s="15">
        <f t="shared" si="39"/>
        <v>370</v>
      </c>
      <c r="S377" s="126">
        <f>IF(VLOOKUP(A377,Journal!$A$7:$E$70,5)=0,S376+1,VLOOKUP(A377,Journal!$A$7:$E$70,5))</f>
        <v>46027</v>
      </c>
      <c r="T377" s="125">
        <f>IF(H$2=VLOOKUP(A377,Journal!$A$7:$F$70,6),VLOOKUP(A377,Journal!$A$7:M$70,9),0)</f>
        <v>0</v>
      </c>
      <c r="U377" s="125">
        <f>IF(H$2=VLOOKUP(A377,Journal!$A$7:$G$70,7),VLOOKUP(A377,Journal!$A$7:M$70,9),0)</f>
        <v>0</v>
      </c>
      <c r="V377" s="125">
        <f t="shared" si="40"/>
        <v>40</v>
      </c>
      <c r="X377">
        <f t="shared" si="37"/>
        <v>0</v>
      </c>
      <c r="Y377" s="143">
        <f t="shared" si="36"/>
        <v>-990.34210526317327</v>
      </c>
    </row>
    <row r="378" spans="1:25" x14ac:dyDescent="0.25">
      <c r="A378">
        <f t="shared" si="41"/>
        <v>371</v>
      </c>
      <c r="B378" s="88" t="str">
        <f>IF(OR(B377="Total",B377=""),"",IF(VLOOKUP(A378,Journal!$B$7:$E$84,4)=0,"Total",VLOOKUP(A378,Journal!$B$7:$D$84,3)))</f>
        <v/>
      </c>
      <c r="C378" s="86" t="str">
        <f>IF(B378="","",VLOOKUP(A378,Journal!$B$7:$E$84,4))</f>
        <v/>
      </c>
      <c r="D378" s="114" t="str">
        <f>IF(B378="","",VLOOKUP(A378,Journal!$B$7:$J$84,9))</f>
        <v/>
      </c>
      <c r="E378" s="116"/>
      <c r="F378" s="116"/>
      <c r="G378" s="115"/>
      <c r="H378" s="84" t="str">
        <f>IF(B378="","",VLOOKUP(A378,Journal!$B$7:$L$84,11))</f>
        <v/>
      </c>
      <c r="I378" s="84" t="str">
        <f>IF(B378="","",VLOOKUP(A378,Journal!$B$7:$M$84,12))</f>
        <v/>
      </c>
      <c r="J378" s="105">
        <f>IF(B378="Total",SUM(J$8:J377)+0.0001,IF(OR(B378="",I$2=I378),0,VLOOKUP(A378,Journal!$B$7:M$84,8)))</f>
        <v>0</v>
      </c>
      <c r="K378" s="102">
        <f>IF(B378="Total",SUM(K$8:K377)+0.0001,IF(OR(B378="",J378&lt;&gt;0),0,VLOOKUP(A378,Journal!$B$7:M$84,8)))</f>
        <v>0</v>
      </c>
      <c r="L378" s="87">
        <f t="shared" si="35"/>
        <v>0</v>
      </c>
      <c r="P378">
        <f t="shared" si="38"/>
        <v>1.0000000000000001E-5</v>
      </c>
      <c r="R378" s="15">
        <f t="shared" si="39"/>
        <v>371</v>
      </c>
      <c r="S378" s="126">
        <f>IF(VLOOKUP(A378,Journal!$A$7:$E$70,5)=0,S377+1,VLOOKUP(A378,Journal!$A$7:$E$70,5))</f>
        <v>46028</v>
      </c>
      <c r="T378" s="125">
        <f>IF(H$2=VLOOKUP(A378,Journal!$A$7:$F$70,6),VLOOKUP(A378,Journal!$A$7:M$70,9),0)</f>
        <v>0</v>
      </c>
      <c r="U378" s="125">
        <f>IF(H$2=VLOOKUP(A378,Journal!$A$7:$G$70,7),VLOOKUP(A378,Journal!$A$7:M$70,9),0)</f>
        <v>0</v>
      </c>
      <c r="V378" s="125">
        <f t="shared" si="40"/>
        <v>40</v>
      </c>
      <c r="X378">
        <f t="shared" si="37"/>
        <v>0</v>
      </c>
      <c r="Y378" s="143">
        <f t="shared" si="36"/>
        <v>-990.31578947369962</v>
      </c>
    </row>
    <row r="379" spans="1:25" x14ac:dyDescent="0.25">
      <c r="A379">
        <f t="shared" si="41"/>
        <v>372</v>
      </c>
      <c r="B379" s="88" t="str">
        <f>IF(OR(B378="Total",B378=""),"",IF(VLOOKUP(A379,Journal!$B$7:$E$84,4)=0,"Total",VLOOKUP(A379,Journal!$B$7:$D$84,3)))</f>
        <v/>
      </c>
      <c r="C379" s="86" t="str">
        <f>IF(B379="","",VLOOKUP(A379,Journal!$B$7:$E$84,4))</f>
        <v/>
      </c>
      <c r="D379" s="114" t="str">
        <f>IF(B379="","",VLOOKUP(A379,Journal!$B$7:$J$84,9))</f>
        <v/>
      </c>
      <c r="E379" s="116"/>
      <c r="F379" s="116"/>
      <c r="G379" s="115"/>
      <c r="H379" s="84" t="str">
        <f>IF(B379="","",VLOOKUP(A379,Journal!$B$7:$L$84,11))</f>
        <v/>
      </c>
      <c r="I379" s="84" t="str">
        <f>IF(B379="","",VLOOKUP(A379,Journal!$B$7:$M$84,12))</f>
        <v/>
      </c>
      <c r="J379" s="105">
        <f>IF(B379="Total",SUM(J$8:J378)+0.0001,IF(OR(B379="",I$2=I379),0,VLOOKUP(A379,Journal!$B$7:M$84,8)))</f>
        <v>0</v>
      </c>
      <c r="K379" s="102">
        <f>IF(B379="Total",SUM(K$8:K378)+0.0001,IF(OR(B379="",J379&lt;&gt;0),0,VLOOKUP(A379,Journal!$B$7:M$84,8)))</f>
        <v>0</v>
      </c>
      <c r="L379" s="87">
        <f t="shared" si="35"/>
        <v>0</v>
      </c>
      <c r="P379">
        <f t="shared" si="38"/>
        <v>1.0000000000000001E-5</v>
      </c>
      <c r="R379" s="15">
        <f t="shared" si="39"/>
        <v>372</v>
      </c>
      <c r="S379" s="126">
        <f>IF(VLOOKUP(A379,Journal!$A$7:$E$70,5)=0,S378+1,VLOOKUP(A379,Journal!$A$7:$E$70,5))</f>
        <v>46029</v>
      </c>
      <c r="T379" s="125">
        <f>IF(H$2=VLOOKUP(A379,Journal!$A$7:$F$70,6),VLOOKUP(A379,Journal!$A$7:M$70,9),0)</f>
        <v>0</v>
      </c>
      <c r="U379" s="125">
        <f>IF(H$2=VLOOKUP(A379,Journal!$A$7:$G$70,7),VLOOKUP(A379,Journal!$A$7:M$70,9),0)</f>
        <v>0</v>
      </c>
      <c r="V379" s="125">
        <f t="shared" si="40"/>
        <v>40</v>
      </c>
      <c r="X379">
        <f t="shared" si="37"/>
        <v>0</v>
      </c>
      <c r="Y379" s="143">
        <f t="shared" si="36"/>
        <v>-990.28947368422598</v>
      </c>
    </row>
    <row r="380" spans="1:25" x14ac:dyDescent="0.25">
      <c r="A380">
        <f t="shared" si="41"/>
        <v>373</v>
      </c>
      <c r="B380" s="88" t="str">
        <f>IF(OR(B379="Total",B379=""),"",IF(VLOOKUP(A380,Journal!$B$7:$E$84,4)=0,"Total",VLOOKUP(A380,Journal!$B$7:$D$84,3)))</f>
        <v/>
      </c>
      <c r="C380" s="86" t="str">
        <f>IF(B380="","",VLOOKUP(A380,Journal!$B$7:$E$84,4))</f>
        <v/>
      </c>
      <c r="D380" s="114" t="str">
        <f>IF(B380="","",VLOOKUP(A380,Journal!$B$7:$J$84,9))</f>
        <v/>
      </c>
      <c r="E380" s="116"/>
      <c r="F380" s="116"/>
      <c r="G380" s="115"/>
      <c r="H380" s="84" t="str">
        <f>IF(B380="","",VLOOKUP(A380,Journal!$B$7:$L$84,11))</f>
        <v/>
      </c>
      <c r="I380" s="84" t="str">
        <f>IF(B380="","",VLOOKUP(A380,Journal!$B$7:$M$84,12))</f>
        <v/>
      </c>
      <c r="J380" s="105">
        <f>IF(B380="Total",SUM(J$8:J379)+0.0001,IF(OR(B380="",I$2=I380),0,VLOOKUP(A380,Journal!$B$7:M$84,8)))</f>
        <v>0</v>
      </c>
      <c r="K380" s="102">
        <f>IF(B380="Total",SUM(K$8:K379)+0.0001,IF(OR(B380="",J380&lt;&gt;0),0,VLOOKUP(A380,Journal!$B$7:M$84,8)))</f>
        <v>0</v>
      </c>
      <c r="L380" s="87">
        <f t="shared" si="35"/>
        <v>0</v>
      </c>
      <c r="P380">
        <f t="shared" si="38"/>
        <v>1.0000000000000001E-5</v>
      </c>
      <c r="R380" s="15">
        <f t="shared" si="39"/>
        <v>373</v>
      </c>
      <c r="S380" s="126">
        <f>IF(VLOOKUP(A380,Journal!$A$7:$E$70,5)=0,S379+1,VLOOKUP(A380,Journal!$A$7:$E$70,5))</f>
        <v>46030</v>
      </c>
      <c r="T380" s="125">
        <f>IF(H$2=VLOOKUP(A380,Journal!$A$7:$F$70,6),VLOOKUP(A380,Journal!$A$7:M$70,9),0)</f>
        <v>0</v>
      </c>
      <c r="U380" s="125">
        <f>IF(H$2=VLOOKUP(A380,Journal!$A$7:$G$70,7),VLOOKUP(A380,Journal!$A$7:M$70,9),0)</f>
        <v>0</v>
      </c>
      <c r="V380" s="125">
        <f t="shared" si="40"/>
        <v>40</v>
      </c>
      <c r="X380">
        <f t="shared" si="37"/>
        <v>0</v>
      </c>
      <c r="Y380" s="143">
        <f t="shared" si="36"/>
        <v>-990.26315789475234</v>
      </c>
    </row>
    <row r="381" spans="1:25" x14ac:dyDescent="0.25">
      <c r="A381">
        <f t="shared" si="41"/>
        <v>374</v>
      </c>
      <c r="B381" s="88" t="str">
        <f>IF(OR(B380="Total",B380=""),"",IF(VLOOKUP(A381,Journal!$B$7:$E$84,4)=0,"Total",VLOOKUP(A381,Journal!$B$7:$D$84,3)))</f>
        <v/>
      </c>
      <c r="C381" s="86" t="str">
        <f>IF(B381="","",VLOOKUP(A381,Journal!$B$7:$E$84,4))</f>
        <v/>
      </c>
      <c r="D381" s="114" t="str">
        <f>IF(B381="","",VLOOKUP(A381,Journal!$B$7:$J$84,9))</f>
        <v/>
      </c>
      <c r="E381" s="116"/>
      <c r="F381" s="116"/>
      <c r="G381" s="115"/>
      <c r="H381" s="84" t="str">
        <f>IF(B381="","",VLOOKUP(A381,Journal!$B$7:$L$84,11))</f>
        <v/>
      </c>
      <c r="I381" s="84" t="str">
        <f>IF(B381="","",VLOOKUP(A381,Journal!$B$7:$M$84,12))</f>
        <v/>
      </c>
      <c r="J381" s="105">
        <f>IF(B381="Total",SUM(J$8:J380)+0.0001,IF(OR(B381="",I$2=I381),0,VLOOKUP(A381,Journal!$B$7:M$84,8)))</f>
        <v>0</v>
      </c>
      <c r="K381" s="102">
        <f>IF(B381="Total",SUM(K$8:K380)+0.0001,IF(OR(B381="",J381&lt;&gt;0),0,VLOOKUP(A381,Journal!$B$7:M$84,8)))</f>
        <v>0</v>
      </c>
      <c r="L381" s="87">
        <f t="shared" si="35"/>
        <v>0</v>
      </c>
      <c r="P381">
        <f t="shared" si="38"/>
        <v>1.0000000000000001E-5</v>
      </c>
      <c r="R381" s="15">
        <f t="shared" si="39"/>
        <v>374</v>
      </c>
      <c r="S381" s="126">
        <f>IF(VLOOKUP(A381,Journal!$A$7:$E$70,5)=0,S380+1,VLOOKUP(A381,Journal!$A$7:$E$70,5))</f>
        <v>46031</v>
      </c>
      <c r="T381" s="125">
        <f>IF(H$2=VLOOKUP(A381,Journal!$A$7:$F$70,6),VLOOKUP(A381,Journal!$A$7:M$70,9),0)</f>
        <v>0</v>
      </c>
      <c r="U381" s="125">
        <f>IF(H$2=VLOOKUP(A381,Journal!$A$7:$G$70,7),VLOOKUP(A381,Journal!$A$7:M$70,9),0)</f>
        <v>0</v>
      </c>
      <c r="V381" s="125">
        <f t="shared" si="40"/>
        <v>40</v>
      </c>
      <c r="X381">
        <f t="shared" si="37"/>
        <v>0</v>
      </c>
      <c r="Y381" s="143">
        <f t="shared" si="36"/>
        <v>-990.2368421052787</v>
      </c>
    </row>
    <row r="382" spans="1:25" x14ac:dyDescent="0.25">
      <c r="A382">
        <f t="shared" si="41"/>
        <v>375</v>
      </c>
      <c r="B382" s="88" t="str">
        <f>IF(OR(B381="Total",B381=""),"",IF(VLOOKUP(A382,Journal!$B$7:$E$84,4)=0,"Total",VLOOKUP(A382,Journal!$B$7:$D$84,3)))</f>
        <v/>
      </c>
      <c r="C382" s="86" t="str">
        <f>IF(B382="","",VLOOKUP(A382,Journal!$B$7:$E$84,4))</f>
        <v/>
      </c>
      <c r="D382" s="114" t="str">
        <f>IF(B382="","",VLOOKUP(A382,Journal!$B$7:$J$84,9))</f>
        <v/>
      </c>
      <c r="E382" s="116"/>
      <c r="F382" s="116"/>
      <c r="G382" s="115"/>
      <c r="H382" s="84" t="str">
        <f>IF(B382="","",VLOOKUP(A382,Journal!$B$7:$L$84,11))</f>
        <v/>
      </c>
      <c r="I382" s="84" t="str">
        <f>IF(B382="","",VLOOKUP(A382,Journal!$B$7:$M$84,12))</f>
        <v/>
      </c>
      <c r="J382" s="105">
        <f>IF(B382="Total",SUM(J$8:J381)+0.0001,IF(OR(B382="",I$2=I382),0,VLOOKUP(A382,Journal!$B$7:M$84,8)))</f>
        <v>0</v>
      </c>
      <c r="K382" s="102">
        <f>IF(B382="Total",SUM(K$8:K381)+0.0001,IF(OR(B382="",J382&lt;&gt;0),0,VLOOKUP(A382,Journal!$B$7:M$84,8)))</f>
        <v>0</v>
      </c>
      <c r="L382" s="87">
        <f t="shared" si="35"/>
        <v>0</v>
      </c>
      <c r="P382">
        <f t="shared" si="38"/>
        <v>1.0000000000000001E-5</v>
      </c>
      <c r="R382" s="15">
        <f t="shared" si="39"/>
        <v>375</v>
      </c>
      <c r="S382" s="126">
        <f>IF(VLOOKUP(A382,Journal!$A$7:$E$70,5)=0,S381+1,VLOOKUP(A382,Journal!$A$7:$E$70,5))</f>
        <v>46032</v>
      </c>
      <c r="T382" s="125">
        <f>IF(H$2=VLOOKUP(A382,Journal!$A$7:$F$70,6),VLOOKUP(A382,Journal!$A$7:M$70,9),0)</f>
        <v>0</v>
      </c>
      <c r="U382" s="125">
        <f>IF(H$2=VLOOKUP(A382,Journal!$A$7:$G$70,7),VLOOKUP(A382,Journal!$A$7:M$70,9),0)</f>
        <v>0</v>
      </c>
      <c r="V382" s="125">
        <f t="shared" si="40"/>
        <v>40</v>
      </c>
      <c r="X382">
        <f t="shared" si="37"/>
        <v>0</v>
      </c>
      <c r="Y382" s="143">
        <f t="shared" si="36"/>
        <v>-990.21052631580505</v>
      </c>
    </row>
    <row r="383" spans="1:25" x14ac:dyDescent="0.25">
      <c r="A383">
        <f t="shared" si="41"/>
        <v>376</v>
      </c>
      <c r="B383" s="88" t="str">
        <f>IF(OR(B382="Total",B382=""),"",IF(VLOOKUP(A383,Journal!$B$7:$E$84,4)=0,"Total",VLOOKUP(A383,Journal!$B$7:$D$84,3)))</f>
        <v/>
      </c>
      <c r="C383" s="86" t="str">
        <f>IF(B383="","",VLOOKUP(A383,Journal!$B$7:$E$84,4))</f>
        <v/>
      </c>
      <c r="D383" s="114" t="str">
        <f>IF(B383="","",VLOOKUP(A383,Journal!$B$7:$J$84,9))</f>
        <v/>
      </c>
      <c r="E383" s="116"/>
      <c r="F383" s="116"/>
      <c r="G383" s="115"/>
      <c r="H383" s="84" t="str">
        <f>IF(B383="","",VLOOKUP(A383,Journal!$B$7:$L$84,11))</f>
        <v/>
      </c>
      <c r="I383" s="84" t="str">
        <f>IF(B383="","",VLOOKUP(A383,Journal!$B$7:$M$84,12))</f>
        <v/>
      </c>
      <c r="J383" s="105">
        <f>IF(B383="Total",SUM(J$8:J382)+0.0001,IF(OR(B383="",I$2=I383),0,VLOOKUP(A383,Journal!$B$7:M$84,8)))</f>
        <v>0</v>
      </c>
      <c r="K383" s="102">
        <f>IF(B383="Total",SUM(K$8:K382)+0.0001,IF(OR(B383="",J383&lt;&gt;0),0,VLOOKUP(A383,Journal!$B$7:M$84,8)))</f>
        <v>0</v>
      </c>
      <c r="L383" s="87">
        <f t="shared" si="35"/>
        <v>0</v>
      </c>
      <c r="P383">
        <f t="shared" si="38"/>
        <v>1.0000000000000001E-5</v>
      </c>
      <c r="R383" s="15">
        <f t="shared" si="39"/>
        <v>376</v>
      </c>
      <c r="S383" s="126">
        <f>IF(VLOOKUP(A383,Journal!$A$7:$E$70,5)=0,S382+1,VLOOKUP(A383,Journal!$A$7:$E$70,5))</f>
        <v>46033</v>
      </c>
      <c r="T383" s="125">
        <f>IF(H$2=VLOOKUP(A383,Journal!$A$7:$F$70,6),VLOOKUP(A383,Journal!$A$7:M$70,9),0)</f>
        <v>0</v>
      </c>
      <c r="U383" s="125">
        <f>IF(H$2=VLOOKUP(A383,Journal!$A$7:$G$70,7),VLOOKUP(A383,Journal!$A$7:M$70,9),0)</f>
        <v>0</v>
      </c>
      <c r="V383" s="125">
        <f t="shared" si="40"/>
        <v>40</v>
      </c>
      <c r="X383">
        <f t="shared" si="37"/>
        <v>0</v>
      </c>
      <c r="Y383" s="143">
        <f t="shared" si="36"/>
        <v>-990.18421052633141</v>
      </c>
    </row>
    <row r="384" spans="1:25" x14ac:dyDescent="0.25">
      <c r="A384">
        <f t="shared" si="41"/>
        <v>377</v>
      </c>
      <c r="B384" s="88" t="str">
        <f>IF(OR(B383="Total",B383=""),"",IF(VLOOKUP(A384,Journal!$B$7:$E$84,4)=0,"Total",VLOOKUP(A384,Journal!$B$7:$D$84,3)))</f>
        <v/>
      </c>
      <c r="C384" s="86" t="str">
        <f>IF(B384="","",VLOOKUP(A384,Journal!$B$7:$E$84,4))</f>
        <v/>
      </c>
      <c r="D384" s="114" t="str">
        <f>IF(B384="","",VLOOKUP(A384,Journal!$B$7:$J$84,9))</f>
        <v/>
      </c>
      <c r="E384" s="116"/>
      <c r="F384" s="116"/>
      <c r="G384" s="115"/>
      <c r="H384" s="84" t="str">
        <f>IF(B384="","",VLOOKUP(A384,Journal!$B$7:$L$84,11))</f>
        <v/>
      </c>
      <c r="I384" s="84" t="str">
        <f>IF(B384="","",VLOOKUP(A384,Journal!$B$7:$M$84,12))</f>
        <v/>
      </c>
      <c r="J384" s="105">
        <f>IF(B384="Total",SUM(J$8:J383)+0.0001,IF(OR(B384="",I$2=I384),0,VLOOKUP(A384,Journal!$B$7:M$84,8)))</f>
        <v>0</v>
      </c>
      <c r="K384" s="102">
        <f>IF(B384="Total",SUM(K$8:K383)+0.0001,IF(OR(B384="",J384&lt;&gt;0),0,VLOOKUP(A384,Journal!$B$7:M$84,8)))</f>
        <v>0</v>
      </c>
      <c r="L384" s="87">
        <f t="shared" si="35"/>
        <v>0</v>
      </c>
      <c r="P384">
        <f t="shared" si="38"/>
        <v>1.0000000000000001E-5</v>
      </c>
      <c r="R384" s="15">
        <f t="shared" si="39"/>
        <v>377</v>
      </c>
      <c r="S384" s="126">
        <f>IF(VLOOKUP(A384,Journal!$A$7:$E$70,5)=0,S383+1,VLOOKUP(A384,Journal!$A$7:$E$70,5))</f>
        <v>46034</v>
      </c>
      <c r="T384" s="125">
        <f>IF(H$2=VLOOKUP(A384,Journal!$A$7:$F$70,6),VLOOKUP(A384,Journal!$A$7:M$70,9),0)</f>
        <v>0</v>
      </c>
      <c r="U384" s="125">
        <f>IF(H$2=VLOOKUP(A384,Journal!$A$7:$G$70,7),VLOOKUP(A384,Journal!$A$7:M$70,9),0)</f>
        <v>0</v>
      </c>
      <c r="V384" s="125">
        <f t="shared" si="40"/>
        <v>40</v>
      </c>
      <c r="X384">
        <f t="shared" si="37"/>
        <v>0</v>
      </c>
      <c r="Y384" s="143">
        <f t="shared" si="36"/>
        <v>-990.15789473685777</v>
      </c>
    </row>
    <row r="385" spans="1:25" x14ac:dyDescent="0.25">
      <c r="A385">
        <f t="shared" si="41"/>
        <v>378</v>
      </c>
      <c r="B385" s="88" t="str">
        <f>IF(OR(B384="Total",B384=""),"",IF(VLOOKUP(A385,Journal!$B$7:$E$84,4)=0,"Total",VLOOKUP(A385,Journal!$B$7:$D$84,3)))</f>
        <v/>
      </c>
      <c r="C385" s="86" t="str">
        <f>IF(B385="","",VLOOKUP(A385,Journal!$B$7:$E$84,4))</f>
        <v/>
      </c>
      <c r="D385" s="114" t="str">
        <f>IF(B385="","",VLOOKUP(A385,Journal!$B$7:$J$84,9))</f>
        <v/>
      </c>
      <c r="E385" s="116"/>
      <c r="F385" s="116"/>
      <c r="G385" s="115"/>
      <c r="H385" s="84" t="str">
        <f>IF(B385="","",VLOOKUP(A385,Journal!$B$7:$L$84,11))</f>
        <v/>
      </c>
      <c r="I385" s="84" t="str">
        <f>IF(B385="","",VLOOKUP(A385,Journal!$B$7:$M$84,12))</f>
        <v/>
      </c>
      <c r="J385" s="105">
        <f>IF(B385="Total",SUM(J$8:J384)+0.0001,IF(OR(B385="",I$2=I385),0,VLOOKUP(A385,Journal!$B$7:M$84,8)))</f>
        <v>0</v>
      </c>
      <c r="K385" s="102">
        <f>IF(B385="Total",SUM(K$8:K384)+0.0001,IF(OR(B385="",J385&lt;&gt;0),0,VLOOKUP(A385,Journal!$B$7:M$84,8)))</f>
        <v>0</v>
      </c>
      <c r="L385" s="87">
        <f t="shared" si="35"/>
        <v>0</v>
      </c>
      <c r="P385">
        <f t="shared" si="38"/>
        <v>1.0000000000000001E-5</v>
      </c>
      <c r="R385" s="15">
        <f t="shared" si="39"/>
        <v>378</v>
      </c>
      <c r="S385" s="126">
        <f>IF(VLOOKUP(A385,Journal!$A$7:$E$70,5)=0,S384+1,VLOOKUP(A385,Journal!$A$7:$E$70,5))</f>
        <v>46035</v>
      </c>
      <c r="T385" s="125">
        <f>IF(H$2=VLOOKUP(A385,Journal!$A$7:$F$70,6),VLOOKUP(A385,Journal!$A$7:M$70,9),0)</f>
        <v>0</v>
      </c>
      <c r="U385" s="125">
        <f>IF(H$2=VLOOKUP(A385,Journal!$A$7:$G$70,7),VLOOKUP(A385,Journal!$A$7:M$70,9),0)</f>
        <v>0</v>
      </c>
      <c r="V385" s="125">
        <f t="shared" si="40"/>
        <v>40</v>
      </c>
      <c r="X385">
        <f t="shared" si="37"/>
        <v>0</v>
      </c>
      <c r="Y385" s="143">
        <f t="shared" si="36"/>
        <v>-990.13157894738413</v>
      </c>
    </row>
    <row r="386" spans="1:25" x14ac:dyDescent="0.25">
      <c r="A386">
        <f t="shared" si="41"/>
        <v>379</v>
      </c>
      <c r="B386" s="88" t="str">
        <f>IF(OR(B385="Total",B385=""),"",IF(VLOOKUP(A386,Journal!$B$7:$E$84,4)=0,"Total",VLOOKUP(A386,Journal!$B$7:$D$84,3)))</f>
        <v/>
      </c>
      <c r="C386" s="86" t="str">
        <f>IF(B386="","",VLOOKUP(A386,Journal!$B$7:$E$84,4))</f>
        <v/>
      </c>
      <c r="D386" s="114" t="str">
        <f>IF(B386="","",VLOOKUP(A386,Journal!$B$7:$J$84,9))</f>
        <v/>
      </c>
      <c r="E386" s="116"/>
      <c r="F386" s="116"/>
      <c r="G386" s="115"/>
      <c r="H386" s="84" t="str">
        <f>IF(B386="","",VLOOKUP(A386,Journal!$B$7:$L$84,11))</f>
        <v/>
      </c>
      <c r="I386" s="84" t="str">
        <f>IF(B386="","",VLOOKUP(A386,Journal!$B$7:$M$84,12))</f>
        <v/>
      </c>
      <c r="J386" s="105">
        <f>IF(B386="Total",SUM(J$8:J385)+0.0001,IF(OR(B386="",I$2=I386),0,VLOOKUP(A386,Journal!$B$7:M$84,8)))</f>
        <v>0</v>
      </c>
      <c r="K386" s="102">
        <f>IF(B386="Total",SUM(K$8:K385)+0.0001,IF(OR(B386="",J386&lt;&gt;0),0,VLOOKUP(A386,Journal!$B$7:M$84,8)))</f>
        <v>0</v>
      </c>
      <c r="L386" s="87">
        <f t="shared" si="35"/>
        <v>0</v>
      </c>
      <c r="P386">
        <f t="shared" si="38"/>
        <v>1.0000000000000001E-5</v>
      </c>
      <c r="R386" s="15">
        <f t="shared" si="39"/>
        <v>379</v>
      </c>
      <c r="S386" s="126">
        <f>IF(VLOOKUP(A386,Journal!$A$7:$E$70,5)=0,S385+1,VLOOKUP(A386,Journal!$A$7:$E$70,5))</f>
        <v>46036</v>
      </c>
      <c r="T386" s="125">
        <f>IF(H$2=VLOOKUP(A386,Journal!$A$7:$F$70,6),VLOOKUP(A386,Journal!$A$7:M$70,9),0)</f>
        <v>0</v>
      </c>
      <c r="U386" s="125">
        <f>IF(H$2=VLOOKUP(A386,Journal!$A$7:$G$70,7),VLOOKUP(A386,Journal!$A$7:M$70,9),0)</f>
        <v>0</v>
      </c>
      <c r="V386" s="125">
        <f t="shared" si="40"/>
        <v>40</v>
      </c>
      <c r="X386">
        <f t="shared" si="37"/>
        <v>0</v>
      </c>
      <c r="Y386" s="143">
        <f t="shared" si="36"/>
        <v>-990.10526315791049</v>
      </c>
    </row>
    <row r="387" spans="1:25" x14ac:dyDescent="0.25">
      <c r="A387">
        <f t="shared" si="41"/>
        <v>380</v>
      </c>
      <c r="B387" s="88" t="str">
        <f>IF(OR(B386="Total",B386=""),"",IF(VLOOKUP(A387,Journal!$B$7:$E$84,4)=0,"Total",VLOOKUP(A387,Journal!$B$7:$D$84,3)))</f>
        <v/>
      </c>
      <c r="C387" s="86" t="str">
        <f>IF(B387="","",VLOOKUP(A387,Journal!$B$7:$E$84,4))</f>
        <v/>
      </c>
      <c r="D387" s="114" t="str">
        <f>IF(B387="","",VLOOKUP(A387,Journal!$B$7:$J$84,9))</f>
        <v/>
      </c>
      <c r="E387" s="116"/>
      <c r="F387" s="116"/>
      <c r="G387" s="115"/>
      <c r="H387" s="84" t="str">
        <f>IF(B387="","",VLOOKUP(A387,Journal!$B$7:$L$84,11))</f>
        <v/>
      </c>
      <c r="I387" s="84" t="str">
        <f>IF(B387="","",VLOOKUP(A387,Journal!$B$7:$M$84,12))</f>
        <v/>
      </c>
      <c r="J387" s="105">
        <f>IF(B387="Total",SUM(J$8:J386)+0.0001,IF(OR(B387="",I$2=I387),0,VLOOKUP(A387,Journal!$B$7:M$84,8)))</f>
        <v>0</v>
      </c>
      <c r="K387" s="102">
        <f>IF(B387="Total",SUM(K$8:K386)+0.0001,IF(OR(B387="",J387&lt;&gt;0),0,VLOOKUP(A387,Journal!$B$7:M$84,8)))</f>
        <v>0</v>
      </c>
      <c r="L387" s="87">
        <f t="shared" si="35"/>
        <v>0</v>
      </c>
      <c r="P387">
        <f t="shared" si="38"/>
        <v>1.0000000000000001E-5</v>
      </c>
      <c r="R387" s="15">
        <f t="shared" si="39"/>
        <v>380</v>
      </c>
      <c r="S387" s="126">
        <f>IF(VLOOKUP(A387,Journal!$A$7:$E$70,5)=0,S386+1,VLOOKUP(A387,Journal!$A$7:$E$70,5))</f>
        <v>46037</v>
      </c>
      <c r="T387" s="125">
        <f>IF(H$2=VLOOKUP(A387,Journal!$A$7:$F$70,6),VLOOKUP(A387,Journal!$A$7:M$70,9),0)</f>
        <v>0</v>
      </c>
      <c r="U387" s="125">
        <f>IF(H$2=VLOOKUP(A387,Journal!$A$7:$G$70,7),VLOOKUP(A387,Journal!$A$7:M$70,9),0)</f>
        <v>0</v>
      </c>
      <c r="V387" s="125">
        <f t="shared" si="40"/>
        <v>40</v>
      </c>
      <c r="X387">
        <f t="shared" si="37"/>
        <v>0</v>
      </c>
      <c r="Y387" s="143">
        <f t="shared" si="36"/>
        <v>-990.07894736843684</v>
      </c>
    </row>
    <row r="388" spans="1:25" x14ac:dyDescent="0.25">
      <c r="A388">
        <f t="shared" si="41"/>
        <v>381</v>
      </c>
      <c r="B388" s="88" t="str">
        <f>IF(OR(B387="Total",B387=""),"",IF(VLOOKUP(A388,Journal!$B$7:$E$84,4)=0,"Total",VLOOKUP(A388,Journal!$B$7:$D$84,3)))</f>
        <v/>
      </c>
      <c r="C388" s="86" t="str">
        <f>IF(B388="","",VLOOKUP(A388,Journal!$B$7:$E$84,4))</f>
        <v/>
      </c>
      <c r="D388" s="114" t="str">
        <f>IF(B388="","",VLOOKUP(A388,Journal!$B$7:$J$84,9))</f>
        <v/>
      </c>
      <c r="E388" s="116"/>
      <c r="F388" s="116"/>
      <c r="G388" s="115"/>
      <c r="H388" s="84" t="str">
        <f>IF(B388="","",VLOOKUP(A388,Journal!$B$7:$L$84,11))</f>
        <v/>
      </c>
      <c r="I388" s="84" t="str">
        <f>IF(B388="","",VLOOKUP(A388,Journal!$B$7:$M$84,12))</f>
        <v/>
      </c>
      <c r="J388" s="105">
        <f>IF(B388="Total",SUM(J$8:J387)+0.0001,IF(OR(B388="",I$2=I388),0,VLOOKUP(A388,Journal!$B$7:M$84,8)))</f>
        <v>0</v>
      </c>
      <c r="K388" s="102">
        <f>IF(B388="Total",SUM(K$8:K387)+0.0001,IF(OR(B388="",J388&lt;&gt;0),0,VLOOKUP(A388,Journal!$B$7:M$84,8)))</f>
        <v>0</v>
      </c>
      <c r="L388" s="87">
        <f t="shared" si="35"/>
        <v>0</v>
      </c>
      <c r="P388">
        <f t="shared" si="38"/>
        <v>1.0000000000000001E-5</v>
      </c>
      <c r="R388" s="15">
        <f t="shared" si="39"/>
        <v>381</v>
      </c>
      <c r="S388" s="126">
        <f>IF(VLOOKUP(A388,Journal!$A$7:$E$70,5)=0,S387+1,VLOOKUP(A388,Journal!$A$7:$E$70,5))</f>
        <v>46038</v>
      </c>
      <c r="T388" s="125">
        <f>IF(H$2=VLOOKUP(A388,Journal!$A$7:$F$70,6),VLOOKUP(A388,Journal!$A$7:M$70,9),0)</f>
        <v>0</v>
      </c>
      <c r="U388" s="125">
        <f>IF(H$2=VLOOKUP(A388,Journal!$A$7:$G$70,7),VLOOKUP(A388,Journal!$A$7:M$70,9),0)</f>
        <v>0</v>
      </c>
      <c r="V388" s="125">
        <f t="shared" si="40"/>
        <v>40</v>
      </c>
      <c r="X388">
        <f t="shared" si="37"/>
        <v>0</v>
      </c>
      <c r="Y388" s="143">
        <f t="shared" si="36"/>
        <v>-990.0526315789632</v>
      </c>
    </row>
    <row r="389" spans="1:25" x14ac:dyDescent="0.25">
      <c r="A389">
        <f t="shared" si="41"/>
        <v>382</v>
      </c>
      <c r="B389" s="88" t="str">
        <f>IF(OR(B388="Total",B388=""),"",IF(VLOOKUP(A389,Journal!$B$7:$E$84,4)=0,"Total",VLOOKUP(A389,Journal!$B$7:$D$84,3)))</f>
        <v/>
      </c>
      <c r="C389" s="86" t="str">
        <f>IF(B389="","",VLOOKUP(A389,Journal!$B$7:$E$84,4))</f>
        <v/>
      </c>
      <c r="D389" s="114" t="str">
        <f>IF(B389="","",VLOOKUP(A389,Journal!$B$7:$J$84,9))</f>
        <v/>
      </c>
      <c r="E389" s="116"/>
      <c r="F389" s="116"/>
      <c r="G389" s="115"/>
      <c r="H389" s="84" t="str">
        <f>IF(B389="","",VLOOKUP(A389,Journal!$B$7:$L$84,11))</f>
        <v/>
      </c>
      <c r="I389" s="84" t="str">
        <f>IF(B389="","",VLOOKUP(A389,Journal!$B$7:$M$84,12))</f>
        <v/>
      </c>
      <c r="J389" s="105">
        <f>IF(B389="Total",SUM(J$8:J388)+0.0001,IF(OR(B389="",I$2=I389),0,VLOOKUP(A389,Journal!$B$7:M$84,8)))</f>
        <v>0</v>
      </c>
      <c r="K389" s="102">
        <f>IF(B389="Total",SUM(K$8:K388)+0.0001,IF(OR(B389="",J389&lt;&gt;0),0,VLOOKUP(A389,Journal!$B$7:M$84,8)))</f>
        <v>0</v>
      </c>
      <c r="L389" s="87">
        <f t="shared" si="35"/>
        <v>0</v>
      </c>
      <c r="P389">
        <f t="shared" si="38"/>
        <v>1.0000000000000001E-5</v>
      </c>
      <c r="R389" s="15">
        <f t="shared" si="39"/>
        <v>382</v>
      </c>
      <c r="S389" s="126">
        <f>IF(VLOOKUP(A389,Journal!$A$7:$E$70,5)=0,S388+1,VLOOKUP(A389,Journal!$A$7:$E$70,5))</f>
        <v>46039</v>
      </c>
      <c r="T389" s="125">
        <f>IF(H$2=VLOOKUP(A389,Journal!$A$7:$F$70,6),VLOOKUP(A389,Journal!$A$7:M$70,9),0)</f>
        <v>0</v>
      </c>
      <c r="U389" s="125">
        <f>IF(H$2=VLOOKUP(A389,Journal!$A$7:$G$70,7),VLOOKUP(A389,Journal!$A$7:M$70,9),0)</f>
        <v>0</v>
      </c>
      <c r="V389" s="125">
        <f t="shared" si="40"/>
        <v>40</v>
      </c>
      <c r="X389">
        <f t="shared" si="37"/>
        <v>0</v>
      </c>
      <c r="Y389" s="143">
        <f t="shared" si="36"/>
        <v>-990.02631578948956</v>
      </c>
    </row>
    <row r="390" spans="1:25" x14ac:dyDescent="0.25">
      <c r="A390">
        <f t="shared" si="41"/>
        <v>383</v>
      </c>
      <c r="B390" s="88" t="str">
        <f>IF(OR(B389="Total",B389=""),"",IF(VLOOKUP(A390,Journal!$B$7:$E$84,4)=0,"Total",VLOOKUP(A390,Journal!$B$7:$D$84,3)))</f>
        <v/>
      </c>
      <c r="C390" s="86" t="str">
        <f>IF(B390="","",VLOOKUP(A390,Journal!$B$7:$E$84,4))</f>
        <v/>
      </c>
      <c r="D390" s="114" t="str">
        <f>IF(B390="","",VLOOKUP(A390,Journal!$B$7:$J$84,9))</f>
        <v/>
      </c>
      <c r="E390" s="116"/>
      <c r="F390" s="116"/>
      <c r="G390" s="115"/>
      <c r="H390" s="84" t="str">
        <f>IF(B390="","",VLOOKUP(A390,Journal!$B$7:$L$84,11))</f>
        <v/>
      </c>
      <c r="I390" s="84" t="str">
        <f>IF(B390="","",VLOOKUP(A390,Journal!$B$7:$M$84,12))</f>
        <v/>
      </c>
      <c r="J390" s="105">
        <f>IF(B390="Total",SUM(J$8:J389)+0.0001,IF(OR(B390="",I$2=I390),0,VLOOKUP(A390,Journal!$B$7:M$84,8)))</f>
        <v>0</v>
      </c>
      <c r="K390" s="102">
        <f>IF(B390="Total",SUM(K$8:K389)+0.0001,IF(OR(B390="",J390&lt;&gt;0),0,VLOOKUP(A390,Journal!$B$7:M$84,8)))</f>
        <v>0</v>
      </c>
      <c r="L390" s="87">
        <f t="shared" si="35"/>
        <v>0</v>
      </c>
      <c r="P390">
        <f t="shared" si="38"/>
        <v>1.0000000000000001E-5</v>
      </c>
      <c r="R390" s="15">
        <f t="shared" si="39"/>
        <v>383</v>
      </c>
      <c r="S390" s="126">
        <f>IF(VLOOKUP(A390,Journal!$A$7:$E$70,5)=0,S389+1,VLOOKUP(A390,Journal!$A$7:$E$70,5))</f>
        <v>46040</v>
      </c>
      <c r="T390" s="125">
        <f>IF(H$2=VLOOKUP(A390,Journal!$A$7:$F$70,6),VLOOKUP(A390,Journal!$A$7:M$70,9),0)</f>
        <v>0</v>
      </c>
      <c r="U390" s="125">
        <f>IF(H$2=VLOOKUP(A390,Journal!$A$7:$G$70,7),VLOOKUP(A390,Journal!$A$7:M$70,9),0)</f>
        <v>0</v>
      </c>
      <c r="V390" s="125">
        <f t="shared" si="40"/>
        <v>40</v>
      </c>
      <c r="X390">
        <f t="shared" si="37"/>
        <v>0</v>
      </c>
      <c r="Y390" s="143">
        <f t="shared" si="36"/>
        <v>-990.00000000001592</v>
      </c>
    </row>
    <row r="391" spans="1:25" x14ac:dyDescent="0.25">
      <c r="A391">
        <f t="shared" si="41"/>
        <v>384</v>
      </c>
      <c r="B391" s="88" t="str">
        <f>IF(OR(B390="Total",B390=""),"",IF(VLOOKUP(A391,Journal!$B$7:$E$84,4)=0,"Total",VLOOKUP(A391,Journal!$B$7:$D$84,3)))</f>
        <v/>
      </c>
      <c r="C391" s="86" t="str">
        <f>IF(B391="","",VLOOKUP(A391,Journal!$B$7:$E$84,4))</f>
        <v/>
      </c>
      <c r="D391" s="114" t="str">
        <f>IF(B391="","",VLOOKUP(A391,Journal!$B$7:$J$84,9))</f>
        <v/>
      </c>
      <c r="E391" s="116"/>
      <c r="F391" s="116"/>
      <c r="G391" s="115"/>
      <c r="H391" s="84" t="str">
        <f>IF(B391="","",VLOOKUP(A391,Journal!$B$7:$L$84,11))</f>
        <v/>
      </c>
      <c r="I391" s="84" t="str">
        <f>IF(B391="","",VLOOKUP(A391,Journal!$B$7:$M$84,12))</f>
        <v/>
      </c>
      <c r="J391" s="105">
        <f>IF(B391="Total",SUM(J$8:J390)+0.0001,IF(OR(B391="",I$2=I391),0,VLOOKUP(A391,Journal!$B$7:M$84,8)))</f>
        <v>0</v>
      </c>
      <c r="K391" s="102">
        <f>IF(B391="Total",SUM(K$8:K390)+0.0001,IF(OR(B391="",J391&lt;&gt;0),0,VLOOKUP(A391,Journal!$B$7:M$84,8)))</f>
        <v>0</v>
      </c>
      <c r="L391" s="87">
        <f t="shared" si="35"/>
        <v>0</v>
      </c>
      <c r="P391">
        <f t="shared" si="38"/>
        <v>1.0000000000000001E-5</v>
      </c>
      <c r="R391" s="15">
        <f t="shared" si="39"/>
        <v>384</v>
      </c>
      <c r="S391" s="126">
        <f>IF(VLOOKUP(A391,Journal!$A$7:$E$70,5)=0,S390+1,VLOOKUP(A391,Journal!$A$7:$E$70,5))</f>
        <v>46041</v>
      </c>
      <c r="T391" s="125">
        <f>IF(H$2=VLOOKUP(A391,Journal!$A$7:$F$70,6),VLOOKUP(A391,Journal!$A$7:M$70,9),0)</f>
        <v>0</v>
      </c>
      <c r="U391" s="125">
        <f>IF(H$2=VLOOKUP(A391,Journal!$A$7:$G$70,7),VLOOKUP(A391,Journal!$A$7:M$70,9),0)</f>
        <v>0</v>
      </c>
      <c r="V391" s="125">
        <f t="shared" si="40"/>
        <v>40</v>
      </c>
      <c r="X391">
        <f t="shared" si="37"/>
        <v>0</v>
      </c>
      <c r="Y391" s="143">
        <f t="shared" si="36"/>
        <v>-989.97368421054227</v>
      </c>
    </row>
    <row r="392" spans="1:25" x14ac:dyDescent="0.25">
      <c r="A392">
        <f t="shared" si="41"/>
        <v>385</v>
      </c>
      <c r="B392" s="88" t="str">
        <f>IF(OR(B391="Total",B391=""),"",IF(VLOOKUP(A392,Journal!$B$7:$E$84,4)=0,"Total",VLOOKUP(A392,Journal!$B$7:$D$84,3)))</f>
        <v/>
      </c>
      <c r="C392" s="86" t="str">
        <f>IF(B392="","",VLOOKUP(A392,Journal!$B$7:$E$84,4))</f>
        <v/>
      </c>
      <c r="D392" s="114" t="str">
        <f>IF(B392="","",VLOOKUP(A392,Journal!$B$7:$J$84,9))</f>
        <v/>
      </c>
      <c r="E392" s="116"/>
      <c r="F392" s="116"/>
      <c r="G392" s="115"/>
      <c r="H392" s="84" t="str">
        <f>IF(B392="","",VLOOKUP(A392,Journal!$B$7:$L$84,11))</f>
        <v/>
      </c>
      <c r="I392" s="84" t="str">
        <f>IF(B392="","",VLOOKUP(A392,Journal!$B$7:$M$84,12))</f>
        <v/>
      </c>
      <c r="J392" s="105">
        <f>IF(B392="Total",SUM(J$8:J391)+0.0001,IF(OR(B392="",I$2=I392),0,VLOOKUP(A392,Journal!$B$7:M$84,8)))</f>
        <v>0</v>
      </c>
      <c r="K392" s="102">
        <f>IF(B392="Total",SUM(K$8:K391)+0.0001,IF(OR(B392="",J392&lt;&gt;0),0,VLOOKUP(A392,Journal!$B$7:M$84,8)))</f>
        <v>0</v>
      </c>
      <c r="L392" s="87">
        <f t="shared" ref="L392:L455" si="42">IF(B392="Total",L391,IF(B392="",0,IF($M$1=1,L391+J392-K392,L391-J392+K392)))</f>
        <v>0</v>
      </c>
      <c r="P392">
        <f t="shared" si="38"/>
        <v>1.0000000000000001E-5</v>
      </c>
      <c r="R392" s="15">
        <f t="shared" si="39"/>
        <v>385</v>
      </c>
      <c r="S392" s="126">
        <f>IF(VLOOKUP(A392,Journal!$A$7:$E$70,5)=0,S391+1,VLOOKUP(A392,Journal!$A$7:$E$70,5))</f>
        <v>46042</v>
      </c>
      <c r="T392" s="125">
        <f>IF(H$2=VLOOKUP(A392,Journal!$A$7:$F$70,6),VLOOKUP(A392,Journal!$A$7:M$70,9),0)</f>
        <v>0</v>
      </c>
      <c r="U392" s="125">
        <f>IF(H$2=VLOOKUP(A392,Journal!$A$7:$G$70,7),VLOOKUP(A392,Journal!$A$7:M$70,9),0)</f>
        <v>0</v>
      </c>
      <c r="V392" s="125">
        <f t="shared" si="40"/>
        <v>40</v>
      </c>
      <c r="X392">
        <f t="shared" si="37"/>
        <v>0</v>
      </c>
      <c r="Y392" s="143">
        <f t="shared" ref="Y392:Y455" si="43">IF(B391="Total",-1000,Y391+Y$4)</f>
        <v>-989.94736842106863</v>
      </c>
    </row>
    <row r="393" spans="1:25" x14ac:dyDescent="0.25">
      <c r="A393">
        <f t="shared" si="41"/>
        <v>386</v>
      </c>
      <c r="B393" s="88" t="str">
        <f>IF(OR(B392="Total",B392=""),"",IF(VLOOKUP(A393,Journal!$B$7:$E$84,4)=0,"Total",VLOOKUP(A393,Journal!$B$7:$D$84,3)))</f>
        <v/>
      </c>
      <c r="C393" s="86" t="str">
        <f>IF(B393="","",VLOOKUP(A393,Journal!$B$7:$E$84,4))</f>
        <v/>
      </c>
      <c r="D393" s="114" t="str">
        <f>IF(B393="","",VLOOKUP(A393,Journal!$B$7:$J$84,9))</f>
        <v/>
      </c>
      <c r="E393" s="116"/>
      <c r="F393" s="116"/>
      <c r="G393" s="115"/>
      <c r="H393" s="84" t="str">
        <f>IF(B393="","",VLOOKUP(A393,Journal!$B$7:$L$84,11))</f>
        <v/>
      </c>
      <c r="I393" s="84" t="str">
        <f>IF(B393="","",VLOOKUP(A393,Journal!$B$7:$M$84,12))</f>
        <v/>
      </c>
      <c r="J393" s="105">
        <f>IF(B393="Total",SUM(J$8:J392)+0.0001,IF(OR(B393="",I$2=I393),0,VLOOKUP(A393,Journal!$B$7:M$84,8)))</f>
        <v>0</v>
      </c>
      <c r="K393" s="102">
        <f>IF(B393="Total",SUM(K$8:K392)+0.0001,IF(OR(B393="",J393&lt;&gt;0),0,VLOOKUP(A393,Journal!$B$7:M$84,8)))</f>
        <v>0</v>
      </c>
      <c r="L393" s="87">
        <f t="shared" si="42"/>
        <v>0</v>
      </c>
      <c r="P393">
        <f t="shared" si="38"/>
        <v>1.0000000000000001E-5</v>
      </c>
      <c r="R393" s="15">
        <f t="shared" si="39"/>
        <v>386</v>
      </c>
      <c r="S393" s="126">
        <f>IF(VLOOKUP(A393,Journal!$A$7:$E$70,5)=0,S392+1,VLOOKUP(A393,Journal!$A$7:$E$70,5))</f>
        <v>46043</v>
      </c>
      <c r="T393" s="125">
        <f>IF(H$2=VLOOKUP(A393,Journal!$A$7:$F$70,6),VLOOKUP(A393,Journal!$A$7:M$70,9),0)</f>
        <v>0</v>
      </c>
      <c r="U393" s="125">
        <f>IF(H$2=VLOOKUP(A393,Journal!$A$7:$G$70,7),VLOOKUP(A393,Journal!$A$7:M$70,9),0)</f>
        <v>0</v>
      </c>
      <c r="V393" s="125">
        <f t="shared" si="40"/>
        <v>40</v>
      </c>
      <c r="X393">
        <f t="shared" ref="X393:X456" si="44">IF(J$2&gt;S393,1,0)</f>
        <v>0</v>
      </c>
      <c r="Y393" s="143">
        <f t="shared" si="43"/>
        <v>-989.92105263159499</v>
      </c>
    </row>
    <row r="394" spans="1:25" x14ac:dyDescent="0.25">
      <c r="A394">
        <f t="shared" si="41"/>
        <v>387</v>
      </c>
      <c r="B394" s="88" t="str">
        <f>IF(OR(B393="Total",B393=""),"",IF(VLOOKUP(A394,Journal!$B$7:$E$84,4)=0,"Total",VLOOKUP(A394,Journal!$B$7:$D$84,3)))</f>
        <v/>
      </c>
      <c r="C394" s="86" t="str">
        <f>IF(B394="","",VLOOKUP(A394,Journal!$B$7:$E$84,4))</f>
        <v/>
      </c>
      <c r="D394" s="114" t="str">
        <f>IF(B394="","",VLOOKUP(A394,Journal!$B$7:$J$84,9))</f>
        <v/>
      </c>
      <c r="E394" s="116"/>
      <c r="F394" s="116"/>
      <c r="G394" s="115"/>
      <c r="H394" s="84" t="str">
        <f>IF(B394="","",VLOOKUP(A394,Journal!$B$7:$L$84,11))</f>
        <v/>
      </c>
      <c r="I394" s="84" t="str">
        <f>IF(B394="","",VLOOKUP(A394,Journal!$B$7:$M$84,12))</f>
        <v/>
      </c>
      <c r="J394" s="105">
        <f>IF(B394="Total",SUM(J$8:J393)+0.0001,IF(OR(B394="",I$2=I394),0,VLOOKUP(A394,Journal!$B$7:M$84,8)))</f>
        <v>0</v>
      </c>
      <c r="K394" s="102">
        <f>IF(B394="Total",SUM(K$8:K393)+0.0001,IF(OR(B394="",J394&lt;&gt;0),0,VLOOKUP(A394,Journal!$B$7:M$84,8)))</f>
        <v>0</v>
      </c>
      <c r="L394" s="87">
        <f t="shared" si="42"/>
        <v>0</v>
      </c>
      <c r="P394">
        <f t="shared" ref="P394:P457" si="45">IF(L393=L394,L393+0.00001,L394)</f>
        <v>1.0000000000000001E-5</v>
      </c>
      <c r="R394" s="15">
        <f t="shared" ref="R394:R457" si="46">R393+1</f>
        <v>387</v>
      </c>
      <c r="S394" s="126">
        <f>IF(VLOOKUP(A394,Journal!$A$7:$E$70,5)=0,S393+1,VLOOKUP(A394,Journal!$A$7:$E$70,5))</f>
        <v>46044</v>
      </c>
      <c r="T394" s="125">
        <f>IF(H$2=VLOOKUP(A394,Journal!$A$7:$F$70,6),VLOOKUP(A394,Journal!$A$7:M$70,9),0)</f>
        <v>0</v>
      </c>
      <c r="U394" s="125">
        <f>IF(H$2=VLOOKUP(A394,Journal!$A$7:$G$70,7),VLOOKUP(A394,Journal!$A$7:M$70,9),0)</f>
        <v>0</v>
      </c>
      <c r="V394" s="125">
        <f t="shared" ref="V394:V457" si="47">IF($M$1=1,V393+T394-U394,V393-T394+U394)</f>
        <v>40</v>
      </c>
      <c r="X394">
        <f t="shared" si="44"/>
        <v>0</v>
      </c>
      <c r="Y394" s="143">
        <f t="shared" si="43"/>
        <v>-989.89473684212135</v>
      </c>
    </row>
    <row r="395" spans="1:25" x14ac:dyDescent="0.25">
      <c r="A395">
        <f t="shared" ref="A395:A458" si="48">A394+1</f>
        <v>388</v>
      </c>
      <c r="B395" s="88" t="str">
        <f>IF(OR(B394="Total",B394=""),"",IF(VLOOKUP(A395,Journal!$B$7:$E$84,4)=0,"Total",VLOOKUP(A395,Journal!$B$7:$D$84,3)))</f>
        <v/>
      </c>
      <c r="C395" s="86" t="str">
        <f>IF(B395="","",VLOOKUP(A395,Journal!$B$7:$E$84,4))</f>
        <v/>
      </c>
      <c r="D395" s="114" t="str">
        <f>IF(B395="","",VLOOKUP(A395,Journal!$B$7:$J$84,9))</f>
        <v/>
      </c>
      <c r="E395" s="116"/>
      <c r="F395" s="116"/>
      <c r="G395" s="115"/>
      <c r="H395" s="84" t="str">
        <f>IF(B395="","",VLOOKUP(A395,Journal!$B$7:$L$84,11))</f>
        <v/>
      </c>
      <c r="I395" s="84" t="str">
        <f>IF(B395="","",VLOOKUP(A395,Journal!$B$7:$M$84,12))</f>
        <v/>
      </c>
      <c r="J395" s="105">
        <f>IF(B395="Total",SUM(J$8:J394)+0.0001,IF(OR(B395="",I$2=I395),0,VLOOKUP(A395,Journal!$B$7:M$84,8)))</f>
        <v>0</v>
      </c>
      <c r="K395" s="102">
        <f>IF(B395="Total",SUM(K$8:K394)+0.0001,IF(OR(B395="",J395&lt;&gt;0),0,VLOOKUP(A395,Journal!$B$7:M$84,8)))</f>
        <v>0</v>
      </c>
      <c r="L395" s="87">
        <f t="shared" si="42"/>
        <v>0</v>
      </c>
      <c r="P395">
        <f t="shared" si="45"/>
        <v>1.0000000000000001E-5</v>
      </c>
      <c r="R395" s="15">
        <f t="shared" si="46"/>
        <v>388</v>
      </c>
      <c r="S395" s="126">
        <f>IF(VLOOKUP(A395,Journal!$A$7:$E$70,5)=0,S394+1,VLOOKUP(A395,Journal!$A$7:$E$70,5))</f>
        <v>46045</v>
      </c>
      <c r="T395" s="125">
        <f>IF(H$2=VLOOKUP(A395,Journal!$A$7:$F$70,6),VLOOKUP(A395,Journal!$A$7:M$70,9),0)</f>
        <v>0</v>
      </c>
      <c r="U395" s="125">
        <f>IF(H$2=VLOOKUP(A395,Journal!$A$7:$G$70,7),VLOOKUP(A395,Journal!$A$7:M$70,9),0)</f>
        <v>0</v>
      </c>
      <c r="V395" s="125">
        <f t="shared" si="47"/>
        <v>40</v>
      </c>
      <c r="X395">
        <f t="shared" si="44"/>
        <v>0</v>
      </c>
      <c r="Y395" s="143">
        <f t="shared" si="43"/>
        <v>-989.8684210526477</v>
      </c>
    </row>
    <row r="396" spans="1:25" x14ac:dyDescent="0.25">
      <c r="A396">
        <f t="shared" si="48"/>
        <v>389</v>
      </c>
      <c r="B396" s="88" t="str">
        <f>IF(OR(B395="Total",B395=""),"",IF(VLOOKUP(A396,Journal!$B$7:$E$84,4)=0,"Total",VLOOKUP(A396,Journal!$B$7:$D$84,3)))</f>
        <v/>
      </c>
      <c r="C396" s="86" t="str">
        <f>IF(B396="","",VLOOKUP(A396,Journal!$B$7:$E$84,4))</f>
        <v/>
      </c>
      <c r="D396" s="114" t="str">
        <f>IF(B396="","",VLOOKUP(A396,Journal!$B$7:$J$84,9))</f>
        <v/>
      </c>
      <c r="E396" s="116"/>
      <c r="F396" s="116"/>
      <c r="G396" s="115"/>
      <c r="H396" s="84" t="str">
        <f>IF(B396="","",VLOOKUP(A396,Journal!$B$7:$L$84,11))</f>
        <v/>
      </c>
      <c r="I396" s="84" t="str">
        <f>IF(B396="","",VLOOKUP(A396,Journal!$B$7:$M$84,12))</f>
        <v/>
      </c>
      <c r="J396" s="105">
        <f>IF(B396="Total",SUM(J$8:J395)+0.0001,IF(OR(B396="",I$2=I396),0,VLOOKUP(A396,Journal!$B$7:M$84,8)))</f>
        <v>0</v>
      </c>
      <c r="K396" s="102">
        <f>IF(B396="Total",SUM(K$8:K395)+0.0001,IF(OR(B396="",J396&lt;&gt;0),0,VLOOKUP(A396,Journal!$B$7:M$84,8)))</f>
        <v>0</v>
      </c>
      <c r="L396" s="87">
        <f t="shared" si="42"/>
        <v>0</v>
      </c>
      <c r="P396">
        <f t="shared" si="45"/>
        <v>1.0000000000000001E-5</v>
      </c>
      <c r="R396" s="15">
        <f t="shared" si="46"/>
        <v>389</v>
      </c>
      <c r="S396" s="126">
        <f>IF(VLOOKUP(A396,Journal!$A$7:$E$70,5)=0,S395+1,VLOOKUP(A396,Journal!$A$7:$E$70,5))</f>
        <v>46046</v>
      </c>
      <c r="T396" s="125">
        <f>IF(H$2=VLOOKUP(A396,Journal!$A$7:$F$70,6),VLOOKUP(A396,Journal!$A$7:M$70,9),0)</f>
        <v>0</v>
      </c>
      <c r="U396" s="125">
        <f>IF(H$2=VLOOKUP(A396,Journal!$A$7:$G$70,7),VLOOKUP(A396,Journal!$A$7:M$70,9),0)</f>
        <v>0</v>
      </c>
      <c r="V396" s="125">
        <f t="shared" si="47"/>
        <v>40</v>
      </c>
      <c r="X396">
        <f t="shared" si="44"/>
        <v>0</v>
      </c>
      <c r="Y396" s="143">
        <f t="shared" si="43"/>
        <v>-989.84210526317406</v>
      </c>
    </row>
    <row r="397" spans="1:25" x14ac:dyDescent="0.25">
      <c r="A397">
        <f t="shared" si="48"/>
        <v>390</v>
      </c>
      <c r="B397" s="88" t="str">
        <f>IF(OR(B396="Total",B396=""),"",IF(VLOOKUP(A397,Journal!$B$7:$E$84,4)=0,"Total",VLOOKUP(A397,Journal!$B$7:$D$84,3)))</f>
        <v/>
      </c>
      <c r="C397" s="86" t="str">
        <f>IF(B397="","",VLOOKUP(A397,Journal!$B$7:$E$84,4))</f>
        <v/>
      </c>
      <c r="D397" s="114" t="str">
        <f>IF(B397="","",VLOOKUP(A397,Journal!$B$7:$J$84,9))</f>
        <v/>
      </c>
      <c r="E397" s="116"/>
      <c r="F397" s="116"/>
      <c r="G397" s="115"/>
      <c r="H397" s="84" t="str">
        <f>IF(B397="","",VLOOKUP(A397,Journal!$B$7:$L$84,11))</f>
        <v/>
      </c>
      <c r="I397" s="84" t="str">
        <f>IF(B397="","",VLOOKUP(A397,Journal!$B$7:$M$84,12))</f>
        <v/>
      </c>
      <c r="J397" s="105">
        <f>IF(B397="Total",SUM(J$8:J396)+0.0001,IF(OR(B397="",I$2=I397),0,VLOOKUP(A397,Journal!$B$7:M$84,8)))</f>
        <v>0</v>
      </c>
      <c r="K397" s="102">
        <f>IF(B397="Total",SUM(K$8:K396)+0.0001,IF(OR(B397="",J397&lt;&gt;0),0,VLOOKUP(A397,Journal!$B$7:M$84,8)))</f>
        <v>0</v>
      </c>
      <c r="L397" s="87">
        <f t="shared" si="42"/>
        <v>0</v>
      </c>
      <c r="P397">
        <f t="shared" si="45"/>
        <v>1.0000000000000001E-5</v>
      </c>
      <c r="R397" s="15">
        <f t="shared" si="46"/>
        <v>390</v>
      </c>
      <c r="S397" s="126">
        <f>IF(VLOOKUP(A397,Journal!$A$7:$E$70,5)=0,S396+1,VLOOKUP(A397,Journal!$A$7:$E$70,5))</f>
        <v>46047</v>
      </c>
      <c r="T397" s="125">
        <f>IF(H$2=VLOOKUP(A397,Journal!$A$7:$F$70,6),VLOOKUP(A397,Journal!$A$7:M$70,9),0)</f>
        <v>0</v>
      </c>
      <c r="U397" s="125">
        <f>IF(H$2=VLOOKUP(A397,Journal!$A$7:$G$70,7),VLOOKUP(A397,Journal!$A$7:M$70,9),0)</f>
        <v>0</v>
      </c>
      <c r="V397" s="125">
        <f t="shared" si="47"/>
        <v>40</v>
      </c>
      <c r="X397">
        <f t="shared" si="44"/>
        <v>0</v>
      </c>
      <c r="Y397" s="143">
        <f t="shared" si="43"/>
        <v>-989.81578947370042</v>
      </c>
    </row>
    <row r="398" spans="1:25" x14ac:dyDescent="0.25">
      <c r="A398">
        <f t="shared" si="48"/>
        <v>391</v>
      </c>
      <c r="B398" s="88" t="str">
        <f>IF(OR(B397="Total",B397=""),"",IF(VLOOKUP(A398,Journal!$B$7:$E$84,4)=0,"Total",VLOOKUP(A398,Journal!$B$7:$D$84,3)))</f>
        <v/>
      </c>
      <c r="C398" s="86" t="str">
        <f>IF(B398="","",VLOOKUP(A398,Journal!$B$7:$E$84,4))</f>
        <v/>
      </c>
      <c r="D398" s="114" t="str">
        <f>IF(B398="","",VLOOKUP(A398,Journal!$B$7:$J$84,9))</f>
        <v/>
      </c>
      <c r="E398" s="116"/>
      <c r="F398" s="116"/>
      <c r="G398" s="115"/>
      <c r="H398" s="84" t="str">
        <f>IF(B398="","",VLOOKUP(A398,Journal!$B$7:$L$84,11))</f>
        <v/>
      </c>
      <c r="I398" s="84" t="str">
        <f>IF(B398="","",VLOOKUP(A398,Journal!$B$7:$M$84,12))</f>
        <v/>
      </c>
      <c r="J398" s="105">
        <f>IF(B398="Total",SUM(J$8:J397)+0.0001,IF(OR(B398="",I$2=I398),0,VLOOKUP(A398,Journal!$B$7:M$84,8)))</f>
        <v>0</v>
      </c>
      <c r="K398" s="102">
        <f>IF(B398="Total",SUM(K$8:K397)+0.0001,IF(OR(B398="",J398&lt;&gt;0),0,VLOOKUP(A398,Journal!$B$7:M$84,8)))</f>
        <v>0</v>
      </c>
      <c r="L398" s="87">
        <f t="shared" si="42"/>
        <v>0</v>
      </c>
      <c r="P398">
        <f t="shared" si="45"/>
        <v>1.0000000000000001E-5</v>
      </c>
      <c r="R398" s="15">
        <f t="shared" si="46"/>
        <v>391</v>
      </c>
      <c r="S398" s="126">
        <f>IF(VLOOKUP(A398,Journal!$A$7:$E$70,5)=0,S397+1,VLOOKUP(A398,Journal!$A$7:$E$70,5))</f>
        <v>46048</v>
      </c>
      <c r="T398" s="125">
        <f>IF(H$2=VLOOKUP(A398,Journal!$A$7:$F$70,6),VLOOKUP(A398,Journal!$A$7:M$70,9),0)</f>
        <v>0</v>
      </c>
      <c r="U398" s="125">
        <f>IF(H$2=VLOOKUP(A398,Journal!$A$7:$G$70,7),VLOOKUP(A398,Journal!$A$7:M$70,9),0)</f>
        <v>0</v>
      </c>
      <c r="V398" s="125">
        <f t="shared" si="47"/>
        <v>40</v>
      </c>
      <c r="X398">
        <f t="shared" si="44"/>
        <v>0</v>
      </c>
      <c r="Y398" s="143">
        <f t="shared" si="43"/>
        <v>-989.78947368422678</v>
      </c>
    </row>
    <row r="399" spans="1:25" x14ac:dyDescent="0.25">
      <c r="A399">
        <f t="shared" si="48"/>
        <v>392</v>
      </c>
      <c r="B399" s="88" t="str">
        <f>IF(OR(B398="Total",B398=""),"",IF(VLOOKUP(A399,Journal!$B$7:$E$84,4)=0,"Total",VLOOKUP(A399,Journal!$B$7:$D$84,3)))</f>
        <v/>
      </c>
      <c r="C399" s="86" t="str">
        <f>IF(B399="","",VLOOKUP(A399,Journal!$B$7:$E$84,4))</f>
        <v/>
      </c>
      <c r="D399" s="114" t="str">
        <f>IF(B399="","",VLOOKUP(A399,Journal!$B$7:$J$84,9))</f>
        <v/>
      </c>
      <c r="E399" s="116"/>
      <c r="F399" s="116"/>
      <c r="G399" s="115"/>
      <c r="H399" s="84" t="str">
        <f>IF(B399="","",VLOOKUP(A399,Journal!$B$7:$L$84,11))</f>
        <v/>
      </c>
      <c r="I399" s="84" t="str">
        <f>IF(B399="","",VLOOKUP(A399,Journal!$B$7:$M$84,12))</f>
        <v/>
      </c>
      <c r="J399" s="105">
        <f>IF(B399="Total",SUM(J$8:J398)+0.0001,IF(OR(B399="",I$2=I399),0,VLOOKUP(A399,Journal!$B$7:M$84,8)))</f>
        <v>0</v>
      </c>
      <c r="K399" s="102">
        <f>IF(B399="Total",SUM(K$8:K398)+0.0001,IF(OR(B399="",J399&lt;&gt;0),0,VLOOKUP(A399,Journal!$B$7:M$84,8)))</f>
        <v>0</v>
      </c>
      <c r="L399" s="87">
        <f t="shared" si="42"/>
        <v>0</v>
      </c>
      <c r="P399">
        <f t="shared" si="45"/>
        <v>1.0000000000000001E-5</v>
      </c>
      <c r="R399" s="15">
        <f t="shared" si="46"/>
        <v>392</v>
      </c>
      <c r="S399" s="126">
        <f>IF(VLOOKUP(A399,Journal!$A$7:$E$70,5)=0,S398+1,VLOOKUP(A399,Journal!$A$7:$E$70,5))</f>
        <v>46049</v>
      </c>
      <c r="T399" s="125">
        <f>IF(H$2=VLOOKUP(A399,Journal!$A$7:$F$70,6),VLOOKUP(A399,Journal!$A$7:M$70,9),0)</f>
        <v>0</v>
      </c>
      <c r="U399" s="125">
        <f>IF(H$2=VLOOKUP(A399,Journal!$A$7:$G$70,7),VLOOKUP(A399,Journal!$A$7:M$70,9),0)</f>
        <v>0</v>
      </c>
      <c r="V399" s="125">
        <f t="shared" si="47"/>
        <v>40</v>
      </c>
      <c r="X399">
        <f t="shared" si="44"/>
        <v>0</v>
      </c>
      <c r="Y399" s="143">
        <f t="shared" si="43"/>
        <v>-989.76315789475314</v>
      </c>
    </row>
    <row r="400" spans="1:25" x14ac:dyDescent="0.25">
      <c r="A400">
        <f t="shared" si="48"/>
        <v>393</v>
      </c>
      <c r="B400" s="88" t="str">
        <f>IF(OR(B399="Total",B399=""),"",IF(VLOOKUP(A400,Journal!$B$7:$E$84,4)=0,"Total",VLOOKUP(A400,Journal!$B$7:$D$84,3)))</f>
        <v/>
      </c>
      <c r="C400" s="86" t="str">
        <f>IF(B400="","",VLOOKUP(A400,Journal!$B$7:$E$84,4))</f>
        <v/>
      </c>
      <c r="D400" s="114" t="str">
        <f>IF(B400="","",VLOOKUP(A400,Journal!$B$7:$J$84,9))</f>
        <v/>
      </c>
      <c r="E400" s="116"/>
      <c r="F400" s="116"/>
      <c r="G400" s="115"/>
      <c r="H400" s="84" t="str">
        <f>IF(B400="","",VLOOKUP(A400,Journal!$B$7:$L$84,11))</f>
        <v/>
      </c>
      <c r="I400" s="84" t="str">
        <f>IF(B400="","",VLOOKUP(A400,Journal!$B$7:$M$84,12))</f>
        <v/>
      </c>
      <c r="J400" s="105">
        <f>IF(B400="Total",SUM(J$8:J399)+0.0001,IF(OR(B400="",I$2=I400),0,VLOOKUP(A400,Journal!$B$7:M$84,8)))</f>
        <v>0</v>
      </c>
      <c r="K400" s="102">
        <f>IF(B400="Total",SUM(K$8:K399)+0.0001,IF(OR(B400="",J400&lt;&gt;0),0,VLOOKUP(A400,Journal!$B$7:M$84,8)))</f>
        <v>0</v>
      </c>
      <c r="L400" s="87">
        <f t="shared" si="42"/>
        <v>0</v>
      </c>
      <c r="P400">
        <f t="shared" si="45"/>
        <v>1.0000000000000001E-5</v>
      </c>
      <c r="R400" s="15">
        <f t="shared" si="46"/>
        <v>393</v>
      </c>
      <c r="S400" s="126">
        <f>IF(VLOOKUP(A400,Journal!$A$7:$E$70,5)=0,S399+1,VLOOKUP(A400,Journal!$A$7:$E$70,5))</f>
        <v>46050</v>
      </c>
      <c r="T400" s="125">
        <f>IF(H$2=VLOOKUP(A400,Journal!$A$7:$F$70,6),VLOOKUP(A400,Journal!$A$7:M$70,9),0)</f>
        <v>0</v>
      </c>
      <c r="U400" s="125">
        <f>IF(H$2=VLOOKUP(A400,Journal!$A$7:$G$70,7),VLOOKUP(A400,Journal!$A$7:M$70,9),0)</f>
        <v>0</v>
      </c>
      <c r="V400" s="125">
        <f t="shared" si="47"/>
        <v>40</v>
      </c>
      <c r="X400">
        <f t="shared" si="44"/>
        <v>0</v>
      </c>
      <c r="Y400" s="143">
        <f t="shared" si="43"/>
        <v>-989.73684210527949</v>
      </c>
    </row>
    <row r="401" spans="1:25" x14ac:dyDescent="0.25">
      <c r="A401">
        <f t="shared" si="48"/>
        <v>394</v>
      </c>
      <c r="B401" s="88" t="str">
        <f>IF(OR(B400="Total",B400=""),"",IF(VLOOKUP(A401,Journal!$B$7:$E$84,4)=0,"Total",VLOOKUP(A401,Journal!$B$7:$D$84,3)))</f>
        <v/>
      </c>
      <c r="C401" s="86" t="str">
        <f>IF(B401="","",VLOOKUP(A401,Journal!$B$7:$E$84,4))</f>
        <v/>
      </c>
      <c r="D401" s="114" t="str">
        <f>IF(B401="","",VLOOKUP(A401,Journal!$B$7:$J$84,9))</f>
        <v/>
      </c>
      <c r="E401" s="116"/>
      <c r="F401" s="116"/>
      <c r="G401" s="115"/>
      <c r="H401" s="84" t="str">
        <f>IF(B401="","",VLOOKUP(A401,Journal!$B$7:$L$84,11))</f>
        <v/>
      </c>
      <c r="I401" s="84" t="str">
        <f>IF(B401="","",VLOOKUP(A401,Journal!$B$7:$M$84,12))</f>
        <v/>
      </c>
      <c r="J401" s="105">
        <f>IF(B401="Total",SUM(J$8:J400)+0.0001,IF(OR(B401="",I$2=I401),0,VLOOKUP(A401,Journal!$B$7:M$84,8)))</f>
        <v>0</v>
      </c>
      <c r="K401" s="102">
        <f>IF(B401="Total",SUM(K$8:K400)+0.0001,IF(OR(B401="",J401&lt;&gt;0),0,VLOOKUP(A401,Journal!$B$7:M$84,8)))</f>
        <v>0</v>
      </c>
      <c r="L401" s="87">
        <f t="shared" si="42"/>
        <v>0</v>
      </c>
      <c r="P401">
        <f t="shared" si="45"/>
        <v>1.0000000000000001E-5</v>
      </c>
      <c r="R401" s="15">
        <f t="shared" si="46"/>
        <v>394</v>
      </c>
      <c r="S401" s="126">
        <f>IF(VLOOKUP(A401,Journal!$A$7:$E$70,5)=0,S400+1,VLOOKUP(A401,Journal!$A$7:$E$70,5))</f>
        <v>46051</v>
      </c>
      <c r="T401" s="125">
        <f>IF(H$2=VLOOKUP(A401,Journal!$A$7:$F$70,6),VLOOKUP(A401,Journal!$A$7:M$70,9),0)</f>
        <v>0</v>
      </c>
      <c r="U401" s="125">
        <f>IF(H$2=VLOOKUP(A401,Journal!$A$7:$G$70,7),VLOOKUP(A401,Journal!$A$7:M$70,9),0)</f>
        <v>0</v>
      </c>
      <c r="V401" s="125">
        <f t="shared" si="47"/>
        <v>40</v>
      </c>
      <c r="X401">
        <f t="shared" si="44"/>
        <v>0</v>
      </c>
      <c r="Y401" s="143">
        <f t="shared" si="43"/>
        <v>-989.71052631580585</v>
      </c>
    </row>
    <row r="402" spans="1:25" x14ac:dyDescent="0.25">
      <c r="A402">
        <f t="shared" si="48"/>
        <v>395</v>
      </c>
      <c r="B402" s="88" t="str">
        <f>IF(OR(B401="Total",B401=""),"",IF(VLOOKUP(A402,Journal!$B$7:$E$84,4)=0,"Total",VLOOKUP(A402,Journal!$B$7:$D$84,3)))</f>
        <v/>
      </c>
      <c r="C402" s="86" t="str">
        <f>IF(B402="","",VLOOKUP(A402,Journal!$B$7:$E$84,4))</f>
        <v/>
      </c>
      <c r="D402" s="114" t="str">
        <f>IF(B402="","",VLOOKUP(A402,Journal!$B$7:$J$84,9))</f>
        <v/>
      </c>
      <c r="E402" s="116"/>
      <c r="F402" s="116"/>
      <c r="G402" s="115"/>
      <c r="H402" s="84" t="str">
        <f>IF(B402="","",VLOOKUP(A402,Journal!$B$7:$L$84,11))</f>
        <v/>
      </c>
      <c r="I402" s="84" t="str">
        <f>IF(B402="","",VLOOKUP(A402,Journal!$B$7:$M$84,12))</f>
        <v/>
      </c>
      <c r="J402" s="105">
        <f>IF(B402="Total",SUM(J$8:J401)+0.0001,IF(OR(B402="",I$2=I402),0,VLOOKUP(A402,Journal!$B$7:M$84,8)))</f>
        <v>0</v>
      </c>
      <c r="K402" s="102">
        <f>IF(B402="Total",SUM(K$8:K401)+0.0001,IF(OR(B402="",J402&lt;&gt;0),0,VLOOKUP(A402,Journal!$B$7:M$84,8)))</f>
        <v>0</v>
      </c>
      <c r="L402" s="87">
        <f t="shared" si="42"/>
        <v>0</v>
      </c>
      <c r="P402">
        <f t="shared" si="45"/>
        <v>1.0000000000000001E-5</v>
      </c>
      <c r="R402" s="15">
        <f t="shared" si="46"/>
        <v>395</v>
      </c>
      <c r="S402" s="126">
        <f>IF(VLOOKUP(A402,Journal!$A$7:$E$70,5)=0,S401+1,VLOOKUP(A402,Journal!$A$7:$E$70,5))</f>
        <v>46052</v>
      </c>
      <c r="T402" s="125">
        <f>IF(H$2=VLOOKUP(A402,Journal!$A$7:$F$70,6),VLOOKUP(A402,Journal!$A$7:M$70,9),0)</f>
        <v>0</v>
      </c>
      <c r="U402" s="125">
        <f>IF(H$2=VLOOKUP(A402,Journal!$A$7:$G$70,7),VLOOKUP(A402,Journal!$A$7:M$70,9),0)</f>
        <v>0</v>
      </c>
      <c r="V402" s="125">
        <f t="shared" si="47"/>
        <v>40</v>
      </c>
      <c r="X402">
        <f t="shared" si="44"/>
        <v>0</v>
      </c>
      <c r="Y402" s="143">
        <f t="shared" si="43"/>
        <v>-989.68421052633221</v>
      </c>
    </row>
    <row r="403" spans="1:25" x14ac:dyDescent="0.25">
      <c r="A403">
        <f t="shared" si="48"/>
        <v>396</v>
      </c>
      <c r="B403" s="88" t="str">
        <f>IF(OR(B402="Total",B402=""),"",IF(VLOOKUP(A403,Journal!$B$7:$E$84,4)=0,"Total",VLOOKUP(A403,Journal!$B$7:$D$84,3)))</f>
        <v/>
      </c>
      <c r="C403" s="86" t="str">
        <f>IF(B403="","",VLOOKUP(A403,Journal!$B$7:$E$84,4))</f>
        <v/>
      </c>
      <c r="D403" s="114" t="str">
        <f>IF(B403="","",VLOOKUP(A403,Journal!$B$7:$J$84,9))</f>
        <v/>
      </c>
      <c r="E403" s="116"/>
      <c r="F403" s="116"/>
      <c r="G403" s="115"/>
      <c r="H403" s="84" t="str">
        <f>IF(B403="","",VLOOKUP(A403,Journal!$B$7:$L$84,11))</f>
        <v/>
      </c>
      <c r="I403" s="84" t="str">
        <f>IF(B403="","",VLOOKUP(A403,Journal!$B$7:$M$84,12))</f>
        <v/>
      </c>
      <c r="J403" s="105">
        <f>IF(B403="Total",SUM(J$8:J402)+0.0001,IF(OR(B403="",I$2=I403),0,VLOOKUP(A403,Journal!$B$7:M$84,8)))</f>
        <v>0</v>
      </c>
      <c r="K403" s="102">
        <f>IF(B403="Total",SUM(K$8:K402)+0.0001,IF(OR(B403="",J403&lt;&gt;0),0,VLOOKUP(A403,Journal!$B$7:M$84,8)))</f>
        <v>0</v>
      </c>
      <c r="L403" s="87">
        <f t="shared" si="42"/>
        <v>0</v>
      </c>
      <c r="P403">
        <f t="shared" si="45"/>
        <v>1.0000000000000001E-5</v>
      </c>
      <c r="R403" s="15">
        <f t="shared" si="46"/>
        <v>396</v>
      </c>
      <c r="S403" s="126">
        <f>IF(VLOOKUP(A403,Journal!$A$7:$E$70,5)=0,S402+1,VLOOKUP(A403,Journal!$A$7:$E$70,5))</f>
        <v>46053</v>
      </c>
      <c r="T403" s="125">
        <f>IF(H$2=VLOOKUP(A403,Journal!$A$7:$F$70,6),VLOOKUP(A403,Journal!$A$7:M$70,9),0)</f>
        <v>0</v>
      </c>
      <c r="U403" s="125">
        <f>IF(H$2=VLOOKUP(A403,Journal!$A$7:$G$70,7),VLOOKUP(A403,Journal!$A$7:M$70,9),0)</f>
        <v>0</v>
      </c>
      <c r="V403" s="125">
        <f t="shared" si="47"/>
        <v>40</v>
      </c>
      <c r="X403">
        <f t="shared" si="44"/>
        <v>0</v>
      </c>
      <c r="Y403" s="143">
        <f t="shared" si="43"/>
        <v>-989.65789473685857</v>
      </c>
    </row>
    <row r="404" spans="1:25" x14ac:dyDescent="0.25">
      <c r="A404">
        <f t="shared" si="48"/>
        <v>397</v>
      </c>
      <c r="B404" s="88" t="str">
        <f>IF(OR(B403="Total",B403=""),"",IF(VLOOKUP(A404,Journal!$B$7:$E$84,4)=0,"Total",VLOOKUP(A404,Journal!$B$7:$D$84,3)))</f>
        <v/>
      </c>
      <c r="C404" s="86" t="str">
        <f>IF(B404="","",VLOOKUP(A404,Journal!$B$7:$E$84,4))</f>
        <v/>
      </c>
      <c r="D404" s="114" t="str">
        <f>IF(B404="","",VLOOKUP(A404,Journal!$B$7:$J$84,9))</f>
        <v/>
      </c>
      <c r="E404" s="116"/>
      <c r="F404" s="116"/>
      <c r="G404" s="115"/>
      <c r="H404" s="84" t="str">
        <f>IF(B404="","",VLOOKUP(A404,Journal!$B$7:$L$84,11))</f>
        <v/>
      </c>
      <c r="I404" s="84" t="str">
        <f>IF(B404="","",VLOOKUP(A404,Journal!$B$7:$M$84,12))</f>
        <v/>
      </c>
      <c r="J404" s="105">
        <f>IF(B404="Total",SUM(J$8:J403)+0.0001,IF(OR(B404="",I$2=I404),0,VLOOKUP(A404,Journal!$B$7:M$84,8)))</f>
        <v>0</v>
      </c>
      <c r="K404" s="102">
        <f>IF(B404="Total",SUM(K$8:K403)+0.0001,IF(OR(B404="",J404&lt;&gt;0),0,VLOOKUP(A404,Journal!$B$7:M$84,8)))</f>
        <v>0</v>
      </c>
      <c r="L404" s="87">
        <f t="shared" si="42"/>
        <v>0</v>
      </c>
      <c r="P404">
        <f t="shared" si="45"/>
        <v>1.0000000000000001E-5</v>
      </c>
      <c r="R404" s="15">
        <f t="shared" si="46"/>
        <v>397</v>
      </c>
      <c r="S404" s="126">
        <f>IF(VLOOKUP(A404,Journal!$A$7:$E$70,5)=0,S403+1,VLOOKUP(A404,Journal!$A$7:$E$70,5))</f>
        <v>46054</v>
      </c>
      <c r="T404" s="125">
        <f>IF(H$2=VLOOKUP(A404,Journal!$A$7:$F$70,6),VLOOKUP(A404,Journal!$A$7:M$70,9),0)</f>
        <v>0</v>
      </c>
      <c r="U404" s="125">
        <f>IF(H$2=VLOOKUP(A404,Journal!$A$7:$G$70,7),VLOOKUP(A404,Journal!$A$7:M$70,9),0)</f>
        <v>0</v>
      </c>
      <c r="V404" s="125">
        <f t="shared" si="47"/>
        <v>40</v>
      </c>
      <c r="X404">
        <f t="shared" si="44"/>
        <v>0</v>
      </c>
      <c r="Y404" s="143">
        <f t="shared" si="43"/>
        <v>-989.63157894738492</v>
      </c>
    </row>
    <row r="405" spans="1:25" x14ac:dyDescent="0.25">
      <c r="A405">
        <f t="shared" si="48"/>
        <v>398</v>
      </c>
      <c r="B405" s="88" t="str">
        <f>IF(OR(B404="Total",B404=""),"",IF(VLOOKUP(A405,Journal!$B$7:$E$84,4)=0,"Total",VLOOKUP(A405,Journal!$B$7:$D$84,3)))</f>
        <v/>
      </c>
      <c r="C405" s="86" t="str">
        <f>IF(B405="","",VLOOKUP(A405,Journal!$B$7:$E$84,4))</f>
        <v/>
      </c>
      <c r="D405" s="114" t="str">
        <f>IF(B405="","",VLOOKUP(A405,Journal!$B$7:$J$84,9))</f>
        <v/>
      </c>
      <c r="E405" s="116"/>
      <c r="F405" s="116"/>
      <c r="G405" s="115"/>
      <c r="H405" s="84" t="str">
        <f>IF(B405="","",VLOOKUP(A405,Journal!$B$7:$L$84,11))</f>
        <v/>
      </c>
      <c r="I405" s="84" t="str">
        <f>IF(B405="","",VLOOKUP(A405,Journal!$B$7:$M$84,12))</f>
        <v/>
      </c>
      <c r="J405" s="105">
        <f>IF(B405="Total",SUM(J$8:J404)+0.0001,IF(OR(B405="",I$2=I405),0,VLOOKUP(A405,Journal!$B$7:M$84,8)))</f>
        <v>0</v>
      </c>
      <c r="K405" s="102">
        <f>IF(B405="Total",SUM(K$8:K404)+0.0001,IF(OR(B405="",J405&lt;&gt;0),0,VLOOKUP(A405,Journal!$B$7:M$84,8)))</f>
        <v>0</v>
      </c>
      <c r="L405" s="87">
        <f t="shared" si="42"/>
        <v>0</v>
      </c>
      <c r="P405">
        <f t="shared" si="45"/>
        <v>1.0000000000000001E-5</v>
      </c>
      <c r="R405" s="15">
        <f t="shared" si="46"/>
        <v>398</v>
      </c>
      <c r="S405" s="126">
        <f>IF(VLOOKUP(A405,Journal!$A$7:$E$70,5)=0,S404+1,VLOOKUP(A405,Journal!$A$7:$E$70,5))</f>
        <v>46055</v>
      </c>
      <c r="T405" s="125">
        <f>IF(H$2=VLOOKUP(A405,Journal!$A$7:$F$70,6),VLOOKUP(A405,Journal!$A$7:M$70,9),0)</f>
        <v>0</v>
      </c>
      <c r="U405" s="125">
        <f>IF(H$2=VLOOKUP(A405,Journal!$A$7:$G$70,7),VLOOKUP(A405,Journal!$A$7:M$70,9),0)</f>
        <v>0</v>
      </c>
      <c r="V405" s="125">
        <f t="shared" si="47"/>
        <v>40</v>
      </c>
      <c r="X405">
        <f t="shared" si="44"/>
        <v>0</v>
      </c>
      <c r="Y405" s="143">
        <f t="shared" si="43"/>
        <v>-989.60526315791128</v>
      </c>
    </row>
    <row r="406" spans="1:25" x14ac:dyDescent="0.25">
      <c r="A406">
        <f t="shared" si="48"/>
        <v>399</v>
      </c>
      <c r="B406" s="88" t="str">
        <f>IF(OR(B405="Total",B405=""),"",IF(VLOOKUP(A406,Journal!$B$7:$E$84,4)=0,"Total",VLOOKUP(A406,Journal!$B$7:$D$84,3)))</f>
        <v/>
      </c>
      <c r="C406" s="86" t="str">
        <f>IF(B406="","",VLOOKUP(A406,Journal!$B$7:$E$84,4))</f>
        <v/>
      </c>
      <c r="D406" s="114" t="str">
        <f>IF(B406="","",VLOOKUP(A406,Journal!$B$7:$J$84,9))</f>
        <v/>
      </c>
      <c r="E406" s="116"/>
      <c r="F406" s="116"/>
      <c r="G406" s="115"/>
      <c r="H406" s="84" t="str">
        <f>IF(B406="","",VLOOKUP(A406,Journal!$B$7:$L$84,11))</f>
        <v/>
      </c>
      <c r="I406" s="84" t="str">
        <f>IF(B406="","",VLOOKUP(A406,Journal!$B$7:$M$84,12))</f>
        <v/>
      </c>
      <c r="J406" s="105">
        <f>IF(B406="Total",SUM(J$8:J405)+0.0001,IF(OR(B406="",I$2=I406),0,VLOOKUP(A406,Journal!$B$7:M$84,8)))</f>
        <v>0</v>
      </c>
      <c r="K406" s="102">
        <f>IF(B406="Total",SUM(K$8:K405)+0.0001,IF(OR(B406="",J406&lt;&gt;0),0,VLOOKUP(A406,Journal!$B$7:M$84,8)))</f>
        <v>0</v>
      </c>
      <c r="L406" s="87">
        <f t="shared" si="42"/>
        <v>0</v>
      </c>
      <c r="P406">
        <f t="shared" si="45"/>
        <v>1.0000000000000001E-5</v>
      </c>
      <c r="R406" s="15">
        <f t="shared" si="46"/>
        <v>399</v>
      </c>
      <c r="S406" s="126">
        <f>IF(VLOOKUP(A406,Journal!$A$7:$E$70,5)=0,S405+1,VLOOKUP(A406,Journal!$A$7:$E$70,5))</f>
        <v>46056</v>
      </c>
      <c r="T406" s="125">
        <f>IF(H$2=VLOOKUP(A406,Journal!$A$7:$F$70,6),VLOOKUP(A406,Journal!$A$7:M$70,9),0)</f>
        <v>0</v>
      </c>
      <c r="U406" s="125">
        <f>IF(H$2=VLOOKUP(A406,Journal!$A$7:$G$70,7),VLOOKUP(A406,Journal!$A$7:M$70,9),0)</f>
        <v>0</v>
      </c>
      <c r="V406" s="125">
        <f t="shared" si="47"/>
        <v>40</v>
      </c>
      <c r="X406">
        <f t="shared" si="44"/>
        <v>0</v>
      </c>
      <c r="Y406" s="143">
        <f t="shared" si="43"/>
        <v>-989.57894736843764</v>
      </c>
    </row>
    <row r="407" spans="1:25" x14ac:dyDescent="0.25">
      <c r="A407">
        <f t="shared" si="48"/>
        <v>400</v>
      </c>
      <c r="B407" s="88" t="str">
        <f>IF(OR(B406="Total",B406=""),"",IF(VLOOKUP(A407,Journal!$B$7:$E$84,4)=0,"Total",VLOOKUP(A407,Journal!$B$7:$D$84,3)))</f>
        <v/>
      </c>
      <c r="C407" s="86" t="str">
        <f>IF(B407="","",VLOOKUP(A407,Journal!$B$7:$E$84,4))</f>
        <v/>
      </c>
      <c r="D407" s="114" t="str">
        <f>IF(B407="","",VLOOKUP(A407,Journal!$B$7:$J$84,9))</f>
        <v/>
      </c>
      <c r="E407" s="116"/>
      <c r="F407" s="116"/>
      <c r="G407" s="115"/>
      <c r="H407" s="84" t="str">
        <f>IF(B407="","",VLOOKUP(A407,Journal!$B$7:$L$84,11))</f>
        <v/>
      </c>
      <c r="I407" s="84" t="str">
        <f>IF(B407="","",VLOOKUP(A407,Journal!$B$7:$M$84,12))</f>
        <v/>
      </c>
      <c r="J407" s="105">
        <f>IF(B407="Total",SUM(J$8:J406)+0.0001,IF(OR(B407="",I$2=I407),0,VLOOKUP(A407,Journal!$B$7:M$84,8)))</f>
        <v>0</v>
      </c>
      <c r="K407" s="102">
        <f>IF(B407="Total",SUM(K$8:K406)+0.0001,IF(OR(B407="",J407&lt;&gt;0),0,VLOOKUP(A407,Journal!$B$7:M$84,8)))</f>
        <v>0</v>
      </c>
      <c r="L407" s="87">
        <f t="shared" si="42"/>
        <v>0</v>
      </c>
      <c r="P407">
        <f t="shared" si="45"/>
        <v>1.0000000000000001E-5</v>
      </c>
      <c r="R407" s="15">
        <f t="shared" si="46"/>
        <v>400</v>
      </c>
      <c r="S407" s="126">
        <f>IF(VLOOKUP(A407,Journal!$A$7:$E$70,5)=0,S406+1,VLOOKUP(A407,Journal!$A$7:$E$70,5))</f>
        <v>46057</v>
      </c>
      <c r="T407" s="125">
        <f>IF(H$2=VLOOKUP(A407,Journal!$A$7:$F$70,6),VLOOKUP(A407,Journal!$A$7:M$70,9),0)</f>
        <v>0</v>
      </c>
      <c r="U407" s="125">
        <f>IF(H$2=VLOOKUP(A407,Journal!$A$7:$G$70,7),VLOOKUP(A407,Journal!$A$7:M$70,9),0)</f>
        <v>0</v>
      </c>
      <c r="V407" s="125">
        <f t="shared" si="47"/>
        <v>40</v>
      </c>
      <c r="X407">
        <f t="shared" si="44"/>
        <v>0</v>
      </c>
      <c r="Y407" s="143">
        <f t="shared" si="43"/>
        <v>-989.552631578964</v>
      </c>
    </row>
    <row r="408" spans="1:25" x14ac:dyDescent="0.25">
      <c r="A408">
        <f t="shared" si="48"/>
        <v>401</v>
      </c>
      <c r="B408" s="88" t="str">
        <f>IF(OR(B407="Total",B407=""),"",IF(VLOOKUP(A408,Journal!$B$7:$E$84,4)=0,"Total",VLOOKUP(A408,Journal!$B$7:$D$84,3)))</f>
        <v/>
      </c>
      <c r="C408" s="86" t="str">
        <f>IF(B408="","",VLOOKUP(A408,Journal!$B$7:$E$84,4))</f>
        <v/>
      </c>
      <c r="D408" s="114" t="str">
        <f>IF(B408="","",VLOOKUP(A408,Journal!$B$7:$J$84,9))</f>
        <v/>
      </c>
      <c r="E408" s="116"/>
      <c r="F408" s="116"/>
      <c r="G408" s="115"/>
      <c r="H408" s="84" t="str">
        <f>IF(B408="","",VLOOKUP(A408,Journal!$B$7:$L$84,11))</f>
        <v/>
      </c>
      <c r="I408" s="84" t="str">
        <f>IF(B408="","",VLOOKUP(A408,Journal!$B$7:$M$84,12))</f>
        <v/>
      </c>
      <c r="J408" s="105">
        <f>IF(B408="Total",SUM(J$8:J407)+0.0001,IF(OR(B408="",I$2=I408),0,VLOOKUP(A408,Journal!$B$7:M$84,8)))</f>
        <v>0</v>
      </c>
      <c r="K408" s="102">
        <f>IF(B408="Total",SUM(K$8:K407)+0.0001,IF(OR(B408="",J408&lt;&gt;0),0,VLOOKUP(A408,Journal!$B$7:M$84,8)))</f>
        <v>0</v>
      </c>
      <c r="L408" s="87">
        <f t="shared" si="42"/>
        <v>0</v>
      </c>
      <c r="P408">
        <f t="shared" si="45"/>
        <v>1.0000000000000001E-5</v>
      </c>
      <c r="R408" s="15">
        <f t="shared" si="46"/>
        <v>401</v>
      </c>
      <c r="S408" s="126">
        <f>IF(VLOOKUP(A408,Journal!$A$7:$E$70,5)=0,S407+1,VLOOKUP(A408,Journal!$A$7:$E$70,5))</f>
        <v>46058</v>
      </c>
      <c r="T408" s="125">
        <f>IF(H$2=VLOOKUP(A408,Journal!$A$7:$F$70,6),VLOOKUP(A408,Journal!$A$7:M$70,9),0)</f>
        <v>0</v>
      </c>
      <c r="U408" s="125">
        <f>IF(H$2=VLOOKUP(A408,Journal!$A$7:$G$70,7),VLOOKUP(A408,Journal!$A$7:M$70,9),0)</f>
        <v>0</v>
      </c>
      <c r="V408" s="125">
        <f t="shared" si="47"/>
        <v>40</v>
      </c>
      <c r="X408">
        <f t="shared" si="44"/>
        <v>0</v>
      </c>
      <c r="Y408" s="143">
        <f t="shared" si="43"/>
        <v>-989.52631578949035</v>
      </c>
    </row>
    <row r="409" spans="1:25" x14ac:dyDescent="0.25">
      <c r="A409">
        <f t="shared" si="48"/>
        <v>402</v>
      </c>
      <c r="B409" s="88" t="str">
        <f>IF(OR(B408="Total",B408=""),"",IF(VLOOKUP(A409,Journal!$B$7:$E$84,4)=0,"Total",VLOOKUP(A409,Journal!$B$7:$D$84,3)))</f>
        <v/>
      </c>
      <c r="C409" s="86" t="str">
        <f>IF(B409="","",VLOOKUP(A409,Journal!$B$7:$E$84,4))</f>
        <v/>
      </c>
      <c r="D409" s="114" t="str">
        <f>IF(B409="","",VLOOKUP(A409,Journal!$B$7:$J$84,9))</f>
        <v/>
      </c>
      <c r="E409" s="116"/>
      <c r="F409" s="116"/>
      <c r="G409" s="115"/>
      <c r="H409" s="84" t="str">
        <f>IF(B409="","",VLOOKUP(A409,Journal!$B$7:$L$84,11))</f>
        <v/>
      </c>
      <c r="I409" s="84" t="str">
        <f>IF(B409="","",VLOOKUP(A409,Journal!$B$7:$M$84,12))</f>
        <v/>
      </c>
      <c r="J409" s="105">
        <f>IF(B409="Total",SUM(J$8:J408)+0.0001,IF(OR(B409="",I$2=I409),0,VLOOKUP(A409,Journal!$B$7:M$84,8)))</f>
        <v>0</v>
      </c>
      <c r="K409" s="102">
        <f>IF(B409="Total",SUM(K$8:K408)+0.0001,IF(OR(B409="",J409&lt;&gt;0),0,VLOOKUP(A409,Journal!$B$7:M$84,8)))</f>
        <v>0</v>
      </c>
      <c r="L409" s="87">
        <f t="shared" si="42"/>
        <v>0</v>
      </c>
      <c r="P409">
        <f t="shared" si="45"/>
        <v>1.0000000000000001E-5</v>
      </c>
      <c r="R409" s="15">
        <f t="shared" si="46"/>
        <v>402</v>
      </c>
      <c r="S409" s="126">
        <f>IF(VLOOKUP(A409,Journal!$A$7:$E$70,5)=0,S408+1,VLOOKUP(A409,Journal!$A$7:$E$70,5))</f>
        <v>46059</v>
      </c>
      <c r="T409" s="125">
        <f>IF(H$2=VLOOKUP(A409,Journal!$A$7:$F$70,6),VLOOKUP(A409,Journal!$A$7:M$70,9),0)</f>
        <v>0</v>
      </c>
      <c r="U409" s="125">
        <f>IF(H$2=VLOOKUP(A409,Journal!$A$7:$G$70,7),VLOOKUP(A409,Journal!$A$7:M$70,9),0)</f>
        <v>0</v>
      </c>
      <c r="V409" s="125">
        <f t="shared" si="47"/>
        <v>40</v>
      </c>
      <c r="X409">
        <f t="shared" si="44"/>
        <v>0</v>
      </c>
      <c r="Y409" s="143">
        <f t="shared" si="43"/>
        <v>-989.50000000001671</v>
      </c>
    </row>
    <row r="410" spans="1:25" x14ac:dyDescent="0.25">
      <c r="A410">
        <f t="shared" si="48"/>
        <v>403</v>
      </c>
      <c r="B410" s="88" t="str">
        <f>IF(OR(B409="Total",B409=""),"",IF(VLOOKUP(A410,Journal!$B$7:$E$84,4)=0,"Total",VLOOKUP(A410,Journal!$B$7:$D$84,3)))</f>
        <v/>
      </c>
      <c r="C410" s="86" t="str">
        <f>IF(B410="","",VLOOKUP(A410,Journal!$B$7:$E$84,4))</f>
        <v/>
      </c>
      <c r="D410" s="114" t="str">
        <f>IF(B410="","",VLOOKUP(A410,Journal!$B$7:$J$84,9))</f>
        <v/>
      </c>
      <c r="E410" s="116"/>
      <c r="F410" s="116"/>
      <c r="G410" s="115"/>
      <c r="H410" s="84" t="str">
        <f>IF(B410="","",VLOOKUP(A410,Journal!$B$7:$L$84,11))</f>
        <v/>
      </c>
      <c r="I410" s="84" t="str">
        <f>IF(B410="","",VLOOKUP(A410,Journal!$B$7:$M$84,12))</f>
        <v/>
      </c>
      <c r="J410" s="105">
        <f>IF(B410="Total",SUM(J$8:J409)+0.0001,IF(OR(B410="",I$2=I410),0,VLOOKUP(A410,Journal!$B$7:M$84,8)))</f>
        <v>0</v>
      </c>
      <c r="K410" s="102">
        <f>IF(B410="Total",SUM(K$8:K409)+0.0001,IF(OR(B410="",J410&lt;&gt;0),0,VLOOKUP(A410,Journal!$B$7:M$84,8)))</f>
        <v>0</v>
      </c>
      <c r="L410" s="87">
        <f t="shared" si="42"/>
        <v>0</v>
      </c>
      <c r="P410">
        <f t="shared" si="45"/>
        <v>1.0000000000000001E-5</v>
      </c>
      <c r="R410" s="15">
        <f t="shared" si="46"/>
        <v>403</v>
      </c>
      <c r="S410" s="126">
        <f>IF(VLOOKUP(A410,Journal!$A$7:$E$70,5)=0,S409+1,VLOOKUP(A410,Journal!$A$7:$E$70,5))</f>
        <v>46060</v>
      </c>
      <c r="T410" s="125">
        <f>IF(H$2=VLOOKUP(A410,Journal!$A$7:$F$70,6),VLOOKUP(A410,Journal!$A$7:M$70,9),0)</f>
        <v>0</v>
      </c>
      <c r="U410" s="125">
        <f>IF(H$2=VLOOKUP(A410,Journal!$A$7:$G$70,7),VLOOKUP(A410,Journal!$A$7:M$70,9),0)</f>
        <v>0</v>
      </c>
      <c r="V410" s="125">
        <f t="shared" si="47"/>
        <v>40</v>
      </c>
      <c r="X410">
        <f t="shared" si="44"/>
        <v>0</v>
      </c>
      <c r="Y410" s="143">
        <f t="shared" si="43"/>
        <v>-989.47368421054307</v>
      </c>
    </row>
    <row r="411" spans="1:25" x14ac:dyDescent="0.25">
      <c r="A411">
        <f t="shared" si="48"/>
        <v>404</v>
      </c>
      <c r="B411" s="88" t="str">
        <f>IF(OR(B410="Total",B410=""),"",IF(VLOOKUP(A411,Journal!$B$7:$E$84,4)=0,"Total",VLOOKUP(A411,Journal!$B$7:$D$84,3)))</f>
        <v/>
      </c>
      <c r="C411" s="86" t="str">
        <f>IF(B411="","",VLOOKUP(A411,Journal!$B$7:$E$84,4))</f>
        <v/>
      </c>
      <c r="D411" s="114" t="str">
        <f>IF(B411="","",VLOOKUP(A411,Journal!$B$7:$J$84,9))</f>
        <v/>
      </c>
      <c r="E411" s="116"/>
      <c r="F411" s="116"/>
      <c r="G411" s="115"/>
      <c r="H411" s="84" t="str">
        <f>IF(B411="","",VLOOKUP(A411,Journal!$B$7:$L$84,11))</f>
        <v/>
      </c>
      <c r="I411" s="84" t="str">
        <f>IF(B411="","",VLOOKUP(A411,Journal!$B$7:$M$84,12))</f>
        <v/>
      </c>
      <c r="J411" s="105">
        <f>IF(B411="Total",SUM(J$8:J410)+0.0001,IF(OR(B411="",I$2=I411),0,VLOOKUP(A411,Journal!$B$7:M$84,8)))</f>
        <v>0</v>
      </c>
      <c r="K411" s="102">
        <f>IF(B411="Total",SUM(K$8:K410)+0.0001,IF(OR(B411="",J411&lt;&gt;0),0,VLOOKUP(A411,Journal!$B$7:M$84,8)))</f>
        <v>0</v>
      </c>
      <c r="L411" s="87">
        <f t="shared" si="42"/>
        <v>0</v>
      </c>
      <c r="P411">
        <f t="shared" si="45"/>
        <v>1.0000000000000001E-5</v>
      </c>
      <c r="R411" s="15">
        <f t="shared" si="46"/>
        <v>404</v>
      </c>
      <c r="S411" s="126">
        <f>IF(VLOOKUP(A411,Journal!$A$7:$E$70,5)=0,S410+1,VLOOKUP(A411,Journal!$A$7:$E$70,5))</f>
        <v>46061</v>
      </c>
      <c r="T411" s="125">
        <f>IF(H$2=VLOOKUP(A411,Journal!$A$7:$F$70,6),VLOOKUP(A411,Journal!$A$7:M$70,9),0)</f>
        <v>0</v>
      </c>
      <c r="U411" s="125">
        <f>IF(H$2=VLOOKUP(A411,Journal!$A$7:$G$70,7),VLOOKUP(A411,Journal!$A$7:M$70,9),0)</f>
        <v>0</v>
      </c>
      <c r="V411" s="125">
        <f t="shared" si="47"/>
        <v>40</v>
      </c>
      <c r="X411">
        <f t="shared" si="44"/>
        <v>0</v>
      </c>
      <c r="Y411" s="143">
        <f t="shared" si="43"/>
        <v>-989.44736842106943</v>
      </c>
    </row>
    <row r="412" spans="1:25" x14ac:dyDescent="0.25">
      <c r="A412">
        <f t="shared" si="48"/>
        <v>405</v>
      </c>
      <c r="B412" s="88" t="str">
        <f>IF(OR(B411="Total",B411=""),"",IF(VLOOKUP(A412,Journal!$B$7:$E$84,4)=0,"Total",VLOOKUP(A412,Journal!$B$7:$D$84,3)))</f>
        <v/>
      </c>
      <c r="C412" s="86" t="str">
        <f>IF(B412="","",VLOOKUP(A412,Journal!$B$7:$E$84,4))</f>
        <v/>
      </c>
      <c r="D412" s="114" t="str">
        <f>IF(B412="","",VLOOKUP(A412,Journal!$B$7:$J$84,9))</f>
        <v/>
      </c>
      <c r="E412" s="116"/>
      <c r="F412" s="116"/>
      <c r="G412" s="115"/>
      <c r="H412" s="84" t="str">
        <f>IF(B412="","",VLOOKUP(A412,Journal!$B$7:$L$84,11))</f>
        <v/>
      </c>
      <c r="I412" s="84" t="str">
        <f>IF(B412="","",VLOOKUP(A412,Journal!$B$7:$M$84,12))</f>
        <v/>
      </c>
      <c r="J412" s="105">
        <f>IF(B412="Total",SUM(J$8:J411)+0.0001,IF(OR(B412="",I$2=I412),0,VLOOKUP(A412,Journal!$B$7:M$84,8)))</f>
        <v>0</v>
      </c>
      <c r="K412" s="102">
        <f>IF(B412="Total",SUM(K$8:K411)+0.0001,IF(OR(B412="",J412&lt;&gt;0),0,VLOOKUP(A412,Journal!$B$7:M$84,8)))</f>
        <v>0</v>
      </c>
      <c r="L412" s="87">
        <f t="shared" si="42"/>
        <v>0</v>
      </c>
      <c r="P412">
        <f t="shared" si="45"/>
        <v>1.0000000000000001E-5</v>
      </c>
      <c r="R412" s="15">
        <f t="shared" si="46"/>
        <v>405</v>
      </c>
      <c r="S412" s="126">
        <f>IF(VLOOKUP(A412,Journal!$A$7:$E$70,5)=0,S411+1,VLOOKUP(A412,Journal!$A$7:$E$70,5))</f>
        <v>46062</v>
      </c>
      <c r="T412" s="125">
        <f>IF(H$2=VLOOKUP(A412,Journal!$A$7:$F$70,6),VLOOKUP(A412,Journal!$A$7:M$70,9),0)</f>
        <v>0</v>
      </c>
      <c r="U412" s="125">
        <f>IF(H$2=VLOOKUP(A412,Journal!$A$7:$G$70,7),VLOOKUP(A412,Journal!$A$7:M$70,9),0)</f>
        <v>0</v>
      </c>
      <c r="V412" s="125">
        <f t="shared" si="47"/>
        <v>40</v>
      </c>
      <c r="X412">
        <f t="shared" si="44"/>
        <v>0</v>
      </c>
      <c r="Y412" s="143">
        <f t="shared" si="43"/>
        <v>-989.42105263159578</v>
      </c>
    </row>
    <row r="413" spans="1:25" x14ac:dyDescent="0.25">
      <c r="A413">
        <f t="shared" si="48"/>
        <v>406</v>
      </c>
      <c r="B413" s="88" t="str">
        <f>IF(OR(B412="Total",B412=""),"",IF(VLOOKUP(A413,Journal!$B$7:$E$84,4)=0,"Total",VLOOKUP(A413,Journal!$B$7:$D$84,3)))</f>
        <v/>
      </c>
      <c r="C413" s="86" t="str">
        <f>IF(B413="","",VLOOKUP(A413,Journal!$B$7:$E$84,4))</f>
        <v/>
      </c>
      <c r="D413" s="114" t="str">
        <f>IF(B413="","",VLOOKUP(A413,Journal!$B$7:$J$84,9))</f>
        <v/>
      </c>
      <c r="E413" s="116"/>
      <c r="F413" s="116"/>
      <c r="G413" s="115"/>
      <c r="H413" s="84" t="str">
        <f>IF(B413="","",VLOOKUP(A413,Journal!$B$7:$L$84,11))</f>
        <v/>
      </c>
      <c r="I413" s="84" t="str">
        <f>IF(B413="","",VLOOKUP(A413,Journal!$B$7:$M$84,12))</f>
        <v/>
      </c>
      <c r="J413" s="105">
        <f>IF(B413="Total",SUM(J$8:J412)+0.0001,IF(OR(B413="",I$2=I413),0,VLOOKUP(A413,Journal!$B$7:M$84,8)))</f>
        <v>0</v>
      </c>
      <c r="K413" s="102">
        <f>IF(B413="Total",SUM(K$8:K412)+0.0001,IF(OR(B413="",J413&lt;&gt;0),0,VLOOKUP(A413,Journal!$B$7:M$84,8)))</f>
        <v>0</v>
      </c>
      <c r="L413" s="87">
        <f t="shared" si="42"/>
        <v>0</v>
      </c>
      <c r="P413">
        <f t="shared" si="45"/>
        <v>1.0000000000000001E-5</v>
      </c>
      <c r="R413" s="15">
        <f t="shared" si="46"/>
        <v>406</v>
      </c>
      <c r="S413" s="126">
        <f>IF(VLOOKUP(A413,Journal!$A$7:$E$70,5)=0,S412+1,VLOOKUP(A413,Journal!$A$7:$E$70,5))</f>
        <v>46063</v>
      </c>
      <c r="T413" s="125">
        <f>IF(H$2=VLOOKUP(A413,Journal!$A$7:$F$70,6),VLOOKUP(A413,Journal!$A$7:M$70,9),0)</f>
        <v>0</v>
      </c>
      <c r="U413" s="125">
        <f>IF(H$2=VLOOKUP(A413,Journal!$A$7:$G$70,7),VLOOKUP(A413,Journal!$A$7:M$70,9),0)</f>
        <v>0</v>
      </c>
      <c r="V413" s="125">
        <f t="shared" si="47"/>
        <v>40</v>
      </c>
      <c r="X413">
        <f t="shared" si="44"/>
        <v>0</v>
      </c>
      <c r="Y413" s="143">
        <f t="shared" si="43"/>
        <v>-989.39473684212214</v>
      </c>
    </row>
    <row r="414" spans="1:25" x14ac:dyDescent="0.25">
      <c r="A414">
        <f t="shared" si="48"/>
        <v>407</v>
      </c>
      <c r="B414" s="88" t="str">
        <f>IF(OR(B413="Total",B413=""),"",IF(VLOOKUP(A414,Journal!$B$7:$E$84,4)=0,"Total",VLOOKUP(A414,Journal!$B$7:$D$84,3)))</f>
        <v/>
      </c>
      <c r="C414" s="86" t="str">
        <f>IF(B414="","",VLOOKUP(A414,Journal!$B$7:$E$84,4))</f>
        <v/>
      </c>
      <c r="D414" s="114" t="str">
        <f>IF(B414="","",VLOOKUP(A414,Journal!$B$7:$J$84,9))</f>
        <v/>
      </c>
      <c r="E414" s="116"/>
      <c r="F414" s="116"/>
      <c r="G414" s="115"/>
      <c r="H414" s="84" t="str">
        <f>IF(B414="","",VLOOKUP(A414,Journal!$B$7:$L$84,11))</f>
        <v/>
      </c>
      <c r="I414" s="84" t="str">
        <f>IF(B414="","",VLOOKUP(A414,Journal!$B$7:$M$84,12))</f>
        <v/>
      </c>
      <c r="J414" s="105">
        <f>IF(B414="Total",SUM(J$8:J413)+0.0001,IF(OR(B414="",I$2=I414),0,VLOOKUP(A414,Journal!$B$7:M$84,8)))</f>
        <v>0</v>
      </c>
      <c r="K414" s="102">
        <f>IF(B414="Total",SUM(K$8:K413)+0.0001,IF(OR(B414="",J414&lt;&gt;0),0,VLOOKUP(A414,Journal!$B$7:M$84,8)))</f>
        <v>0</v>
      </c>
      <c r="L414" s="87">
        <f t="shared" si="42"/>
        <v>0</v>
      </c>
      <c r="P414">
        <f t="shared" si="45"/>
        <v>1.0000000000000001E-5</v>
      </c>
      <c r="R414" s="15">
        <f t="shared" si="46"/>
        <v>407</v>
      </c>
      <c r="S414" s="126">
        <f>IF(VLOOKUP(A414,Journal!$A$7:$E$70,5)=0,S413+1,VLOOKUP(A414,Journal!$A$7:$E$70,5))</f>
        <v>46064</v>
      </c>
      <c r="T414" s="125">
        <f>IF(H$2=VLOOKUP(A414,Journal!$A$7:$F$70,6),VLOOKUP(A414,Journal!$A$7:M$70,9),0)</f>
        <v>0</v>
      </c>
      <c r="U414" s="125">
        <f>IF(H$2=VLOOKUP(A414,Journal!$A$7:$G$70,7),VLOOKUP(A414,Journal!$A$7:M$70,9),0)</f>
        <v>0</v>
      </c>
      <c r="V414" s="125">
        <f t="shared" si="47"/>
        <v>40</v>
      </c>
      <c r="X414">
        <f t="shared" si="44"/>
        <v>0</v>
      </c>
      <c r="Y414" s="143">
        <f t="shared" si="43"/>
        <v>-989.3684210526485</v>
      </c>
    </row>
    <row r="415" spans="1:25" x14ac:dyDescent="0.25">
      <c r="A415">
        <f t="shared" si="48"/>
        <v>408</v>
      </c>
      <c r="B415" s="88" t="str">
        <f>IF(OR(B414="Total",B414=""),"",IF(VLOOKUP(A415,Journal!$B$7:$E$84,4)=0,"Total",VLOOKUP(A415,Journal!$B$7:$D$84,3)))</f>
        <v/>
      </c>
      <c r="C415" s="86" t="str">
        <f>IF(B415="","",VLOOKUP(A415,Journal!$B$7:$E$84,4))</f>
        <v/>
      </c>
      <c r="D415" s="114" t="str">
        <f>IF(B415="","",VLOOKUP(A415,Journal!$B$7:$J$84,9))</f>
        <v/>
      </c>
      <c r="E415" s="116"/>
      <c r="F415" s="116"/>
      <c r="G415" s="115"/>
      <c r="H415" s="84" t="str">
        <f>IF(B415="","",VLOOKUP(A415,Journal!$B$7:$L$84,11))</f>
        <v/>
      </c>
      <c r="I415" s="84" t="str">
        <f>IF(B415="","",VLOOKUP(A415,Journal!$B$7:$M$84,12))</f>
        <v/>
      </c>
      <c r="J415" s="105">
        <f>IF(B415="Total",SUM(J$8:J414)+0.0001,IF(OR(B415="",I$2=I415),0,VLOOKUP(A415,Journal!$B$7:M$84,8)))</f>
        <v>0</v>
      </c>
      <c r="K415" s="102">
        <f>IF(B415="Total",SUM(K$8:K414)+0.0001,IF(OR(B415="",J415&lt;&gt;0),0,VLOOKUP(A415,Journal!$B$7:M$84,8)))</f>
        <v>0</v>
      </c>
      <c r="L415" s="87">
        <f t="shared" si="42"/>
        <v>0</v>
      </c>
      <c r="P415">
        <f t="shared" si="45"/>
        <v>1.0000000000000001E-5</v>
      </c>
      <c r="R415" s="15">
        <f t="shared" si="46"/>
        <v>408</v>
      </c>
      <c r="S415" s="126">
        <f>IF(VLOOKUP(A415,Journal!$A$7:$E$70,5)=0,S414+1,VLOOKUP(A415,Journal!$A$7:$E$70,5))</f>
        <v>46065</v>
      </c>
      <c r="T415" s="125">
        <f>IF(H$2=VLOOKUP(A415,Journal!$A$7:$F$70,6),VLOOKUP(A415,Journal!$A$7:M$70,9),0)</f>
        <v>0</v>
      </c>
      <c r="U415" s="125">
        <f>IF(H$2=VLOOKUP(A415,Journal!$A$7:$G$70,7),VLOOKUP(A415,Journal!$A$7:M$70,9),0)</f>
        <v>0</v>
      </c>
      <c r="V415" s="125">
        <f t="shared" si="47"/>
        <v>40</v>
      </c>
      <c r="X415">
        <f t="shared" si="44"/>
        <v>0</v>
      </c>
      <c r="Y415" s="143">
        <f t="shared" si="43"/>
        <v>-989.34210526317486</v>
      </c>
    </row>
    <row r="416" spans="1:25" x14ac:dyDescent="0.25">
      <c r="A416">
        <f t="shared" si="48"/>
        <v>409</v>
      </c>
      <c r="B416" s="88" t="str">
        <f>IF(OR(B415="Total",B415=""),"",IF(VLOOKUP(A416,Journal!$B$7:$E$84,4)=0,"Total",VLOOKUP(A416,Journal!$B$7:$D$84,3)))</f>
        <v/>
      </c>
      <c r="C416" s="86" t="str">
        <f>IF(B416="","",VLOOKUP(A416,Journal!$B$7:$E$84,4))</f>
        <v/>
      </c>
      <c r="D416" s="114" t="str">
        <f>IF(B416="","",VLOOKUP(A416,Journal!$B$7:$J$84,9))</f>
        <v/>
      </c>
      <c r="E416" s="116"/>
      <c r="F416" s="116"/>
      <c r="G416" s="115"/>
      <c r="H416" s="84" t="str">
        <f>IF(B416="","",VLOOKUP(A416,Journal!$B$7:$L$84,11))</f>
        <v/>
      </c>
      <c r="I416" s="84" t="str">
        <f>IF(B416="","",VLOOKUP(A416,Journal!$B$7:$M$84,12))</f>
        <v/>
      </c>
      <c r="J416" s="105">
        <f>IF(B416="Total",SUM(J$8:J415)+0.0001,IF(OR(B416="",I$2=I416),0,VLOOKUP(A416,Journal!$B$7:M$84,8)))</f>
        <v>0</v>
      </c>
      <c r="K416" s="102">
        <f>IF(B416="Total",SUM(K$8:K415)+0.0001,IF(OR(B416="",J416&lt;&gt;0),0,VLOOKUP(A416,Journal!$B$7:M$84,8)))</f>
        <v>0</v>
      </c>
      <c r="L416" s="87">
        <f t="shared" si="42"/>
        <v>0</v>
      </c>
      <c r="P416">
        <f t="shared" si="45"/>
        <v>1.0000000000000001E-5</v>
      </c>
      <c r="R416" s="15">
        <f t="shared" si="46"/>
        <v>409</v>
      </c>
      <c r="S416" s="126">
        <f>IF(VLOOKUP(A416,Journal!$A$7:$E$70,5)=0,S415+1,VLOOKUP(A416,Journal!$A$7:$E$70,5))</f>
        <v>46066</v>
      </c>
      <c r="T416" s="125">
        <f>IF(H$2=VLOOKUP(A416,Journal!$A$7:$F$70,6),VLOOKUP(A416,Journal!$A$7:M$70,9),0)</f>
        <v>0</v>
      </c>
      <c r="U416" s="125">
        <f>IF(H$2=VLOOKUP(A416,Journal!$A$7:$G$70,7),VLOOKUP(A416,Journal!$A$7:M$70,9),0)</f>
        <v>0</v>
      </c>
      <c r="V416" s="125">
        <f t="shared" si="47"/>
        <v>40</v>
      </c>
      <c r="X416">
        <f t="shared" si="44"/>
        <v>0</v>
      </c>
      <c r="Y416" s="143">
        <f t="shared" si="43"/>
        <v>-989.31578947370122</v>
      </c>
    </row>
    <row r="417" spans="1:25" x14ac:dyDescent="0.25">
      <c r="A417">
        <f t="shared" si="48"/>
        <v>410</v>
      </c>
      <c r="B417" s="88" t="str">
        <f>IF(OR(B416="Total",B416=""),"",IF(VLOOKUP(A417,Journal!$B$7:$E$84,4)=0,"Total",VLOOKUP(A417,Journal!$B$7:$D$84,3)))</f>
        <v/>
      </c>
      <c r="C417" s="86" t="str">
        <f>IF(B417="","",VLOOKUP(A417,Journal!$B$7:$E$84,4))</f>
        <v/>
      </c>
      <c r="D417" s="114" t="str">
        <f>IF(B417="","",VLOOKUP(A417,Journal!$B$7:$J$84,9))</f>
        <v/>
      </c>
      <c r="E417" s="116"/>
      <c r="F417" s="116"/>
      <c r="G417" s="115"/>
      <c r="H417" s="84" t="str">
        <f>IF(B417="","",VLOOKUP(A417,Journal!$B$7:$L$84,11))</f>
        <v/>
      </c>
      <c r="I417" s="84" t="str">
        <f>IF(B417="","",VLOOKUP(A417,Journal!$B$7:$M$84,12))</f>
        <v/>
      </c>
      <c r="J417" s="105">
        <f>IF(B417="Total",SUM(J$8:J416)+0.0001,IF(OR(B417="",I$2=I417),0,VLOOKUP(A417,Journal!$B$7:M$84,8)))</f>
        <v>0</v>
      </c>
      <c r="K417" s="102">
        <f>IF(B417="Total",SUM(K$8:K416)+0.0001,IF(OR(B417="",J417&lt;&gt;0),0,VLOOKUP(A417,Journal!$B$7:M$84,8)))</f>
        <v>0</v>
      </c>
      <c r="L417" s="87">
        <f t="shared" si="42"/>
        <v>0</v>
      </c>
      <c r="P417">
        <f t="shared" si="45"/>
        <v>1.0000000000000001E-5</v>
      </c>
      <c r="R417" s="15">
        <f t="shared" si="46"/>
        <v>410</v>
      </c>
      <c r="S417" s="126">
        <f>IF(VLOOKUP(A417,Journal!$A$7:$E$70,5)=0,S416+1,VLOOKUP(A417,Journal!$A$7:$E$70,5))</f>
        <v>46067</v>
      </c>
      <c r="T417" s="125">
        <f>IF(H$2=VLOOKUP(A417,Journal!$A$7:$F$70,6),VLOOKUP(A417,Journal!$A$7:M$70,9),0)</f>
        <v>0</v>
      </c>
      <c r="U417" s="125">
        <f>IF(H$2=VLOOKUP(A417,Journal!$A$7:$G$70,7),VLOOKUP(A417,Journal!$A$7:M$70,9),0)</f>
        <v>0</v>
      </c>
      <c r="V417" s="125">
        <f t="shared" si="47"/>
        <v>40</v>
      </c>
      <c r="X417">
        <f t="shared" si="44"/>
        <v>0</v>
      </c>
      <c r="Y417" s="143">
        <f t="shared" si="43"/>
        <v>-989.28947368422757</v>
      </c>
    </row>
    <row r="418" spans="1:25" x14ac:dyDescent="0.25">
      <c r="A418">
        <f t="shared" si="48"/>
        <v>411</v>
      </c>
      <c r="B418" s="88" t="str">
        <f>IF(OR(B417="Total",B417=""),"",IF(VLOOKUP(A418,Journal!$B$7:$E$84,4)=0,"Total",VLOOKUP(A418,Journal!$B$7:$D$84,3)))</f>
        <v/>
      </c>
      <c r="C418" s="86" t="str">
        <f>IF(B418="","",VLOOKUP(A418,Journal!$B$7:$E$84,4))</f>
        <v/>
      </c>
      <c r="D418" s="114" t="str">
        <f>IF(B418="","",VLOOKUP(A418,Journal!$B$7:$J$84,9))</f>
        <v/>
      </c>
      <c r="E418" s="116"/>
      <c r="F418" s="116"/>
      <c r="G418" s="115"/>
      <c r="H418" s="84" t="str">
        <f>IF(B418="","",VLOOKUP(A418,Journal!$B$7:$L$84,11))</f>
        <v/>
      </c>
      <c r="I418" s="84" t="str">
        <f>IF(B418="","",VLOOKUP(A418,Journal!$B$7:$M$84,12))</f>
        <v/>
      </c>
      <c r="J418" s="105">
        <f>IF(B418="Total",SUM(J$8:J417)+0.0001,IF(OR(B418="",I$2=I418),0,VLOOKUP(A418,Journal!$B$7:M$84,8)))</f>
        <v>0</v>
      </c>
      <c r="K418" s="102">
        <f>IF(B418="Total",SUM(K$8:K417)+0.0001,IF(OR(B418="",J418&lt;&gt;0),0,VLOOKUP(A418,Journal!$B$7:M$84,8)))</f>
        <v>0</v>
      </c>
      <c r="L418" s="87">
        <f t="shared" si="42"/>
        <v>0</v>
      </c>
      <c r="P418">
        <f t="shared" si="45"/>
        <v>1.0000000000000001E-5</v>
      </c>
      <c r="R418" s="15">
        <f t="shared" si="46"/>
        <v>411</v>
      </c>
      <c r="S418" s="126">
        <f>IF(VLOOKUP(A418,Journal!$A$7:$E$70,5)=0,S417+1,VLOOKUP(A418,Journal!$A$7:$E$70,5))</f>
        <v>46068</v>
      </c>
      <c r="T418" s="125">
        <f>IF(H$2=VLOOKUP(A418,Journal!$A$7:$F$70,6),VLOOKUP(A418,Journal!$A$7:M$70,9),0)</f>
        <v>0</v>
      </c>
      <c r="U418" s="125">
        <f>IF(H$2=VLOOKUP(A418,Journal!$A$7:$G$70,7),VLOOKUP(A418,Journal!$A$7:M$70,9),0)</f>
        <v>0</v>
      </c>
      <c r="V418" s="125">
        <f t="shared" si="47"/>
        <v>40</v>
      </c>
      <c r="X418">
        <f t="shared" si="44"/>
        <v>0</v>
      </c>
      <c r="Y418" s="143">
        <f t="shared" si="43"/>
        <v>-989.26315789475393</v>
      </c>
    </row>
    <row r="419" spans="1:25" x14ac:dyDescent="0.25">
      <c r="A419">
        <f t="shared" si="48"/>
        <v>412</v>
      </c>
      <c r="B419" s="88" t="str">
        <f>IF(OR(B418="Total",B418=""),"",IF(VLOOKUP(A419,Journal!$B$7:$E$84,4)=0,"Total",VLOOKUP(A419,Journal!$B$7:$D$84,3)))</f>
        <v/>
      </c>
      <c r="C419" s="86" t="str">
        <f>IF(B419="","",VLOOKUP(A419,Journal!$B$7:$E$84,4))</f>
        <v/>
      </c>
      <c r="D419" s="114" t="str">
        <f>IF(B419="","",VLOOKUP(A419,Journal!$B$7:$J$84,9))</f>
        <v/>
      </c>
      <c r="E419" s="116"/>
      <c r="F419" s="116"/>
      <c r="G419" s="115"/>
      <c r="H419" s="84" t="str">
        <f>IF(B419="","",VLOOKUP(A419,Journal!$B$7:$L$84,11))</f>
        <v/>
      </c>
      <c r="I419" s="84" t="str">
        <f>IF(B419="","",VLOOKUP(A419,Journal!$B$7:$M$84,12))</f>
        <v/>
      </c>
      <c r="J419" s="105">
        <f>IF(B419="Total",SUM(J$8:J418)+0.0001,IF(OR(B419="",I$2=I419),0,VLOOKUP(A419,Journal!$B$7:M$84,8)))</f>
        <v>0</v>
      </c>
      <c r="K419" s="102">
        <f>IF(B419="Total",SUM(K$8:K418)+0.0001,IF(OR(B419="",J419&lt;&gt;0),0,VLOOKUP(A419,Journal!$B$7:M$84,8)))</f>
        <v>0</v>
      </c>
      <c r="L419" s="87">
        <f t="shared" si="42"/>
        <v>0</v>
      </c>
      <c r="P419">
        <f t="shared" si="45"/>
        <v>1.0000000000000001E-5</v>
      </c>
      <c r="R419" s="15">
        <f t="shared" si="46"/>
        <v>412</v>
      </c>
      <c r="S419" s="126">
        <f>IF(VLOOKUP(A419,Journal!$A$7:$E$70,5)=0,S418+1,VLOOKUP(A419,Journal!$A$7:$E$70,5))</f>
        <v>46069</v>
      </c>
      <c r="T419" s="125">
        <f>IF(H$2=VLOOKUP(A419,Journal!$A$7:$F$70,6),VLOOKUP(A419,Journal!$A$7:M$70,9),0)</f>
        <v>0</v>
      </c>
      <c r="U419" s="125">
        <f>IF(H$2=VLOOKUP(A419,Journal!$A$7:$G$70,7),VLOOKUP(A419,Journal!$A$7:M$70,9),0)</f>
        <v>0</v>
      </c>
      <c r="V419" s="125">
        <f t="shared" si="47"/>
        <v>40</v>
      </c>
      <c r="X419">
        <f t="shared" si="44"/>
        <v>0</v>
      </c>
      <c r="Y419" s="143">
        <f t="shared" si="43"/>
        <v>-989.23684210528029</v>
      </c>
    </row>
    <row r="420" spans="1:25" x14ac:dyDescent="0.25">
      <c r="A420">
        <f t="shared" si="48"/>
        <v>413</v>
      </c>
      <c r="B420" s="88" t="str">
        <f>IF(OR(B419="Total",B419=""),"",IF(VLOOKUP(A420,Journal!$B$7:$E$84,4)=0,"Total",VLOOKUP(A420,Journal!$B$7:$D$84,3)))</f>
        <v/>
      </c>
      <c r="C420" s="86" t="str">
        <f>IF(B420="","",VLOOKUP(A420,Journal!$B$7:$E$84,4))</f>
        <v/>
      </c>
      <c r="D420" s="114" t="str">
        <f>IF(B420="","",VLOOKUP(A420,Journal!$B$7:$J$84,9))</f>
        <v/>
      </c>
      <c r="E420" s="116"/>
      <c r="F420" s="116"/>
      <c r="G420" s="115"/>
      <c r="H420" s="84" t="str">
        <f>IF(B420="","",VLOOKUP(A420,Journal!$B$7:$L$84,11))</f>
        <v/>
      </c>
      <c r="I420" s="84" t="str">
        <f>IF(B420="","",VLOOKUP(A420,Journal!$B$7:$M$84,12))</f>
        <v/>
      </c>
      <c r="J420" s="105">
        <f>IF(B420="Total",SUM(J$8:J419)+0.0001,IF(OR(B420="",I$2=I420),0,VLOOKUP(A420,Journal!$B$7:M$84,8)))</f>
        <v>0</v>
      </c>
      <c r="K420" s="102">
        <f>IF(B420="Total",SUM(K$8:K419)+0.0001,IF(OR(B420="",J420&lt;&gt;0),0,VLOOKUP(A420,Journal!$B$7:M$84,8)))</f>
        <v>0</v>
      </c>
      <c r="L420" s="87">
        <f t="shared" si="42"/>
        <v>0</v>
      </c>
      <c r="P420">
        <f t="shared" si="45"/>
        <v>1.0000000000000001E-5</v>
      </c>
      <c r="R420" s="15">
        <f t="shared" si="46"/>
        <v>413</v>
      </c>
      <c r="S420" s="126">
        <f>IF(VLOOKUP(A420,Journal!$A$7:$E$70,5)=0,S419+1,VLOOKUP(A420,Journal!$A$7:$E$70,5))</f>
        <v>46070</v>
      </c>
      <c r="T420" s="125">
        <f>IF(H$2=VLOOKUP(A420,Journal!$A$7:$F$70,6),VLOOKUP(A420,Journal!$A$7:M$70,9),0)</f>
        <v>0</v>
      </c>
      <c r="U420" s="125">
        <f>IF(H$2=VLOOKUP(A420,Journal!$A$7:$G$70,7),VLOOKUP(A420,Journal!$A$7:M$70,9),0)</f>
        <v>0</v>
      </c>
      <c r="V420" s="125">
        <f t="shared" si="47"/>
        <v>40</v>
      </c>
      <c r="X420">
        <f t="shared" si="44"/>
        <v>0</v>
      </c>
      <c r="Y420" s="143">
        <f t="shared" si="43"/>
        <v>-989.21052631580665</v>
      </c>
    </row>
    <row r="421" spans="1:25" x14ac:dyDescent="0.25">
      <c r="A421">
        <f t="shared" si="48"/>
        <v>414</v>
      </c>
      <c r="B421" s="88" t="str">
        <f>IF(OR(B420="Total",B420=""),"",IF(VLOOKUP(A421,Journal!$B$7:$E$84,4)=0,"Total",VLOOKUP(A421,Journal!$B$7:$D$84,3)))</f>
        <v/>
      </c>
      <c r="C421" s="86" t="str">
        <f>IF(B421="","",VLOOKUP(A421,Journal!$B$7:$E$84,4))</f>
        <v/>
      </c>
      <c r="D421" s="114" t="str">
        <f>IF(B421="","",VLOOKUP(A421,Journal!$B$7:$J$84,9))</f>
        <v/>
      </c>
      <c r="E421" s="116"/>
      <c r="F421" s="116"/>
      <c r="G421" s="115"/>
      <c r="H421" s="84" t="str">
        <f>IF(B421="","",VLOOKUP(A421,Journal!$B$7:$L$84,11))</f>
        <v/>
      </c>
      <c r="I421" s="84" t="str">
        <f>IF(B421="","",VLOOKUP(A421,Journal!$B$7:$M$84,12))</f>
        <v/>
      </c>
      <c r="J421" s="105">
        <f>IF(B421="Total",SUM(J$8:J420)+0.0001,IF(OR(B421="",I$2=I421),0,VLOOKUP(A421,Journal!$B$7:M$84,8)))</f>
        <v>0</v>
      </c>
      <c r="K421" s="102">
        <f>IF(B421="Total",SUM(K$8:K420)+0.0001,IF(OR(B421="",J421&lt;&gt;0),0,VLOOKUP(A421,Journal!$B$7:M$84,8)))</f>
        <v>0</v>
      </c>
      <c r="L421" s="87">
        <f t="shared" si="42"/>
        <v>0</v>
      </c>
      <c r="P421">
        <f t="shared" si="45"/>
        <v>1.0000000000000001E-5</v>
      </c>
      <c r="R421" s="15">
        <f t="shared" si="46"/>
        <v>414</v>
      </c>
      <c r="S421" s="126">
        <f>IF(VLOOKUP(A421,Journal!$A$7:$E$70,5)=0,S420+1,VLOOKUP(A421,Journal!$A$7:$E$70,5))</f>
        <v>46071</v>
      </c>
      <c r="T421" s="125">
        <f>IF(H$2=VLOOKUP(A421,Journal!$A$7:$F$70,6),VLOOKUP(A421,Journal!$A$7:M$70,9),0)</f>
        <v>0</v>
      </c>
      <c r="U421" s="125">
        <f>IF(H$2=VLOOKUP(A421,Journal!$A$7:$G$70,7),VLOOKUP(A421,Journal!$A$7:M$70,9),0)</f>
        <v>0</v>
      </c>
      <c r="V421" s="125">
        <f t="shared" si="47"/>
        <v>40</v>
      </c>
      <c r="X421">
        <f t="shared" si="44"/>
        <v>0</v>
      </c>
      <c r="Y421" s="143">
        <f t="shared" si="43"/>
        <v>-989.184210526333</v>
      </c>
    </row>
    <row r="422" spans="1:25" x14ac:dyDescent="0.25">
      <c r="A422">
        <f t="shared" si="48"/>
        <v>415</v>
      </c>
      <c r="B422" s="88" t="str">
        <f>IF(OR(B421="Total",B421=""),"",IF(VLOOKUP(A422,Journal!$B$7:$E$84,4)=0,"Total",VLOOKUP(A422,Journal!$B$7:$D$84,3)))</f>
        <v/>
      </c>
      <c r="C422" s="86" t="str">
        <f>IF(B422="","",VLOOKUP(A422,Journal!$B$7:$E$84,4))</f>
        <v/>
      </c>
      <c r="D422" s="114" t="str">
        <f>IF(B422="","",VLOOKUP(A422,Journal!$B$7:$J$84,9))</f>
        <v/>
      </c>
      <c r="E422" s="116"/>
      <c r="F422" s="116"/>
      <c r="G422" s="115"/>
      <c r="H422" s="84" t="str">
        <f>IF(B422="","",VLOOKUP(A422,Journal!$B$7:$L$84,11))</f>
        <v/>
      </c>
      <c r="I422" s="84" t="str">
        <f>IF(B422="","",VLOOKUP(A422,Journal!$B$7:$M$84,12))</f>
        <v/>
      </c>
      <c r="J422" s="105">
        <f>IF(B422="Total",SUM(J$8:J421)+0.0001,IF(OR(B422="",I$2=I422),0,VLOOKUP(A422,Journal!$B$7:M$84,8)))</f>
        <v>0</v>
      </c>
      <c r="K422" s="102">
        <f>IF(B422="Total",SUM(K$8:K421)+0.0001,IF(OR(B422="",J422&lt;&gt;0),0,VLOOKUP(A422,Journal!$B$7:M$84,8)))</f>
        <v>0</v>
      </c>
      <c r="L422" s="87">
        <f t="shared" si="42"/>
        <v>0</v>
      </c>
      <c r="P422">
        <f t="shared" si="45"/>
        <v>1.0000000000000001E-5</v>
      </c>
      <c r="R422" s="15">
        <f t="shared" si="46"/>
        <v>415</v>
      </c>
      <c r="S422" s="126">
        <f>IF(VLOOKUP(A422,Journal!$A$7:$E$70,5)=0,S421+1,VLOOKUP(A422,Journal!$A$7:$E$70,5))</f>
        <v>46072</v>
      </c>
      <c r="T422" s="125">
        <f>IF(H$2=VLOOKUP(A422,Journal!$A$7:$F$70,6),VLOOKUP(A422,Journal!$A$7:M$70,9),0)</f>
        <v>0</v>
      </c>
      <c r="U422" s="125">
        <f>IF(H$2=VLOOKUP(A422,Journal!$A$7:$G$70,7),VLOOKUP(A422,Journal!$A$7:M$70,9),0)</f>
        <v>0</v>
      </c>
      <c r="V422" s="125">
        <f t="shared" si="47"/>
        <v>40</v>
      </c>
      <c r="X422">
        <f t="shared" si="44"/>
        <v>0</v>
      </c>
      <c r="Y422" s="143">
        <f t="shared" si="43"/>
        <v>-989.15789473685936</v>
      </c>
    </row>
    <row r="423" spans="1:25" x14ac:dyDescent="0.25">
      <c r="A423">
        <f t="shared" si="48"/>
        <v>416</v>
      </c>
      <c r="B423" s="88" t="str">
        <f>IF(OR(B422="Total",B422=""),"",IF(VLOOKUP(A423,Journal!$B$7:$E$84,4)=0,"Total",VLOOKUP(A423,Journal!$B$7:$D$84,3)))</f>
        <v/>
      </c>
      <c r="C423" s="86" t="str">
        <f>IF(B423="","",VLOOKUP(A423,Journal!$B$7:$E$84,4))</f>
        <v/>
      </c>
      <c r="D423" s="114" t="str">
        <f>IF(B423="","",VLOOKUP(A423,Journal!$B$7:$J$84,9))</f>
        <v/>
      </c>
      <c r="E423" s="116"/>
      <c r="F423" s="116"/>
      <c r="G423" s="115"/>
      <c r="H423" s="84" t="str">
        <f>IF(B423="","",VLOOKUP(A423,Journal!$B$7:$L$84,11))</f>
        <v/>
      </c>
      <c r="I423" s="84" t="str">
        <f>IF(B423="","",VLOOKUP(A423,Journal!$B$7:$M$84,12))</f>
        <v/>
      </c>
      <c r="J423" s="105">
        <f>IF(B423="Total",SUM(J$8:J422)+0.0001,IF(OR(B423="",I$2=I423),0,VLOOKUP(A423,Journal!$B$7:M$84,8)))</f>
        <v>0</v>
      </c>
      <c r="K423" s="102">
        <f>IF(B423="Total",SUM(K$8:K422)+0.0001,IF(OR(B423="",J423&lt;&gt;0),0,VLOOKUP(A423,Journal!$B$7:M$84,8)))</f>
        <v>0</v>
      </c>
      <c r="L423" s="87">
        <f t="shared" si="42"/>
        <v>0</v>
      </c>
      <c r="P423">
        <f t="shared" si="45"/>
        <v>1.0000000000000001E-5</v>
      </c>
      <c r="R423" s="15">
        <f t="shared" si="46"/>
        <v>416</v>
      </c>
      <c r="S423" s="126">
        <f>IF(VLOOKUP(A423,Journal!$A$7:$E$70,5)=0,S422+1,VLOOKUP(A423,Journal!$A$7:$E$70,5))</f>
        <v>46073</v>
      </c>
      <c r="T423" s="125">
        <f>IF(H$2=VLOOKUP(A423,Journal!$A$7:$F$70,6),VLOOKUP(A423,Journal!$A$7:M$70,9),0)</f>
        <v>0</v>
      </c>
      <c r="U423" s="125">
        <f>IF(H$2=VLOOKUP(A423,Journal!$A$7:$G$70,7),VLOOKUP(A423,Journal!$A$7:M$70,9),0)</f>
        <v>0</v>
      </c>
      <c r="V423" s="125">
        <f t="shared" si="47"/>
        <v>40</v>
      </c>
      <c r="X423">
        <f t="shared" si="44"/>
        <v>0</v>
      </c>
      <c r="Y423" s="143">
        <f t="shared" si="43"/>
        <v>-989.13157894738572</v>
      </c>
    </row>
    <row r="424" spans="1:25" x14ac:dyDescent="0.25">
      <c r="A424">
        <f t="shared" si="48"/>
        <v>417</v>
      </c>
      <c r="B424" s="88" t="str">
        <f>IF(OR(B423="Total",B423=""),"",IF(VLOOKUP(A424,Journal!$B$7:$E$84,4)=0,"Total",VLOOKUP(A424,Journal!$B$7:$D$84,3)))</f>
        <v/>
      </c>
      <c r="C424" s="86" t="str">
        <f>IF(B424="","",VLOOKUP(A424,Journal!$B$7:$E$84,4))</f>
        <v/>
      </c>
      <c r="D424" s="114" t="str">
        <f>IF(B424="","",VLOOKUP(A424,Journal!$B$7:$J$84,9))</f>
        <v/>
      </c>
      <c r="E424" s="116"/>
      <c r="F424" s="116"/>
      <c r="G424" s="115"/>
      <c r="H424" s="84" t="str">
        <f>IF(B424="","",VLOOKUP(A424,Journal!$B$7:$L$84,11))</f>
        <v/>
      </c>
      <c r="I424" s="84" t="str">
        <f>IF(B424="","",VLOOKUP(A424,Journal!$B$7:$M$84,12))</f>
        <v/>
      </c>
      <c r="J424" s="105">
        <f>IF(B424="Total",SUM(J$8:J423)+0.0001,IF(OR(B424="",I$2=I424),0,VLOOKUP(A424,Journal!$B$7:M$84,8)))</f>
        <v>0</v>
      </c>
      <c r="K424" s="102">
        <f>IF(B424="Total",SUM(K$8:K423)+0.0001,IF(OR(B424="",J424&lt;&gt;0),0,VLOOKUP(A424,Journal!$B$7:M$84,8)))</f>
        <v>0</v>
      </c>
      <c r="L424" s="87">
        <f t="shared" si="42"/>
        <v>0</v>
      </c>
      <c r="P424">
        <f t="shared" si="45"/>
        <v>1.0000000000000001E-5</v>
      </c>
      <c r="R424" s="15">
        <f t="shared" si="46"/>
        <v>417</v>
      </c>
      <c r="S424" s="126">
        <f>IF(VLOOKUP(A424,Journal!$A$7:$E$70,5)=0,S423+1,VLOOKUP(A424,Journal!$A$7:$E$70,5))</f>
        <v>46074</v>
      </c>
      <c r="T424" s="125">
        <f>IF(H$2=VLOOKUP(A424,Journal!$A$7:$F$70,6),VLOOKUP(A424,Journal!$A$7:M$70,9),0)</f>
        <v>0</v>
      </c>
      <c r="U424" s="125">
        <f>IF(H$2=VLOOKUP(A424,Journal!$A$7:$G$70,7),VLOOKUP(A424,Journal!$A$7:M$70,9),0)</f>
        <v>0</v>
      </c>
      <c r="V424" s="125">
        <f t="shared" si="47"/>
        <v>40</v>
      </c>
      <c r="X424">
        <f t="shared" si="44"/>
        <v>0</v>
      </c>
      <c r="Y424" s="143">
        <f t="shared" si="43"/>
        <v>-989.10526315791208</v>
      </c>
    </row>
    <row r="425" spans="1:25" x14ac:dyDescent="0.25">
      <c r="A425">
        <f t="shared" si="48"/>
        <v>418</v>
      </c>
      <c r="B425" s="88" t="str">
        <f>IF(OR(B424="Total",B424=""),"",IF(VLOOKUP(A425,Journal!$B$7:$E$84,4)=0,"Total",VLOOKUP(A425,Journal!$B$7:$D$84,3)))</f>
        <v/>
      </c>
      <c r="C425" s="86" t="str">
        <f>IF(B425="","",VLOOKUP(A425,Journal!$B$7:$E$84,4))</f>
        <v/>
      </c>
      <c r="D425" s="114" t="str">
        <f>IF(B425="","",VLOOKUP(A425,Journal!$B$7:$J$84,9))</f>
        <v/>
      </c>
      <c r="E425" s="116"/>
      <c r="F425" s="116"/>
      <c r="G425" s="115"/>
      <c r="H425" s="84" t="str">
        <f>IF(B425="","",VLOOKUP(A425,Journal!$B$7:$L$84,11))</f>
        <v/>
      </c>
      <c r="I425" s="84" t="str">
        <f>IF(B425="","",VLOOKUP(A425,Journal!$B$7:$M$84,12))</f>
        <v/>
      </c>
      <c r="J425" s="105">
        <f>IF(B425="Total",SUM(J$8:J424)+0.0001,IF(OR(B425="",I$2=I425),0,VLOOKUP(A425,Journal!$B$7:M$84,8)))</f>
        <v>0</v>
      </c>
      <c r="K425" s="102">
        <f>IF(B425="Total",SUM(K$8:K424)+0.0001,IF(OR(B425="",J425&lt;&gt;0),0,VLOOKUP(A425,Journal!$B$7:M$84,8)))</f>
        <v>0</v>
      </c>
      <c r="L425" s="87">
        <f t="shared" si="42"/>
        <v>0</v>
      </c>
      <c r="P425">
        <f t="shared" si="45"/>
        <v>1.0000000000000001E-5</v>
      </c>
      <c r="R425" s="15">
        <f t="shared" si="46"/>
        <v>418</v>
      </c>
      <c r="S425" s="126">
        <f>IF(VLOOKUP(A425,Journal!$A$7:$E$70,5)=0,S424+1,VLOOKUP(A425,Journal!$A$7:$E$70,5))</f>
        <v>46075</v>
      </c>
      <c r="T425" s="125">
        <f>IF(H$2=VLOOKUP(A425,Journal!$A$7:$F$70,6),VLOOKUP(A425,Journal!$A$7:M$70,9),0)</f>
        <v>0</v>
      </c>
      <c r="U425" s="125">
        <f>IF(H$2=VLOOKUP(A425,Journal!$A$7:$G$70,7),VLOOKUP(A425,Journal!$A$7:M$70,9),0)</f>
        <v>0</v>
      </c>
      <c r="V425" s="125">
        <f t="shared" si="47"/>
        <v>40</v>
      </c>
      <c r="X425">
        <f t="shared" si="44"/>
        <v>0</v>
      </c>
      <c r="Y425" s="143">
        <f t="shared" si="43"/>
        <v>-989.07894736843843</v>
      </c>
    </row>
    <row r="426" spans="1:25" x14ac:dyDescent="0.25">
      <c r="A426">
        <f t="shared" si="48"/>
        <v>419</v>
      </c>
      <c r="B426" s="88" t="str">
        <f>IF(OR(B425="Total",B425=""),"",IF(VLOOKUP(A426,Journal!$B$7:$E$84,4)=0,"Total",VLOOKUP(A426,Journal!$B$7:$D$84,3)))</f>
        <v/>
      </c>
      <c r="C426" s="86" t="str">
        <f>IF(B426="","",VLOOKUP(A426,Journal!$B$7:$E$84,4))</f>
        <v/>
      </c>
      <c r="D426" s="114" t="str">
        <f>IF(B426="","",VLOOKUP(A426,Journal!$B$7:$J$84,9))</f>
        <v/>
      </c>
      <c r="E426" s="116"/>
      <c r="F426" s="116"/>
      <c r="G426" s="115"/>
      <c r="H426" s="84" t="str">
        <f>IF(B426="","",VLOOKUP(A426,Journal!$B$7:$L$84,11))</f>
        <v/>
      </c>
      <c r="I426" s="84" t="str">
        <f>IF(B426="","",VLOOKUP(A426,Journal!$B$7:$M$84,12))</f>
        <v/>
      </c>
      <c r="J426" s="105">
        <f>IF(B426="Total",SUM(J$8:J425)+0.0001,IF(OR(B426="",I$2=I426),0,VLOOKUP(A426,Journal!$B$7:M$84,8)))</f>
        <v>0</v>
      </c>
      <c r="K426" s="102">
        <f>IF(B426="Total",SUM(K$8:K425)+0.0001,IF(OR(B426="",J426&lt;&gt;0),0,VLOOKUP(A426,Journal!$B$7:M$84,8)))</f>
        <v>0</v>
      </c>
      <c r="L426" s="87">
        <f t="shared" si="42"/>
        <v>0</v>
      </c>
      <c r="P426">
        <f t="shared" si="45"/>
        <v>1.0000000000000001E-5</v>
      </c>
      <c r="R426" s="15">
        <f t="shared" si="46"/>
        <v>419</v>
      </c>
      <c r="S426" s="126">
        <f>IF(VLOOKUP(A426,Journal!$A$7:$E$70,5)=0,S425+1,VLOOKUP(A426,Journal!$A$7:$E$70,5))</f>
        <v>46076</v>
      </c>
      <c r="T426" s="125">
        <f>IF(H$2=VLOOKUP(A426,Journal!$A$7:$F$70,6),VLOOKUP(A426,Journal!$A$7:M$70,9),0)</f>
        <v>0</v>
      </c>
      <c r="U426" s="125">
        <f>IF(H$2=VLOOKUP(A426,Journal!$A$7:$G$70,7),VLOOKUP(A426,Journal!$A$7:M$70,9),0)</f>
        <v>0</v>
      </c>
      <c r="V426" s="125">
        <f t="shared" si="47"/>
        <v>40</v>
      </c>
      <c r="X426">
        <f t="shared" si="44"/>
        <v>0</v>
      </c>
      <c r="Y426" s="143">
        <f t="shared" si="43"/>
        <v>-989.05263157896479</v>
      </c>
    </row>
    <row r="427" spans="1:25" x14ac:dyDescent="0.25">
      <c r="A427">
        <f t="shared" si="48"/>
        <v>420</v>
      </c>
      <c r="B427" s="88" t="str">
        <f>IF(OR(B426="Total",B426=""),"",IF(VLOOKUP(A427,Journal!$B$7:$E$84,4)=0,"Total",VLOOKUP(A427,Journal!$B$7:$D$84,3)))</f>
        <v/>
      </c>
      <c r="C427" s="86" t="str">
        <f>IF(B427="","",VLOOKUP(A427,Journal!$B$7:$E$84,4))</f>
        <v/>
      </c>
      <c r="D427" s="114" t="str">
        <f>IF(B427="","",VLOOKUP(A427,Journal!$B$7:$J$84,9))</f>
        <v/>
      </c>
      <c r="E427" s="116"/>
      <c r="F427" s="116"/>
      <c r="G427" s="115"/>
      <c r="H427" s="84" t="str">
        <f>IF(B427="","",VLOOKUP(A427,Journal!$B$7:$L$84,11))</f>
        <v/>
      </c>
      <c r="I427" s="84" t="str">
        <f>IF(B427="","",VLOOKUP(A427,Journal!$B$7:$M$84,12))</f>
        <v/>
      </c>
      <c r="J427" s="105">
        <f>IF(B427="Total",SUM(J$8:J426)+0.0001,IF(OR(B427="",I$2=I427),0,VLOOKUP(A427,Journal!$B$7:M$84,8)))</f>
        <v>0</v>
      </c>
      <c r="K427" s="102">
        <f>IF(B427="Total",SUM(K$8:K426)+0.0001,IF(OR(B427="",J427&lt;&gt;0),0,VLOOKUP(A427,Journal!$B$7:M$84,8)))</f>
        <v>0</v>
      </c>
      <c r="L427" s="87">
        <f t="shared" si="42"/>
        <v>0</v>
      </c>
      <c r="P427">
        <f t="shared" si="45"/>
        <v>1.0000000000000001E-5</v>
      </c>
      <c r="R427" s="15">
        <f t="shared" si="46"/>
        <v>420</v>
      </c>
      <c r="S427" s="126">
        <f>IF(VLOOKUP(A427,Journal!$A$7:$E$70,5)=0,S426+1,VLOOKUP(A427,Journal!$A$7:$E$70,5))</f>
        <v>46077</v>
      </c>
      <c r="T427" s="125">
        <f>IF(H$2=VLOOKUP(A427,Journal!$A$7:$F$70,6),VLOOKUP(A427,Journal!$A$7:M$70,9),0)</f>
        <v>0</v>
      </c>
      <c r="U427" s="125">
        <f>IF(H$2=VLOOKUP(A427,Journal!$A$7:$G$70,7),VLOOKUP(A427,Journal!$A$7:M$70,9),0)</f>
        <v>0</v>
      </c>
      <c r="V427" s="125">
        <f t="shared" si="47"/>
        <v>40</v>
      </c>
      <c r="X427">
        <f t="shared" si="44"/>
        <v>0</v>
      </c>
      <c r="Y427" s="143">
        <f t="shared" si="43"/>
        <v>-989.02631578949115</v>
      </c>
    </row>
    <row r="428" spans="1:25" x14ac:dyDescent="0.25">
      <c r="A428">
        <f t="shared" si="48"/>
        <v>421</v>
      </c>
      <c r="B428" s="88" t="str">
        <f>IF(OR(B427="Total",B427=""),"",IF(VLOOKUP(A428,Journal!$B$7:$E$84,4)=0,"Total",VLOOKUP(A428,Journal!$B$7:$D$84,3)))</f>
        <v/>
      </c>
      <c r="C428" s="86" t="str">
        <f>IF(B428="","",VLOOKUP(A428,Journal!$B$7:$E$84,4))</f>
        <v/>
      </c>
      <c r="D428" s="114" t="str">
        <f>IF(B428="","",VLOOKUP(A428,Journal!$B$7:$J$84,9))</f>
        <v/>
      </c>
      <c r="E428" s="116"/>
      <c r="F428" s="116"/>
      <c r="G428" s="115"/>
      <c r="H428" s="84" t="str">
        <f>IF(B428="","",VLOOKUP(A428,Journal!$B$7:$L$84,11))</f>
        <v/>
      </c>
      <c r="I428" s="84" t="str">
        <f>IF(B428="","",VLOOKUP(A428,Journal!$B$7:$M$84,12))</f>
        <v/>
      </c>
      <c r="J428" s="105">
        <f>IF(B428="Total",SUM(J$8:J427)+0.0001,IF(OR(B428="",I$2=I428),0,VLOOKUP(A428,Journal!$B$7:M$84,8)))</f>
        <v>0</v>
      </c>
      <c r="K428" s="102">
        <f>IF(B428="Total",SUM(K$8:K427)+0.0001,IF(OR(B428="",J428&lt;&gt;0),0,VLOOKUP(A428,Journal!$B$7:M$84,8)))</f>
        <v>0</v>
      </c>
      <c r="L428" s="87">
        <f t="shared" si="42"/>
        <v>0</v>
      </c>
      <c r="P428">
        <f t="shared" si="45"/>
        <v>1.0000000000000001E-5</v>
      </c>
      <c r="R428" s="15">
        <f t="shared" si="46"/>
        <v>421</v>
      </c>
      <c r="S428" s="126">
        <f>IF(VLOOKUP(A428,Journal!$A$7:$E$70,5)=0,S427+1,VLOOKUP(A428,Journal!$A$7:$E$70,5))</f>
        <v>46078</v>
      </c>
      <c r="T428" s="125">
        <f>IF(H$2=VLOOKUP(A428,Journal!$A$7:$F$70,6),VLOOKUP(A428,Journal!$A$7:M$70,9),0)</f>
        <v>0</v>
      </c>
      <c r="U428" s="125">
        <f>IF(H$2=VLOOKUP(A428,Journal!$A$7:$G$70,7),VLOOKUP(A428,Journal!$A$7:M$70,9),0)</f>
        <v>0</v>
      </c>
      <c r="V428" s="125">
        <f t="shared" si="47"/>
        <v>40</v>
      </c>
      <c r="X428">
        <f t="shared" si="44"/>
        <v>0</v>
      </c>
      <c r="Y428" s="143">
        <f t="shared" si="43"/>
        <v>-989.00000000001751</v>
      </c>
    </row>
    <row r="429" spans="1:25" x14ac:dyDescent="0.25">
      <c r="A429">
        <f t="shared" si="48"/>
        <v>422</v>
      </c>
      <c r="B429" s="88" t="str">
        <f>IF(OR(B428="Total",B428=""),"",IF(VLOOKUP(A429,Journal!$B$7:$E$84,4)=0,"Total",VLOOKUP(A429,Journal!$B$7:$D$84,3)))</f>
        <v/>
      </c>
      <c r="C429" s="86" t="str">
        <f>IF(B429="","",VLOOKUP(A429,Journal!$B$7:$E$84,4))</f>
        <v/>
      </c>
      <c r="D429" s="114" t="str">
        <f>IF(B429="","",VLOOKUP(A429,Journal!$B$7:$J$84,9))</f>
        <v/>
      </c>
      <c r="E429" s="116"/>
      <c r="F429" s="116"/>
      <c r="G429" s="115"/>
      <c r="H429" s="84" t="str">
        <f>IF(B429="","",VLOOKUP(A429,Journal!$B$7:$L$84,11))</f>
        <v/>
      </c>
      <c r="I429" s="84" t="str">
        <f>IF(B429="","",VLOOKUP(A429,Journal!$B$7:$M$84,12))</f>
        <v/>
      </c>
      <c r="J429" s="105">
        <f>IF(B429="Total",SUM(J$8:J428)+0.0001,IF(OR(B429="",I$2=I429),0,VLOOKUP(A429,Journal!$B$7:M$84,8)))</f>
        <v>0</v>
      </c>
      <c r="K429" s="102">
        <f>IF(B429="Total",SUM(K$8:K428)+0.0001,IF(OR(B429="",J429&lt;&gt;0),0,VLOOKUP(A429,Journal!$B$7:M$84,8)))</f>
        <v>0</v>
      </c>
      <c r="L429" s="87">
        <f t="shared" si="42"/>
        <v>0</v>
      </c>
      <c r="P429">
        <f t="shared" si="45"/>
        <v>1.0000000000000001E-5</v>
      </c>
      <c r="R429" s="15">
        <f t="shared" si="46"/>
        <v>422</v>
      </c>
      <c r="S429" s="126">
        <f>IF(VLOOKUP(A429,Journal!$A$7:$E$70,5)=0,S428+1,VLOOKUP(A429,Journal!$A$7:$E$70,5))</f>
        <v>46079</v>
      </c>
      <c r="T429" s="125">
        <f>IF(H$2=VLOOKUP(A429,Journal!$A$7:$F$70,6),VLOOKUP(A429,Journal!$A$7:M$70,9),0)</f>
        <v>0</v>
      </c>
      <c r="U429" s="125">
        <f>IF(H$2=VLOOKUP(A429,Journal!$A$7:$G$70,7),VLOOKUP(A429,Journal!$A$7:M$70,9),0)</f>
        <v>0</v>
      </c>
      <c r="V429" s="125">
        <f t="shared" si="47"/>
        <v>40</v>
      </c>
      <c r="X429">
        <f t="shared" si="44"/>
        <v>0</v>
      </c>
      <c r="Y429" s="143">
        <f t="shared" si="43"/>
        <v>-988.97368421054387</v>
      </c>
    </row>
    <row r="430" spans="1:25" x14ac:dyDescent="0.25">
      <c r="A430">
        <f t="shared" si="48"/>
        <v>423</v>
      </c>
      <c r="B430" s="88" t="str">
        <f>IF(OR(B429="Total",B429=""),"",IF(VLOOKUP(A430,Journal!$B$7:$E$84,4)=0,"Total",VLOOKUP(A430,Journal!$B$7:$D$84,3)))</f>
        <v/>
      </c>
      <c r="C430" s="86" t="str">
        <f>IF(B430="","",VLOOKUP(A430,Journal!$B$7:$E$84,4))</f>
        <v/>
      </c>
      <c r="D430" s="114" t="str">
        <f>IF(B430="","",VLOOKUP(A430,Journal!$B$7:$J$84,9))</f>
        <v/>
      </c>
      <c r="E430" s="116"/>
      <c r="F430" s="116"/>
      <c r="G430" s="115"/>
      <c r="H430" s="84" t="str">
        <f>IF(B430="","",VLOOKUP(A430,Journal!$B$7:$L$84,11))</f>
        <v/>
      </c>
      <c r="I430" s="84" t="str">
        <f>IF(B430="","",VLOOKUP(A430,Journal!$B$7:$M$84,12))</f>
        <v/>
      </c>
      <c r="J430" s="105">
        <f>IF(B430="Total",SUM(J$8:J429)+0.0001,IF(OR(B430="",I$2=I430),0,VLOOKUP(A430,Journal!$B$7:M$84,8)))</f>
        <v>0</v>
      </c>
      <c r="K430" s="102">
        <f>IF(B430="Total",SUM(K$8:K429)+0.0001,IF(OR(B430="",J430&lt;&gt;0),0,VLOOKUP(A430,Journal!$B$7:M$84,8)))</f>
        <v>0</v>
      </c>
      <c r="L430" s="87">
        <f t="shared" si="42"/>
        <v>0</v>
      </c>
      <c r="P430">
        <f t="shared" si="45"/>
        <v>1.0000000000000001E-5</v>
      </c>
      <c r="R430" s="15">
        <f t="shared" si="46"/>
        <v>423</v>
      </c>
      <c r="S430" s="126">
        <f>IF(VLOOKUP(A430,Journal!$A$7:$E$70,5)=0,S429+1,VLOOKUP(A430,Journal!$A$7:$E$70,5))</f>
        <v>46080</v>
      </c>
      <c r="T430" s="125">
        <f>IF(H$2=VLOOKUP(A430,Journal!$A$7:$F$70,6),VLOOKUP(A430,Journal!$A$7:M$70,9),0)</f>
        <v>0</v>
      </c>
      <c r="U430" s="125">
        <f>IF(H$2=VLOOKUP(A430,Journal!$A$7:$G$70,7),VLOOKUP(A430,Journal!$A$7:M$70,9),0)</f>
        <v>0</v>
      </c>
      <c r="V430" s="125">
        <f t="shared" si="47"/>
        <v>40</v>
      </c>
      <c r="X430">
        <f t="shared" si="44"/>
        <v>0</v>
      </c>
      <c r="Y430" s="143">
        <f t="shared" si="43"/>
        <v>-988.94736842107022</v>
      </c>
    </row>
    <row r="431" spans="1:25" x14ac:dyDescent="0.25">
      <c r="A431">
        <f t="shared" si="48"/>
        <v>424</v>
      </c>
      <c r="B431" s="88" t="str">
        <f>IF(OR(B430="Total",B430=""),"",IF(VLOOKUP(A431,Journal!$B$7:$E$84,4)=0,"Total",VLOOKUP(A431,Journal!$B$7:$D$84,3)))</f>
        <v/>
      </c>
      <c r="C431" s="86" t="str">
        <f>IF(B431="","",VLOOKUP(A431,Journal!$B$7:$E$84,4))</f>
        <v/>
      </c>
      <c r="D431" s="114" t="str">
        <f>IF(B431="","",VLOOKUP(A431,Journal!$B$7:$J$84,9))</f>
        <v/>
      </c>
      <c r="E431" s="116"/>
      <c r="F431" s="116"/>
      <c r="G431" s="115"/>
      <c r="H431" s="84" t="str">
        <f>IF(B431="","",VLOOKUP(A431,Journal!$B$7:$L$84,11))</f>
        <v/>
      </c>
      <c r="I431" s="84" t="str">
        <f>IF(B431="","",VLOOKUP(A431,Journal!$B$7:$M$84,12))</f>
        <v/>
      </c>
      <c r="J431" s="105">
        <f>IF(B431="Total",SUM(J$8:J430)+0.0001,IF(OR(B431="",I$2=I431),0,VLOOKUP(A431,Journal!$B$7:M$84,8)))</f>
        <v>0</v>
      </c>
      <c r="K431" s="102">
        <f>IF(B431="Total",SUM(K$8:K430)+0.0001,IF(OR(B431="",J431&lt;&gt;0),0,VLOOKUP(A431,Journal!$B$7:M$84,8)))</f>
        <v>0</v>
      </c>
      <c r="L431" s="87">
        <f t="shared" si="42"/>
        <v>0</v>
      </c>
      <c r="P431">
        <f t="shared" si="45"/>
        <v>1.0000000000000001E-5</v>
      </c>
      <c r="R431" s="15">
        <f t="shared" si="46"/>
        <v>424</v>
      </c>
      <c r="S431" s="126">
        <f>IF(VLOOKUP(A431,Journal!$A$7:$E$70,5)=0,S430+1,VLOOKUP(A431,Journal!$A$7:$E$70,5))</f>
        <v>46081</v>
      </c>
      <c r="T431" s="125">
        <f>IF(H$2=VLOOKUP(A431,Journal!$A$7:$F$70,6),VLOOKUP(A431,Journal!$A$7:M$70,9),0)</f>
        <v>0</v>
      </c>
      <c r="U431" s="125">
        <f>IF(H$2=VLOOKUP(A431,Journal!$A$7:$G$70,7),VLOOKUP(A431,Journal!$A$7:M$70,9),0)</f>
        <v>0</v>
      </c>
      <c r="V431" s="125">
        <f t="shared" si="47"/>
        <v>40</v>
      </c>
      <c r="X431">
        <f t="shared" si="44"/>
        <v>0</v>
      </c>
      <c r="Y431" s="143">
        <f t="shared" si="43"/>
        <v>-988.92105263159658</v>
      </c>
    </row>
    <row r="432" spans="1:25" x14ac:dyDescent="0.25">
      <c r="A432">
        <f t="shared" si="48"/>
        <v>425</v>
      </c>
      <c r="B432" s="88" t="str">
        <f>IF(OR(B431="Total",B431=""),"",IF(VLOOKUP(A432,Journal!$B$7:$E$84,4)=0,"Total",VLOOKUP(A432,Journal!$B$7:$D$84,3)))</f>
        <v/>
      </c>
      <c r="C432" s="86" t="str">
        <f>IF(B432="","",VLOOKUP(A432,Journal!$B$7:$E$84,4))</f>
        <v/>
      </c>
      <c r="D432" s="114" t="str">
        <f>IF(B432="","",VLOOKUP(A432,Journal!$B$7:$J$84,9))</f>
        <v/>
      </c>
      <c r="E432" s="116"/>
      <c r="F432" s="116"/>
      <c r="G432" s="115"/>
      <c r="H432" s="84" t="str">
        <f>IF(B432="","",VLOOKUP(A432,Journal!$B$7:$L$84,11))</f>
        <v/>
      </c>
      <c r="I432" s="84" t="str">
        <f>IF(B432="","",VLOOKUP(A432,Journal!$B$7:$M$84,12))</f>
        <v/>
      </c>
      <c r="J432" s="105">
        <f>IF(B432="Total",SUM(J$8:J431)+0.0001,IF(OR(B432="",I$2=I432),0,VLOOKUP(A432,Journal!$B$7:M$84,8)))</f>
        <v>0</v>
      </c>
      <c r="K432" s="102">
        <f>IF(B432="Total",SUM(K$8:K431)+0.0001,IF(OR(B432="",J432&lt;&gt;0),0,VLOOKUP(A432,Journal!$B$7:M$84,8)))</f>
        <v>0</v>
      </c>
      <c r="L432" s="87">
        <f t="shared" si="42"/>
        <v>0</v>
      </c>
      <c r="P432">
        <f t="shared" si="45"/>
        <v>1.0000000000000001E-5</v>
      </c>
      <c r="R432" s="15">
        <f t="shared" si="46"/>
        <v>425</v>
      </c>
      <c r="S432" s="126">
        <f>IF(VLOOKUP(A432,Journal!$A$7:$E$70,5)=0,S431+1,VLOOKUP(A432,Journal!$A$7:$E$70,5))</f>
        <v>46082</v>
      </c>
      <c r="T432" s="125">
        <f>IF(H$2=VLOOKUP(A432,Journal!$A$7:$F$70,6),VLOOKUP(A432,Journal!$A$7:M$70,9),0)</f>
        <v>0</v>
      </c>
      <c r="U432" s="125">
        <f>IF(H$2=VLOOKUP(A432,Journal!$A$7:$G$70,7),VLOOKUP(A432,Journal!$A$7:M$70,9),0)</f>
        <v>0</v>
      </c>
      <c r="V432" s="125">
        <f t="shared" si="47"/>
        <v>40</v>
      </c>
      <c r="X432">
        <f t="shared" si="44"/>
        <v>0</v>
      </c>
      <c r="Y432" s="143">
        <f t="shared" si="43"/>
        <v>-988.89473684212294</v>
      </c>
    </row>
    <row r="433" spans="1:25" x14ac:dyDescent="0.25">
      <c r="A433">
        <f t="shared" si="48"/>
        <v>426</v>
      </c>
      <c r="B433" s="88" t="str">
        <f>IF(OR(B432="Total",B432=""),"",IF(VLOOKUP(A433,Journal!$B$7:$E$84,4)=0,"Total",VLOOKUP(A433,Journal!$B$7:$D$84,3)))</f>
        <v/>
      </c>
      <c r="C433" s="86" t="str">
        <f>IF(B433="","",VLOOKUP(A433,Journal!$B$7:$E$84,4))</f>
        <v/>
      </c>
      <c r="D433" s="114" t="str">
        <f>IF(B433="","",VLOOKUP(A433,Journal!$B$7:$J$84,9))</f>
        <v/>
      </c>
      <c r="E433" s="116"/>
      <c r="F433" s="116"/>
      <c r="G433" s="115"/>
      <c r="H433" s="84" t="str">
        <f>IF(B433="","",VLOOKUP(A433,Journal!$B$7:$L$84,11))</f>
        <v/>
      </c>
      <c r="I433" s="84" t="str">
        <f>IF(B433="","",VLOOKUP(A433,Journal!$B$7:$M$84,12))</f>
        <v/>
      </c>
      <c r="J433" s="105">
        <f>IF(B433="Total",SUM(J$8:J432)+0.0001,IF(OR(B433="",I$2=I433),0,VLOOKUP(A433,Journal!$B$7:M$84,8)))</f>
        <v>0</v>
      </c>
      <c r="K433" s="102">
        <f>IF(B433="Total",SUM(K$8:K432)+0.0001,IF(OR(B433="",J433&lt;&gt;0),0,VLOOKUP(A433,Journal!$B$7:M$84,8)))</f>
        <v>0</v>
      </c>
      <c r="L433" s="87">
        <f t="shared" si="42"/>
        <v>0</v>
      </c>
      <c r="P433">
        <f t="shared" si="45"/>
        <v>1.0000000000000001E-5</v>
      </c>
      <c r="R433" s="15">
        <f t="shared" si="46"/>
        <v>426</v>
      </c>
      <c r="S433" s="126">
        <f>IF(VLOOKUP(A433,Journal!$A$7:$E$70,5)=0,S432+1,VLOOKUP(A433,Journal!$A$7:$E$70,5))</f>
        <v>46083</v>
      </c>
      <c r="T433" s="125">
        <f>IF(H$2=VLOOKUP(A433,Journal!$A$7:$F$70,6),VLOOKUP(A433,Journal!$A$7:M$70,9),0)</f>
        <v>0</v>
      </c>
      <c r="U433" s="125">
        <f>IF(H$2=VLOOKUP(A433,Journal!$A$7:$G$70,7),VLOOKUP(A433,Journal!$A$7:M$70,9),0)</f>
        <v>0</v>
      </c>
      <c r="V433" s="125">
        <f t="shared" si="47"/>
        <v>40</v>
      </c>
      <c r="X433">
        <f t="shared" si="44"/>
        <v>0</v>
      </c>
      <c r="Y433" s="143">
        <f t="shared" si="43"/>
        <v>-988.8684210526493</v>
      </c>
    </row>
    <row r="434" spans="1:25" x14ac:dyDescent="0.25">
      <c r="A434">
        <f t="shared" si="48"/>
        <v>427</v>
      </c>
      <c r="B434" s="88" t="str">
        <f>IF(OR(B433="Total",B433=""),"",IF(VLOOKUP(A434,Journal!$B$7:$E$84,4)=0,"Total",VLOOKUP(A434,Journal!$B$7:$D$84,3)))</f>
        <v/>
      </c>
      <c r="C434" s="86" t="str">
        <f>IF(B434="","",VLOOKUP(A434,Journal!$B$7:$E$84,4))</f>
        <v/>
      </c>
      <c r="D434" s="114" t="str">
        <f>IF(B434="","",VLOOKUP(A434,Journal!$B$7:$J$84,9))</f>
        <v/>
      </c>
      <c r="E434" s="116"/>
      <c r="F434" s="116"/>
      <c r="G434" s="115"/>
      <c r="H434" s="84" t="str">
        <f>IF(B434="","",VLOOKUP(A434,Journal!$B$7:$L$84,11))</f>
        <v/>
      </c>
      <c r="I434" s="84" t="str">
        <f>IF(B434="","",VLOOKUP(A434,Journal!$B$7:$M$84,12))</f>
        <v/>
      </c>
      <c r="J434" s="105">
        <f>IF(B434="Total",SUM(J$8:J433)+0.0001,IF(OR(B434="",I$2=I434),0,VLOOKUP(A434,Journal!$B$7:M$84,8)))</f>
        <v>0</v>
      </c>
      <c r="K434" s="102">
        <f>IF(B434="Total",SUM(K$8:K433)+0.0001,IF(OR(B434="",J434&lt;&gt;0),0,VLOOKUP(A434,Journal!$B$7:M$84,8)))</f>
        <v>0</v>
      </c>
      <c r="L434" s="87">
        <f t="shared" si="42"/>
        <v>0</v>
      </c>
      <c r="P434">
        <f t="shared" si="45"/>
        <v>1.0000000000000001E-5</v>
      </c>
      <c r="R434" s="15">
        <f t="shared" si="46"/>
        <v>427</v>
      </c>
      <c r="S434" s="126">
        <f>IF(VLOOKUP(A434,Journal!$A$7:$E$70,5)=0,S433+1,VLOOKUP(A434,Journal!$A$7:$E$70,5))</f>
        <v>46084</v>
      </c>
      <c r="T434" s="125">
        <f>IF(H$2=VLOOKUP(A434,Journal!$A$7:$F$70,6),VLOOKUP(A434,Journal!$A$7:M$70,9),0)</f>
        <v>0</v>
      </c>
      <c r="U434" s="125">
        <f>IF(H$2=VLOOKUP(A434,Journal!$A$7:$G$70,7),VLOOKUP(A434,Journal!$A$7:M$70,9),0)</f>
        <v>0</v>
      </c>
      <c r="V434" s="125">
        <f t="shared" si="47"/>
        <v>40</v>
      </c>
      <c r="X434">
        <f t="shared" si="44"/>
        <v>0</v>
      </c>
      <c r="Y434" s="143">
        <f t="shared" si="43"/>
        <v>-988.84210526317565</v>
      </c>
    </row>
    <row r="435" spans="1:25" x14ac:dyDescent="0.25">
      <c r="A435">
        <f t="shared" si="48"/>
        <v>428</v>
      </c>
      <c r="B435" s="88" t="str">
        <f>IF(OR(B434="Total",B434=""),"",IF(VLOOKUP(A435,Journal!$B$7:$E$84,4)=0,"Total",VLOOKUP(A435,Journal!$B$7:$D$84,3)))</f>
        <v/>
      </c>
      <c r="C435" s="86" t="str">
        <f>IF(B435="","",VLOOKUP(A435,Journal!$B$7:$E$84,4))</f>
        <v/>
      </c>
      <c r="D435" s="114" t="str">
        <f>IF(B435="","",VLOOKUP(A435,Journal!$B$7:$J$84,9))</f>
        <v/>
      </c>
      <c r="E435" s="116"/>
      <c r="F435" s="116"/>
      <c r="G435" s="115"/>
      <c r="H435" s="84" t="str">
        <f>IF(B435="","",VLOOKUP(A435,Journal!$B$7:$L$84,11))</f>
        <v/>
      </c>
      <c r="I435" s="84" t="str">
        <f>IF(B435="","",VLOOKUP(A435,Journal!$B$7:$M$84,12))</f>
        <v/>
      </c>
      <c r="J435" s="105">
        <f>IF(B435="Total",SUM(J$8:J434)+0.0001,IF(OR(B435="",I$2=I435),0,VLOOKUP(A435,Journal!$B$7:M$84,8)))</f>
        <v>0</v>
      </c>
      <c r="K435" s="102">
        <f>IF(B435="Total",SUM(K$8:K434)+0.0001,IF(OR(B435="",J435&lt;&gt;0),0,VLOOKUP(A435,Journal!$B$7:M$84,8)))</f>
        <v>0</v>
      </c>
      <c r="L435" s="87">
        <f t="shared" si="42"/>
        <v>0</v>
      </c>
      <c r="P435">
        <f t="shared" si="45"/>
        <v>1.0000000000000001E-5</v>
      </c>
      <c r="R435" s="15">
        <f t="shared" si="46"/>
        <v>428</v>
      </c>
      <c r="S435" s="126">
        <f>IF(VLOOKUP(A435,Journal!$A$7:$E$70,5)=0,S434+1,VLOOKUP(A435,Journal!$A$7:$E$70,5))</f>
        <v>46085</v>
      </c>
      <c r="T435" s="125">
        <f>IF(H$2=VLOOKUP(A435,Journal!$A$7:$F$70,6),VLOOKUP(A435,Journal!$A$7:M$70,9),0)</f>
        <v>0</v>
      </c>
      <c r="U435" s="125">
        <f>IF(H$2=VLOOKUP(A435,Journal!$A$7:$G$70,7),VLOOKUP(A435,Journal!$A$7:M$70,9),0)</f>
        <v>0</v>
      </c>
      <c r="V435" s="125">
        <f t="shared" si="47"/>
        <v>40</v>
      </c>
      <c r="X435">
        <f t="shared" si="44"/>
        <v>0</v>
      </c>
      <c r="Y435" s="143">
        <f t="shared" si="43"/>
        <v>-988.81578947370201</v>
      </c>
    </row>
    <row r="436" spans="1:25" x14ac:dyDescent="0.25">
      <c r="A436">
        <f t="shared" si="48"/>
        <v>429</v>
      </c>
      <c r="B436" s="88" t="str">
        <f>IF(OR(B435="Total",B435=""),"",IF(VLOOKUP(A436,Journal!$B$7:$E$84,4)=0,"Total",VLOOKUP(A436,Journal!$B$7:$D$84,3)))</f>
        <v/>
      </c>
      <c r="C436" s="86" t="str">
        <f>IF(B436="","",VLOOKUP(A436,Journal!$B$7:$E$84,4))</f>
        <v/>
      </c>
      <c r="D436" s="114" t="str">
        <f>IF(B436="","",VLOOKUP(A436,Journal!$B$7:$J$84,9))</f>
        <v/>
      </c>
      <c r="E436" s="116"/>
      <c r="F436" s="116"/>
      <c r="G436" s="115"/>
      <c r="H436" s="84" t="str">
        <f>IF(B436="","",VLOOKUP(A436,Journal!$B$7:$L$84,11))</f>
        <v/>
      </c>
      <c r="I436" s="84" t="str">
        <f>IF(B436="","",VLOOKUP(A436,Journal!$B$7:$M$84,12))</f>
        <v/>
      </c>
      <c r="J436" s="105">
        <f>IF(B436="Total",SUM(J$8:J435)+0.0001,IF(OR(B436="",I$2=I436),0,VLOOKUP(A436,Journal!$B$7:M$84,8)))</f>
        <v>0</v>
      </c>
      <c r="K436" s="102">
        <f>IF(B436="Total",SUM(K$8:K435)+0.0001,IF(OR(B436="",J436&lt;&gt;0),0,VLOOKUP(A436,Journal!$B$7:M$84,8)))</f>
        <v>0</v>
      </c>
      <c r="L436" s="87">
        <f t="shared" si="42"/>
        <v>0</v>
      </c>
      <c r="P436">
        <f t="shared" si="45"/>
        <v>1.0000000000000001E-5</v>
      </c>
      <c r="R436" s="15">
        <f t="shared" si="46"/>
        <v>429</v>
      </c>
      <c r="S436" s="126">
        <f>IF(VLOOKUP(A436,Journal!$A$7:$E$70,5)=0,S435+1,VLOOKUP(A436,Journal!$A$7:$E$70,5))</f>
        <v>46086</v>
      </c>
      <c r="T436" s="125">
        <f>IF(H$2=VLOOKUP(A436,Journal!$A$7:$F$70,6),VLOOKUP(A436,Journal!$A$7:M$70,9),0)</f>
        <v>0</v>
      </c>
      <c r="U436" s="125">
        <f>IF(H$2=VLOOKUP(A436,Journal!$A$7:$G$70,7),VLOOKUP(A436,Journal!$A$7:M$70,9),0)</f>
        <v>0</v>
      </c>
      <c r="V436" s="125">
        <f t="shared" si="47"/>
        <v>40</v>
      </c>
      <c r="X436">
        <f t="shared" si="44"/>
        <v>0</v>
      </c>
      <c r="Y436" s="143">
        <f t="shared" si="43"/>
        <v>-988.78947368422837</v>
      </c>
    </row>
    <row r="437" spans="1:25" x14ac:dyDescent="0.25">
      <c r="A437">
        <f t="shared" si="48"/>
        <v>430</v>
      </c>
      <c r="B437" s="88" t="str">
        <f>IF(OR(B436="Total",B436=""),"",IF(VLOOKUP(A437,Journal!$B$7:$E$84,4)=0,"Total",VLOOKUP(A437,Journal!$B$7:$D$84,3)))</f>
        <v/>
      </c>
      <c r="C437" s="86" t="str">
        <f>IF(B437="","",VLOOKUP(A437,Journal!$B$7:$E$84,4))</f>
        <v/>
      </c>
      <c r="D437" s="114" t="str">
        <f>IF(B437="","",VLOOKUP(A437,Journal!$B$7:$J$84,9))</f>
        <v/>
      </c>
      <c r="E437" s="116"/>
      <c r="F437" s="116"/>
      <c r="G437" s="115"/>
      <c r="H437" s="84" t="str">
        <f>IF(B437="","",VLOOKUP(A437,Journal!$B$7:$L$84,11))</f>
        <v/>
      </c>
      <c r="I437" s="84" t="str">
        <f>IF(B437="","",VLOOKUP(A437,Journal!$B$7:$M$84,12))</f>
        <v/>
      </c>
      <c r="J437" s="105">
        <f>IF(B437="Total",SUM(J$8:J436)+0.0001,IF(OR(B437="",I$2=I437),0,VLOOKUP(A437,Journal!$B$7:M$84,8)))</f>
        <v>0</v>
      </c>
      <c r="K437" s="102">
        <f>IF(B437="Total",SUM(K$8:K436)+0.0001,IF(OR(B437="",J437&lt;&gt;0),0,VLOOKUP(A437,Journal!$B$7:M$84,8)))</f>
        <v>0</v>
      </c>
      <c r="L437" s="87">
        <f t="shared" si="42"/>
        <v>0</v>
      </c>
      <c r="P437">
        <f t="shared" si="45"/>
        <v>1.0000000000000001E-5</v>
      </c>
      <c r="R437" s="15">
        <f t="shared" si="46"/>
        <v>430</v>
      </c>
      <c r="S437" s="126">
        <f>IF(VLOOKUP(A437,Journal!$A$7:$E$70,5)=0,S436+1,VLOOKUP(A437,Journal!$A$7:$E$70,5))</f>
        <v>46087</v>
      </c>
      <c r="T437" s="125">
        <f>IF(H$2=VLOOKUP(A437,Journal!$A$7:$F$70,6),VLOOKUP(A437,Journal!$A$7:M$70,9),0)</f>
        <v>0</v>
      </c>
      <c r="U437" s="125">
        <f>IF(H$2=VLOOKUP(A437,Journal!$A$7:$G$70,7),VLOOKUP(A437,Journal!$A$7:M$70,9),0)</f>
        <v>0</v>
      </c>
      <c r="V437" s="125">
        <f t="shared" si="47"/>
        <v>40</v>
      </c>
      <c r="X437">
        <f t="shared" si="44"/>
        <v>0</v>
      </c>
      <c r="Y437" s="143">
        <f t="shared" si="43"/>
        <v>-988.76315789475473</v>
      </c>
    </row>
    <row r="438" spans="1:25" x14ac:dyDescent="0.25">
      <c r="A438">
        <f t="shared" si="48"/>
        <v>431</v>
      </c>
      <c r="B438" s="88" t="str">
        <f>IF(OR(B437="Total",B437=""),"",IF(VLOOKUP(A438,Journal!$B$7:$E$84,4)=0,"Total",VLOOKUP(A438,Journal!$B$7:$D$84,3)))</f>
        <v/>
      </c>
      <c r="C438" s="86" t="str">
        <f>IF(B438="","",VLOOKUP(A438,Journal!$B$7:$E$84,4))</f>
        <v/>
      </c>
      <c r="D438" s="114" t="str">
        <f>IF(B438="","",VLOOKUP(A438,Journal!$B$7:$J$84,9))</f>
        <v/>
      </c>
      <c r="E438" s="116"/>
      <c r="F438" s="116"/>
      <c r="G438" s="115"/>
      <c r="H438" s="84" t="str">
        <f>IF(B438="","",VLOOKUP(A438,Journal!$B$7:$L$84,11))</f>
        <v/>
      </c>
      <c r="I438" s="84" t="str">
        <f>IF(B438="","",VLOOKUP(A438,Journal!$B$7:$M$84,12))</f>
        <v/>
      </c>
      <c r="J438" s="105">
        <f>IF(B438="Total",SUM(J$8:J437)+0.0001,IF(OR(B438="",I$2=I438),0,VLOOKUP(A438,Journal!$B$7:M$84,8)))</f>
        <v>0</v>
      </c>
      <c r="K438" s="102">
        <f>IF(B438="Total",SUM(K$8:K437)+0.0001,IF(OR(B438="",J438&lt;&gt;0),0,VLOOKUP(A438,Journal!$B$7:M$84,8)))</f>
        <v>0</v>
      </c>
      <c r="L438" s="87">
        <f t="shared" si="42"/>
        <v>0</v>
      </c>
      <c r="P438">
        <f t="shared" si="45"/>
        <v>1.0000000000000001E-5</v>
      </c>
      <c r="R438" s="15">
        <f t="shared" si="46"/>
        <v>431</v>
      </c>
      <c r="S438" s="126">
        <f>IF(VLOOKUP(A438,Journal!$A$7:$E$70,5)=0,S437+1,VLOOKUP(A438,Journal!$A$7:$E$70,5))</f>
        <v>46088</v>
      </c>
      <c r="T438" s="125">
        <f>IF(H$2=VLOOKUP(A438,Journal!$A$7:$F$70,6),VLOOKUP(A438,Journal!$A$7:M$70,9),0)</f>
        <v>0</v>
      </c>
      <c r="U438" s="125">
        <f>IF(H$2=VLOOKUP(A438,Journal!$A$7:$G$70,7),VLOOKUP(A438,Journal!$A$7:M$70,9),0)</f>
        <v>0</v>
      </c>
      <c r="V438" s="125">
        <f t="shared" si="47"/>
        <v>40</v>
      </c>
      <c r="X438">
        <f t="shared" si="44"/>
        <v>0</v>
      </c>
      <c r="Y438" s="143">
        <f t="shared" si="43"/>
        <v>-988.73684210528108</v>
      </c>
    </row>
    <row r="439" spans="1:25" x14ac:dyDescent="0.25">
      <c r="A439">
        <f t="shared" si="48"/>
        <v>432</v>
      </c>
      <c r="B439" s="88" t="str">
        <f>IF(OR(B438="Total",B438=""),"",IF(VLOOKUP(A439,Journal!$B$7:$E$84,4)=0,"Total",VLOOKUP(A439,Journal!$B$7:$D$84,3)))</f>
        <v/>
      </c>
      <c r="C439" s="86" t="str">
        <f>IF(B439="","",VLOOKUP(A439,Journal!$B$7:$E$84,4))</f>
        <v/>
      </c>
      <c r="D439" s="114" t="str">
        <f>IF(B439="","",VLOOKUP(A439,Journal!$B$7:$J$84,9))</f>
        <v/>
      </c>
      <c r="E439" s="116"/>
      <c r="F439" s="116"/>
      <c r="G439" s="115"/>
      <c r="H439" s="84" t="str">
        <f>IF(B439="","",VLOOKUP(A439,Journal!$B$7:$L$84,11))</f>
        <v/>
      </c>
      <c r="I439" s="84" t="str">
        <f>IF(B439="","",VLOOKUP(A439,Journal!$B$7:$M$84,12))</f>
        <v/>
      </c>
      <c r="J439" s="105">
        <f>IF(B439="Total",SUM(J$8:J438)+0.0001,IF(OR(B439="",I$2=I439),0,VLOOKUP(A439,Journal!$B$7:M$84,8)))</f>
        <v>0</v>
      </c>
      <c r="K439" s="102">
        <f>IF(B439="Total",SUM(K$8:K438)+0.0001,IF(OR(B439="",J439&lt;&gt;0),0,VLOOKUP(A439,Journal!$B$7:M$84,8)))</f>
        <v>0</v>
      </c>
      <c r="L439" s="87">
        <f t="shared" si="42"/>
        <v>0</v>
      </c>
      <c r="P439">
        <f t="shared" si="45"/>
        <v>1.0000000000000001E-5</v>
      </c>
      <c r="R439" s="15">
        <f t="shared" si="46"/>
        <v>432</v>
      </c>
      <c r="S439" s="126">
        <f>IF(VLOOKUP(A439,Journal!$A$7:$E$70,5)=0,S438+1,VLOOKUP(A439,Journal!$A$7:$E$70,5))</f>
        <v>46089</v>
      </c>
      <c r="T439" s="125">
        <f>IF(H$2=VLOOKUP(A439,Journal!$A$7:$F$70,6),VLOOKUP(A439,Journal!$A$7:M$70,9),0)</f>
        <v>0</v>
      </c>
      <c r="U439" s="125">
        <f>IF(H$2=VLOOKUP(A439,Journal!$A$7:$G$70,7),VLOOKUP(A439,Journal!$A$7:M$70,9),0)</f>
        <v>0</v>
      </c>
      <c r="V439" s="125">
        <f t="shared" si="47"/>
        <v>40</v>
      </c>
      <c r="X439">
        <f t="shared" si="44"/>
        <v>0</v>
      </c>
      <c r="Y439" s="143">
        <f t="shared" si="43"/>
        <v>-988.71052631580744</v>
      </c>
    </row>
    <row r="440" spans="1:25" x14ac:dyDescent="0.25">
      <c r="A440">
        <f t="shared" si="48"/>
        <v>433</v>
      </c>
      <c r="B440" s="88" t="str">
        <f>IF(OR(B439="Total",B439=""),"",IF(VLOOKUP(A440,Journal!$B$7:$E$84,4)=0,"Total",VLOOKUP(A440,Journal!$B$7:$D$84,3)))</f>
        <v/>
      </c>
      <c r="C440" s="86" t="str">
        <f>IF(B440="","",VLOOKUP(A440,Journal!$B$7:$E$84,4))</f>
        <v/>
      </c>
      <c r="D440" s="114" t="str">
        <f>IF(B440="","",VLOOKUP(A440,Journal!$B$7:$J$84,9))</f>
        <v/>
      </c>
      <c r="E440" s="116"/>
      <c r="F440" s="116"/>
      <c r="G440" s="115"/>
      <c r="H440" s="84" t="str">
        <f>IF(B440="","",VLOOKUP(A440,Journal!$B$7:$L$84,11))</f>
        <v/>
      </c>
      <c r="I440" s="84" t="str">
        <f>IF(B440="","",VLOOKUP(A440,Journal!$B$7:$M$84,12))</f>
        <v/>
      </c>
      <c r="J440" s="105">
        <f>IF(B440="Total",SUM(J$8:J439)+0.0001,IF(OR(B440="",I$2=I440),0,VLOOKUP(A440,Journal!$B$7:M$84,8)))</f>
        <v>0</v>
      </c>
      <c r="K440" s="102">
        <f>IF(B440="Total",SUM(K$8:K439)+0.0001,IF(OR(B440="",J440&lt;&gt;0),0,VLOOKUP(A440,Journal!$B$7:M$84,8)))</f>
        <v>0</v>
      </c>
      <c r="L440" s="87">
        <f t="shared" si="42"/>
        <v>0</v>
      </c>
      <c r="P440">
        <f t="shared" si="45"/>
        <v>1.0000000000000001E-5</v>
      </c>
      <c r="R440" s="15">
        <f t="shared" si="46"/>
        <v>433</v>
      </c>
      <c r="S440" s="126">
        <f>IF(VLOOKUP(A440,Journal!$A$7:$E$70,5)=0,S439+1,VLOOKUP(A440,Journal!$A$7:$E$70,5))</f>
        <v>46090</v>
      </c>
      <c r="T440" s="125">
        <f>IF(H$2=VLOOKUP(A440,Journal!$A$7:$F$70,6),VLOOKUP(A440,Journal!$A$7:M$70,9),0)</f>
        <v>0</v>
      </c>
      <c r="U440" s="125">
        <f>IF(H$2=VLOOKUP(A440,Journal!$A$7:$G$70,7),VLOOKUP(A440,Journal!$A$7:M$70,9),0)</f>
        <v>0</v>
      </c>
      <c r="V440" s="125">
        <f t="shared" si="47"/>
        <v>40</v>
      </c>
      <c r="X440">
        <f t="shared" si="44"/>
        <v>0</v>
      </c>
      <c r="Y440" s="143">
        <f t="shared" si="43"/>
        <v>-988.6842105263338</v>
      </c>
    </row>
    <row r="441" spans="1:25" x14ac:dyDescent="0.25">
      <c r="A441">
        <f t="shared" si="48"/>
        <v>434</v>
      </c>
      <c r="B441" s="88" t="str">
        <f>IF(OR(B440="Total",B440=""),"",IF(VLOOKUP(A441,Journal!$B$7:$E$84,4)=0,"Total",VLOOKUP(A441,Journal!$B$7:$D$84,3)))</f>
        <v/>
      </c>
      <c r="C441" s="86" t="str">
        <f>IF(B441="","",VLOOKUP(A441,Journal!$B$7:$E$84,4))</f>
        <v/>
      </c>
      <c r="D441" s="114" t="str">
        <f>IF(B441="","",VLOOKUP(A441,Journal!$B$7:$J$84,9))</f>
        <v/>
      </c>
      <c r="E441" s="116"/>
      <c r="F441" s="116"/>
      <c r="G441" s="115"/>
      <c r="H441" s="84" t="str">
        <f>IF(B441="","",VLOOKUP(A441,Journal!$B$7:$L$84,11))</f>
        <v/>
      </c>
      <c r="I441" s="84" t="str">
        <f>IF(B441="","",VLOOKUP(A441,Journal!$B$7:$M$84,12))</f>
        <v/>
      </c>
      <c r="J441" s="105">
        <f>IF(B441="Total",SUM(J$8:J440)+0.0001,IF(OR(B441="",I$2=I441),0,VLOOKUP(A441,Journal!$B$7:M$84,8)))</f>
        <v>0</v>
      </c>
      <c r="K441" s="102">
        <f>IF(B441="Total",SUM(K$8:K440)+0.0001,IF(OR(B441="",J441&lt;&gt;0),0,VLOOKUP(A441,Journal!$B$7:M$84,8)))</f>
        <v>0</v>
      </c>
      <c r="L441" s="87">
        <f t="shared" si="42"/>
        <v>0</v>
      </c>
      <c r="P441">
        <f t="shared" si="45"/>
        <v>1.0000000000000001E-5</v>
      </c>
      <c r="R441" s="15">
        <f t="shared" si="46"/>
        <v>434</v>
      </c>
      <c r="S441" s="126">
        <f>IF(VLOOKUP(A441,Journal!$A$7:$E$70,5)=0,S440+1,VLOOKUP(A441,Journal!$A$7:$E$70,5))</f>
        <v>46091</v>
      </c>
      <c r="T441" s="125">
        <f>IF(H$2=VLOOKUP(A441,Journal!$A$7:$F$70,6),VLOOKUP(A441,Journal!$A$7:M$70,9),0)</f>
        <v>0</v>
      </c>
      <c r="U441" s="125">
        <f>IF(H$2=VLOOKUP(A441,Journal!$A$7:$G$70,7),VLOOKUP(A441,Journal!$A$7:M$70,9),0)</f>
        <v>0</v>
      </c>
      <c r="V441" s="125">
        <f t="shared" si="47"/>
        <v>40</v>
      </c>
      <c r="X441">
        <f t="shared" si="44"/>
        <v>0</v>
      </c>
      <c r="Y441" s="143">
        <f t="shared" si="43"/>
        <v>-988.65789473686016</v>
      </c>
    </row>
    <row r="442" spans="1:25" x14ac:dyDescent="0.25">
      <c r="A442">
        <f t="shared" si="48"/>
        <v>435</v>
      </c>
      <c r="B442" s="88" t="str">
        <f>IF(OR(B441="Total",B441=""),"",IF(VLOOKUP(A442,Journal!$B$7:$E$84,4)=0,"Total",VLOOKUP(A442,Journal!$B$7:$D$84,3)))</f>
        <v/>
      </c>
      <c r="C442" s="86" t="str">
        <f>IF(B442="","",VLOOKUP(A442,Journal!$B$7:$E$84,4))</f>
        <v/>
      </c>
      <c r="D442" s="114" t="str">
        <f>IF(B442="","",VLOOKUP(A442,Journal!$B$7:$J$84,9))</f>
        <v/>
      </c>
      <c r="E442" s="116"/>
      <c r="F442" s="116"/>
      <c r="G442" s="115"/>
      <c r="H442" s="84" t="str">
        <f>IF(B442="","",VLOOKUP(A442,Journal!$B$7:$L$84,11))</f>
        <v/>
      </c>
      <c r="I442" s="84" t="str">
        <f>IF(B442="","",VLOOKUP(A442,Journal!$B$7:$M$84,12))</f>
        <v/>
      </c>
      <c r="J442" s="105">
        <f>IF(B442="Total",SUM(J$8:J441)+0.0001,IF(OR(B442="",I$2=I442),0,VLOOKUP(A442,Journal!$B$7:M$84,8)))</f>
        <v>0</v>
      </c>
      <c r="K442" s="102">
        <f>IF(B442="Total",SUM(K$8:K441)+0.0001,IF(OR(B442="",J442&lt;&gt;0),0,VLOOKUP(A442,Journal!$B$7:M$84,8)))</f>
        <v>0</v>
      </c>
      <c r="L442" s="87">
        <f t="shared" si="42"/>
        <v>0</v>
      </c>
      <c r="P442">
        <f t="shared" si="45"/>
        <v>1.0000000000000001E-5</v>
      </c>
      <c r="R442" s="15">
        <f t="shared" si="46"/>
        <v>435</v>
      </c>
      <c r="S442" s="126">
        <f>IF(VLOOKUP(A442,Journal!$A$7:$E$70,5)=0,S441+1,VLOOKUP(A442,Journal!$A$7:$E$70,5))</f>
        <v>46092</v>
      </c>
      <c r="T442" s="125">
        <f>IF(H$2=VLOOKUP(A442,Journal!$A$7:$F$70,6),VLOOKUP(A442,Journal!$A$7:M$70,9),0)</f>
        <v>0</v>
      </c>
      <c r="U442" s="125">
        <f>IF(H$2=VLOOKUP(A442,Journal!$A$7:$G$70,7),VLOOKUP(A442,Journal!$A$7:M$70,9),0)</f>
        <v>0</v>
      </c>
      <c r="V442" s="125">
        <f t="shared" si="47"/>
        <v>40</v>
      </c>
      <c r="X442">
        <f t="shared" si="44"/>
        <v>0</v>
      </c>
      <c r="Y442" s="143">
        <f t="shared" si="43"/>
        <v>-988.63157894738652</v>
      </c>
    </row>
    <row r="443" spans="1:25" x14ac:dyDescent="0.25">
      <c r="A443">
        <f t="shared" si="48"/>
        <v>436</v>
      </c>
      <c r="B443" s="88" t="str">
        <f>IF(OR(B442="Total",B442=""),"",IF(VLOOKUP(A443,Journal!$B$7:$E$84,4)=0,"Total",VLOOKUP(A443,Journal!$B$7:$D$84,3)))</f>
        <v/>
      </c>
      <c r="C443" s="86" t="str">
        <f>IF(B443="","",VLOOKUP(A443,Journal!$B$7:$E$84,4))</f>
        <v/>
      </c>
      <c r="D443" s="114" t="str">
        <f>IF(B443="","",VLOOKUP(A443,Journal!$B$7:$J$84,9))</f>
        <v/>
      </c>
      <c r="E443" s="116"/>
      <c r="F443" s="116"/>
      <c r="G443" s="115"/>
      <c r="H443" s="84" t="str">
        <f>IF(B443="","",VLOOKUP(A443,Journal!$B$7:$L$84,11))</f>
        <v/>
      </c>
      <c r="I443" s="84" t="str">
        <f>IF(B443="","",VLOOKUP(A443,Journal!$B$7:$M$84,12))</f>
        <v/>
      </c>
      <c r="J443" s="105">
        <f>IF(B443="Total",SUM(J$8:J442)+0.0001,IF(OR(B443="",I$2=I443),0,VLOOKUP(A443,Journal!$B$7:M$84,8)))</f>
        <v>0</v>
      </c>
      <c r="K443" s="102">
        <f>IF(B443="Total",SUM(K$8:K442)+0.0001,IF(OR(B443="",J443&lt;&gt;0),0,VLOOKUP(A443,Journal!$B$7:M$84,8)))</f>
        <v>0</v>
      </c>
      <c r="L443" s="87">
        <f t="shared" si="42"/>
        <v>0</v>
      </c>
      <c r="P443">
        <f t="shared" si="45"/>
        <v>1.0000000000000001E-5</v>
      </c>
      <c r="R443" s="15">
        <f t="shared" si="46"/>
        <v>436</v>
      </c>
      <c r="S443" s="126">
        <f>IF(VLOOKUP(A443,Journal!$A$7:$E$70,5)=0,S442+1,VLOOKUP(A443,Journal!$A$7:$E$70,5))</f>
        <v>46093</v>
      </c>
      <c r="T443" s="125">
        <f>IF(H$2=VLOOKUP(A443,Journal!$A$7:$F$70,6),VLOOKUP(A443,Journal!$A$7:M$70,9),0)</f>
        <v>0</v>
      </c>
      <c r="U443" s="125">
        <f>IF(H$2=VLOOKUP(A443,Journal!$A$7:$G$70,7),VLOOKUP(A443,Journal!$A$7:M$70,9),0)</f>
        <v>0</v>
      </c>
      <c r="V443" s="125">
        <f t="shared" si="47"/>
        <v>40</v>
      </c>
      <c r="X443">
        <f t="shared" si="44"/>
        <v>0</v>
      </c>
      <c r="Y443" s="143">
        <f t="shared" si="43"/>
        <v>-988.60526315791287</v>
      </c>
    </row>
    <row r="444" spans="1:25" x14ac:dyDescent="0.25">
      <c r="A444">
        <f t="shared" si="48"/>
        <v>437</v>
      </c>
      <c r="B444" s="88" t="str">
        <f>IF(OR(B443="Total",B443=""),"",IF(VLOOKUP(A444,Journal!$B$7:$E$84,4)=0,"Total",VLOOKUP(A444,Journal!$B$7:$D$84,3)))</f>
        <v/>
      </c>
      <c r="C444" s="86" t="str">
        <f>IF(B444="","",VLOOKUP(A444,Journal!$B$7:$E$84,4))</f>
        <v/>
      </c>
      <c r="D444" s="114" t="str">
        <f>IF(B444="","",VLOOKUP(A444,Journal!$B$7:$J$84,9))</f>
        <v/>
      </c>
      <c r="E444" s="116"/>
      <c r="F444" s="116"/>
      <c r="G444" s="115"/>
      <c r="H444" s="84" t="str">
        <f>IF(B444="","",VLOOKUP(A444,Journal!$B$7:$L$84,11))</f>
        <v/>
      </c>
      <c r="I444" s="84" t="str">
        <f>IF(B444="","",VLOOKUP(A444,Journal!$B$7:$M$84,12))</f>
        <v/>
      </c>
      <c r="J444" s="105">
        <f>IF(B444="Total",SUM(J$8:J443)+0.0001,IF(OR(B444="",I$2=I444),0,VLOOKUP(A444,Journal!$B$7:M$84,8)))</f>
        <v>0</v>
      </c>
      <c r="K444" s="102">
        <f>IF(B444="Total",SUM(K$8:K443)+0.0001,IF(OR(B444="",J444&lt;&gt;0),0,VLOOKUP(A444,Journal!$B$7:M$84,8)))</f>
        <v>0</v>
      </c>
      <c r="L444" s="87">
        <f t="shared" si="42"/>
        <v>0</v>
      </c>
      <c r="P444">
        <f t="shared" si="45"/>
        <v>1.0000000000000001E-5</v>
      </c>
      <c r="R444" s="15">
        <f t="shared" si="46"/>
        <v>437</v>
      </c>
      <c r="S444" s="126">
        <f>IF(VLOOKUP(A444,Journal!$A$7:$E$70,5)=0,S443+1,VLOOKUP(A444,Journal!$A$7:$E$70,5))</f>
        <v>46094</v>
      </c>
      <c r="T444" s="125">
        <f>IF(H$2=VLOOKUP(A444,Journal!$A$7:$F$70,6),VLOOKUP(A444,Journal!$A$7:M$70,9),0)</f>
        <v>0</v>
      </c>
      <c r="U444" s="125">
        <f>IF(H$2=VLOOKUP(A444,Journal!$A$7:$G$70,7),VLOOKUP(A444,Journal!$A$7:M$70,9),0)</f>
        <v>0</v>
      </c>
      <c r="V444" s="125">
        <f t="shared" si="47"/>
        <v>40</v>
      </c>
      <c r="X444">
        <f t="shared" si="44"/>
        <v>0</v>
      </c>
      <c r="Y444" s="143">
        <f t="shared" si="43"/>
        <v>-988.57894736843923</v>
      </c>
    </row>
    <row r="445" spans="1:25" x14ac:dyDescent="0.25">
      <c r="A445">
        <f t="shared" si="48"/>
        <v>438</v>
      </c>
      <c r="B445" s="88" t="str">
        <f>IF(OR(B444="Total",B444=""),"",IF(VLOOKUP(A445,Journal!$B$7:$E$84,4)=0,"Total",VLOOKUP(A445,Journal!$B$7:$D$84,3)))</f>
        <v/>
      </c>
      <c r="C445" s="86" t="str">
        <f>IF(B445="","",VLOOKUP(A445,Journal!$B$7:$E$84,4))</f>
        <v/>
      </c>
      <c r="D445" s="114" t="str">
        <f>IF(B445="","",VLOOKUP(A445,Journal!$B$7:$J$84,9))</f>
        <v/>
      </c>
      <c r="E445" s="116"/>
      <c r="F445" s="116"/>
      <c r="G445" s="115"/>
      <c r="H445" s="84" t="str">
        <f>IF(B445="","",VLOOKUP(A445,Journal!$B$7:$L$84,11))</f>
        <v/>
      </c>
      <c r="I445" s="84" t="str">
        <f>IF(B445="","",VLOOKUP(A445,Journal!$B$7:$M$84,12))</f>
        <v/>
      </c>
      <c r="J445" s="105">
        <f>IF(B445="Total",SUM(J$8:J444)+0.0001,IF(OR(B445="",I$2=I445),0,VLOOKUP(A445,Journal!$B$7:M$84,8)))</f>
        <v>0</v>
      </c>
      <c r="K445" s="102">
        <f>IF(B445="Total",SUM(K$8:K444)+0.0001,IF(OR(B445="",J445&lt;&gt;0),0,VLOOKUP(A445,Journal!$B$7:M$84,8)))</f>
        <v>0</v>
      </c>
      <c r="L445" s="87">
        <f t="shared" si="42"/>
        <v>0</v>
      </c>
      <c r="P445">
        <f t="shared" si="45"/>
        <v>1.0000000000000001E-5</v>
      </c>
      <c r="R445" s="15">
        <f t="shared" si="46"/>
        <v>438</v>
      </c>
      <c r="S445" s="126">
        <f>IF(VLOOKUP(A445,Journal!$A$7:$E$70,5)=0,S444+1,VLOOKUP(A445,Journal!$A$7:$E$70,5))</f>
        <v>46095</v>
      </c>
      <c r="T445" s="125">
        <f>IF(H$2=VLOOKUP(A445,Journal!$A$7:$F$70,6),VLOOKUP(A445,Journal!$A$7:M$70,9),0)</f>
        <v>0</v>
      </c>
      <c r="U445" s="125">
        <f>IF(H$2=VLOOKUP(A445,Journal!$A$7:$G$70,7),VLOOKUP(A445,Journal!$A$7:M$70,9),0)</f>
        <v>0</v>
      </c>
      <c r="V445" s="125">
        <f t="shared" si="47"/>
        <v>40</v>
      </c>
      <c r="X445">
        <f t="shared" si="44"/>
        <v>0</v>
      </c>
      <c r="Y445" s="143">
        <f t="shared" si="43"/>
        <v>-988.55263157896559</v>
      </c>
    </row>
    <row r="446" spans="1:25" x14ac:dyDescent="0.25">
      <c r="A446">
        <f t="shared" si="48"/>
        <v>439</v>
      </c>
      <c r="B446" s="88" t="str">
        <f>IF(OR(B445="Total",B445=""),"",IF(VLOOKUP(A446,Journal!$B$7:$E$84,4)=0,"Total",VLOOKUP(A446,Journal!$B$7:$D$84,3)))</f>
        <v/>
      </c>
      <c r="C446" s="86" t="str">
        <f>IF(B446="","",VLOOKUP(A446,Journal!$B$7:$E$84,4))</f>
        <v/>
      </c>
      <c r="D446" s="114" t="str">
        <f>IF(B446="","",VLOOKUP(A446,Journal!$B$7:$J$84,9))</f>
        <v/>
      </c>
      <c r="E446" s="116"/>
      <c r="F446" s="116"/>
      <c r="G446" s="115"/>
      <c r="H446" s="84" t="str">
        <f>IF(B446="","",VLOOKUP(A446,Journal!$B$7:$L$84,11))</f>
        <v/>
      </c>
      <c r="I446" s="84" t="str">
        <f>IF(B446="","",VLOOKUP(A446,Journal!$B$7:$M$84,12))</f>
        <v/>
      </c>
      <c r="J446" s="105">
        <f>IF(B446="Total",SUM(J$8:J445)+0.0001,IF(OR(B446="",I$2=I446),0,VLOOKUP(A446,Journal!$B$7:M$84,8)))</f>
        <v>0</v>
      </c>
      <c r="K446" s="102">
        <f>IF(B446="Total",SUM(K$8:K445)+0.0001,IF(OR(B446="",J446&lt;&gt;0),0,VLOOKUP(A446,Journal!$B$7:M$84,8)))</f>
        <v>0</v>
      </c>
      <c r="L446" s="87">
        <f t="shared" si="42"/>
        <v>0</v>
      </c>
      <c r="P446">
        <f t="shared" si="45"/>
        <v>1.0000000000000001E-5</v>
      </c>
      <c r="R446" s="15">
        <f t="shared" si="46"/>
        <v>439</v>
      </c>
      <c r="S446" s="126">
        <f>IF(VLOOKUP(A446,Journal!$A$7:$E$70,5)=0,S445+1,VLOOKUP(A446,Journal!$A$7:$E$70,5))</f>
        <v>46096</v>
      </c>
      <c r="T446" s="125">
        <f>IF(H$2=VLOOKUP(A446,Journal!$A$7:$F$70,6),VLOOKUP(A446,Journal!$A$7:M$70,9),0)</f>
        <v>0</v>
      </c>
      <c r="U446" s="125">
        <f>IF(H$2=VLOOKUP(A446,Journal!$A$7:$G$70,7),VLOOKUP(A446,Journal!$A$7:M$70,9),0)</f>
        <v>0</v>
      </c>
      <c r="V446" s="125">
        <f t="shared" si="47"/>
        <v>40</v>
      </c>
      <c r="X446">
        <f t="shared" si="44"/>
        <v>0</v>
      </c>
      <c r="Y446" s="143">
        <f t="shared" si="43"/>
        <v>-988.52631578949195</v>
      </c>
    </row>
    <row r="447" spans="1:25" x14ac:dyDescent="0.25">
      <c r="A447">
        <f t="shared" si="48"/>
        <v>440</v>
      </c>
      <c r="B447" s="88" t="str">
        <f>IF(OR(B446="Total",B446=""),"",IF(VLOOKUP(A447,Journal!$B$7:$E$84,4)=0,"Total",VLOOKUP(A447,Journal!$B$7:$D$84,3)))</f>
        <v/>
      </c>
      <c r="C447" s="86" t="str">
        <f>IF(B447="","",VLOOKUP(A447,Journal!$B$7:$E$84,4))</f>
        <v/>
      </c>
      <c r="D447" s="114" t="str">
        <f>IF(B447="","",VLOOKUP(A447,Journal!$B$7:$J$84,9))</f>
        <v/>
      </c>
      <c r="E447" s="116"/>
      <c r="F447" s="116"/>
      <c r="G447" s="115"/>
      <c r="H447" s="84" t="str">
        <f>IF(B447="","",VLOOKUP(A447,Journal!$B$7:$L$84,11))</f>
        <v/>
      </c>
      <c r="I447" s="84" t="str">
        <f>IF(B447="","",VLOOKUP(A447,Journal!$B$7:$M$84,12))</f>
        <v/>
      </c>
      <c r="J447" s="105">
        <f>IF(B447="Total",SUM(J$8:J446)+0.0001,IF(OR(B447="",I$2=I447),0,VLOOKUP(A447,Journal!$B$7:M$84,8)))</f>
        <v>0</v>
      </c>
      <c r="K447" s="102">
        <f>IF(B447="Total",SUM(K$8:K446)+0.0001,IF(OR(B447="",J447&lt;&gt;0),0,VLOOKUP(A447,Journal!$B$7:M$84,8)))</f>
        <v>0</v>
      </c>
      <c r="L447" s="87">
        <f t="shared" si="42"/>
        <v>0</v>
      </c>
      <c r="P447">
        <f t="shared" si="45"/>
        <v>1.0000000000000001E-5</v>
      </c>
      <c r="R447" s="15">
        <f t="shared" si="46"/>
        <v>440</v>
      </c>
      <c r="S447" s="126">
        <f>IF(VLOOKUP(A447,Journal!$A$7:$E$70,5)=0,S446+1,VLOOKUP(A447,Journal!$A$7:$E$70,5))</f>
        <v>46097</v>
      </c>
      <c r="T447" s="125">
        <f>IF(H$2=VLOOKUP(A447,Journal!$A$7:$F$70,6),VLOOKUP(A447,Journal!$A$7:M$70,9),0)</f>
        <v>0</v>
      </c>
      <c r="U447" s="125">
        <f>IF(H$2=VLOOKUP(A447,Journal!$A$7:$G$70,7),VLOOKUP(A447,Journal!$A$7:M$70,9),0)</f>
        <v>0</v>
      </c>
      <c r="V447" s="125">
        <f t="shared" si="47"/>
        <v>40</v>
      </c>
      <c r="X447">
        <f t="shared" si="44"/>
        <v>0</v>
      </c>
      <c r="Y447" s="143">
        <f t="shared" si="43"/>
        <v>-988.5000000000183</v>
      </c>
    </row>
    <row r="448" spans="1:25" x14ac:dyDescent="0.25">
      <c r="A448">
        <f t="shared" si="48"/>
        <v>441</v>
      </c>
      <c r="B448" s="88" t="str">
        <f>IF(OR(B447="Total",B447=""),"",IF(VLOOKUP(A448,Journal!$B$7:$E$84,4)=0,"Total",VLOOKUP(A448,Journal!$B$7:$D$84,3)))</f>
        <v/>
      </c>
      <c r="C448" s="86" t="str">
        <f>IF(B448="","",VLOOKUP(A448,Journal!$B$7:$E$84,4))</f>
        <v/>
      </c>
      <c r="D448" s="114" t="str">
        <f>IF(B448="","",VLOOKUP(A448,Journal!$B$7:$J$84,9))</f>
        <v/>
      </c>
      <c r="E448" s="116"/>
      <c r="F448" s="116"/>
      <c r="G448" s="115"/>
      <c r="H448" s="84" t="str">
        <f>IF(B448="","",VLOOKUP(A448,Journal!$B$7:$L$84,11))</f>
        <v/>
      </c>
      <c r="I448" s="84" t="str">
        <f>IF(B448="","",VLOOKUP(A448,Journal!$B$7:$M$84,12))</f>
        <v/>
      </c>
      <c r="J448" s="105">
        <f>IF(B448="Total",SUM(J$8:J447)+0.0001,IF(OR(B448="",I$2=I448),0,VLOOKUP(A448,Journal!$B$7:M$84,8)))</f>
        <v>0</v>
      </c>
      <c r="K448" s="102">
        <f>IF(B448="Total",SUM(K$8:K447)+0.0001,IF(OR(B448="",J448&lt;&gt;0),0,VLOOKUP(A448,Journal!$B$7:M$84,8)))</f>
        <v>0</v>
      </c>
      <c r="L448" s="87">
        <f t="shared" si="42"/>
        <v>0</v>
      </c>
      <c r="P448">
        <f t="shared" si="45"/>
        <v>1.0000000000000001E-5</v>
      </c>
      <c r="R448" s="15">
        <f t="shared" si="46"/>
        <v>441</v>
      </c>
      <c r="S448" s="126">
        <f>IF(VLOOKUP(A448,Journal!$A$7:$E$70,5)=0,S447+1,VLOOKUP(A448,Journal!$A$7:$E$70,5))</f>
        <v>46098</v>
      </c>
      <c r="T448" s="125">
        <f>IF(H$2=VLOOKUP(A448,Journal!$A$7:$F$70,6),VLOOKUP(A448,Journal!$A$7:M$70,9),0)</f>
        <v>0</v>
      </c>
      <c r="U448" s="125">
        <f>IF(H$2=VLOOKUP(A448,Journal!$A$7:$G$70,7),VLOOKUP(A448,Journal!$A$7:M$70,9),0)</f>
        <v>0</v>
      </c>
      <c r="V448" s="125">
        <f t="shared" si="47"/>
        <v>40</v>
      </c>
      <c r="X448">
        <f t="shared" si="44"/>
        <v>0</v>
      </c>
      <c r="Y448" s="143">
        <f t="shared" si="43"/>
        <v>-988.47368421054466</v>
      </c>
    </row>
    <row r="449" spans="1:25" x14ac:dyDescent="0.25">
      <c r="A449">
        <f t="shared" si="48"/>
        <v>442</v>
      </c>
      <c r="B449" s="88" t="str">
        <f>IF(OR(B448="Total",B448=""),"",IF(VLOOKUP(A449,Journal!$B$7:$E$84,4)=0,"Total",VLOOKUP(A449,Journal!$B$7:$D$84,3)))</f>
        <v/>
      </c>
      <c r="C449" s="86" t="str">
        <f>IF(B449="","",VLOOKUP(A449,Journal!$B$7:$E$84,4))</f>
        <v/>
      </c>
      <c r="D449" s="114" t="str">
        <f>IF(B449="","",VLOOKUP(A449,Journal!$B$7:$J$84,9))</f>
        <v/>
      </c>
      <c r="E449" s="116"/>
      <c r="F449" s="116"/>
      <c r="G449" s="115"/>
      <c r="H449" s="84" t="str">
        <f>IF(B449="","",VLOOKUP(A449,Journal!$B$7:$L$84,11))</f>
        <v/>
      </c>
      <c r="I449" s="84" t="str">
        <f>IF(B449="","",VLOOKUP(A449,Journal!$B$7:$M$84,12))</f>
        <v/>
      </c>
      <c r="J449" s="105">
        <f>IF(B449="Total",SUM(J$8:J448)+0.0001,IF(OR(B449="",I$2=I449),0,VLOOKUP(A449,Journal!$B$7:M$84,8)))</f>
        <v>0</v>
      </c>
      <c r="K449" s="102">
        <f>IF(B449="Total",SUM(K$8:K448)+0.0001,IF(OR(B449="",J449&lt;&gt;0),0,VLOOKUP(A449,Journal!$B$7:M$84,8)))</f>
        <v>0</v>
      </c>
      <c r="L449" s="87">
        <f t="shared" si="42"/>
        <v>0</v>
      </c>
      <c r="P449">
        <f t="shared" si="45"/>
        <v>1.0000000000000001E-5</v>
      </c>
      <c r="R449" s="15">
        <f t="shared" si="46"/>
        <v>442</v>
      </c>
      <c r="S449" s="126">
        <f>IF(VLOOKUP(A449,Journal!$A$7:$E$70,5)=0,S448+1,VLOOKUP(A449,Journal!$A$7:$E$70,5))</f>
        <v>46099</v>
      </c>
      <c r="T449" s="125">
        <f>IF(H$2=VLOOKUP(A449,Journal!$A$7:$F$70,6),VLOOKUP(A449,Journal!$A$7:M$70,9),0)</f>
        <v>0</v>
      </c>
      <c r="U449" s="125">
        <f>IF(H$2=VLOOKUP(A449,Journal!$A$7:$G$70,7),VLOOKUP(A449,Journal!$A$7:M$70,9),0)</f>
        <v>0</v>
      </c>
      <c r="V449" s="125">
        <f t="shared" si="47"/>
        <v>40</v>
      </c>
      <c r="X449">
        <f t="shared" si="44"/>
        <v>0</v>
      </c>
      <c r="Y449" s="143">
        <f t="shared" si="43"/>
        <v>-988.44736842107102</v>
      </c>
    </row>
    <row r="450" spans="1:25" x14ac:dyDescent="0.25">
      <c r="A450">
        <f t="shared" si="48"/>
        <v>443</v>
      </c>
      <c r="B450" s="88" t="str">
        <f>IF(OR(B449="Total",B449=""),"",IF(VLOOKUP(A450,Journal!$B$7:$E$84,4)=0,"Total",VLOOKUP(A450,Journal!$B$7:$D$84,3)))</f>
        <v/>
      </c>
      <c r="C450" s="86" t="str">
        <f>IF(B450="","",VLOOKUP(A450,Journal!$B$7:$E$84,4))</f>
        <v/>
      </c>
      <c r="D450" s="114" t="str">
        <f>IF(B450="","",VLOOKUP(A450,Journal!$B$7:$J$84,9))</f>
        <v/>
      </c>
      <c r="E450" s="116"/>
      <c r="F450" s="116"/>
      <c r="G450" s="115"/>
      <c r="H450" s="84" t="str">
        <f>IF(B450="","",VLOOKUP(A450,Journal!$B$7:$L$84,11))</f>
        <v/>
      </c>
      <c r="I450" s="84" t="str">
        <f>IF(B450="","",VLOOKUP(A450,Journal!$B$7:$M$84,12))</f>
        <v/>
      </c>
      <c r="J450" s="105">
        <f>IF(B450="Total",SUM(J$8:J449)+0.0001,IF(OR(B450="",I$2=I450),0,VLOOKUP(A450,Journal!$B$7:M$84,8)))</f>
        <v>0</v>
      </c>
      <c r="K450" s="102">
        <f>IF(B450="Total",SUM(K$8:K449)+0.0001,IF(OR(B450="",J450&lt;&gt;0),0,VLOOKUP(A450,Journal!$B$7:M$84,8)))</f>
        <v>0</v>
      </c>
      <c r="L450" s="87">
        <f t="shared" si="42"/>
        <v>0</v>
      </c>
      <c r="P450">
        <f t="shared" si="45"/>
        <v>1.0000000000000001E-5</v>
      </c>
      <c r="R450" s="15">
        <f t="shared" si="46"/>
        <v>443</v>
      </c>
      <c r="S450" s="126">
        <f>IF(VLOOKUP(A450,Journal!$A$7:$E$70,5)=0,S449+1,VLOOKUP(A450,Journal!$A$7:$E$70,5))</f>
        <v>46100</v>
      </c>
      <c r="T450" s="125">
        <f>IF(H$2=VLOOKUP(A450,Journal!$A$7:$F$70,6),VLOOKUP(A450,Journal!$A$7:M$70,9),0)</f>
        <v>0</v>
      </c>
      <c r="U450" s="125">
        <f>IF(H$2=VLOOKUP(A450,Journal!$A$7:$G$70,7),VLOOKUP(A450,Journal!$A$7:M$70,9),0)</f>
        <v>0</v>
      </c>
      <c r="V450" s="125">
        <f t="shared" si="47"/>
        <v>40</v>
      </c>
      <c r="X450">
        <f t="shared" si="44"/>
        <v>0</v>
      </c>
      <c r="Y450" s="143">
        <f t="shared" si="43"/>
        <v>-988.42105263159738</v>
      </c>
    </row>
    <row r="451" spans="1:25" x14ac:dyDescent="0.25">
      <c r="A451">
        <f t="shared" si="48"/>
        <v>444</v>
      </c>
      <c r="B451" s="88" t="str">
        <f>IF(OR(B450="Total",B450=""),"",IF(VLOOKUP(A451,Journal!$B$7:$E$84,4)=0,"Total",VLOOKUP(A451,Journal!$B$7:$D$84,3)))</f>
        <v/>
      </c>
      <c r="C451" s="86" t="str">
        <f>IF(B451="","",VLOOKUP(A451,Journal!$B$7:$E$84,4))</f>
        <v/>
      </c>
      <c r="D451" s="114" t="str">
        <f>IF(B451="","",VLOOKUP(A451,Journal!$B$7:$J$84,9))</f>
        <v/>
      </c>
      <c r="E451" s="116"/>
      <c r="F451" s="116"/>
      <c r="G451" s="115"/>
      <c r="H451" s="84" t="str">
        <f>IF(B451="","",VLOOKUP(A451,Journal!$B$7:$L$84,11))</f>
        <v/>
      </c>
      <c r="I451" s="84" t="str">
        <f>IF(B451="","",VLOOKUP(A451,Journal!$B$7:$M$84,12))</f>
        <v/>
      </c>
      <c r="J451" s="105">
        <f>IF(B451="Total",SUM(J$8:J450)+0.0001,IF(OR(B451="",I$2=I451),0,VLOOKUP(A451,Journal!$B$7:M$84,8)))</f>
        <v>0</v>
      </c>
      <c r="K451" s="102">
        <f>IF(B451="Total",SUM(K$8:K450)+0.0001,IF(OR(B451="",J451&lt;&gt;0),0,VLOOKUP(A451,Journal!$B$7:M$84,8)))</f>
        <v>0</v>
      </c>
      <c r="L451" s="87">
        <f t="shared" si="42"/>
        <v>0</v>
      </c>
      <c r="P451">
        <f t="shared" si="45"/>
        <v>1.0000000000000001E-5</v>
      </c>
      <c r="R451" s="15">
        <f t="shared" si="46"/>
        <v>444</v>
      </c>
      <c r="S451" s="126">
        <f>IF(VLOOKUP(A451,Journal!$A$7:$E$70,5)=0,S450+1,VLOOKUP(A451,Journal!$A$7:$E$70,5))</f>
        <v>46101</v>
      </c>
      <c r="T451" s="125">
        <f>IF(H$2=VLOOKUP(A451,Journal!$A$7:$F$70,6),VLOOKUP(A451,Journal!$A$7:M$70,9),0)</f>
        <v>0</v>
      </c>
      <c r="U451" s="125">
        <f>IF(H$2=VLOOKUP(A451,Journal!$A$7:$G$70,7),VLOOKUP(A451,Journal!$A$7:M$70,9),0)</f>
        <v>0</v>
      </c>
      <c r="V451" s="125">
        <f t="shared" si="47"/>
        <v>40</v>
      </c>
      <c r="X451">
        <f t="shared" si="44"/>
        <v>0</v>
      </c>
      <c r="Y451" s="143">
        <f t="shared" si="43"/>
        <v>-988.39473684212373</v>
      </c>
    </row>
    <row r="452" spans="1:25" x14ac:dyDescent="0.25">
      <c r="A452">
        <f t="shared" si="48"/>
        <v>445</v>
      </c>
      <c r="B452" s="88" t="str">
        <f>IF(OR(B451="Total",B451=""),"",IF(VLOOKUP(A452,Journal!$B$7:$E$84,4)=0,"Total",VLOOKUP(A452,Journal!$B$7:$D$84,3)))</f>
        <v/>
      </c>
      <c r="C452" s="86" t="str">
        <f>IF(B452="","",VLOOKUP(A452,Journal!$B$7:$E$84,4))</f>
        <v/>
      </c>
      <c r="D452" s="114" t="str">
        <f>IF(B452="","",VLOOKUP(A452,Journal!$B$7:$J$84,9))</f>
        <v/>
      </c>
      <c r="E452" s="116"/>
      <c r="F452" s="116"/>
      <c r="G452" s="115"/>
      <c r="H452" s="84" t="str">
        <f>IF(B452="","",VLOOKUP(A452,Journal!$B$7:$L$84,11))</f>
        <v/>
      </c>
      <c r="I452" s="84" t="str">
        <f>IF(B452="","",VLOOKUP(A452,Journal!$B$7:$M$84,12))</f>
        <v/>
      </c>
      <c r="J452" s="105">
        <f>IF(B452="Total",SUM(J$8:J451)+0.0001,IF(OR(B452="",I$2=I452),0,VLOOKUP(A452,Journal!$B$7:M$84,8)))</f>
        <v>0</v>
      </c>
      <c r="K452" s="102">
        <f>IF(B452="Total",SUM(K$8:K451)+0.0001,IF(OR(B452="",J452&lt;&gt;0),0,VLOOKUP(A452,Journal!$B$7:M$84,8)))</f>
        <v>0</v>
      </c>
      <c r="L452" s="87">
        <f t="shared" si="42"/>
        <v>0</v>
      </c>
      <c r="P452">
        <f t="shared" si="45"/>
        <v>1.0000000000000001E-5</v>
      </c>
      <c r="R452" s="15">
        <f t="shared" si="46"/>
        <v>445</v>
      </c>
      <c r="S452" s="126">
        <f>IF(VLOOKUP(A452,Journal!$A$7:$E$70,5)=0,S451+1,VLOOKUP(A452,Journal!$A$7:$E$70,5))</f>
        <v>46102</v>
      </c>
      <c r="T452" s="125">
        <f>IF(H$2=VLOOKUP(A452,Journal!$A$7:$F$70,6),VLOOKUP(A452,Journal!$A$7:M$70,9),0)</f>
        <v>0</v>
      </c>
      <c r="U452" s="125">
        <f>IF(H$2=VLOOKUP(A452,Journal!$A$7:$G$70,7),VLOOKUP(A452,Journal!$A$7:M$70,9),0)</f>
        <v>0</v>
      </c>
      <c r="V452" s="125">
        <f t="shared" si="47"/>
        <v>40</v>
      </c>
      <c r="X452">
        <f t="shared" si="44"/>
        <v>0</v>
      </c>
      <c r="Y452" s="143">
        <f t="shared" si="43"/>
        <v>-988.36842105265009</v>
      </c>
    </row>
    <row r="453" spans="1:25" x14ac:dyDescent="0.25">
      <c r="A453">
        <f t="shared" si="48"/>
        <v>446</v>
      </c>
      <c r="B453" s="88" t="str">
        <f>IF(OR(B452="Total",B452=""),"",IF(VLOOKUP(A453,Journal!$B$7:$E$84,4)=0,"Total",VLOOKUP(A453,Journal!$B$7:$D$84,3)))</f>
        <v/>
      </c>
      <c r="C453" s="86" t="str">
        <f>IF(B453="","",VLOOKUP(A453,Journal!$B$7:$E$84,4))</f>
        <v/>
      </c>
      <c r="D453" s="114" t="str">
        <f>IF(B453="","",VLOOKUP(A453,Journal!$B$7:$J$84,9))</f>
        <v/>
      </c>
      <c r="E453" s="116"/>
      <c r="F453" s="116"/>
      <c r="G453" s="115"/>
      <c r="H453" s="84" t="str">
        <f>IF(B453="","",VLOOKUP(A453,Journal!$B$7:$L$84,11))</f>
        <v/>
      </c>
      <c r="I453" s="84" t="str">
        <f>IF(B453="","",VLOOKUP(A453,Journal!$B$7:$M$84,12))</f>
        <v/>
      </c>
      <c r="J453" s="105">
        <f>IF(B453="Total",SUM(J$8:J452)+0.0001,IF(OR(B453="",I$2=I453),0,VLOOKUP(A453,Journal!$B$7:M$84,8)))</f>
        <v>0</v>
      </c>
      <c r="K453" s="102">
        <f>IF(B453="Total",SUM(K$8:K452)+0.0001,IF(OR(B453="",J453&lt;&gt;0),0,VLOOKUP(A453,Journal!$B$7:M$84,8)))</f>
        <v>0</v>
      </c>
      <c r="L453" s="87">
        <f t="shared" si="42"/>
        <v>0</v>
      </c>
      <c r="P453">
        <f t="shared" si="45"/>
        <v>1.0000000000000001E-5</v>
      </c>
      <c r="R453" s="15">
        <f t="shared" si="46"/>
        <v>446</v>
      </c>
      <c r="S453" s="126">
        <f>IF(VLOOKUP(A453,Journal!$A$7:$E$70,5)=0,S452+1,VLOOKUP(A453,Journal!$A$7:$E$70,5))</f>
        <v>46103</v>
      </c>
      <c r="T453" s="125">
        <f>IF(H$2=VLOOKUP(A453,Journal!$A$7:$F$70,6),VLOOKUP(A453,Journal!$A$7:M$70,9),0)</f>
        <v>0</v>
      </c>
      <c r="U453" s="125">
        <f>IF(H$2=VLOOKUP(A453,Journal!$A$7:$G$70,7),VLOOKUP(A453,Journal!$A$7:M$70,9),0)</f>
        <v>0</v>
      </c>
      <c r="V453" s="125">
        <f t="shared" si="47"/>
        <v>40</v>
      </c>
      <c r="X453">
        <f t="shared" si="44"/>
        <v>0</v>
      </c>
      <c r="Y453" s="143">
        <f t="shared" si="43"/>
        <v>-988.34210526317645</v>
      </c>
    </row>
    <row r="454" spans="1:25" x14ac:dyDescent="0.25">
      <c r="A454">
        <f t="shared" si="48"/>
        <v>447</v>
      </c>
      <c r="B454" s="88" t="str">
        <f>IF(OR(B453="Total",B453=""),"",IF(VLOOKUP(A454,Journal!$B$7:$E$84,4)=0,"Total",VLOOKUP(A454,Journal!$B$7:$D$84,3)))</f>
        <v/>
      </c>
      <c r="C454" s="86" t="str">
        <f>IF(B454="","",VLOOKUP(A454,Journal!$B$7:$E$84,4))</f>
        <v/>
      </c>
      <c r="D454" s="114" t="str">
        <f>IF(B454="","",VLOOKUP(A454,Journal!$B$7:$J$84,9))</f>
        <v/>
      </c>
      <c r="E454" s="116"/>
      <c r="F454" s="116"/>
      <c r="G454" s="115"/>
      <c r="H454" s="84" t="str">
        <f>IF(B454="","",VLOOKUP(A454,Journal!$B$7:$L$84,11))</f>
        <v/>
      </c>
      <c r="I454" s="84" t="str">
        <f>IF(B454="","",VLOOKUP(A454,Journal!$B$7:$M$84,12))</f>
        <v/>
      </c>
      <c r="J454" s="105">
        <f>IF(B454="Total",SUM(J$8:J453)+0.0001,IF(OR(B454="",I$2=I454),0,VLOOKUP(A454,Journal!$B$7:M$84,8)))</f>
        <v>0</v>
      </c>
      <c r="K454" s="102">
        <f>IF(B454="Total",SUM(K$8:K453)+0.0001,IF(OR(B454="",J454&lt;&gt;0),0,VLOOKUP(A454,Journal!$B$7:M$84,8)))</f>
        <v>0</v>
      </c>
      <c r="L454" s="87">
        <f t="shared" si="42"/>
        <v>0</v>
      </c>
      <c r="P454">
        <f t="shared" si="45"/>
        <v>1.0000000000000001E-5</v>
      </c>
      <c r="R454" s="15">
        <f t="shared" si="46"/>
        <v>447</v>
      </c>
      <c r="S454" s="126">
        <f>IF(VLOOKUP(A454,Journal!$A$7:$E$70,5)=0,S453+1,VLOOKUP(A454,Journal!$A$7:$E$70,5))</f>
        <v>46104</v>
      </c>
      <c r="T454" s="125">
        <f>IF(H$2=VLOOKUP(A454,Journal!$A$7:$F$70,6),VLOOKUP(A454,Journal!$A$7:M$70,9),0)</f>
        <v>0</v>
      </c>
      <c r="U454" s="125">
        <f>IF(H$2=VLOOKUP(A454,Journal!$A$7:$G$70,7),VLOOKUP(A454,Journal!$A$7:M$70,9),0)</f>
        <v>0</v>
      </c>
      <c r="V454" s="125">
        <f t="shared" si="47"/>
        <v>40</v>
      </c>
      <c r="X454">
        <f t="shared" si="44"/>
        <v>0</v>
      </c>
      <c r="Y454" s="143">
        <f t="shared" si="43"/>
        <v>-988.31578947370281</v>
      </c>
    </row>
    <row r="455" spans="1:25" x14ac:dyDescent="0.25">
      <c r="A455">
        <f t="shared" si="48"/>
        <v>448</v>
      </c>
      <c r="B455" s="88" t="str">
        <f>IF(OR(B454="Total",B454=""),"",IF(VLOOKUP(A455,Journal!$B$7:$E$84,4)=0,"Total",VLOOKUP(A455,Journal!$B$7:$D$84,3)))</f>
        <v/>
      </c>
      <c r="C455" s="86" t="str">
        <f>IF(B455="","",VLOOKUP(A455,Journal!$B$7:$E$84,4))</f>
        <v/>
      </c>
      <c r="D455" s="114" t="str">
        <f>IF(B455="","",VLOOKUP(A455,Journal!$B$7:$J$84,9))</f>
        <v/>
      </c>
      <c r="E455" s="116"/>
      <c r="F455" s="116"/>
      <c r="G455" s="115"/>
      <c r="H455" s="84" t="str">
        <f>IF(B455="","",VLOOKUP(A455,Journal!$B$7:$L$84,11))</f>
        <v/>
      </c>
      <c r="I455" s="84" t="str">
        <f>IF(B455="","",VLOOKUP(A455,Journal!$B$7:$M$84,12))</f>
        <v/>
      </c>
      <c r="J455" s="105">
        <f>IF(B455="Total",SUM(J$8:J454)+0.0001,IF(OR(B455="",I$2=I455),0,VLOOKUP(A455,Journal!$B$7:M$84,8)))</f>
        <v>0</v>
      </c>
      <c r="K455" s="102">
        <f>IF(B455="Total",SUM(K$8:K454)+0.0001,IF(OR(B455="",J455&lt;&gt;0),0,VLOOKUP(A455,Journal!$B$7:M$84,8)))</f>
        <v>0</v>
      </c>
      <c r="L455" s="87">
        <f t="shared" si="42"/>
        <v>0</v>
      </c>
      <c r="P455">
        <f t="shared" si="45"/>
        <v>1.0000000000000001E-5</v>
      </c>
      <c r="R455" s="15">
        <f t="shared" si="46"/>
        <v>448</v>
      </c>
      <c r="S455" s="126">
        <f>IF(VLOOKUP(A455,Journal!$A$7:$E$70,5)=0,S454+1,VLOOKUP(A455,Journal!$A$7:$E$70,5))</f>
        <v>46105</v>
      </c>
      <c r="T455" s="125">
        <f>IF(H$2=VLOOKUP(A455,Journal!$A$7:$F$70,6),VLOOKUP(A455,Journal!$A$7:M$70,9),0)</f>
        <v>0</v>
      </c>
      <c r="U455" s="125">
        <f>IF(H$2=VLOOKUP(A455,Journal!$A$7:$G$70,7),VLOOKUP(A455,Journal!$A$7:M$70,9),0)</f>
        <v>0</v>
      </c>
      <c r="V455" s="125">
        <f t="shared" si="47"/>
        <v>40</v>
      </c>
      <c r="X455">
        <f t="shared" si="44"/>
        <v>0</v>
      </c>
      <c r="Y455" s="143">
        <f t="shared" si="43"/>
        <v>-988.28947368422916</v>
      </c>
    </row>
    <row r="456" spans="1:25" x14ac:dyDescent="0.25">
      <c r="A456">
        <f t="shared" si="48"/>
        <v>449</v>
      </c>
      <c r="B456" s="88" t="str">
        <f>IF(OR(B455="Total",B455=""),"",IF(VLOOKUP(A456,Journal!$B$7:$E$84,4)=0,"Total",VLOOKUP(A456,Journal!$B$7:$D$84,3)))</f>
        <v/>
      </c>
      <c r="C456" s="86" t="str">
        <f>IF(B456="","",VLOOKUP(A456,Journal!$B$7:$E$84,4))</f>
        <v/>
      </c>
      <c r="D456" s="114" t="str">
        <f>IF(B456="","",VLOOKUP(A456,Journal!$B$7:$J$84,9))</f>
        <v/>
      </c>
      <c r="E456" s="116"/>
      <c r="F456" s="116"/>
      <c r="G456" s="115"/>
      <c r="H456" s="84" t="str">
        <f>IF(B456="","",VLOOKUP(A456,Journal!$B$7:$L$84,11))</f>
        <v/>
      </c>
      <c r="I456" s="84" t="str">
        <f>IF(B456="","",VLOOKUP(A456,Journal!$B$7:$M$84,12))</f>
        <v/>
      </c>
      <c r="J456" s="105">
        <f>IF(B456="Total",SUM(J$8:J455)+0.0001,IF(OR(B456="",I$2=I456),0,VLOOKUP(A456,Journal!$B$7:M$84,8)))</f>
        <v>0</v>
      </c>
      <c r="K456" s="102">
        <f>IF(B456="Total",SUM(K$8:K455)+0.0001,IF(OR(B456="",J456&lt;&gt;0),0,VLOOKUP(A456,Journal!$B$7:M$84,8)))</f>
        <v>0</v>
      </c>
      <c r="L456" s="87">
        <f t="shared" ref="L456:L519" si="49">IF(B456="Total",L455,IF(B456="",0,IF($M$1=1,L455+J456-K456,L455-J456+K456)))</f>
        <v>0</v>
      </c>
      <c r="P456">
        <f t="shared" si="45"/>
        <v>1.0000000000000001E-5</v>
      </c>
      <c r="R456" s="15">
        <f t="shared" si="46"/>
        <v>449</v>
      </c>
      <c r="S456" s="126">
        <f>IF(VLOOKUP(A456,Journal!$A$7:$E$70,5)=0,S455+1,VLOOKUP(A456,Journal!$A$7:$E$70,5))</f>
        <v>46106</v>
      </c>
      <c r="T456" s="125">
        <f>IF(H$2=VLOOKUP(A456,Journal!$A$7:$F$70,6),VLOOKUP(A456,Journal!$A$7:M$70,9),0)</f>
        <v>0</v>
      </c>
      <c r="U456" s="125">
        <f>IF(H$2=VLOOKUP(A456,Journal!$A$7:$G$70,7),VLOOKUP(A456,Journal!$A$7:M$70,9),0)</f>
        <v>0</v>
      </c>
      <c r="V456" s="125">
        <f t="shared" si="47"/>
        <v>40</v>
      </c>
      <c r="X456">
        <f t="shared" si="44"/>
        <v>0</v>
      </c>
      <c r="Y456" s="143">
        <f t="shared" ref="Y456:Y519" si="50">IF(B455="Total",-1000,Y455+Y$4)</f>
        <v>-988.26315789475552</v>
      </c>
    </row>
    <row r="457" spans="1:25" x14ac:dyDescent="0.25">
      <c r="A457">
        <f t="shared" si="48"/>
        <v>450</v>
      </c>
      <c r="B457" s="88" t="str">
        <f>IF(OR(B456="Total",B456=""),"",IF(VLOOKUP(A457,Journal!$B$7:$E$84,4)=0,"Total",VLOOKUP(A457,Journal!$B$7:$D$84,3)))</f>
        <v/>
      </c>
      <c r="C457" s="86" t="str">
        <f>IF(B457="","",VLOOKUP(A457,Journal!$B$7:$E$84,4))</f>
        <v/>
      </c>
      <c r="D457" s="114" t="str">
        <f>IF(B457="","",VLOOKUP(A457,Journal!$B$7:$J$84,9))</f>
        <v/>
      </c>
      <c r="E457" s="116"/>
      <c r="F457" s="116"/>
      <c r="G457" s="115"/>
      <c r="H457" s="84" t="str">
        <f>IF(B457="","",VLOOKUP(A457,Journal!$B$7:$L$84,11))</f>
        <v/>
      </c>
      <c r="I457" s="84" t="str">
        <f>IF(B457="","",VLOOKUP(A457,Journal!$B$7:$M$84,12))</f>
        <v/>
      </c>
      <c r="J457" s="105">
        <f>IF(B457="Total",SUM(J$8:J456)+0.0001,IF(OR(B457="",I$2=I457),0,VLOOKUP(A457,Journal!$B$7:M$84,8)))</f>
        <v>0</v>
      </c>
      <c r="K457" s="102">
        <f>IF(B457="Total",SUM(K$8:K456)+0.0001,IF(OR(B457="",J457&lt;&gt;0),0,VLOOKUP(A457,Journal!$B$7:M$84,8)))</f>
        <v>0</v>
      </c>
      <c r="L457" s="87">
        <f t="shared" si="49"/>
        <v>0</v>
      </c>
      <c r="P457">
        <f t="shared" si="45"/>
        <v>1.0000000000000001E-5</v>
      </c>
      <c r="R457" s="15">
        <f t="shared" si="46"/>
        <v>450</v>
      </c>
      <c r="S457" s="126">
        <f>IF(VLOOKUP(A457,Journal!$A$7:$E$70,5)=0,S456+1,VLOOKUP(A457,Journal!$A$7:$E$70,5))</f>
        <v>46107</v>
      </c>
      <c r="T457" s="125">
        <f>IF(H$2=VLOOKUP(A457,Journal!$A$7:$F$70,6),VLOOKUP(A457,Journal!$A$7:M$70,9),0)</f>
        <v>0</v>
      </c>
      <c r="U457" s="125">
        <f>IF(H$2=VLOOKUP(A457,Journal!$A$7:$G$70,7),VLOOKUP(A457,Journal!$A$7:M$70,9),0)</f>
        <v>0</v>
      </c>
      <c r="V457" s="125">
        <f t="shared" si="47"/>
        <v>40</v>
      </c>
      <c r="X457">
        <f t="shared" ref="X457:X520" si="51">IF(J$2&gt;S457,1,0)</f>
        <v>0</v>
      </c>
      <c r="Y457" s="143">
        <f t="shared" si="50"/>
        <v>-988.23684210528188</v>
      </c>
    </row>
    <row r="458" spans="1:25" x14ac:dyDescent="0.25">
      <c r="A458">
        <f t="shared" si="48"/>
        <v>451</v>
      </c>
      <c r="B458" s="88" t="str">
        <f>IF(OR(B457="Total",B457=""),"",IF(VLOOKUP(A458,Journal!$B$7:$E$84,4)=0,"Total",VLOOKUP(A458,Journal!$B$7:$D$84,3)))</f>
        <v/>
      </c>
      <c r="C458" s="86" t="str">
        <f>IF(B458="","",VLOOKUP(A458,Journal!$B$7:$E$84,4))</f>
        <v/>
      </c>
      <c r="D458" s="114" t="str">
        <f>IF(B458="","",VLOOKUP(A458,Journal!$B$7:$J$84,9))</f>
        <v/>
      </c>
      <c r="E458" s="116"/>
      <c r="F458" s="116"/>
      <c r="G458" s="115"/>
      <c r="H458" s="84" t="str">
        <f>IF(B458="","",VLOOKUP(A458,Journal!$B$7:$L$84,11))</f>
        <v/>
      </c>
      <c r="I458" s="84" t="str">
        <f>IF(B458="","",VLOOKUP(A458,Journal!$B$7:$M$84,12))</f>
        <v/>
      </c>
      <c r="J458" s="105">
        <f>IF(B458="Total",SUM(J$8:J457)+0.0001,IF(OR(B458="",I$2=I458),0,VLOOKUP(A458,Journal!$B$7:M$84,8)))</f>
        <v>0</v>
      </c>
      <c r="K458" s="102">
        <f>IF(B458="Total",SUM(K$8:K457)+0.0001,IF(OR(B458="",J458&lt;&gt;0),0,VLOOKUP(A458,Journal!$B$7:M$84,8)))</f>
        <v>0</v>
      </c>
      <c r="L458" s="87">
        <f t="shared" si="49"/>
        <v>0</v>
      </c>
      <c r="P458">
        <f t="shared" ref="P458:P521" si="52">IF(L457=L458,L457+0.00001,L458)</f>
        <v>1.0000000000000001E-5</v>
      </c>
      <c r="R458" s="15">
        <f t="shared" ref="R458:R521" si="53">R457+1</f>
        <v>451</v>
      </c>
      <c r="S458" s="126">
        <f>IF(VLOOKUP(A458,Journal!$A$7:$E$70,5)=0,S457+1,VLOOKUP(A458,Journal!$A$7:$E$70,5))</f>
        <v>46108</v>
      </c>
      <c r="T458" s="125">
        <f>IF(H$2=VLOOKUP(A458,Journal!$A$7:$F$70,6),VLOOKUP(A458,Journal!$A$7:M$70,9),0)</f>
        <v>0</v>
      </c>
      <c r="U458" s="125">
        <f>IF(H$2=VLOOKUP(A458,Journal!$A$7:$G$70,7),VLOOKUP(A458,Journal!$A$7:M$70,9),0)</f>
        <v>0</v>
      </c>
      <c r="V458" s="125">
        <f t="shared" ref="V458:V521" si="54">IF($M$1=1,V457+T458-U458,V457-T458+U458)</f>
        <v>40</v>
      </c>
      <c r="X458">
        <f t="shared" si="51"/>
        <v>0</v>
      </c>
      <c r="Y458" s="143">
        <f t="shared" si="50"/>
        <v>-988.21052631580824</v>
      </c>
    </row>
    <row r="459" spans="1:25" x14ac:dyDescent="0.25">
      <c r="A459">
        <f t="shared" ref="A459:A522" si="55">A458+1</f>
        <v>452</v>
      </c>
      <c r="B459" s="88" t="str">
        <f>IF(OR(B458="Total",B458=""),"",IF(VLOOKUP(A459,Journal!$B$7:$E$84,4)=0,"Total",VLOOKUP(A459,Journal!$B$7:$D$84,3)))</f>
        <v/>
      </c>
      <c r="C459" s="86" t="str">
        <f>IF(B459="","",VLOOKUP(A459,Journal!$B$7:$E$84,4))</f>
        <v/>
      </c>
      <c r="D459" s="114" t="str">
        <f>IF(B459="","",VLOOKUP(A459,Journal!$B$7:$J$84,9))</f>
        <v/>
      </c>
      <c r="E459" s="116"/>
      <c r="F459" s="116"/>
      <c r="G459" s="115"/>
      <c r="H459" s="84" t="str">
        <f>IF(B459="","",VLOOKUP(A459,Journal!$B$7:$L$84,11))</f>
        <v/>
      </c>
      <c r="I459" s="84" t="str">
        <f>IF(B459="","",VLOOKUP(A459,Journal!$B$7:$M$84,12))</f>
        <v/>
      </c>
      <c r="J459" s="105">
        <f>IF(B459="Total",SUM(J$8:J458)+0.0001,IF(OR(B459="",I$2=I459),0,VLOOKUP(A459,Journal!$B$7:M$84,8)))</f>
        <v>0</v>
      </c>
      <c r="K459" s="102">
        <f>IF(B459="Total",SUM(K$8:K458)+0.0001,IF(OR(B459="",J459&lt;&gt;0),0,VLOOKUP(A459,Journal!$B$7:M$84,8)))</f>
        <v>0</v>
      </c>
      <c r="L459" s="87">
        <f t="shared" si="49"/>
        <v>0</v>
      </c>
      <c r="P459">
        <f t="shared" si="52"/>
        <v>1.0000000000000001E-5</v>
      </c>
      <c r="R459" s="15">
        <f t="shared" si="53"/>
        <v>452</v>
      </c>
      <c r="S459" s="126">
        <f>IF(VLOOKUP(A459,Journal!$A$7:$E$70,5)=0,S458+1,VLOOKUP(A459,Journal!$A$7:$E$70,5))</f>
        <v>46109</v>
      </c>
      <c r="T459" s="125">
        <f>IF(H$2=VLOOKUP(A459,Journal!$A$7:$F$70,6),VLOOKUP(A459,Journal!$A$7:M$70,9),0)</f>
        <v>0</v>
      </c>
      <c r="U459" s="125">
        <f>IF(H$2=VLOOKUP(A459,Journal!$A$7:$G$70,7),VLOOKUP(A459,Journal!$A$7:M$70,9),0)</f>
        <v>0</v>
      </c>
      <c r="V459" s="125">
        <f t="shared" si="54"/>
        <v>40</v>
      </c>
      <c r="X459">
        <f t="shared" si="51"/>
        <v>0</v>
      </c>
      <c r="Y459" s="143">
        <f t="shared" si="50"/>
        <v>-988.1842105263346</v>
      </c>
    </row>
    <row r="460" spans="1:25" x14ac:dyDescent="0.25">
      <c r="A460">
        <f t="shared" si="55"/>
        <v>453</v>
      </c>
      <c r="B460" s="88" t="str">
        <f>IF(OR(B459="Total",B459=""),"",IF(VLOOKUP(A460,Journal!$B$7:$E$84,4)=0,"Total",VLOOKUP(A460,Journal!$B$7:$D$84,3)))</f>
        <v/>
      </c>
      <c r="C460" s="86" t="str">
        <f>IF(B460="","",VLOOKUP(A460,Journal!$B$7:$E$84,4))</f>
        <v/>
      </c>
      <c r="D460" s="114" t="str">
        <f>IF(B460="","",VLOOKUP(A460,Journal!$B$7:$J$84,9))</f>
        <v/>
      </c>
      <c r="E460" s="116"/>
      <c r="F460" s="116"/>
      <c r="G460" s="115"/>
      <c r="H460" s="84" t="str">
        <f>IF(B460="","",VLOOKUP(A460,Journal!$B$7:$L$84,11))</f>
        <v/>
      </c>
      <c r="I460" s="84" t="str">
        <f>IF(B460="","",VLOOKUP(A460,Journal!$B$7:$M$84,12))</f>
        <v/>
      </c>
      <c r="J460" s="105">
        <f>IF(B460="Total",SUM(J$8:J459)+0.0001,IF(OR(B460="",I$2=I460),0,VLOOKUP(A460,Journal!$B$7:M$84,8)))</f>
        <v>0</v>
      </c>
      <c r="K460" s="102">
        <f>IF(B460="Total",SUM(K$8:K459)+0.0001,IF(OR(B460="",J460&lt;&gt;0),0,VLOOKUP(A460,Journal!$B$7:M$84,8)))</f>
        <v>0</v>
      </c>
      <c r="L460" s="87">
        <f t="shared" si="49"/>
        <v>0</v>
      </c>
      <c r="P460">
        <f t="shared" si="52"/>
        <v>1.0000000000000001E-5</v>
      </c>
      <c r="R460" s="15">
        <f t="shared" si="53"/>
        <v>453</v>
      </c>
      <c r="S460" s="126">
        <f>IF(VLOOKUP(A460,Journal!$A$7:$E$70,5)=0,S459+1,VLOOKUP(A460,Journal!$A$7:$E$70,5))</f>
        <v>46110</v>
      </c>
      <c r="T460" s="125">
        <f>IF(H$2=VLOOKUP(A460,Journal!$A$7:$F$70,6),VLOOKUP(A460,Journal!$A$7:M$70,9),0)</f>
        <v>0</v>
      </c>
      <c r="U460" s="125">
        <f>IF(H$2=VLOOKUP(A460,Journal!$A$7:$G$70,7),VLOOKUP(A460,Journal!$A$7:M$70,9),0)</f>
        <v>0</v>
      </c>
      <c r="V460" s="125">
        <f t="shared" si="54"/>
        <v>40</v>
      </c>
      <c r="X460">
        <f t="shared" si="51"/>
        <v>0</v>
      </c>
      <c r="Y460" s="143">
        <f t="shared" si="50"/>
        <v>-988.15789473686095</v>
      </c>
    </row>
    <row r="461" spans="1:25" x14ac:dyDescent="0.25">
      <c r="A461">
        <f t="shared" si="55"/>
        <v>454</v>
      </c>
      <c r="B461" s="88" t="str">
        <f>IF(OR(B460="Total",B460=""),"",IF(VLOOKUP(A461,Journal!$B$7:$E$84,4)=0,"Total",VLOOKUP(A461,Journal!$B$7:$D$84,3)))</f>
        <v/>
      </c>
      <c r="C461" s="86" t="str">
        <f>IF(B461="","",VLOOKUP(A461,Journal!$B$7:$E$84,4))</f>
        <v/>
      </c>
      <c r="D461" s="114" t="str">
        <f>IF(B461="","",VLOOKUP(A461,Journal!$B$7:$J$84,9))</f>
        <v/>
      </c>
      <c r="E461" s="116"/>
      <c r="F461" s="116"/>
      <c r="G461" s="115"/>
      <c r="H461" s="84" t="str">
        <f>IF(B461="","",VLOOKUP(A461,Journal!$B$7:$L$84,11))</f>
        <v/>
      </c>
      <c r="I461" s="84" t="str">
        <f>IF(B461="","",VLOOKUP(A461,Journal!$B$7:$M$84,12))</f>
        <v/>
      </c>
      <c r="J461" s="105">
        <f>IF(B461="Total",SUM(J$8:J460)+0.0001,IF(OR(B461="",I$2=I461),0,VLOOKUP(A461,Journal!$B$7:M$84,8)))</f>
        <v>0</v>
      </c>
      <c r="K461" s="102">
        <f>IF(B461="Total",SUM(K$8:K460)+0.0001,IF(OR(B461="",J461&lt;&gt;0),0,VLOOKUP(A461,Journal!$B$7:M$84,8)))</f>
        <v>0</v>
      </c>
      <c r="L461" s="87">
        <f t="shared" si="49"/>
        <v>0</v>
      </c>
      <c r="P461">
        <f t="shared" si="52"/>
        <v>1.0000000000000001E-5</v>
      </c>
      <c r="R461" s="15">
        <f t="shared" si="53"/>
        <v>454</v>
      </c>
      <c r="S461" s="126">
        <f>IF(VLOOKUP(A461,Journal!$A$7:$E$70,5)=0,S460+1,VLOOKUP(A461,Journal!$A$7:$E$70,5))</f>
        <v>46111</v>
      </c>
      <c r="T461" s="125">
        <f>IF(H$2=VLOOKUP(A461,Journal!$A$7:$F$70,6),VLOOKUP(A461,Journal!$A$7:M$70,9),0)</f>
        <v>0</v>
      </c>
      <c r="U461" s="125">
        <f>IF(H$2=VLOOKUP(A461,Journal!$A$7:$G$70,7),VLOOKUP(A461,Journal!$A$7:M$70,9),0)</f>
        <v>0</v>
      </c>
      <c r="V461" s="125">
        <f t="shared" si="54"/>
        <v>40</v>
      </c>
      <c r="X461">
        <f t="shared" si="51"/>
        <v>0</v>
      </c>
      <c r="Y461" s="143">
        <f t="shared" si="50"/>
        <v>-988.13157894738731</v>
      </c>
    </row>
    <row r="462" spans="1:25" x14ac:dyDescent="0.25">
      <c r="A462">
        <f t="shared" si="55"/>
        <v>455</v>
      </c>
      <c r="B462" s="88" t="str">
        <f>IF(OR(B461="Total",B461=""),"",IF(VLOOKUP(A462,Journal!$B$7:$E$84,4)=0,"Total",VLOOKUP(A462,Journal!$B$7:$D$84,3)))</f>
        <v/>
      </c>
      <c r="C462" s="86" t="str">
        <f>IF(B462="","",VLOOKUP(A462,Journal!$B$7:$E$84,4))</f>
        <v/>
      </c>
      <c r="D462" s="114" t="str">
        <f>IF(B462="","",VLOOKUP(A462,Journal!$B$7:$J$84,9))</f>
        <v/>
      </c>
      <c r="E462" s="116"/>
      <c r="F462" s="116"/>
      <c r="G462" s="115"/>
      <c r="H462" s="84" t="str">
        <f>IF(B462="","",VLOOKUP(A462,Journal!$B$7:$L$84,11))</f>
        <v/>
      </c>
      <c r="I462" s="84" t="str">
        <f>IF(B462="","",VLOOKUP(A462,Journal!$B$7:$M$84,12))</f>
        <v/>
      </c>
      <c r="J462" s="105">
        <f>IF(B462="Total",SUM(J$8:J461)+0.0001,IF(OR(B462="",I$2=I462),0,VLOOKUP(A462,Journal!$B$7:M$84,8)))</f>
        <v>0</v>
      </c>
      <c r="K462" s="102">
        <f>IF(B462="Total",SUM(K$8:K461)+0.0001,IF(OR(B462="",J462&lt;&gt;0),0,VLOOKUP(A462,Journal!$B$7:M$84,8)))</f>
        <v>0</v>
      </c>
      <c r="L462" s="87">
        <f t="shared" si="49"/>
        <v>0</v>
      </c>
      <c r="P462">
        <f t="shared" si="52"/>
        <v>1.0000000000000001E-5</v>
      </c>
      <c r="R462" s="15">
        <f t="shared" si="53"/>
        <v>455</v>
      </c>
      <c r="S462" s="126">
        <f>IF(VLOOKUP(A462,Journal!$A$7:$E$70,5)=0,S461+1,VLOOKUP(A462,Journal!$A$7:$E$70,5))</f>
        <v>46112</v>
      </c>
      <c r="T462" s="125">
        <f>IF(H$2=VLOOKUP(A462,Journal!$A$7:$F$70,6),VLOOKUP(A462,Journal!$A$7:M$70,9),0)</f>
        <v>0</v>
      </c>
      <c r="U462" s="125">
        <f>IF(H$2=VLOOKUP(A462,Journal!$A$7:$G$70,7),VLOOKUP(A462,Journal!$A$7:M$70,9),0)</f>
        <v>0</v>
      </c>
      <c r="V462" s="125">
        <f t="shared" si="54"/>
        <v>40</v>
      </c>
      <c r="X462">
        <f t="shared" si="51"/>
        <v>0</v>
      </c>
      <c r="Y462" s="143">
        <f t="shared" si="50"/>
        <v>-988.10526315791367</v>
      </c>
    </row>
    <row r="463" spans="1:25" x14ac:dyDescent="0.25">
      <c r="A463">
        <f t="shared" si="55"/>
        <v>456</v>
      </c>
      <c r="B463" s="88" t="str">
        <f>IF(OR(B462="Total",B462=""),"",IF(VLOOKUP(A463,Journal!$B$7:$E$84,4)=0,"Total",VLOOKUP(A463,Journal!$B$7:$D$84,3)))</f>
        <v/>
      </c>
      <c r="C463" s="86" t="str">
        <f>IF(B463="","",VLOOKUP(A463,Journal!$B$7:$E$84,4))</f>
        <v/>
      </c>
      <c r="D463" s="114" t="str">
        <f>IF(B463="","",VLOOKUP(A463,Journal!$B$7:$J$84,9))</f>
        <v/>
      </c>
      <c r="E463" s="116"/>
      <c r="F463" s="116"/>
      <c r="G463" s="115"/>
      <c r="H463" s="84" t="str">
        <f>IF(B463="","",VLOOKUP(A463,Journal!$B$7:$L$84,11))</f>
        <v/>
      </c>
      <c r="I463" s="84" t="str">
        <f>IF(B463="","",VLOOKUP(A463,Journal!$B$7:$M$84,12))</f>
        <v/>
      </c>
      <c r="J463" s="105">
        <f>IF(B463="Total",SUM(J$8:J462)+0.0001,IF(OR(B463="",I$2=I463),0,VLOOKUP(A463,Journal!$B$7:M$84,8)))</f>
        <v>0</v>
      </c>
      <c r="K463" s="102">
        <f>IF(B463="Total",SUM(K$8:K462)+0.0001,IF(OR(B463="",J463&lt;&gt;0),0,VLOOKUP(A463,Journal!$B$7:M$84,8)))</f>
        <v>0</v>
      </c>
      <c r="L463" s="87">
        <f t="shared" si="49"/>
        <v>0</v>
      </c>
      <c r="P463">
        <f t="shared" si="52"/>
        <v>1.0000000000000001E-5</v>
      </c>
      <c r="R463" s="15">
        <f t="shared" si="53"/>
        <v>456</v>
      </c>
      <c r="S463" s="126">
        <f>IF(VLOOKUP(A463,Journal!$A$7:$E$70,5)=0,S462+1,VLOOKUP(A463,Journal!$A$7:$E$70,5))</f>
        <v>46113</v>
      </c>
      <c r="T463" s="125">
        <f>IF(H$2=VLOOKUP(A463,Journal!$A$7:$F$70,6),VLOOKUP(A463,Journal!$A$7:M$70,9),0)</f>
        <v>0</v>
      </c>
      <c r="U463" s="125">
        <f>IF(H$2=VLOOKUP(A463,Journal!$A$7:$G$70,7),VLOOKUP(A463,Journal!$A$7:M$70,9),0)</f>
        <v>0</v>
      </c>
      <c r="V463" s="125">
        <f t="shared" si="54"/>
        <v>40</v>
      </c>
      <c r="X463">
        <f t="shared" si="51"/>
        <v>0</v>
      </c>
      <c r="Y463" s="143">
        <f t="shared" si="50"/>
        <v>-988.07894736844003</v>
      </c>
    </row>
    <row r="464" spans="1:25" x14ac:dyDescent="0.25">
      <c r="A464">
        <f t="shared" si="55"/>
        <v>457</v>
      </c>
      <c r="B464" s="88" t="str">
        <f>IF(OR(B463="Total",B463=""),"",IF(VLOOKUP(A464,Journal!$B$7:$E$84,4)=0,"Total",VLOOKUP(A464,Journal!$B$7:$D$84,3)))</f>
        <v/>
      </c>
      <c r="C464" s="86" t="str">
        <f>IF(B464="","",VLOOKUP(A464,Journal!$B$7:$E$84,4))</f>
        <v/>
      </c>
      <c r="D464" s="114" t="str">
        <f>IF(B464="","",VLOOKUP(A464,Journal!$B$7:$J$84,9))</f>
        <v/>
      </c>
      <c r="E464" s="116"/>
      <c r="F464" s="116"/>
      <c r="G464" s="115"/>
      <c r="H464" s="84" t="str">
        <f>IF(B464="","",VLOOKUP(A464,Journal!$B$7:$L$84,11))</f>
        <v/>
      </c>
      <c r="I464" s="84" t="str">
        <f>IF(B464="","",VLOOKUP(A464,Journal!$B$7:$M$84,12))</f>
        <v/>
      </c>
      <c r="J464" s="105">
        <f>IF(B464="Total",SUM(J$8:J463)+0.0001,IF(OR(B464="",I$2=I464),0,VLOOKUP(A464,Journal!$B$7:M$84,8)))</f>
        <v>0</v>
      </c>
      <c r="K464" s="102">
        <f>IF(B464="Total",SUM(K$8:K463)+0.0001,IF(OR(B464="",J464&lt;&gt;0),0,VLOOKUP(A464,Journal!$B$7:M$84,8)))</f>
        <v>0</v>
      </c>
      <c r="L464" s="87">
        <f t="shared" si="49"/>
        <v>0</v>
      </c>
      <c r="P464">
        <f t="shared" si="52"/>
        <v>1.0000000000000001E-5</v>
      </c>
      <c r="R464" s="15">
        <f t="shared" si="53"/>
        <v>457</v>
      </c>
      <c r="S464" s="126">
        <f>IF(VLOOKUP(A464,Journal!$A$7:$E$70,5)=0,S463+1,VLOOKUP(A464,Journal!$A$7:$E$70,5))</f>
        <v>46114</v>
      </c>
      <c r="T464" s="125">
        <f>IF(H$2=VLOOKUP(A464,Journal!$A$7:$F$70,6),VLOOKUP(A464,Journal!$A$7:M$70,9),0)</f>
        <v>0</v>
      </c>
      <c r="U464" s="125">
        <f>IF(H$2=VLOOKUP(A464,Journal!$A$7:$G$70,7),VLOOKUP(A464,Journal!$A$7:M$70,9),0)</f>
        <v>0</v>
      </c>
      <c r="V464" s="125">
        <f t="shared" si="54"/>
        <v>40</v>
      </c>
      <c r="X464">
        <f t="shared" si="51"/>
        <v>0</v>
      </c>
      <c r="Y464" s="143">
        <f t="shared" si="50"/>
        <v>-988.05263157896638</v>
      </c>
    </row>
    <row r="465" spans="1:25" x14ac:dyDescent="0.25">
      <c r="A465">
        <f t="shared" si="55"/>
        <v>458</v>
      </c>
      <c r="B465" s="88" t="str">
        <f>IF(OR(B464="Total",B464=""),"",IF(VLOOKUP(A465,Journal!$B$7:$E$84,4)=0,"Total",VLOOKUP(A465,Journal!$B$7:$D$84,3)))</f>
        <v/>
      </c>
      <c r="C465" s="86" t="str">
        <f>IF(B465="","",VLOOKUP(A465,Journal!$B$7:$E$84,4))</f>
        <v/>
      </c>
      <c r="D465" s="114" t="str">
        <f>IF(B465="","",VLOOKUP(A465,Journal!$B$7:$J$84,9))</f>
        <v/>
      </c>
      <c r="E465" s="116"/>
      <c r="F465" s="116"/>
      <c r="G465" s="115"/>
      <c r="H465" s="84" t="str">
        <f>IF(B465="","",VLOOKUP(A465,Journal!$B$7:$L$84,11))</f>
        <v/>
      </c>
      <c r="I465" s="84" t="str">
        <f>IF(B465="","",VLOOKUP(A465,Journal!$B$7:$M$84,12))</f>
        <v/>
      </c>
      <c r="J465" s="105">
        <f>IF(B465="Total",SUM(J$8:J464)+0.0001,IF(OR(B465="",I$2=I465),0,VLOOKUP(A465,Journal!$B$7:M$84,8)))</f>
        <v>0</v>
      </c>
      <c r="K465" s="102">
        <f>IF(B465="Total",SUM(K$8:K464)+0.0001,IF(OR(B465="",J465&lt;&gt;0),0,VLOOKUP(A465,Journal!$B$7:M$84,8)))</f>
        <v>0</v>
      </c>
      <c r="L465" s="87">
        <f t="shared" si="49"/>
        <v>0</v>
      </c>
      <c r="P465">
        <f t="shared" si="52"/>
        <v>1.0000000000000001E-5</v>
      </c>
      <c r="R465" s="15">
        <f t="shared" si="53"/>
        <v>458</v>
      </c>
      <c r="S465" s="126">
        <f>IF(VLOOKUP(A465,Journal!$A$7:$E$70,5)=0,S464+1,VLOOKUP(A465,Journal!$A$7:$E$70,5))</f>
        <v>46115</v>
      </c>
      <c r="T465" s="125">
        <f>IF(H$2=VLOOKUP(A465,Journal!$A$7:$F$70,6),VLOOKUP(A465,Journal!$A$7:M$70,9),0)</f>
        <v>0</v>
      </c>
      <c r="U465" s="125">
        <f>IF(H$2=VLOOKUP(A465,Journal!$A$7:$G$70,7),VLOOKUP(A465,Journal!$A$7:M$70,9),0)</f>
        <v>0</v>
      </c>
      <c r="V465" s="125">
        <f t="shared" si="54"/>
        <v>40</v>
      </c>
      <c r="X465">
        <f t="shared" si="51"/>
        <v>0</v>
      </c>
      <c r="Y465" s="143">
        <f t="shared" si="50"/>
        <v>-988.02631578949274</v>
      </c>
    </row>
    <row r="466" spans="1:25" x14ac:dyDescent="0.25">
      <c r="A466">
        <f t="shared" si="55"/>
        <v>459</v>
      </c>
      <c r="B466" s="88" t="str">
        <f>IF(OR(B465="Total",B465=""),"",IF(VLOOKUP(A466,Journal!$B$7:$E$84,4)=0,"Total",VLOOKUP(A466,Journal!$B$7:$D$84,3)))</f>
        <v/>
      </c>
      <c r="C466" s="86" t="str">
        <f>IF(B466="","",VLOOKUP(A466,Journal!$B$7:$E$84,4))</f>
        <v/>
      </c>
      <c r="D466" s="114" t="str">
        <f>IF(B466="","",VLOOKUP(A466,Journal!$B$7:$J$84,9))</f>
        <v/>
      </c>
      <c r="E466" s="116"/>
      <c r="F466" s="116"/>
      <c r="G466" s="115"/>
      <c r="H466" s="84" t="str">
        <f>IF(B466="","",VLOOKUP(A466,Journal!$B$7:$L$84,11))</f>
        <v/>
      </c>
      <c r="I466" s="84" t="str">
        <f>IF(B466="","",VLOOKUP(A466,Journal!$B$7:$M$84,12))</f>
        <v/>
      </c>
      <c r="J466" s="105">
        <f>IF(B466="Total",SUM(J$8:J465)+0.0001,IF(OR(B466="",I$2=I466),0,VLOOKUP(A466,Journal!$B$7:M$84,8)))</f>
        <v>0</v>
      </c>
      <c r="K466" s="102">
        <f>IF(B466="Total",SUM(K$8:K465)+0.0001,IF(OR(B466="",J466&lt;&gt;0),0,VLOOKUP(A466,Journal!$B$7:M$84,8)))</f>
        <v>0</v>
      </c>
      <c r="L466" s="87">
        <f t="shared" si="49"/>
        <v>0</v>
      </c>
      <c r="P466">
        <f t="shared" si="52"/>
        <v>1.0000000000000001E-5</v>
      </c>
      <c r="R466" s="15">
        <f t="shared" si="53"/>
        <v>459</v>
      </c>
      <c r="S466" s="126">
        <f>IF(VLOOKUP(A466,Journal!$A$7:$E$70,5)=0,S465+1,VLOOKUP(A466,Journal!$A$7:$E$70,5))</f>
        <v>46116</v>
      </c>
      <c r="T466" s="125">
        <f>IF(H$2=VLOOKUP(A466,Journal!$A$7:$F$70,6),VLOOKUP(A466,Journal!$A$7:M$70,9),0)</f>
        <v>0</v>
      </c>
      <c r="U466" s="125">
        <f>IF(H$2=VLOOKUP(A466,Journal!$A$7:$G$70,7),VLOOKUP(A466,Journal!$A$7:M$70,9),0)</f>
        <v>0</v>
      </c>
      <c r="V466" s="125">
        <f t="shared" si="54"/>
        <v>40</v>
      </c>
      <c r="X466">
        <f t="shared" si="51"/>
        <v>0</v>
      </c>
      <c r="Y466" s="143">
        <f t="shared" si="50"/>
        <v>-988.0000000000191</v>
      </c>
    </row>
    <row r="467" spans="1:25" x14ac:dyDescent="0.25">
      <c r="A467">
        <f t="shared" si="55"/>
        <v>460</v>
      </c>
      <c r="B467" s="88" t="str">
        <f>IF(OR(B466="Total",B466=""),"",IF(VLOOKUP(A467,Journal!$B$7:$E$84,4)=0,"Total",VLOOKUP(A467,Journal!$B$7:$D$84,3)))</f>
        <v/>
      </c>
      <c r="C467" s="86" t="str">
        <f>IF(B467="","",VLOOKUP(A467,Journal!$B$7:$E$84,4))</f>
        <v/>
      </c>
      <c r="D467" s="114" t="str">
        <f>IF(B467="","",VLOOKUP(A467,Journal!$B$7:$J$84,9))</f>
        <v/>
      </c>
      <c r="E467" s="116"/>
      <c r="F467" s="116"/>
      <c r="G467" s="115"/>
      <c r="H467" s="84" t="str">
        <f>IF(B467="","",VLOOKUP(A467,Journal!$B$7:$L$84,11))</f>
        <v/>
      </c>
      <c r="I467" s="84" t="str">
        <f>IF(B467="","",VLOOKUP(A467,Journal!$B$7:$M$84,12))</f>
        <v/>
      </c>
      <c r="J467" s="105">
        <f>IF(B467="Total",SUM(J$8:J466)+0.0001,IF(OR(B467="",I$2=I467),0,VLOOKUP(A467,Journal!$B$7:M$84,8)))</f>
        <v>0</v>
      </c>
      <c r="K467" s="102">
        <f>IF(B467="Total",SUM(K$8:K466)+0.0001,IF(OR(B467="",J467&lt;&gt;0),0,VLOOKUP(A467,Journal!$B$7:M$84,8)))</f>
        <v>0</v>
      </c>
      <c r="L467" s="87">
        <f t="shared" si="49"/>
        <v>0</v>
      </c>
      <c r="P467">
        <f t="shared" si="52"/>
        <v>1.0000000000000001E-5</v>
      </c>
      <c r="R467" s="15">
        <f t="shared" si="53"/>
        <v>460</v>
      </c>
      <c r="S467" s="126">
        <f>IF(VLOOKUP(A467,Journal!$A$7:$E$70,5)=0,S466+1,VLOOKUP(A467,Journal!$A$7:$E$70,5))</f>
        <v>46117</v>
      </c>
      <c r="T467" s="125">
        <f>IF(H$2=VLOOKUP(A467,Journal!$A$7:$F$70,6),VLOOKUP(A467,Journal!$A$7:M$70,9),0)</f>
        <v>0</v>
      </c>
      <c r="U467" s="125">
        <f>IF(H$2=VLOOKUP(A467,Journal!$A$7:$G$70,7),VLOOKUP(A467,Journal!$A$7:M$70,9),0)</f>
        <v>0</v>
      </c>
      <c r="V467" s="125">
        <f t="shared" si="54"/>
        <v>40</v>
      </c>
      <c r="X467">
        <f t="shared" si="51"/>
        <v>0</v>
      </c>
      <c r="Y467" s="143">
        <f t="shared" si="50"/>
        <v>-987.97368421054546</v>
      </c>
    </row>
    <row r="468" spans="1:25" x14ac:dyDescent="0.25">
      <c r="A468">
        <f t="shared" si="55"/>
        <v>461</v>
      </c>
      <c r="B468" s="88" t="str">
        <f>IF(OR(B467="Total",B467=""),"",IF(VLOOKUP(A468,Journal!$B$7:$E$84,4)=0,"Total",VLOOKUP(A468,Journal!$B$7:$D$84,3)))</f>
        <v/>
      </c>
      <c r="C468" s="86" t="str">
        <f>IF(B468="","",VLOOKUP(A468,Journal!$B$7:$E$84,4))</f>
        <v/>
      </c>
      <c r="D468" s="114" t="str">
        <f>IF(B468="","",VLOOKUP(A468,Journal!$B$7:$J$84,9))</f>
        <v/>
      </c>
      <c r="E468" s="116"/>
      <c r="F468" s="116"/>
      <c r="G468" s="115"/>
      <c r="H468" s="84" t="str">
        <f>IF(B468="","",VLOOKUP(A468,Journal!$B$7:$L$84,11))</f>
        <v/>
      </c>
      <c r="I468" s="84" t="str">
        <f>IF(B468="","",VLOOKUP(A468,Journal!$B$7:$M$84,12))</f>
        <v/>
      </c>
      <c r="J468" s="105">
        <f>IF(B468="Total",SUM(J$8:J467)+0.0001,IF(OR(B468="",I$2=I468),0,VLOOKUP(A468,Journal!$B$7:M$84,8)))</f>
        <v>0</v>
      </c>
      <c r="K468" s="102">
        <f>IF(B468="Total",SUM(K$8:K467)+0.0001,IF(OR(B468="",J468&lt;&gt;0),0,VLOOKUP(A468,Journal!$B$7:M$84,8)))</f>
        <v>0</v>
      </c>
      <c r="L468" s="87">
        <f t="shared" si="49"/>
        <v>0</v>
      </c>
      <c r="P468">
        <f t="shared" si="52"/>
        <v>1.0000000000000001E-5</v>
      </c>
      <c r="R468" s="15">
        <f t="shared" si="53"/>
        <v>461</v>
      </c>
      <c r="S468" s="126">
        <f>IF(VLOOKUP(A468,Journal!$A$7:$E$70,5)=0,S467+1,VLOOKUP(A468,Journal!$A$7:$E$70,5))</f>
        <v>46118</v>
      </c>
      <c r="T468" s="125">
        <f>IF(H$2=VLOOKUP(A468,Journal!$A$7:$F$70,6),VLOOKUP(A468,Journal!$A$7:M$70,9),0)</f>
        <v>0</v>
      </c>
      <c r="U468" s="125">
        <f>IF(H$2=VLOOKUP(A468,Journal!$A$7:$G$70,7),VLOOKUP(A468,Journal!$A$7:M$70,9),0)</f>
        <v>0</v>
      </c>
      <c r="V468" s="125">
        <f t="shared" si="54"/>
        <v>40</v>
      </c>
      <c r="X468">
        <f t="shared" si="51"/>
        <v>0</v>
      </c>
      <c r="Y468" s="143">
        <f t="shared" si="50"/>
        <v>-987.94736842107181</v>
      </c>
    </row>
    <row r="469" spans="1:25" x14ac:dyDescent="0.25">
      <c r="A469">
        <f t="shared" si="55"/>
        <v>462</v>
      </c>
      <c r="B469" s="88" t="str">
        <f>IF(OR(B468="Total",B468=""),"",IF(VLOOKUP(A469,Journal!$B$7:$E$84,4)=0,"Total",VLOOKUP(A469,Journal!$B$7:$D$84,3)))</f>
        <v/>
      </c>
      <c r="C469" s="86" t="str">
        <f>IF(B469="","",VLOOKUP(A469,Journal!$B$7:$E$84,4))</f>
        <v/>
      </c>
      <c r="D469" s="114" t="str">
        <f>IF(B469="","",VLOOKUP(A469,Journal!$B$7:$J$84,9))</f>
        <v/>
      </c>
      <c r="E469" s="116"/>
      <c r="F469" s="116"/>
      <c r="G469" s="115"/>
      <c r="H469" s="84" t="str">
        <f>IF(B469="","",VLOOKUP(A469,Journal!$B$7:$L$84,11))</f>
        <v/>
      </c>
      <c r="I469" s="84" t="str">
        <f>IF(B469="","",VLOOKUP(A469,Journal!$B$7:$M$84,12))</f>
        <v/>
      </c>
      <c r="J469" s="105">
        <f>IF(B469="Total",SUM(J$8:J468)+0.0001,IF(OR(B469="",I$2=I469),0,VLOOKUP(A469,Journal!$B$7:M$84,8)))</f>
        <v>0</v>
      </c>
      <c r="K469" s="102">
        <f>IF(B469="Total",SUM(K$8:K468)+0.0001,IF(OR(B469="",J469&lt;&gt;0),0,VLOOKUP(A469,Journal!$B$7:M$84,8)))</f>
        <v>0</v>
      </c>
      <c r="L469" s="87">
        <f t="shared" si="49"/>
        <v>0</v>
      </c>
      <c r="P469">
        <f t="shared" si="52"/>
        <v>1.0000000000000001E-5</v>
      </c>
      <c r="R469" s="15">
        <f t="shared" si="53"/>
        <v>462</v>
      </c>
      <c r="S469" s="126">
        <f>IF(VLOOKUP(A469,Journal!$A$7:$E$70,5)=0,S468+1,VLOOKUP(A469,Journal!$A$7:$E$70,5))</f>
        <v>46119</v>
      </c>
      <c r="T469" s="125">
        <f>IF(H$2=VLOOKUP(A469,Journal!$A$7:$F$70,6),VLOOKUP(A469,Journal!$A$7:M$70,9),0)</f>
        <v>0</v>
      </c>
      <c r="U469" s="125">
        <f>IF(H$2=VLOOKUP(A469,Journal!$A$7:$G$70,7),VLOOKUP(A469,Journal!$A$7:M$70,9),0)</f>
        <v>0</v>
      </c>
      <c r="V469" s="125">
        <f t="shared" si="54"/>
        <v>40</v>
      </c>
      <c r="X469">
        <f t="shared" si="51"/>
        <v>0</v>
      </c>
      <c r="Y469" s="143">
        <f t="shared" si="50"/>
        <v>-987.92105263159817</v>
      </c>
    </row>
    <row r="470" spans="1:25" x14ac:dyDescent="0.25">
      <c r="A470">
        <f t="shared" si="55"/>
        <v>463</v>
      </c>
      <c r="B470" s="88" t="str">
        <f>IF(OR(B469="Total",B469=""),"",IF(VLOOKUP(A470,Journal!$B$7:$E$84,4)=0,"Total",VLOOKUP(A470,Journal!$B$7:$D$84,3)))</f>
        <v/>
      </c>
      <c r="C470" s="86" t="str">
        <f>IF(B470="","",VLOOKUP(A470,Journal!$B$7:$E$84,4))</f>
        <v/>
      </c>
      <c r="D470" s="114" t="str">
        <f>IF(B470="","",VLOOKUP(A470,Journal!$B$7:$J$84,9))</f>
        <v/>
      </c>
      <c r="E470" s="116"/>
      <c r="F470" s="116"/>
      <c r="G470" s="115"/>
      <c r="H470" s="84" t="str">
        <f>IF(B470="","",VLOOKUP(A470,Journal!$B$7:$L$84,11))</f>
        <v/>
      </c>
      <c r="I470" s="84" t="str">
        <f>IF(B470="","",VLOOKUP(A470,Journal!$B$7:$M$84,12))</f>
        <v/>
      </c>
      <c r="J470" s="105">
        <f>IF(B470="Total",SUM(J$8:J469)+0.0001,IF(OR(B470="",I$2=I470),0,VLOOKUP(A470,Journal!$B$7:M$84,8)))</f>
        <v>0</v>
      </c>
      <c r="K470" s="102">
        <f>IF(B470="Total",SUM(K$8:K469)+0.0001,IF(OR(B470="",J470&lt;&gt;0),0,VLOOKUP(A470,Journal!$B$7:M$84,8)))</f>
        <v>0</v>
      </c>
      <c r="L470" s="87">
        <f t="shared" si="49"/>
        <v>0</v>
      </c>
      <c r="P470">
        <f t="shared" si="52"/>
        <v>1.0000000000000001E-5</v>
      </c>
      <c r="R470" s="15">
        <f t="shared" si="53"/>
        <v>463</v>
      </c>
      <c r="S470" s="126">
        <f>IF(VLOOKUP(A470,Journal!$A$7:$E$70,5)=0,S469+1,VLOOKUP(A470,Journal!$A$7:$E$70,5))</f>
        <v>46120</v>
      </c>
      <c r="T470" s="125">
        <f>IF(H$2=VLOOKUP(A470,Journal!$A$7:$F$70,6),VLOOKUP(A470,Journal!$A$7:M$70,9),0)</f>
        <v>0</v>
      </c>
      <c r="U470" s="125">
        <f>IF(H$2=VLOOKUP(A470,Journal!$A$7:$G$70,7),VLOOKUP(A470,Journal!$A$7:M$70,9),0)</f>
        <v>0</v>
      </c>
      <c r="V470" s="125">
        <f t="shared" si="54"/>
        <v>40</v>
      </c>
      <c r="X470">
        <f t="shared" si="51"/>
        <v>0</v>
      </c>
      <c r="Y470" s="143">
        <f t="shared" si="50"/>
        <v>-987.89473684212453</v>
      </c>
    </row>
    <row r="471" spans="1:25" x14ac:dyDescent="0.25">
      <c r="A471">
        <f t="shared" si="55"/>
        <v>464</v>
      </c>
      <c r="B471" s="88" t="str">
        <f>IF(OR(B470="Total",B470=""),"",IF(VLOOKUP(A471,Journal!$B$7:$E$84,4)=0,"Total",VLOOKUP(A471,Journal!$B$7:$D$84,3)))</f>
        <v/>
      </c>
      <c r="C471" s="86" t="str">
        <f>IF(B471="","",VLOOKUP(A471,Journal!$B$7:$E$84,4))</f>
        <v/>
      </c>
      <c r="D471" s="114" t="str">
        <f>IF(B471="","",VLOOKUP(A471,Journal!$B$7:$J$84,9))</f>
        <v/>
      </c>
      <c r="E471" s="116"/>
      <c r="F471" s="116"/>
      <c r="G471" s="115"/>
      <c r="H471" s="84" t="str">
        <f>IF(B471="","",VLOOKUP(A471,Journal!$B$7:$L$84,11))</f>
        <v/>
      </c>
      <c r="I471" s="84" t="str">
        <f>IF(B471="","",VLOOKUP(A471,Journal!$B$7:$M$84,12))</f>
        <v/>
      </c>
      <c r="J471" s="105">
        <f>IF(B471="Total",SUM(J$8:J470)+0.0001,IF(OR(B471="",I$2=I471),0,VLOOKUP(A471,Journal!$B$7:M$84,8)))</f>
        <v>0</v>
      </c>
      <c r="K471" s="102">
        <f>IF(B471="Total",SUM(K$8:K470)+0.0001,IF(OR(B471="",J471&lt;&gt;0),0,VLOOKUP(A471,Journal!$B$7:M$84,8)))</f>
        <v>0</v>
      </c>
      <c r="L471" s="87">
        <f t="shared" si="49"/>
        <v>0</v>
      </c>
      <c r="P471">
        <f t="shared" si="52"/>
        <v>1.0000000000000001E-5</v>
      </c>
      <c r="R471" s="15">
        <f t="shared" si="53"/>
        <v>464</v>
      </c>
      <c r="S471" s="126">
        <f>IF(VLOOKUP(A471,Journal!$A$7:$E$70,5)=0,S470+1,VLOOKUP(A471,Journal!$A$7:$E$70,5))</f>
        <v>46121</v>
      </c>
      <c r="T471" s="125">
        <f>IF(H$2=VLOOKUP(A471,Journal!$A$7:$F$70,6),VLOOKUP(A471,Journal!$A$7:M$70,9),0)</f>
        <v>0</v>
      </c>
      <c r="U471" s="125">
        <f>IF(H$2=VLOOKUP(A471,Journal!$A$7:$G$70,7),VLOOKUP(A471,Journal!$A$7:M$70,9),0)</f>
        <v>0</v>
      </c>
      <c r="V471" s="125">
        <f t="shared" si="54"/>
        <v>40</v>
      </c>
      <c r="X471">
        <f t="shared" si="51"/>
        <v>0</v>
      </c>
      <c r="Y471" s="143">
        <f t="shared" si="50"/>
        <v>-987.86842105265089</v>
      </c>
    </row>
    <row r="472" spans="1:25" x14ac:dyDescent="0.25">
      <c r="A472">
        <f t="shared" si="55"/>
        <v>465</v>
      </c>
      <c r="B472" s="88" t="str">
        <f>IF(OR(B471="Total",B471=""),"",IF(VLOOKUP(A472,Journal!$B$7:$E$84,4)=0,"Total",VLOOKUP(A472,Journal!$B$7:$D$84,3)))</f>
        <v/>
      </c>
      <c r="C472" s="86" t="str">
        <f>IF(B472="","",VLOOKUP(A472,Journal!$B$7:$E$84,4))</f>
        <v/>
      </c>
      <c r="D472" s="114" t="str">
        <f>IF(B472="","",VLOOKUP(A472,Journal!$B$7:$J$84,9))</f>
        <v/>
      </c>
      <c r="E472" s="116"/>
      <c r="F472" s="116"/>
      <c r="G472" s="115"/>
      <c r="H472" s="84" t="str">
        <f>IF(B472="","",VLOOKUP(A472,Journal!$B$7:$L$84,11))</f>
        <v/>
      </c>
      <c r="I472" s="84" t="str">
        <f>IF(B472="","",VLOOKUP(A472,Journal!$B$7:$M$84,12))</f>
        <v/>
      </c>
      <c r="J472" s="105">
        <f>IF(B472="Total",SUM(J$8:J471)+0.0001,IF(OR(B472="",I$2=I472),0,VLOOKUP(A472,Journal!$B$7:M$84,8)))</f>
        <v>0</v>
      </c>
      <c r="K472" s="102">
        <f>IF(B472="Total",SUM(K$8:K471)+0.0001,IF(OR(B472="",J472&lt;&gt;0),0,VLOOKUP(A472,Journal!$B$7:M$84,8)))</f>
        <v>0</v>
      </c>
      <c r="L472" s="87">
        <f t="shared" si="49"/>
        <v>0</v>
      </c>
      <c r="P472">
        <f t="shared" si="52"/>
        <v>1.0000000000000001E-5</v>
      </c>
      <c r="R472" s="15">
        <f t="shared" si="53"/>
        <v>465</v>
      </c>
      <c r="S472" s="126">
        <f>IF(VLOOKUP(A472,Journal!$A$7:$E$70,5)=0,S471+1,VLOOKUP(A472,Journal!$A$7:$E$70,5))</f>
        <v>46122</v>
      </c>
      <c r="T472" s="125">
        <f>IF(H$2=VLOOKUP(A472,Journal!$A$7:$F$70,6),VLOOKUP(A472,Journal!$A$7:M$70,9),0)</f>
        <v>0</v>
      </c>
      <c r="U472" s="125">
        <f>IF(H$2=VLOOKUP(A472,Journal!$A$7:$G$70,7),VLOOKUP(A472,Journal!$A$7:M$70,9),0)</f>
        <v>0</v>
      </c>
      <c r="V472" s="125">
        <f t="shared" si="54"/>
        <v>40</v>
      </c>
      <c r="X472">
        <f t="shared" si="51"/>
        <v>0</v>
      </c>
      <c r="Y472" s="143">
        <f t="shared" si="50"/>
        <v>-987.84210526317725</v>
      </c>
    </row>
    <row r="473" spans="1:25" x14ac:dyDescent="0.25">
      <c r="A473">
        <f t="shared" si="55"/>
        <v>466</v>
      </c>
      <c r="B473" s="88" t="str">
        <f>IF(OR(B472="Total",B472=""),"",IF(VLOOKUP(A473,Journal!$B$7:$E$84,4)=0,"Total",VLOOKUP(A473,Journal!$B$7:$D$84,3)))</f>
        <v/>
      </c>
      <c r="C473" s="86" t="str">
        <f>IF(B473="","",VLOOKUP(A473,Journal!$B$7:$E$84,4))</f>
        <v/>
      </c>
      <c r="D473" s="114" t="str">
        <f>IF(B473="","",VLOOKUP(A473,Journal!$B$7:$J$84,9))</f>
        <v/>
      </c>
      <c r="E473" s="116"/>
      <c r="F473" s="116"/>
      <c r="G473" s="115"/>
      <c r="H473" s="84" t="str">
        <f>IF(B473="","",VLOOKUP(A473,Journal!$B$7:$L$84,11))</f>
        <v/>
      </c>
      <c r="I473" s="84" t="str">
        <f>IF(B473="","",VLOOKUP(A473,Journal!$B$7:$M$84,12))</f>
        <v/>
      </c>
      <c r="J473" s="105">
        <f>IF(B473="Total",SUM(J$8:J472)+0.0001,IF(OR(B473="",I$2=I473),0,VLOOKUP(A473,Journal!$B$7:M$84,8)))</f>
        <v>0</v>
      </c>
      <c r="K473" s="102">
        <f>IF(B473="Total",SUM(K$8:K472)+0.0001,IF(OR(B473="",J473&lt;&gt;0),0,VLOOKUP(A473,Journal!$B$7:M$84,8)))</f>
        <v>0</v>
      </c>
      <c r="L473" s="87">
        <f t="shared" si="49"/>
        <v>0</v>
      </c>
      <c r="P473">
        <f t="shared" si="52"/>
        <v>1.0000000000000001E-5</v>
      </c>
      <c r="R473" s="15">
        <f t="shared" si="53"/>
        <v>466</v>
      </c>
      <c r="S473" s="126">
        <f>IF(VLOOKUP(A473,Journal!$A$7:$E$70,5)=0,S472+1,VLOOKUP(A473,Journal!$A$7:$E$70,5))</f>
        <v>46123</v>
      </c>
      <c r="T473" s="125">
        <f>IF(H$2=VLOOKUP(A473,Journal!$A$7:$F$70,6),VLOOKUP(A473,Journal!$A$7:M$70,9),0)</f>
        <v>0</v>
      </c>
      <c r="U473" s="125">
        <f>IF(H$2=VLOOKUP(A473,Journal!$A$7:$G$70,7),VLOOKUP(A473,Journal!$A$7:M$70,9),0)</f>
        <v>0</v>
      </c>
      <c r="V473" s="125">
        <f t="shared" si="54"/>
        <v>40</v>
      </c>
      <c r="X473">
        <f t="shared" si="51"/>
        <v>0</v>
      </c>
      <c r="Y473" s="143">
        <f t="shared" si="50"/>
        <v>-987.8157894737036</v>
      </c>
    </row>
    <row r="474" spans="1:25" x14ac:dyDescent="0.25">
      <c r="A474">
        <f t="shared" si="55"/>
        <v>467</v>
      </c>
      <c r="B474" s="88" t="str">
        <f>IF(OR(B473="Total",B473=""),"",IF(VLOOKUP(A474,Journal!$B$7:$E$84,4)=0,"Total",VLOOKUP(A474,Journal!$B$7:$D$84,3)))</f>
        <v/>
      </c>
      <c r="C474" s="86" t="str">
        <f>IF(B474="","",VLOOKUP(A474,Journal!$B$7:$E$84,4))</f>
        <v/>
      </c>
      <c r="D474" s="114" t="str">
        <f>IF(B474="","",VLOOKUP(A474,Journal!$B$7:$J$84,9))</f>
        <v/>
      </c>
      <c r="E474" s="116"/>
      <c r="F474" s="116"/>
      <c r="G474" s="115"/>
      <c r="H474" s="84" t="str">
        <f>IF(B474="","",VLOOKUP(A474,Journal!$B$7:$L$84,11))</f>
        <v/>
      </c>
      <c r="I474" s="84" t="str">
        <f>IF(B474="","",VLOOKUP(A474,Journal!$B$7:$M$84,12))</f>
        <v/>
      </c>
      <c r="J474" s="105">
        <f>IF(B474="Total",SUM(J$8:J473)+0.0001,IF(OR(B474="",I$2=I474),0,VLOOKUP(A474,Journal!$B$7:M$84,8)))</f>
        <v>0</v>
      </c>
      <c r="K474" s="102">
        <f>IF(B474="Total",SUM(K$8:K473)+0.0001,IF(OR(B474="",J474&lt;&gt;0),0,VLOOKUP(A474,Journal!$B$7:M$84,8)))</f>
        <v>0</v>
      </c>
      <c r="L474" s="87">
        <f t="shared" si="49"/>
        <v>0</v>
      </c>
      <c r="P474">
        <f t="shared" si="52"/>
        <v>1.0000000000000001E-5</v>
      </c>
      <c r="R474" s="15">
        <f t="shared" si="53"/>
        <v>467</v>
      </c>
      <c r="S474" s="126">
        <f>IF(VLOOKUP(A474,Journal!$A$7:$E$70,5)=0,S473+1,VLOOKUP(A474,Journal!$A$7:$E$70,5))</f>
        <v>46124</v>
      </c>
      <c r="T474" s="125">
        <f>IF(H$2=VLOOKUP(A474,Journal!$A$7:$F$70,6),VLOOKUP(A474,Journal!$A$7:M$70,9),0)</f>
        <v>0</v>
      </c>
      <c r="U474" s="125">
        <f>IF(H$2=VLOOKUP(A474,Journal!$A$7:$G$70,7),VLOOKUP(A474,Journal!$A$7:M$70,9),0)</f>
        <v>0</v>
      </c>
      <c r="V474" s="125">
        <f t="shared" si="54"/>
        <v>40</v>
      </c>
      <c r="X474">
        <f t="shared" si="51"/>
        <v>0</v>
      </c>
      <c r="Y474" s="143">
        <f t="shared" si="50"/>
        <v>-987.78947368422996</v>
      </c>
    </row>
    <row r="475" spans="1:25" x14ac:dyDescent="0.25">
      <c r="A475">
        <f t="shared" si="55"/>
        <v>468</v>
      </c>
      <c r="B475" s="88" t="str">
        <f>IF(OR(B474="Total",B474=""),"",IF(VLOOKUP(A475,Journal!$B$7:$E$84,4)=0,"Total",VLOOKUP(A475,Journal!$B$7:$D$84,3)))</f>
        <v/>
      </c>
      <c r="C475" s="86" t="str">
        <f>IF(B475="","",VLOOKUP(A475,Journal!$B$7:$E$84,4))</f>
        <v/>
      </c>
      <c r="D475" s="114" t="str">
        <f>IF(B475="","",VLOOKUP(A475,Journal!$B$7:$J$84,9))</f>
        <v/>
      </c>
      <c r="E475" s="116"/>
      <c r="F475" s="116"/>
      <c r="G475" s="115"/>
      <c r="H475" s="84" t="str">
        <f>IF(B475="","",VLOOKUP(A475,Journal!$B$7:$L$84,11))</f>
        <v/>
      </c>
      <c r="I475" s="84" t="str">
        <f>IF(B475="","",VLOOKUP(A475,Journal!$B$7:$M$84,12))</f>
        <v/>
      </c>
      <c r="J475" s="105">
        <f>IF(B475="Total",SUM(J$8:J474)+0.0001,IF(OR(B475="",I$2=I475),0,VLOOKUP(A475,Journal!$B$7:M$84,8)))</f>
        <v>0</v>
      </c>
      <c r="K475" s="102">
        <f>IF(B475="Total",SUM(K$8:K474)+0.0001,IF(OR(B475="",J475&lt;&gt;0),0,VLOOKUP(A475,Journal!$B$7:M$84,8)))</f>
        <v>0</v>
      </c>
      <c r="L475" s="87">
        <f t="shared" si="49"/>
        <v>0</v>
      </c>
      <c r="P475">
        <f t="shared" si="52"/>
        <v>1.0000000000000001E-5</v>
      </c>
      <c r="R475" s="15">
        <f t="shared" si="53"/>
        <v>468</v>
      </c>
      <c r="S475" s="126">
        <f>IF(VLOOKUP(A475,Journal!$A$7:$E$70,5)=0,S474+1,VLOOKUP(A475,Journal!$A$7:$E$70,5))</f>
        <v>46125</v>
      </c>
      <c r="T475" s="125">
        <f>IF(H$2=VLOOKUP(A475,Journal!$A$7:$F$70,6),VLOOKUP(A475,Journal!$A$7:M$70,9),0)</f>
        <v>0</v>
      </c>
      <c r="U475" s="125">
        <f>IF(H$2=VLOOKUP(A475,Journal!$A$7:$G$70,7),VLOOKUP(A475,Journal!$A$7:M$70,9),0)</f>
        <v>0</v>
      </c>
      <c r="V475" s="125">
        <f t="shared" si="54"/>
        <v>40</v>
      </c>
      <c r="X475">
        <f t="shared" si="51"/>
        <v>0</v>
      </c>
      <c r="Y475" s="143">
        <f t="shared" si="50"/>
        <v>-987.76315789475632</v>
      </c>
    </row>
    <row r="476" spans="1:25" x14ac:dyDescent="0.25">
      <c r="A476">
        <f t="shared" si="55"/>
        <v>469</v>
      </c>
      <c r="B476" s="88" t="str">
        <f>IF(OR(B475="Total",B475=""),"",IF(VLOOKUP(A476,Journal!$B$7:$E$84,4)=0,"Total",VLOOKUP(A476,Journal!$B$7:$D$84,3)))</f>
        <v/>
      </c>
      <c r="C476" s="86" t="str">
        <f>IF(B476="","",VLOOKUP(A476,Journal!$B$7:$E$84,4))</f>
        <v/>
      </c>
      <c r="D476" s="114" t="str">
        <f>IF(B476="","",VLOOKUP(A476,Journal!$B$7:$J$84,9))</f>
        <v/>
      </c>
      <c r="E476" s="116"/>
      <c r="F476" s="116"/>
      <c r="G476" s="115"/>
      <c r="H476" s="84" t="str">
        <f>IF(B476="","",VLOOKUP(A476,Journal!$B$7:$L$84,11))</f>
        <v/>
      </c>
      <c r="I476" s="84" t="str">
        <f>IF(B476="","",VLOOKUP(A476,Journal!$B$7:$M$84,12))</f>
        <v/>
      </c>
      <c r="J476" s="105">
        <f>IF(B476="Total",SUM(J$8:J475)+0.0001,IF(OR(B476="",I$2=I476),0,VLOOKUP(A476,Journal!$B$7:M$84,8)))</f>
        <v>0</v>
      </c>
      <c r="K476" s="102">
        <f>IF(B476="Total",SUM(K$8:K475)+0.0001,IF(OR(B476="",J476&lt;&gt;0),0,VLOOKUP(A476,Journal!$B$7:M$84,8)))</f>
        <v>0</v>
      </c>
      <c r="L476" s="87">
        <f t="shared" si="49"/>
        <v>0</v>
      </c>
      <c r="P476">
        <f t="shared" si="52"/>
        <v>1.0000000000000001E-5</v>
      </c>
      <c r="R476" s="15">
        <f t="shared" si="53"/>
        <v>469</v>
      </c>
      <c r="S476" s="126">
        <f>IF(VLOOKUP(A476,Journal!$A$7:$E$70,5)=0,S475+1,VLOOKUP(A476,Journal!$A$7:$E$70,5))</f>
        <v>46126</v>
      </c>
      <c r="T476" s="125">
        <f>IF(H$2=VLOOKUP(A476,Journal!$A$7:$F$70,6),VLOOKUP(A476,Journal!$A$7:M$70,9),0)</f>
        <v>0</v>
      </c>
      <c r="U476" s="125">
        <f>IF(H$2=VLOOKUP(A476,Journal!$A$7:$G$70,7),VLOOKUP(A476,Journal!$A$7:M$70,9),0)</f>
        <v>0</v>
      </c>
      <c r="V476" s="125">
        <f t="shared" si="54"/>
        <v>40</v>
      </c>
      <c r="X476">
        <f t="shared" si="51"/>
        <v>0</v>
      </c>
      <c r="Y476" s="143">
        <f t="shared" si="50"/>
        <v>-987.73684210528268</v>
      </c>
    </row>
    <row r="477" spans="1:25" x14ac:dyDescent="0.25">
      <c r="A477">
        <f t="shared" si="55"/>
        <v>470</v>
      </c>
      <c r="B477" s="88" t="str">
        <f>IF(OR(B476="Total",B476=""),"",IF(VLOOKUP(A477,Journal!$B$7:$E$84,4)=0,"Total",VLOOKUP(A477,Journal!$B$7:$D$84,3)))</f>
        <v/>
      </c>
      <c r="C477" s="86" t="str">
        <f>IF(B477="","",VLOOKUP(A477,Journal!$B$7:$E$84,4))</f>
        <v/>
      </c>
      <c r="D477" s="114" t="str">
        <f>IF(B477="","",VLOOKUP(A477,Journal!$B$7:$J$84,9))</f>
        <v/>
      </c>
      <c r="E477" s="116"/>
      <c r="F477" s="116"/>
      <c r="G477" s="115"/>
      <c r="H477" s="84" t="str">
        <f>IF(B477="","",VLOOKUP(A477,Journal!$B$7:$L$84,11))</f>
        <v/>
      </c>
      <c r="I477" s="84" t="str">
        <f>IF(B477="","",VLOOKUP(A477,Journal!$B$7:$M$84,12))</f>
        <v/>
      </c>
      <c r="J477" s="105">
        <f>IF(B477="Total",SUM(J$8:J476)+0.0001,IF(OR(B477="",I$2=I477),0,VLOOKUP(A477,Journal!$B$7:M$84,8)))</f>
        <v>0</v>
      </c>
      <c r="K477" s="102">
        <f>IF(B477="Total",SUM(K$8:K476)+0.0001,IF(OR(B477="",J477&lt;&gt;0),0,VLOOKUP(A477,Journal!$B$7:M$84,8)))</f>
        <v>0</v>
      </c>
      <c r="L477" s="87">
        <f t="shared" si="49"/>
        <v>0</v>
      </c>
      <c r="P477">
        <f t="shared" si="52"/>
        <v>1.0000000000000001E-5</v>
      </c>
      <c r="R477" s="15">
        <f t="shared" si="53"/>
        <v>470</v>
      </c>
      <c r="S477" s="126">
        <f>IF(VLOOKUP(A477,Journal!$A$7:$E$70,5)=0,S476+1,VLOOKUP(A477,Journal!$A$7:$E$70,5))</f>
        <v>46127</v>
      </c>
      <c r="T477" s="125">
        <f>IF(H$2=VLOOKUP(A477,Journal!$A$7:$F$70,6),VLOOKUP(A477,Journal!$A$7:M$70,9),0)</f>
        <v>0</v>
      </c>
      <c r="U477" s="125">
        <f>IF(H$2=VLOOKUP(A477,Journal!$A$7:$G$70,7),VLOOKUP(A477,Journal!$A$7:M$70,9),0)</f>
        <v>0</v>
      </c>
      <c r="V477" s="125">
        <f t="shared" si="54"/>
        <v>40</v>
      </c>
      <c r="X477">
        <f t="shared" si="51"/>
        <v>0</v>
      </c>
      <c r="Y477" s="143">
        <f t="shared" si="50"/>
        <v>-987.71052631580903</v>
      </c>
    </row>
    <row r="478" spans="1:25" x14ac:dyDescent="0.25">
      <c r="A478">
        <f t="shared" si="55"/>
        <v>471</v>
      </c>
      <c r="B478" s="88" t="str">
        <f>IF(OR(B477="Total",B477=""),"",IF(VLOOKUP(A478,Journal!$B$7:$E$84,4)=0,"Total",VLOOKUP(A478,Journal!$B$7:$D$84,3)))</f>
        <v/>
      </c>
      <c r="C478" s="86" t="str">
        <f>IF(B478="","",VLOOKUP(A478,Journal!$B$7:$E$84,4))</f>
        <v/>
      </c>
      <c r="D478" s="114" t="str">
        <f>IF(B478="","",VLOOKUP(A478,Journal!$B$7:$J$84,9))</f>
        <v/>
      </c>
      <c r="E478" s="116"/>
      <c r="F478" s="116"/>
      <c r="G478" s="115"/>
      <c r="H478" s="84" t="str">
        <f>IF(B478="","",VLOOKUP(A478,Journal!$B$7:$L$84,11))</f>
        <v/>
      </c>
      <c r="I478" s="84" t="str">
        <f>IF(B478="","",VLOOKUP(A478,Journal!$B$7:$M$84,12))</f>
        <v/>
      </c>
      <c r="J478" s="105">
        <f>IF(B478="Total",SUM(J$8:J477)+0.0001,IF(OR(B478="",I$2=I478),0,VLOOKUP(A478,Journal!$B$7:M$84,8)))</f>
        <v>0</v>
      </c>
      <c r="K478" s="102">
        <f>IF(B478="Total",SUM(K$8:K477)+0.0001,IF(OR(B478="",J478&lt;&gt;0),0,VLOOKUP(A478,Journal!$B$7:M$84,8)))</f>
        <v>0</v>
      </c>
      <c r="L478" s="87">
        <f t="shared" si="49"/>
        <v>0</v>
      </c>
      <c r="P478">
        <f t="shared" si="52"/>
        <v>1.0000000000000001E-5</v>
      </c>
      <c r="R478" s="15">
        <f t="shared" si="53"/>
        <v>471</v>
      </c>
      <c r="S478" s="126">
        <f>IF(VLOOKUP(A478,Journal!$A$7:$E$70,5)=0,S477+1,VLOOKUP(A478,Journal!$A$7:$E$70,5))</f>
        <v>46128</v>
      </c>
      <c r="T478" s="125">
        <f>IF(H$2=VLOOKUP(A478,Journal!$A$7:$F$70,6),VLOOKUP(A478,Journal!$A$7:M$70,9),0)</f>
        <v>0</v>
      </c>
      <c r="U478" s="125">
        <f>IF(H$2=VLOOKUP(A478,Journal!$A$7:$G$70,7),VLOOKUP(A478,Journal!$A$7:M$70,9),0)</f>
        <v>0</v>
      </c>
      <c r="V478" s="125">
        <f t="shared" si="54"/>
        <v>40</v>
      </c>
      <c r="X478">
        <f t="shared" si="51"/>
        <v>0</v>
      </c>
      <c r="Y478" s="143">
        <f t="shared" si="50"/>
        <v>-987.68421052633539</v>
      </c>
    </row>
    <row r="479" spans="1:25" x14ac:dyDescent="0.25">
      <c r="A479">
        <f t="shared" si="55"/>
        <v>472</v>
      </c>
      <c r="B479" s="88" t="str">
        <f>IF(OR(B478="Total",B478=""),"",IF(VLOOKUP(A479,Journal!$B$7:$E$84,4)=0,"Total",VLOOKUP(A479,Journal!$B$7:$D$84,3)))</f>
        <v/>
      </c>
      <c r="C479" s="86" t="str">
        <f>IF(B479="","",VLOOKUP(A479,Journal!$B$7:$E$84,4))</f>
        <v/>
      </c>
      <c r="D479" s="114" t="str">
        <f>IF(B479="","",VLOOKUP(A479,Journal!$B$7:$J$84,9))</f>
        <v/>
      </c>
      <c r="E479" s="116"/>
      <c r="F479" s="116"/>
      <c r="G479" s="115"/>
      <c r="H479" s="84" t="str">
        <f>IF(B479="","",VLOOKUP(A479,Journal!$B$7:$L$84,11))</f>
        <v/>
      </c>
      <c r="I479" s="84" t="str">
        <f>IF(B479="","",VLOOKUP(A479,Journal!$B$7:$M$84,12))</f>
        <v/>
      </c>
      <c r="J479" s="105">
        <f>IF(B479="Total",SUM(J$8:J478)+0.0001,IF(OR(B479="",I$2=I479),0,VLOOKUP(A479,Journal!$B$7:M$84,8)))</f>
        <v>0</v>
      </c>
      <c r="K479" s="102">
        <f>IF(B479="Total",SUM(K$8:K478)+0.0001,IF(OR(B479="",J479&lt;&gt;0),0,VLOOKUP(A479,Journal!$B$7:M$84,8)))</f>
        <v>0</v>
      </c>
      <c r="L479" s="87">
        <f t="shared" si="49"/>
        <v>0</v>
      </c>
      <c r="P479">
        <f t="shared" si="52"/>
        <v>1.0000000000000001E-5</v>
      </c>
      <c r="R479" s="15">
        <f t="shared" si="53"/>
        <v>472</v>
      </c>
      <c r="S479" s="126">
        <f>IF(VLOOKUP(A479,Journal!$A$7:$E$70,5)=0,S478+1,VLOOKUP(A479,Journal!$A$7:$E$70,5))</f>
        <v>46129</v>
      </c>
      <c r="T479" s="125">
        <f>IF(H$2=VLOOKUP(A479,Journal!$A$7:$F$70,6),VLOOKUP(A479,Journal!$A$7:M$70,9),0)</f>
        <v>0</v>
      </c>
      <c r="U479" s="125">
        <f>IF(H$2=VLOOKUP(A479,Journal!$A$7:$G$70,7),VLOOKUP(A479,Journal!$A$7:M$70,9),0)</f>
        <v>0</v>
      </c>
      <c r="V479" s="125">
        <f t="shared" si="54"/>
        <v>40</v>
      </c>
      <c r="X479">
        <f t="shared" si="51"/>
        <v>0</v>
      </c>
      <c r="Y479" s="143">
        <f t="shared" si="50"/>
        <v>-987.65789473686175</v>
      </c>
    </row>
    <row r="480" spans="1:25" x14ac:dyDescent="0.25">
      <c r="A480">
        <f t="shared" si="55"/>
        <v>473</v>
      </c>
      <c r="B480" s="88" t="str">
        <f>IF(OR(B479="Total",B479=""),"",IF(VLOOKUP(A480,Journal!$B$7:$E$84,4)=0,"Total",VLOOKUP(A480,Journal!$B$7:$D$84,3)))</f>
        <v/>
      </c>
      <c r="C480" s="86" t="str">
        <f>IF(B480="","",VLOOKUP(A480,Journal!$B$7:$E$84,4))</f>
        <v/>
      </c>
      <c r="D480" s="114" t="str">
        <f>IF(B480="","",VLOOKUP(A480,Journal!$B$7:$J$84,9))</f>
        <v/>
      </c>
      <c r="E480" s="116"/>
      <c r="F480" s="116"/>
      <c r="G480" s="115"/>
      <c r="H480" s="84" t="str">
        <f>IF(B480="","",VLOOKUP(A480,Journal!$B$7:$L$84,11))</f>
        <v/>
      </c>
      <c r="I480" s="84" t="str">
        <f>IF(B480="","",VLOOKUP(A480,Journal!$B$7:$M$84,12))</f>
        <v/>
      </c>
      <c r="J480" s="105">
        <f>IF(B480="Total",SUM(J$8:J479)+0.0001,IF(OR(B480="",I$2=I480),0,VLOOKUP(A480,Journal!$B$7:M$84,8)))</f>
        <v>0</v>
      </c>
      <c r="K480" s="102">
        <f>IF(B480="Total",SUM(K$8:K479)+0.0001,IF(OR(B480="",J480&lt;&gt;0),0,VLOOKUP(A480,Journal!$B$7:M$84,8)))</f>
        <v>0</v>
      </c>
      <c r="L480" s="87">
        <f t="shared" si="49"/>
        <v>0</v>
      </c>
      <c r="P480">
        <f t="shared" si="52"/>
        <v>1.0000000000000001E-5</v>
      </c>
      <c r="R480" s="15">
        <f t="shared" si="53"/>
        <v>473</v>
      </c>
      <c r="S480" s="126">
        <f>IF(VLOOKUP(A480,Journal!$A$7:$E$70,5)=0,S479+1,VLOOKUP(A480,Journal!$A$7:$E$70,5))</f>
        <v>46130</v>
      </c>
      <c r="T480" s="125">
        <f>IF(H$2=VLOOKUP(A480,Journal!$A$7:$F$70,6),VLOOKUP(A480,Journal!$A$7:M$70,9),0)</f>
        <v>0</v>
      </c>
      <c r="U480" s="125">
        <f>IF(H$2=VLOOKUP(A480,Journal!$A$7:$G$70,7),VLOOKUP(A480,Journal!$A$7:M$70,9),0)</f>
        <v>0</v>
      </c>
      <c r="V480" s="125">
        <f t="shared" si="54"/>
        <v>40</v>
      </c>
      <c r="X480">
        <f t="shared" si="51"/>
        <v>0</v>
      </c>
      <c r="Y480" s="143">
        <f t="shared" si="50"/>
        <v>-987.63157894738811</v>
      </c>
    </row>
    <row r="481" spans="1:25" x14ac:dyDescent="0.25">
      <c r="A481">
        <f t="shared" si="55"/>
        <v>474</v>
      </c>
      <c r="B481" s="88" t="str">
        <f>IF(OR(B480="Total",B480=""),"",IF(VLOOKUP(A481,Journal!$B$7:$E$84,4)=0,"Total",VLOOKUP(A481,Journal!$B$7:$D$84,3)))</f>
        <v/>
      </c>
      <c r="C481" s="86" t="str">
        <f>IF(B481="","",VLOOKUP(A481,Journal!$B$7:$E$84,4))</f>
        <v/>
      </c>
      <c r="D481" s="114" t="str">
        <f>IF(B481="","",VLOOKUP(A481,Journal!$B$7:$J$84,9))</f>
        <v/>
      </c>
      <c r="E481" s="116"/>
      <c r="F481" s="116"/>
      <c r="G481" s="115"/>
      <c r="H481" s="84" t="str">
        <f>IF(B481="","",VLOOKUP(A481,Journal!$B$7:$L$84,11))</f>
        <v/>
      </c>
      <c r="I481" s="84" t="str">
        <f>IF(B481="","",VLOOKUP(A481,Journal!$B$7:$M$84,12))</f>
        <v/>
      </c>
      <c r="J481" s="105">
        <f>IF(B481="Total",SUM(J$8:J480)+0.0001,IF(OR(B481="",I$2=I481),0,VLOOKUP(A481,Journal!$B$7:M$84,8)))</f>
        <v>0</v>
      </c>
      <c r="K481" s="102">
        <f>IF(B481="Total",SUM(K$8:K480)+0.0001,IF(OR(B481="",J481&lt;&gt;0),0,VLOOKUP(A481,Journal!$B$7:M$84,8)))</f>
        <v>0</v>
      </c>
      <c r="L481" s="87">
        <f t="shared" si="49"/>
        <v>0</v>
      </c>
      <c r="P481">
        <f t="shared" si="52"/>
        <v>1.0000000000000001E-5</v>
      </c>
      <c r="R481" s="15">
        <f t="shared" si="53"/>
        <v>474</v>
      </c>
      <c r="S481" s="126">
        <f>IF(VLOOKUP(A481,Journal!$A$7:$E$70,5)=0,S480+1,VLOOKUP(A481,Journal!$A$7:$E$70,5))</f>
        <v>46131</v>
      </c>
      <c r="T481" s="125">
        <f>IF(H$2=VLOOKUP(A481,Journal!$A$7:$F$70,6),VLOOKUP(A481,Journal!$A$7:M$70,9),0)</f>
        <v>0</v>
      </c>
      <c r="U481" s="125">
        <f>IF(H$2=VLOOKUP(A481,Journal!$A$7:$G$70,7),VLOOKUP(A481,Journal!$A$7:M$70,9),0)</f>
        <v>0</v>
      </c>
      <c r="V481" s="125">
        <f t="shared" si="54"/>
        <v>40</v>
      </c>
      <c r="X481">
        <f t="shared" si="51"/>
        <v>0</v>
      </c>
      <c r="Y481" s="143">
        <f t="shared" si="50"/>
        <v>-987.60526315791446</v>
      </c>
    </row>
    <row r="482" spans="1:25" x14ac:dyDescent="0.25">
      <c r="A482">
        <f t="shared" si="55"/>
        <v>475</v>
      </c>
      <c r="B482" s="88" t="str">
        <f>IF(OR(B481="Total",B481=""),"",IF(VLOOKUP(A482,Journal!$B$7:$E$84,4)=0,"Total",VLOOKUP(A482,Journal!$B$7:$D$84,3)))</f>
        <v/>
      </c>
      <c r="C482" s="86" t="str">
        <f>IF(B482="","",VLOOKUP(A482,Journal!$B$7:$E$84,4))</f>
        <v/>
      </c>
      <c r="D482" s="114" t="str">
        <f>IF(B482="","",VLOOKUP(A482,Journal!$B$7:$J$84,9))</f>
        <v/>
      </c>
      <c r="E482" s="116"/>
      <c r="F482" s="116"/>
      <c r="G482" s="115"/>
      <c r="H482" s="84" t="str">
        <f>IF(B482="","",VLOOKUP(A482,Journal!$B$7:$L$84,11))</f>
        <v/>
      </c>
      <c r="I482" s="84" t="str">
        <f>IF(B482="","",VLOOKUP(A482,Journal!$B$7:$M$84,12))</f>
        <v/>
      </c>
      <c r="J482" s="105">
        <f>IF(B482="Total",SUM(J$8:J481)+0.0001,IF(OR(B482="",I$2=I482),0,VLOOKUP(A482,Journal!$B$7:M$84,8)))</f>
        <v>0</v>
      </c>
      <c r="K482" s="102">
        <f>IF(B482="Total",SUM(K$8:K481)+0.0001,IF(OR(B482="",J482&lt;&gt;0),0,VLOOKUP(A482,Journal!$B$7:M$84,8)))</f>
        <v>0</v>
      </c>
      <c r="L482" s="87">
        <f t="shared" si="49"/>
        <v>0</v>
      </c>
      <c r="P482">
        <f t="shared" si="52"/>
        <v>1.0000000000000001E-5</v>
      </c>
      <c r="R482" s="15">
        <f t="shared" si="53"/>
        <v>475</v>
      </c>
      <c r="S482" s="126">
        <f>IF(VLOOKUP(A482,Journal!$A$7:$E$70,5)=0,S481+1,VLOOKUP(A482,Journal!$A$7:$E$70,5))</f>
        <v>46132</v>
      </c>
      <c r="T482" s="125">
        <f>IF(H$2=VLOOKUP(A482,Journal!$A$7:$F$70,6),VLOOKUP(A482,Journal!$A$7:M$70,9),0)</f>
        <v>0</v>
      </c>
      <c r="U482" s="125">
        <f>IF(H$2=VLOOKUP(A482,Journal!$A$7:$G$70,7),VLOOKUP(A482,Journal!$A$7:M$70,9),0)</f>
        <v>0</v>
      </c>
      <c r="V482" s="125">
        <f t="shared" si="54"/>
        <v>40</v>
      </c>
      <c r="X482">
        <f t="shared" si="51"/>
        <v>0</v>
      </c>
      <c r="Y482" s="143">
        <f t="shared" si="50"/>
        <v>-987.57894736844082</v>
      </c>
    </row>
    <row r="483" spans="1:25" x14ac:dyDescent="0.25">
      <c r="A483">
        <f t="shared" si="55"/>
        <v>476</v>
      </c>
      <c r="B483" s="88" t="str">
        <f>IF(OR(B482="Total",B482=""),"",IF(VLOOKUP(A483,Journal!$B$7:$E$84,4)=0,"Total",VLOOKUP(A483,Journal!$B$7:$D$84,3)))</f>
        <v/>
      </c>
      <c r="C483" s="86" t="str">
        <f>IF(B483="","",VLOOKUP(A483,Journal!$B$7:$E$84,4))</f>
        <v/>
      </c>
      <c r="D483" s="114" t="str">
        <f>IF(B483="","",VLOOKUP(A483,Journal!$B$7:$J$84,9))</f>
        <v/>
      </c>
      <c r="E483" s="116"/>
      <c r="F483" s="116"/>
      <c r="G483" s="115"/>
      <c r="H483" s="84" t="str">
        <f>IF(B483="","",VLOOKUP(A483,Journal!$B$7:$L$84,11))</f>
        <v/>
      </c>
      <c r="I483" s="84" t="str">
        <f>IF(B483="","",VLOOKUP(A483,Journal!$B$7:$M$84,12))</f>
        <v/>
      </c>
      <c r="J483" s="105">
        <f>IF(B483="Total",SUM(J$8:J482)+0.0001,IF(OR(B483="",I$2=I483),0,VLOOKUP(A483,Journal!$B$7:M$84,8)))</f>
        <v>0</v>
      </c>
      <c r="K483" s="102">
        <f>IF(B483="Total",SUM(K$8:K482)+0.0001,IF(OR(B483="",J483&lt;&gt;0),0,VLOOKUP(A483,Journal!$B$7:M$84,8)))</f>
        <v>0</v>
      </c>
      <c r="L483" s="87">
        <f t="shared" si="49"/>
        <v>0</v>
      </c>
      <c r="P483">
        <f t="shared" si="52"/>
        <v>1.0000000000000001E-5</v>
      </c>
      <c r="R483" s="15">
        <f t="shared" si="53"/>
        <v>476</v>
      </c>
      <c r="S483" s="126">
        <f>IF(VLOOKUP(A483,Journal!$A$7:$E$70,5)=0,S482+1,VLOOKUP(A483,Journal!$A$7:$E$70,5))</f>
        <v>46133</v>
      </c>
      <c r="T483" s="125">
        <f>IF(H$2=VLOOKUP(A483,Journal!$A$7:$F$70,6),VLOOKUP(A483,Journal!$A$7:M$70,9),0)</f>
        <v>0</v>
      </c>
      <c r="U483" s="125">
        <f>IF(H$2=VLOOKUP(A483,Journal!$A$7:$G$70,7),VLOOKUP(A483,Journal!$A$7:M$70,9),0)</f>
        <v>0</v>
      </c>
      <c r="V483" s="125">
        <f t="shared" si="54"/>
        <v>40</v>
      </c>
      <c r="X483">
        <f t="shared" si="51"/>
        <v>0</v>
      </c>
      <c r="Y483" s="143">
        <f t="shared" si="50"/>
        <v>-987.55263157896718</v>
      </c>
    </row>
    <row r="484" spans="1:25" x14ac:dyDescent="0.25">
      <c r="A484">
        <f t="shared" si="55"/>
        <v>477</v>
      </c>
      <c r="B484" s="88" t="str">
        <f>IF(OR(B483="Total",B483=""),"",IF(VLOOKUP(A484,Journal!$B$7:$E$84,4)=0,"Total",VLOOKUP(A484,Journal!$B$7:$D$84,3)))</f>
        <v/>
      </c>
      <c r="C484" s="86" t="str">
        <f>IF(B484="","",VLOOKUP(A484,Journal!$B$7:$E$84,4))</f>
        <v/>
      </c>
      <c r="D484" s="114" t="str">
        <f>IF(B484="","",VLOOKUP(A484,Journal!$B$7:$J$84,9))</f>
        <v/>
      </c>
      <c r="E484" s="116"/>
      <c r="F484" s="116"/>
      <c r="G484" s="115"/>
      <c r="H484" s="84" t="str">
        <f>IF(B484="","",VLOOKUP(A484,Journal!$B$7:$L$84,11))</f>
        <v/>
      </c>
      <c r="I484" s="84" t="str">
        <f>IF(B484="","",VLOOKUP(A484,Journal!$B$7:$M$84,12))</f>
        <v/>
      </c>
      <c r="J484" s="105">
        <f>IF(B484="Total",SUM(J$8:J483)+0.0001,IF(OR(B484="",I$2=I484),0,VLOOKUP(A484,Journal!$B$7:M$84,8)))</f>
        <v>0</v>
      </c>
      <c r="K484" s="102">
        <f>IF(B484="Total",SUM(K$8:K483)+0.0001,IF(OR(B484="",J484&lt;&gt;0),0,VLOOKUP(A484,Journal!$B$7:M$84,8)))</f>
        <v>0</v>
      </c>
      <c r="L484" s="87">
        <f t="shared" si="49"/>
        <v>0</v>
      </c>
      <c r="P484">
        <f t="shared" si="52"/>
        <v>1.0000000000000001E-5</v>
      </c>
      <c r="R484" s="15">
        <f t="shared" si="53"/>
        <v>477</v>
      </c>
      <c r="S484" s="126">
        <f>IF(VLOOKUP(A484,Journal!$A$7:$E$70,5)=0,S483+1,VLOOKUP(A484,Journal!$A$7:$E$70,5))</f>
        <v>46134</v>
      </c>
      <c r="T484" s="125">
        <f>IF(H$2=VLOOKUP(A484,Journal!$A$7:$F$70,6),VLOOKUP(A484,Journal!$A$7:M$70,9),0)</f>
        <v>0</v>
      </c>
      <c r="U484" s="125">
        <f>IF(H$2=VLOOKUP(A484,Journal!$A$7:$G$70,7),VLOOKUP(A484,Journal!$A$7:M$70,9),0)</f>
        <v>0</v>
      </c>
      <c r="V484" s="125">
        <f t="shared" si="54"/>
        <v>40</v>
      </c>
      <c r="X484">
        <f t="shared" si="51"/>
        <v>0</v>
      </c>
      <c r="Y484" s="143">
        <f t="shared" si="50"/>
        <v>-987.52631578949354</v>
      </c>
    </row>
    <row r="485" spans="1:25" x14ac:dyDescent="0.25">
      <c r="A485">
        <f t="shared" si="55"/>
        <v>478</v>
      </c>
      <c r="B485" s="88" t="str">
        <f>IF(OR(B484="Total",B484=""),"",IF(VLOOKUP(A485,Journal!$B$7:$E$84,4)=0,"Total",VLOOKUP(A485,Journal!$B$7:$D$84,3)))</f>
        <v/>
      </c>
      <c r="C485" s="86" t="str">
        <f>IF(B485="","",VLOOKUP(A485,Journal!$B$7:$E$84,4))</f>
        <v/>
      </c>
      <c r="D485" s="114" t="str">
        <f>IF(B485="","",VLOOKUP(A485,Journal!$B$7:$J$84,9))</f>
        <v/>
      </c>
      <c r="E485" s="116"/>
      <c r="F485" s="116"/>
      <c r="G485" s="115"/>
      <c r="H485" s="84" t="str">
        <f>IF(B485="","",VLOOKUP(A485,Journal!$B$7:$L$84,11))</f>
        <v/>
      </c>
      <c r="I485" s="84" t="str">
        <f>IF(B485="","",VLOOKUP(A485,Journal!$B$7:$M$84,12))</f>
        <v/>
      </c>
      <c r="J485" s="105">
        <f>IF(B485="Total",SUM(J$8:J484)+0.0001,IF(OR(B485="",I$2=I485),0,VLOOKUP(A485,Journal!$B$7:M$84,8)))</f>
        <v>0</v>
      </c>
      <c r="K485" s="102">
        <f>IF(B485="Total",SUM(K$8:K484)+0.0001,IF(OR(B485="",J485&lt;&gt;0),0,VLOOKUP(A485,Journal!$B$7:M$84,8)))</f>
        <v>0</v>
      </c>
      <c r="L485" s="87">
        <f t="shared" si="49"/>
        <v>0</v>
      </c>
      <c r="P485">
        <f t="shared" si="52"/>
        <v>1.0000000000000001E-5</v>
      </c>
      <c r="R485" s="15">
        <f t="shared" si="53"/>
        <v>478</v>
      </c>
      <c r="S485" s="126">
        <f>IF(VLOOKUP(A485,Journal!$A$7:$E$70,5)=0,S484+1,VLOOKUP(A485,Journal!$A$7:$E$70,5))</f>
        <v>46135</v>
      </c>
      <c r="T485" s="125">
        <f>IF(H$2=VLOOKUP(A485,Journal!$A$7:$F$70,6),VLOOKUP(A485,Journal!$A$7:M$70,9),0)</f>
        <v>0</v>
      </c>
      <c r="U485" s="125">
        <f>IF(H$2=VLOOKUP(A485,Journal!$A$7:$G$70,7),VLOOKUP(A485,Journal!$A$7:M$70,9),0)</f>
        <v>0</v>
      </c>
      <c r="V485" s="125">
        <f t="shared" si="54"/>
        <v>40</v>
      </c>
      <c r="X485">
        <f t="shared" si="51"/>
        <v>0</v>
      </c>
      <c r="Y485" s="143">
        <f t="shared" si="50"/>
        <v>-987.5000000000199</v>
      </c>
    </row>
    <row r="486" spans="1:25" x14ac:dyDescent="0.25">
      <c r="A486">
        <f t="shared" si="55"/>
        <v>479</v>
      </c>
      <c r="B486" s="88" t="str">
        <f>IF(OR(B485="Total",B485=""),"",IF(VLOOKUP(A486,Journal!$B$7:$E$84,4)=0,"Total",VLOOKUP(A486,Journal!$B$7:$D$84,3)))</f>
        <v/>
      </c>
      <c r="C486" s="86" t="str">
        <f>IF(B486="","",VLOOKUP(A486,Journal!$B$7:$E$84,4))</f>
        <v/>
      </c>
      <c r="D486" s="114" t="str">
        <f>IF(B486="","",VLOOKUP(A486,Journal!$B$7:$J$84,9))</f>
        <v/>
      </c>
      <c r="E486" s="116"/>
      <c r="F486" s="116"/>
      <c r="G486" s="115"/>
      <c r="H486" s="84" t="str">
        <f>IF(B486="","",VLOOKUP(A486,Journal!$B$7:$L$84,11))</f>
        <v/>
      </c>
      <c r="I486" s="84" t="str">
        <f>IF(B486="","",VLOOKUP(A486,Journal!$B$7:$M$84,12))</f>
        <v/>
      </c>
      <c r="J486" s="105">
        <f>IF(B486="Total",SUM(J$8:J485)+0.0001,IF(OR(B486="",I$2=I486),0,VLOOKUP(A486,Journal!$B$7:M$84,8)))</f>
        <v>0</v>
      </c>
      <c r="K486" s="102">
        <f>IF(B486="Total",SUM(K$8:K485)+0.0001,IF(OR(B486="",J486&lt;&gt;0),0,VLOOKUP(A486,Journal!$B$7:M$84,8)))</f>
        <v>0</v>
      </c>
      <c r="L486" s="87">
        <f t="shared" si="49"/>
        <v>0</v>
      </c>
      <c r="P486">
        <f t="shared" si="52"/>
        <v>1.0000000000000001E-5</v>
      </c>
      <c r="R486" s="15">
        <f t="shared" si="53"/>
        <v>479</v>
      </c>
      <c r="S486" s="126">
        <f>IF(VLOOKUP(A486,Journal!$A$7:$E$70,5)=0,S485+1,VLOOKUP(A486,Journal!$A$7:$E$70,5))</f>
        <v>46136</v>
      </c>
      <c r="T486" s="125">
        <f>IF(H$2=VLOOKUP(A486,Journal!$A$7:$F$70,6),VLOOKUP(A486,Journal!$A$7:M$70,9),0)</f>
        <v>0</v>
      </c>
      <c r="U486" s="125">
        <f>IF(H$2=VLOOKUP(A486,Journal!$A$7:$G$70,7),VLOOKUP(A486,Journal!$A$7:M$70,9),0)</f>
        <v>0</v>
      </c>
      <c r="V486" s="125">
        <f t="shared" si="54"/>
        <v>40</v>
      </c>
      <c r="X486">
        <f t="shared" si="51"/>
        <v>0</v>
      </c>
      <c r="Y486" s="143">
        <f t="shared" si="50"/>
        <v>-987.47368421054625</v>
      </c>
    </row>
    <row r="487" spans="1:25" x14ac:dyDescent="0.25">
      <c r="A487">
        <f t="shared" si="55"/>
        <v>480</v>
      </c>
      <c r="B487" s="88" t="str">
        <f>IF(OR(B486="Total",B486=""),"",IF(VLOOKUP(A487,Journal!$B$7:$E$84,4)=0,"Total",VLOOKUP(A487,Journal!$B$7:$D$84,3)))</f>
        <v/>
      </c>
      <c r="C487" s="86" t="str">
        <f>IF(B487="","",VLOOKUP(A487,Journal!$B$7:$E$84,4))</f>
        <v/>
      </c>
      <c r="D487" s="114" t="str">
        <f>IF(B487="","",VLOOKUP(A487,Journal!$B$7:$J$84,9))</f>
        <v/>
      </c>
      <c r="E487" s="116"/>
      <c r="F487" s="116"/>
      <c r="G487" s="115"/>
      <c r="H487" s="84" t="str">
        <f>IF(B487="","",VLOOKUP(A487,Journal!$B$7:$L$84,11))</f>
        <v/>
      </c>
      <c r="I487" s="84" t="str">
        <f>IF(B487="","",VLOOKUP(A487,Journal!$B$7:$M$84,12))</f>
        <v/>
      </c>
      <c r="J487" s="105">
        <f>IF(B487="Total",SUM(J$8:J486)+0.0001,IF(OR(B487="",I$2=I487),0,VLOOKUP(A487,Journal!$B$7:M$84,8)))</f>
        <v>0</v>
      </c>
      <c r="K487" s="102">
        <f>IF(B487="Total",SUM(K$8:K486)+0.0001,IF(OR(B487="",J487&lt;&gt;0),0,VLOOKUP(A487,Journal!$B$7:M$84,8)))</f>
        <v>0</v>
      </c>
      <c r="L487" s="87">
        <f t="shared" si="49"/>
        <v>0</v>
      </c>
      <c r="P487">
        <f t="shared" si="52"/>
        <v>1.0000000000000001E-5</v>
      </c>
      <c r="R487" s="15">
        <f t="shared" si="53"/>
        <v>480</v>
      </c>
      <c r="S487" s="126">
        <f>IF(VLOOKUP(A487,Journal!$A$7:$E$70,5)=0,S486+1,VLOOKUP(A487,Journal!$A$7:$E$70,5))</f>
        <v>46137</v>
      </c>
      <c r="T487" s="125">
        <f>IF(H$2=VLOOKUP(A487,Journal!$A$7:$F$70,6),VLOOKUP(A487,Journal!$A$7:M$70,9),0)</f>
        <v>0</v>
      </c>
      <c r="U487" s="125">
        <f>IF(H$2=VLOOKUP(A487,Journal!$A$7:$G$70,7),VLOOKUP(A487,Journal!$A$7:M$70,9),0)</f>
        <v>0</v>
      </c>
      <c r="V487" s="125">
        <f t="shared" si="54"/>
        <v>40</v>
      </c>
      <c r="X487">
        <f t="shared" si="51"/>
        <v>0</v>
      </c>
      <c r="Y487" s="143">
        <f t="shared" si="50"/>
        <v>-987.44736842107261</v>
      </c>
    </row>
    <row r="488" spans="1:25" x14ac:dyDescent="0.25">
      <c r="A488">
        <f t="shared" si="55"/>
        <v>481</v>
      </c>
      <c r="B488" s="88" t="str">
        <f>IF(OR(B487="Total",B487=""),"",IF(VLOOKUP(A488,Journal!$B$7:$E$84,4)=0,"Total",VLOOKUP(A488,Journal!$B$7:$D$84,3)))</f>
        <v/>
      </c>
      <c r="C488" s="86" t="str">
        <f>IF(B488="","",VLOOKUP(A488,Journal!$B$7:$E$84,4))</f>
        <v/>
      </c>
      <c r="D488" s="114" t="str">
        <f>IF(B488="","",VLOOKUP(A488,Journal!$B$7:$J$84,9))</f>
        <v/>
      </c>
      <c r="E488" s="116"/>
      <c r="F488" s="116"/>
      <c r="G488" s="115"/>
      <c r="H488" s="84" t="str">
        <f>IF(B488="","",VLOOKUP(A488,Journal!$B$7:$L$84,11))</f>
        <v/>
      </c>
      <c r="I488" s="84" t="str">
        <f>IF(B488="","",VLOOKUP(A488,Journal!$B$7:$M$84,12))</f>
        <v/>
      </c>
      <c r="J488" s="105">
        <f>IF(B488="Total",SUM(J$8:J487)+0.0001,IF(OR(B488="",I$2=I488),0,VLOOKUP(A488,Journal!$B$7:M$84,8)))</f>
        <v>0</v>
      </c>
      <c r="K488" s="102">
        <f>IF(B488="Total",SUM(K$8:K487)+0.0001,IF(OR(B488="",J488&lt;&gt;0),0,VLOOKUP(A488,Journal!$B$7:M$84,8)))</f>
        <v>0</v>
      </c>
      <c r="L488" s="87">
        <f t="shared" si="49"/>
        <v>0</v>
      </c>
      <c r="P488">
        <f t="shared" si="52"/>
        <v>1.0000000000000001E-5</v>
      </c>
      <c r="R488" s="15">
        <f t="shared" si="53"/>
        <v>481</v>
      </c>
      <c r="S488" s="126">
        <f>IF(VLOOKUP(A488,Journal!$A$7:$E$70,5)=0,S487+1,VLOOKUP(A488,Journal!$A$7:$E$70,5))</f>
        <v>46138</v>
      </c>
      <c r="T488" s="125">
        <f>IF(H$2=VLOOKUP(A488,Journal!$A$7:$F$70,6),VLOOKUP(A488,Journal!$A$7:M$70,9),0)</f>
        <v>0</v>
      </c>
      <c r="U488" s="125">
        <f>IF(H$2=VLOOKUP(A488,Journal!$A$7:$G$70,7),VLOOKUP(A488,Journal!$A$7:M$70,9),0)</f>
        <v>0</v>
      </c>
      <c r="V488" s="125">
        <f t="shared" si="54"/>
        <v>40</v>
      </c>
      <c r="X488">
        <f t="shared" si="51"/>
        <v>0</v>
      </c>
      <c r="Y488" s="143">
        <f t="shared" si="50"/>
        <v>-987.42105263159897</v>
      </c>
    </row>
    <row r="489" spans="1:25" x14ac:dyDescent="0.25">
      <c r="A489">
        <f t="shared" si="55"/>
        <v>482</v>
      </c>
      <c r="B489" s="88" t="str">
        <f>IF(OR(B488="Total",B488=""),"",IF(VLOOKUP(A489,Journal!$B$7:$E$84,4)=0,"Total",VLOOKUP(A489,Journal!$B$7:$D$84,3)))</f>
        <v/>
      </c>
      <c r="C489" s="86" t="str">
        <f>IF(B489="","",VLOOKUP(A489,Journal!$B$7:$E$84,4))</f>
        <v/>
      </c>
      <c r="D489" s="114" t="str">
        <f>IF(B489="","",VLOOKUP(A489,Journal!$B$7:$J$84,9))</f>
        <v/>
      </c>
      <c r="E489" s="116"/>
      <c r="F489" s="116"/>
      <c r="G489" s="115"/>
      <c r="H489" s="84" t="str">
        <f>IF(B489="","",VLOOKUP(A489,Journal!$B$7:$L$84,11))</f>
        <v/>
      </c>
      <c r="I489" s="84" t="str">
        <f>IF(B489="","",VLOOKUP(A489,Journal!$B$7:$M$84,12))</f>
        <v/>
      </c>
      <c r="J489" s="105">
        <f>IF(B489="Total",SUM(J$8:J488)+0.0001,IF(OR(B489="",I$2=I489),0,VLOOKUP(A489,Journal!$B$7:M$84,8)))</f>
        <v>0</v>
      </c>
      <c r="K489" s="102">
        <f>IF(B489="Total",SUM(K$8:K488)+0.0001,IF(OR(B489="",J489&lt;&gt;0),0,VLOOKUP(A489,Journal!$B$7:M$84,8)))</f>
        <v>0</v>
      </c>
      <c r="L489" s="87">
        <f t="shared" si="49"/>
        <v>0</v>
      </c>
      <c r="P489">
        <f t="shared" si="52"/>
        <v>1.0000000000000001E-5</v>
      </c>
      <c r="R489" s="15">
        <f t="shared" si="53"/>
        <v>482</v>
      </c>
      <c r="S489" s="126">
        <f>IF(VLOOKUP(A489,Journal!$A$7:$E$70,5)=0,S488+1,VLOOKUP(A489,Journal!$A$7:$E$70,5))</f>
        <v>46139</v>
      </c>
      <c r="T489" s="125">
        <f>IF(H$2=VLOOKUP(A489,Journal!$A$7:$F$70,6),VLOOKUP(A489,Journal!$A$7:M$70,9),0)</f>
        <v>0</v>
      </c>
      <c r="U489" s="125">
        <f>IF(H$2=VLOOKUP(A489,Journal!$A$7:$G$70,7),VLOOKUP(A489,Journal!$A$7:M$70,9),0)</f>
        <v>0</v>
      </c>
      <c r="V489" s="125">
        <f t="shared" si="54"/>
        <v>40</v>
      </c>
      <c r="X489">
        <f t="shared" si="51"/>
        <v>0</v>
      </c>
      <c r="Y489" s="143">
        <f t="shared" si="50"/>
        <v>-987.39473684212533</v>
      </c>
    </row>
    <row r="490" spans="1:25" x14ac:dyDescent="0.25">
      <c r="A490">
        <f t="shared" si="55"/>
        <v>483</v>
      </c>
      <c r="B490" s="88" t="str">
        <f>IF(OR(B489="Total",B489=""),"",IF(VLOOKUP(A490,Journal!$B$7:$E$84,4)=0,"Total",VLOOKUP(A490,Journal!$B$7:$D$84,3)))</f>
        <v/>
      </c>
      <c r="C490" s="86" t="str">
        <f>IF(B490="","",VLOOKUP(A490,Journal!$B$7:$E$84,4))</f>
        <v/>
      </c>
      <c r="D490" s="114" t="str">
        <f>IF(B490="","",VLOOKUP(A490,Journal!$B$7:$J$84,9))</f>
        <v/>
      </c>
      <c r="E490" s="116"/>
      <c r="F490" s="116"/>
      <c r="G490" s="115"/>
      <c r="H490" s="84" t="str">
        <f>IF(B490="","",VLOOKUP(A490,Journal!$B$7:$L$84,11))</f>
        <v/>
      </c>
      <c r="I490" s="84" t="str">
        <f>IF(B490="","",VLOOKUP(A490,Journal!$B$7:$M$84,12))</f>
        <v/>
      </c>
      <c r="J490" s="105">
        <f>IF(B490="Total",SUM(J$8:J489)+0.0001,IF(OR(B490="",I$2=I490),0,VLOOKUP(A490,Journal!$B$7:M$84,8)))</f>
        <v>0</v>
      </c>
      <c r="K490" s="102">
        <f>IF(B490="Total",SUM(K$8:K489)+0.0001,IF(OR(B490="",J490&lt;&gt;0),0,VLOOKUP(A490,Journal!$B$7:M$84,8)))</f>
        <v>0</v>
      </c>
      <c r="L490" s="87">
        <f t="shared" si="49"/>
        <v>0</v>
      </c>
      <c r="P490">
        <f t="shared" si="52"/>
        <v>1.0000000000000001E-5</v>
      </c>
      <c r="R490" s="15">
        <f t="shared" si="53"/>
        <v>483</v>
      </c>
      <c r="S490" s="126">
        <f>IF(VLOOKUP(A490,Journal!$A$7:$E$70,5)=0,S489+1,VLOOKUP(A490,Journal!$A$7:$E$70,5))</f>
        <v>46140</v>
      </c>
      <c r="T490" s="125">
        <f>IF(H$2=VLOOKUP(A490,Journal!$A$7:$F$70,6),VLOOKUP(A490,Journal!$A$7:M$70,9),0)</f>
        <v>0</v>
      </c>
      <c r="U490" s="125">
        <f>IF(H$2=VLOOKUP(A490,Journal!$A$7:$G$70,7),VLOOKUP(A490,Journal!$A$7:M$70,9),0)</f>
        <v>0</v>
      </c>
      <c r="V490" s="125">
        <f t="shared" si="54"/>
        <v>40</v>
      </c>
      <c r="X490">
        <f t="shared" si="51"/>
        <v>0</v>
      </c>
      <c r="Y490" s="143">
        <f t="shared" si="50"/>
        <v>-987.36842105265168</v>
      </c>
    </row>
    <row r="491" spans="1:25" x14ac:dyDescent="0.25">
      <c r="A491">
        <f t="shared" si="55"/>
        <v>484</v>
      </c>
      <c r="B491" s="88" t="str">
        <f>IF(OR(B490="Total",B490=""),"",IF(VLOOKUP(A491,Journal!$B$7:$E$84,4)=0,"Total",VLOOKUP(A491,Journal!$B$7:$D$84,3)))</f>
        <v/>
      </c>
      <c r="C491" s="86" t="str">
        <f>IF(B491="","",VLOOKUP(A491,Journal!$B$7:$E$84,4))</f>
        <v/>
      </c>
      <c r="D491" s="114" t="str">
        <f>IF(B491="","",VLOOKUP(A491,Journal!$B$7:$J$84,9))</f>
        <v/>
      </c>
      <c r="E491" s="116"/>
      <c r="F491" s="116"/>
      <c r="G491" s="115"/>
      <c r="H491" s="84" t="str">
        <f>IF(B491="","",VLOOKUP(A491,Journal!$B$7:$L$84,11))</f>
        <v/>
      </c>
      <c r="I491" s="84" t="str">
        <f>IF(B491="","",VLOOKUP(A491,Journal!$B$7:$M$84,12))</f>
        <v/>
      </c>
      <c r="J491" s="105">
        <f>IF(B491="Total",SUM(J$8:J490)+0.0001,IF(OR(B491="",I$2=I491),0,VLOOKUP(A491,Journal!$B$7:M$84,8)))</f>
        <v>0</v>
      </c>
      <c r="K491" s="102">
        <f>IF(B491="Total",SUM(K$8:K490)+0.0001,IF(OR(B491="",J491&lt;&gt;0),0,VLOOKUP(A491,Journal!$B$7:M$84,8)))</f>
        <v>0</v>
      </c>
      <c r="L491" s="87">
        <f t="shared" si="49"/>
        <v>0</v>
      </c>
      <c r="P491">
        <f t="shared" si="52"/>
        <v>1.0000000000000001E-5</v>
      </c>
      <c r="R491" s="15">
        <f t="shared" si="53"/>
        <v>484</v>
      </c>
      <c r="S491" s="126">
        <f>IF(VLOOKUP(A491,Journal!$A$7:$E$70,5)=0,S490+1,VLOOKUP(A491,Journal!$A$7:$E$70,5))</f>
        <v>46141</v>
      </c>
      <c r="T491" s="125">
        <f>IF(H$2=VLOOKUP(A491,Journal!$A$7:$F$70,6),VLOOKUP(A491,Journal!$A$7:M$70,9),0)</f>
        <v>0</v>
      </c>
      <c r="U491" s="125">
        <f>IF(H$2=VLOOKUP(A491,Journal!$A$7:$G$70,7),VLOOKUP(A491,Journal!$A$7:M$70,9),0)</f>
        <v>0</v>
      </c>
      <c r="V491" s="125">
        <f t="shared" si="54"/>
        <v>40</v>
      </c>
      <c r="X491">
        <f t="shared" si="51"/>
        <v>0</v>
      </c>
      <c r="Y491" s="143">
        <f t="shared" si="50"/>
        <v>-987.34210526317804</v>
      </c>
    </row>
    <row r="492" spans="1:25" x14ac:dyDescent="0.25">
      <c r="A492">
        <f t="shared" si="55"/>
        <v>485</v>
      </c>
      <c r="B492" s="88" t="str">
        <f>IF(OR(B491="Total",B491=""),"",IF(VLOOKUP(A492,Journal!$B$7:$E$84,4)=0,"Total",VLOOKUP(A492,Journal!$B$7:$D$84,3)))</f>
        <v/>
      </c>
      <c r="C492" s="86" t="str">
        <f>IF(B492="","",VLOOKUP(A492,Journal!$B$7:$E$84,4))</f>
        <v/>
      </c>
      <c r="D492" s="114" t="str">
        <f>IF(B492="","",VLOOKUP(A492,Journal!$B$7:$J$84,9))</f>
        <v/>
      </c>
      <c r="E492" s="116"/>
      <c r="F492" s="116"/>
      <c r="G492" s="115"/>
      <c r="H492" s="84" t="str">
        <f>IF(B492="","",VLOOKUP(A492,Journal!$B$7:$L$84,11))</f>
        <v/>
      </c>
      <c r="I492" s="84" t="str">
        <f>IF(B492="","",VLOOKUP(A492,Journal!$B$7:$M$84,12))</f>
        <v/>
      </c>
      <c r="J492" s="105">
        <f>IF(B492="Total",SUM(J$8:J491)+0.0001,IF(OR(B492="",I$2=I492),0,VLOOKUP(A492,Journal!$B$7:M$84,8)))</f>
        <v>0</v>
      </c>
      <c r="K492" s="102">
        <f>IF(B492="Total",SUM(K$8:K491)+0.0001,IF(OR(B492="",J492&lt;&gt;0),0,VLOOKUP(A492,Journal!$B$7:M$84,8)))</f>
        <v>0</v>
      </c>
      <c r="L492" s="87">
        <f t="shared" si="49"/>
        <v>0</v>
      </c>
      <c r="P492">
        <f t="shared" si="52"/>
        <v>1.0000000000000001E-5</v>
      </c>
      <c r="R492" s="15">
        <f t="shared" si="53"/>
        <v>485</v>
      </c>
      <c r="S492" s="126">
        <f>IF(VLOOKUP(A492,Journal!$A$7:$E$70,5)=0,S491+1,VLOOKUP(A492,Journal!$A$7:$E$70,5))</f>
        <v>46142</v>
      </c>
      <c r="T492" s="125">
        <f>IF(H$2=VLOOKUP(A492,Journal!$A$7:$F$70,6),VLOOKUP(A492,Journal!$A$7:M$70,9),0)</f>
        <v>0</v>
      </c>
      <c r="U492" s="125">
        <f>IF(H$2=VLOOKUP(A492,Journal!$A$7:$G$70,7),VLOOKUP(A492,Journal!$A$7:M$70,9),0)</f>
        <v>0</v>
      </c>
      <c r="V492" s="125">
        <f t="shared" si="54"/>
        <v>40</v>
      </c>
      <c r="X492">
        <f t="shared" si="51"/>
        <v>0</v>
      </c>
      <c r="Y492" s="143">
        <f t="shared" si="50"/>
        <v>-987.3157894737044</v>
      </c>
    </row>
    <row r="493" spans="1:25" x14ac:dyDescent="0.25">
      <c r="A493">
        <f t="shared" si="55"/>
        <v>486</v>
      </c>
      <c r="B493" s="88" t="str">
        <f>IF(OR(B492="Total",B492=""),"",IF(VLOOKUP(A493,Journal!$B$7:$E$84,4)=0,"Total",VLOOKUP(A493,Journal!$B$7:$D$84,3)))</f>
        <v/>
      </c>
      <c r="C493" s="86" t="str">
        <f>IF(B493="","",VLOOKUP(A493,Journal!$B$7:$E$84,4))</f>
        <v/>
      </c>
      <c r="D493" s="114" t="str">
        <f>IF(B493="","",VLOOKUP(A493,Journal!$B$7:$J$84,9))</f>
        <v/>
      </c>
      <c r="E493" s="116"/>
      <c r="F493" s="116"/>
      <c r="G493" s="115"/>
      <c r="H493" s="84" t="str">
        <f>IF(B493="","",VLOOKUP(A493,Journal!$B$7:$L$84,11))</f>
        <v/>
      </c>
      <c r="I493" s="84" t="str">
        <f>IF(B493="","",VLOOKUP(A493,Journal!$B$7:$M$84,12))</f>
        <v/>
      </c>
      <c r="J493" s="105">
        <f>IF(B493="Total",SUM(J$8:J492)+0.0001,IF(OR(B493="",I$2=I493),0,VLOOKUP(A493,Journal!$B$7:M$84,8)))</f>
        <v>0</v>
      </c>
      <c r="K493" s="102">
        <f>IF(B493="Total",SUM(K$8:K492)+0.0001,IF(OR(B493="",J493&lt;&gt;0),0,VLOOKUP(A493,Journal!$B$7:M$84,8)))</f>
        <v>0</v>
      </c>
      <c r="L493" s="87">
        <f t="shared" si="49"/>
        <v>0</v>
      </c>
      <c r="P493">
        <f t="shared" si="52"/>
        <v>1.0000000000000001E-5</v>
      </c>
      <c r="R493" s="15">
        <f t="shared" si="53"/>
        <v>486</v>
      </c>
      <c r="S493" s="126">
        <f>IF(VLOOKUP(A493,Journal!$A$7:$E$70,5)=0,S492+1,VLOOKUP(A493,Journal!$A$7:$E$70,5))</f>
        <v>46143</v>
      </c>
      <c r="T493" s="125">
        <f>IF(H$2=VLOOKUP(A493,Journal!$A$7:$F$70,6),VLOOKUP(A493,Journal!$A$7:M$70,9),0)</f>
        <v>0</v>
      </c>
      <c r="U493" s="125">
        <f>IF(H$2=VLOOKUP(A493,Journal!$A$7:$G$70,7),VLOOKUP(A493,Journal!$A$7:M$70,9),0)</f>
        <v>0</v>
      </c>
      <c r="V493" s="125">
        <f t="shared" si="54"/>
        <v>40</v>
      </c>
      <c r="X493">
        <f t="shared" si="51"/>
        <v>0</v>
      </c>
      <c r="Y493" s="143">
        <f t="shared" si="50"/>
        <v>-987.28947368423076</v>
      </c>
    </row>
    <row r="494" spans="1:25" x14ac:dyDescent="0.25">
      <c r="A494">
        <f t="shared" si="55"/>
        <v>487</v>
      </c>
      <c r="B494" s="88" t="str">
        <f>IF(OR(B493="Total",B493=""),"",IF(VLOOKUP(A494,Journal!$B$7:$E$84,4)=0,"Total",VLOOKUP(A494,Journal!$B$7:$D$84,3)))</f>
        <v/>
      </c>
      <c r="C494" s="86" t="str">
        <f>IF(B494="","",VLOOKUP(A494,Journal!$B$7:$E$84,4))</f>
        <v/>
      </c>
      <c r="D494" s="114" t="str">
        <f>IF(B494="","",VLOOKUP(A494,Journal!$B$7:$J$84,9))</f>
        <v/>
      </c>
      <c r="E494" s="116"/>
      <c r="F494" s="116"/>
      <c r="G494" s="115"/>
      <c r="H494" s="84" t="str">
        <f>IF(B494="","",VLOOKUP(A494,Journal!$B$7:$L$84,11))</f>
        <v/>
      </c>
      <c r="I494" s="84" t="str">
        <f>IF(B494="","",VLOOKUP(A494,Journal!$B$7:$M$84,12))</f>
        <v/>
      </c>
      <c r="J494" s="105">
        <f>IF(B494="Total",SUM(J$8:J493)+0.0001,IF(OR(B494="",I$2=I494),0,VLOOKUP(A494,Journal!$B$7:M$84,8)))</f>
        <v>0</v>
      </c>
      <c r="K494" s="102">
        <f>IF(B494="Total",SUM(K$8:K493)+0.0001,IF(OR(B494="",J494&lt;&gt;0),0,VLOOKUP(A494,Journal!$B$7:M$84,8)))</f>
        <v>0</v>
      </c>
      <c r="L494" s="87">
        <f t="shared" si="49"/>
        <v>0</v>
      </c>
      <c r="P494">
        <f t="shared" si="52"/>
        <v>1.0000000000000001E-5</v>
      </c>
      <c r="R494" s="15">
        <f t="shared" si="53"/>
        <v>487</v>
      </c>
      <c r="S494" s="126">
        <f>IF(VLOOKUP(A494,Journal!$A$7:$E$70,5)=0,S493+1,VLOOKUP(A494,Journal!$A$7:$E$70,5))</f>
        <v>46144</v>
      </c>
      <c r="T494" s="125">
        <f>IF(H$2=VLOOKUP(A494,Journal!$A$7:$F$70,6),VLOOKUP(A494,Journal!$A$7:M$70,9),0)</f>
        <v>0</v>
      </c>
      <c r="U494" s="125">
        <f>IF(H$2=VLOOKUP(A494,Journal!$A$7:$G$70,7),VLOOKUP(A494,Journal!$A$7:M$70,9),0)</f>
        <v>0</v>
      </c>
      <c r="V494" s="125">
        <f t="shared" si="54"/>
        <v>40</v>
      </c>
      <c r="X494">
        <f t="shared" si="51"/>
        <v>0</v>
      </c>
      <c r="Y494" s="143">
        <f t="shared" si="50"/>
        <v>-987.26315789475711</v>
      </c>
    </row>
    <row r="495" spans="1:25" x14ac:dyDescent="0.25">
      <c r="A495">
        <f t="shared" si="55"/>
        <v>488</v>
      </c>
      <c r="B495" s="88" t="str">
        <f>IF(OR(B494="Total",B494=""),"",IF(VLOOKUP(A495,Journal!$B$7:$E$84,4)=0,"Total",VLOOKUP(A495,Journal!$B$7:$D$84,3)))</f>
        <v/>
      </c>
      <c r="C495" s="86" t="str">
        <f>IF(B495="","",VLOOKUP(A495,Journal!$B$7:$E$84,4))</f>
        <v/>
      </c>
      <c r="D495" s="114" t="str">
        <f>IF(B495="","",VLOOKUP(A495,Journal!$B$7:$J$84,9))</f>
        <v/>
      </c>
      <c r="E495" s="116"/>
      <c r="F495" s="116"/>
      <c r="G495" s="115"/>
      <c r="H495" s="84" t="str">
        <f>IF(B495="","",VLOOKUP(A495,Journal!$B$7:$L$84,11))</f>
        <v/>
      </c>
      <c r="I495" s="84" t="str">
        <f>IF(B495="","",VLOOKUP(A495,Journal!$B$7:$M$84,12))</f>
        <v/>
      </c>
      <c r="J495" s="105">
        <f>IF(B495="Total",SUM(J$8:J494)+0.0001,IF(OR(B495="",I$2=I495),0,VLOOKUP(A495,Journal!$B$7:M$84,8)))</f>
        <v>0</v>
      </c>
      <c r="K495" s="102">
        <f>IF(B495="Total",SUM(K$8:K494)+0.0001,IF(OR(B495="",J495&lt;&gt;0),0,VLOOKUP(A495,Journal!$B$7:M$84,8)))</f>
        <v>0</v>
      </c>
      <c r="L495" s="87">
        <f t="shared" si="49"/>
        <v>0</v>
      </c>
      <c r="P495">
        <f t="shared" si="52"/>
        <v>1.0000000000000001E-5</v>
      </c>
      <c r="R495" s="15">
        <f t="shared" si="53"/>
        <v>488</v>
      </c>
      <c r="S495" s="126">
        <f>IF(VLOOKUP(A495,Journal!$A$7:$E$70,5)=0,S494+1,VLOOKUP(A495,Journal!$A$7:$E$70,5))</f>
        <v>46145</v>
      </c>
      <c r="T495" s="125">
        <f>IF(H$2=VLOOKUP(A495,Journal!$A$7:$F$70,6),VLOOKUP(A495,Journal!$A$7:M$70,9),0)</f>
        <v>0</v>
      </c>
      <c r="U495" s="125">
        <f>IF(H$2=VLOOKUP(A495,Journal!$A$7:$G$70,7),VLOOKUP(A495,Journal!$A$7:M$70,9),0)</f>
        <v>0</v>
      </c>
      <c r="V495" s="125">
        <f t="shared" si="54"/>
        <v>40</v>
      </c>
      <c r="X495">
        <f t="shared" si="51"/>
        <v>0</v>
      </c>
      <c r="Y495" s="143">
        <f t="shared" si="50"/>
        <v>-987.23684210528347</v>
      </c>
    </row>
    <row r="496" spans="1:25" x14ac:dyDescent="0.25">
      <c r="A496">
        <f t="shared" si="55"/>
        <v>489</v>
      </c>
      <c r="B496" s="88" t="str">
        <f>IF(OR(B495="Total",B495=""),"",IF(VLOOKUP(A496,Journal!$B$7:$E$84,4)=0,"Total",VLOOKUP(A496,Journal!$B$7:$D$84,3)))</f>
        <v/>
      </c>
      <c r="C496" s="86" t="str">
        <f>IF(B496="","",VLOOKUP(A496,Journal!$B$7:$E$84,4))</f>
        <v/>
      </c>
      <c r="D496" s="114" t="str">
        <f>IF(B496="","",VLOOKUP(A496,Journal!$B$7:$J$84,9))</f>
        <v/>
      </c>
      <c r="E496" s="116"/>
      <c r="F496" s="116"/>
      <c r="G496" s="115"/>
      <c r="H496" s="84" t="str">
        <f>IF(B496="","",VLOOKUP(A496,Journal!$B$7:$L$84,11))</f>
        <v/>
      </c>
      <c r="I496" s="84" t="str">
        <f>IF(B496="","",VLOOKUP(A496,Journal!$B$7:$M$84,12))</f>
        <v/>
      </c>
      <c r="J496" s="105">
        <f>IF(B496="Total",SUM(J$8:J495)+0.0001,IF(OR(B496="",I$2=I496),0,VLOOKUP(A496,Journal!$B$7:M$84,8)))</f>
        <v>0</v>
      </c>
      <c r="K496" s="102">
        <f>IF(B496="Total",SUM(K$8:K495)+0.0001,IF(OR(B496="",J496&lt;&gt;0),0,VLOOKUP(A496,Journal!$B$7:M$84,8)))</f>
        <v>0</v>
      </c>
      <c r="L496" s="87">
        <f t="shared" si="49"/>
        <v>0</v>
      </c>
      <c r="P496">
        <f t="shared" si="52"/>
        <v>1.0000000000000001E-5</v>
      </c>
      <c r="R496" s="15">
        <f t="shared" si="53"/>
        <v>489</v>
      </c>
      <c r="S496" s="126">
        <f>IF(VLOOKUP(A496,Journal!$A$7:$E$70,5)=0,S495+1,VLOOKUP(A496,Journal!$A$7:$E$70,5))</f>
        <v>46146</v>
      </c>
      <c r="T496" s="125">
        <f>IF(H$2=VLOOKUP(A496,Journal!$A$7:$F$70,6),VLOOKUP(A496,Journal!$A$7:M$70,9),0)</f>
        <v>0</v>
      </c>
      <c r="U496" s="125">
        <f>IF(H$2=VLOOKUP(A496,Journal!$A$7:$G$70,7),VLOOKUP(A496,Journal!$A$7:M$70,9),0)</f>
        <v>0</v>
      </c>
      <c r="V496" s="125">
        <f t="shared" si="54"/>
        <v>40</v>
      </c>
      <c r="X496">
        <f t="shared" si="51"/>
        <v>0</v>
      </c>
      <c r="Y496" s="143">
        <f t="shared" si="50"/>
        <v>-987.21052631580983</v>
      </c>
    </row>
    <row r="497" spans="1:25" x14ac:dyDescent="0.25">
      <c r="A497">
        <f t="shared" si="55"/>
        <v>490</v>
      </c>
      <c r="B497" s="88" t="str">
        <f>IF(OR(B496="Total",B496=""),"",IF(VLOOKUP(A497,Journal!$B$7:$E$84,4)=0,"Total",VLOOKUP(A497,Journal!$B$7:$D$84,3)))</f>
        <v/>
      </c>
      <c r="C497" s="86" t="str">
        <f>IF(B497="","",VLOOKUP(A497,Journal!$B$7:$E$84,4))</f>
        <v/>
      </c>
      <c r="D497" s="114" t="str">
        <f>IF(B497="","",VLOOKUP(A497,Journal!$B$7:$J$84,9))</f>
        <v/>
      </c>
      <c r="E497" s="116"/>
      <c r="F497" s="116"/>
      <c r="G497" s="115"/>
      <c r="H497" s="84" t="str">
        <f>IF(B497="","",VLOOKUP(A497,Journal!$B$7:$L$84,11))</f>
        <v/>
      </c>
      <c r="I497" s="84" t="str">
        <f>IF(B497="","",VLOOKUP(A497,Journal!$B$7:$M$84,12))</f>
        <v/>
      </c>
      <c r="J497" s="105">
        <f>IF(B497="Total",SUM(J$8:J496)+0.0001,IF(OR(B497="",I$2=I497),0,VLOOKUP(A497,Journal!$B$7:M$84,8)))</f>
        <v>0</v>
      </c>
      <c r="K497" s="102">
        <f>IF(B497="Total",SUM(K$8:K496)+0.0001,IF(OR(B497="",J497&lt;&gt;0),0,VLOOKUP(A497,Journal!$B$7:M$84,8)))</f>
        <v>0</v>
      </c>
      <c r="L497" s="87">
        <f t="shared" si="49"/>
        <v>0</v>
      </c>
      <c r="P497">
        <f t="shared" si="52"/>
        <v>1.0000000000000001E-5</v>
      </c>
      <c r="R497" s="15">
        <f t="shared" si="53"/>
        <v>490</v>
      </c>
      <c r="S497" s="126">
        <f>IF(VLOOKUP(A497,Journal!$A$7:$E$70,5)=0,S496+1,VLOOKUP(A497,Journal!$A$7:$E$70,5))</f>
        <v>46147</v>
      </c>
      <c r="T497" s="125">
        <f>IF(H$2=VLOOKUP(A497,Journal!$A$7:$F$70,6),VLOOKUP(A497,Journal!$A$7:M$70,9),0)</f>
        <v>0</v>
      </c>
      <c r="U497" s="125">
        <f>IF(H$2=VLOOKUP(A497,Journal!$A$7:$G$70,7),VLOOKUP(A497,Journal!$A$7:M$70,9),0)</f>
        <v>0</v>
      </c>
      <c r="V497" s="125">
        <f t="shared" si="54"/>
        <v>40</v>
      </c>
      <c r="X497">
        <f t="shared" si="51"/>
        <v>0</v>
      </c>
      <c r="Y497" s="143">
        <f t="shared" si="50"/>
        <v>-987.18421052633619</v>
      </c>
    </row>
    <row r="498" spans="1:25" x14ac:dyDescent="0.25">
      <c r="A498">
        <f t="shared" si="55"/>
        <v>491</v>
      </c>
      <c r="B498" s="88" t="str">
        <f>IF(OR(B497="Total",B497=""),"",IF(VLOOKUP(A498,Journal!$B$7:$E$84,4)=0,"Total",VLOOKUP(A498,Journal!$B$7:$D$84,3)))</f>
        <v/>
      </c>
      <c r="C498" s="86" t="str">
        <f>IF(B498="","",VLOOKUP(A498,Journal!$B$7:$E$84,4))</f>
        <v/>
      </c>
      <c r="D498" s="114" t="str">
        <f>IF(B498="","",VLOOKUP(A498,Journal!$B$7:$J$84,9))</f>
        <v/>
      </c>
      <c r="E498" s="116"/>
      <c r="F498" s="116"/>
      <c r="G498" s="115"/>
      <c r="H498" s="84" t="str">
        <f>IF(B498="","",VLOOKUP(A498,Journal!$B$7:$L$84,11))</f>
        <v/>
      </c>
      <c r="I498" s="84" t="str">
        <f>IF(B498="","",VLOOKUP(A498,Journal!$B$7:$M$84,12))</f>
        <v/>
      </c>
      <c r="J498" s="105">
        <f>IF(B498="Total",SUM(J$8:J497)+0.0001,IF(OR(B498="",I$2=I498),0,VLOOKUP(A498,Journal!$B$7:M$84,8)))</f>
        <v>0</v>
      </c>
      <c r="K498" s="102">
        <f>IF(B498="Total",SUM(K$8:K497)+0.0001,IF(OR(B498="",J498&lt;&gt;0),0,VLOOKUP(A498,Journal!$B$7:M$84,8)))</f>
        <v>0</v>
      </c>
      <c r="L498" s="87">
        <f t="shared" si="49"/>
        <v>0</v>
      </c>
      <c r="P498">
        <f t="shared" si="52"/>
        <v>1.0000000000000001E-5</v>
      </c>
      <c r="R498" s="15">
        <f t="shared" si="53"/>
        <v>491</v>
      </c>
      <c r="S498" s="126">
        <f>IF(VLOOKUP(A498,Journal!$A$7:$E$70,5)=0,S497+1,VLOOKUP(A498,Journal!$A$7:$E$70,5))</f>
        <v>46148</v>
      </c>
      <c r="T498" s="125">
        <f>IF(H$2=VLOOKUP(A498,Journal!$A$7:$F$70,6),VLOOKUP(A498,Journal!$A$7:M$70,9),0)</f>
        <v>0</v>
      </c>
      <c r="U498" s="125">
        <f>IF(H$2=VLOOKUP(A498,Journal!$A$7:$G$70,7),VLOOKUP(A498,Journal!$A$7:M$70,9),0)</f>
        <v>0</v>
      </c>
      <c r="V498" s="125">
        <f t="shared" si="54"/>
        <v>40</v>
      </c>
      <c r="X498">
        <f t="shared" si="51"/>
        <v>0</v>
      </c>
      <c r="Y498" s="143">
        <f t="shared" si="50"/>
        <v>-987.15789473686254</v>
      </c>
    </row>
    <row r="499" spans="1:25" x14ac:dyDescent="0.25">
      <c r="A499">
        <f t="shared" si="55"/>
        <v>492</v>
      </c>
      <c r="B499" s="88" t="str">
        <f>IF(OR(B498="Total",B498=""),"",IF(VLOOKUP(A499,Journal!$B$7:$E$84,4)=0,"Total",VLOOKUP(A499,Journal!$B$7:$D$84,3)))</f>
        <v/>
      </c>
      <c r="C499" s="86" t="str">
        <f>IF(B499="","",VLOOKUP(A499,Journal!$B$7:$E$84,4))</f>
        <v/>
      </c>
      <c r="D499" s="114" t="str">
        <f>IF(B499="","",VLOOKUP(A499,Journal!$B$7:$J$84,9))</f>
        <v/>
      </c>
      <c r="E499" s="116"/>
      <c r="F499" s="116"/>
      <c r="G499" s="115"/>
      <c r="H499" s="84" t="str">
        <f>IF(B499="","",VLOOKUP(A499,Journal!$B$7:$L$84,11))</f>
        <v/>
      </c>
      <c r="I499" s="84" t="str">
        <f>IF(B499="","",VLOOKUP(A499,Journal!$B$7:$M$84,12))</f>
        <v/>
      </c>
      <c r="J499" s="105">
        <f>IF(B499="Total",SUM(J$8:J498)+0.0001,IF(OR(B499="",I$2=I499),0,VLOOKUP(A499,Journal!$B$7:M$84,8)))</f>
        <v>0</v>
      </c>
      <c r="K499" s="102">
        <f>IF(B499="Total",SUM(K$8:K498)+0.0001,IF(OR(B499="",J499&lt;&gt;0),0,VLOOKUP(A499,Journal!$B$7:M$84,8)))</f>
        <v>0</v>
      </c>
      <c r="L499" s="87">
        <f t="shared" si="49"/>
        <v>0</v>
      </c>
      <c r="P499">
        <f t="shared" si="52"/>
        <v>1.0000000000000001E-5</v>
      </c>
      <c r="R499" s="15">
        <f t="shared" si="53"/>
        <v>492</v>
      </c>
      <c r="S499" s="126">
        <f>IF(VLOOKUP(A499,Journal!$A$7:$E$70,5)=0,S498+1,VLOOKUP(A499,Journal!$A$7:$E$70,5))</f>
        <v>46149</v>
      </c>
      <c r="T499" s="125">
        <f>IF(H$2=VLOOKUP(A499,Journal!$A$7:$F$70,6),VLOOKUP(A499,Journal!$A$7:M$70,9),0)</f>
        <v>0</v>
      </c>
      <c r="U499" s="125">
        <f>IF(H$2=VLOOKUP(A499,Journal!$A$7:$G$70,7),VLOOKUP(A499,Journal!$A$7:M$70,9),0)</f>
        <v>0</v>
      </c>
      <c r="V499" s="125">
        <f t="shared" si="54"/>
        <v>40</v>
      </c>
      <c r="X499">
        <f t="shared" si="51"/>
        <v>0</v>
      </c>
      <c r="Y499" s="143">
        <f t="shared" si="50"/>
        <v>-987.1315789473889</v>
      </c>
    </row>
    <row r="500" spans="1:25" x14ac:dyDescent="0.25">
      <c r="A500">
        <f t="shared" si="55"/>
        <v>493</v>
      </c>
      <c r="B500" s="88" t="str">
        <f>IF(OR(B499="Total",B499=""),"",IF(VLOOKUP(A500,Journal!$B$7:$E$84,4)=0,"Total",VLOOKUP(A500,Journal!$B$7:$D$84,3)))</f>
        <v/>
      </c>
      <c r="C500" s="86" t="str">
        <f>IF(B500="","",VLOOKUP(A500,Journal!$B$7:$E$84,4))</f>
        <v/>
      </c>
      <c r="D500" s="114" t="str">
        <f>IF(B500="","",VLOOKUP(A500,Journal!$B$7:$J$84,9))</f>
        <v/>
      </c>
      <c r="E500" s="116"/>
      <c r="F500" s="116"/>
      <c r="G500" s="115"/>
      <c r="H500" s="84" t="str">
        <f>IF(B500="","",VLOOKUP(A500,Journal!$B$7:$L$84,11))</f>
        <v/>
      </c>
      <c r="I500" s="84" t="str">
        <f>IF(B500="","",VLOOKUP(A500,Journal!$B$7:$M$84,12))</f>
        <v/>
      </c>
      <c r="J500" s="105">
        <f>IF(B500="Total",SUM(J$8:J499)+0.0001,IF(OR(B500="",I$2=I500),0,VLOOKUP(A500,Journal!$B$7:M$84,8)))</f>
        <v>0</v>
      </c>
      <c r="K500" s="102">
        <f>IF(B500="Total",SUM(K$8:K499)+0.0001,IF(OR(B500="",J500&lt;&gt;0),0,VLOOKUP(A500,Journal!$B$7:M$84,8)))</f>
        <v>0</v>
      </c>
      <c r="L500" s="87">
        <f t="shared" si="49"/>
        <v>0</v>
      </c>
      <c r="P500">
        <f t="shared" si="52"/>
        <v>1.0000000000000001E-5</v>
      </c>
      <c r="R500" s="15">
        <f t="shared" si="53"/>
        <v>493</v>
      </c>
      <c r="S500" s="126">
        <f>IF(VLOOKUP(A500,Journal!$A$7:$E$70,5)=0,S499+1,VLOOKUP(A500,Journal!$A$7:$E$70,5))</f>
        <v>46150</v>
      </c>
      <c r="T500" s="125">
        <f>IF(H$2=VLOOKUP(A500,Journal!$A$7:$F$70,6),VLOOKUP(A500,Journal!$A$7:M$70,9),0)</f>
        <v>0</v>
      </c>
      <c r="U500" s="125">
        <f>IF(H$2=VLOOKUP(A500,Journal!$A$7:$G$70,7),VLOOKUP(A500,Journal!$A$7:M$70,9),0)</f>
        <v>0</v>
      </c>
      <c r="V500" s="125">
        <f t="shared" si="54"/>
        <v>40</v>
      </c>
      <c r="X500">
        <f t="shared" si="51"/>
        <v>0</v>
      </c>
      <c r="Y500" s="143">
        <f t="shared" si="50"/>
        <v>-987.10526315791526</v>
      </c>
    </row>
    <row r="501" spans="1:25" x14ac:dyDescent="0.25">
      <c r="A501">
        <f t="shared" si="55"/>
        <v>494</v>
      </c>
      <c r="B501" s="88" t="str">
        <f>IF(OR(B500="Total",B500=""),"",IF(VLOOKUP(A501,Journal!$B$7:$E$84,4)=0,"Total",VLOOKUP(A501,Journal!$B$7:$D$84,3)))</f>
        <v/>
      </c>
      <c r="C501" s="86" t="str">
        <f>IF(B501="","",VLOOKUP(A501,Journal!$B$7:$E$84,4))</f>
        <v/>
      </c>
      <c r="D501" s="114" t="str">
        <f>IF(B501="","",VLOOKUP(A501,Journal!$B$7:$J$84,9))</f>
        <v/>
      </c>
      <c r="E501" s="116"/>
      <c r="F501" s="116"/>
      <c r="G501" s="115"/>
      <c r="H501" s="84" t="str">
        <f>IF(B501="","",VLOOKUP(A501,Journal!$B$7:$L$84,11))</f>
        <v/>
      </c>
      <c r="I501" s="84" t="str">
        <f>IF(B501="","",VLOOKUP(A501,Journal!$B$7:$M$84,12))</f>
        <v/>
      </c>
      <c r="J501" s="105">
        <f>IF(B501="Total",SUM(J$8:J500)+0.0001,IF(OR(B501="",I$2=I501),0,VLOOKUP(A501,Journal!$B$7:M$84,8)))</f>
        <v>0</v>
      </c>
      <c r="K501" s="102">
        <f>IF(B501="Total",SUM(K$8:K500)+0.0001,IF(OR(B501="",J501&lt;&gt;0),0,VLOOKUP(A501,Journal!$B$7:M$84,8)))</f>
        <v>0</v>
      </c>
      <c r="L501" s="87">
        <f t="shared" si="49"/>
        <v>0</v>
      </c>
      <c r="P501">
        <f t="shared" si="52"/>
        <v>1.0000000000000001E-5</v>
      </c>
      <c r="R501" s="15">
        <f t="shared" si="53"/>
        <v>494</v>
      </c>
      <c r="S501" s="126">
        <f>IF(VLOOKUP(A501,Journal!$A$7:$E$70,5)=0,S500+1,VLOOKUP(A501,Journal!$A$7:$E$70,5))</f>
        <v>46151</v>
      </c>
      <c r="T501" s="125">
        <f>IF(H$2=VLOOKUP(A501,Journal!$A$7:$F$70,6),VLOOKUP(A501,Journal!$A$7:M$70,9),0)</f>
        <v>0</v>
      </c>
      <c r="U501" s="125">
        <f>IF(H$2=VLOOKUP(A501,Journal!$A$7:$G$70,7),VLOOKUP(A501,Journal!$A$7:M$70,9),0)</f>
        <v>0</v>
      </c>
      <c r="V501" s="125">
        <f t="shared" si="54"/>
        <v>40</v>
      </c>
      <c r="X501">
        <f t="shared" si="51"/>
        <v>0</v>
      </c>
      <c r="Y501" s="143">
        <f t="shared" si="50"/>
        <v>-987.07894736844162</v>
      </c>
    </row>
    <row r="502" spans="1:25" x14ac:dyDescent="0.25">
      <c r="A502">
        <f t="shared" si="55"/>
        <v>495</v>
      </c>
      <c r="B502" s="88" t="str">
        <f>IF(OR(B501="Total",B501=""),"",IF(VLOOKUP(A502,Journal!$B$7:$E$84,4)=0,"Total",VLOOKUP(A502,Journal!$B$7:$D$84,3)))</f>
        <v/>
      </c>
      <c r="C502" s="86" t="str">
        <f>IF(B502="","",VLOOKUP(A502,Journal!$B$7:$E$84,4))</f>
        <v/>
      </c>
      <c r="D502" s="114" t="str">
        <f>IF(B502="","",VLOOKUP(A502,Journal!$B$7:$J$84,9))</f>
        <v/>
      </c>
      <c r="E502" s="116"/>
      <c r="F502" s="116"/>
      <c r="G502" s="115"/>
      <c r="H502" s="84" t="str">
        <f>IF(B502="","",VLOOKUP(A502,Journal!$B$7:$L$84,11))</f>
        <v/>
      </c>
      <c r="I502" s="84" t="str">
        <f>IF(B502="","",VLOOKUP(A502,Journal!$B$7:$M$84,12))</f>
        <v/>
      </c>
      <c r="J502" s="105">
        <f>IF(B502="Total",SUM(J$8:J501)+0.0001,IF(OR(B502="",I$2=I502),0,VLOOKUP(A502,Journal!$B$7:M$84,8)))</f>
        <v>0</v>
      </c>
      <c r="K502" s="102">
        <f>IF(B502="Total",SUM(K$8:K501)+0.0001,IF(OR(B502="",J502&lt;&gt;0),0,VLOOKUP(A502,Journal!$B$7:M$84,8)))</f>
        <v>0</v>
      </c>
      <c r="L502" s="87">
        <f t="shared" si="49"/>
        <v>0</v>
      </c>
      <c r="P502">
        <f t="shared" si="52"/>
        <v>1.0000000000000001E-5</v>
      </c>
      <c r="R502" s="15">
        <f t="shared" si="53"/>
        <v>495</v>
      </c>
      <c r="S502" s="126">
        <f>IF(VLOOKUP(A502,Journal!$A$7:$E$70,5)=0,S501+1,VLOOKUP(A502,Journal!$A$7:$E$70,5))</f>
        <v>46152</v>
      </c>
      <c r="T502" s="125">
        <f>IF(H$2=VLOOKUP(A502,Journal!$A$7:$F$70,6),VLOOKUP(A502,Journal!$A$7:M$70,9),0)</f>
        <v>0</v>
      </c>
      <c r="U502" s="125">
        <f>IF(H$2=VLOOKUP(A502,Journal!$A$7:$G$70,7),VLOOKUP(A502,Journal!$A$7:M$70,9),0)</f>
        <v>0</v>
      </c>
      <c r="V502" s="125">
        <f t="shared" si="54"/>
        <v>40</v>
      </c>
      <c r="X502">
        <f t="shared" si="51"/>
        <v>0</v>
      </c>
      <c r="Y502" s="143">
        <f t="shared" si="50"/>
        <v>-987.05263157896798</v>
      </c>
    </row>
    <row r="503" spans="1:25" x14ac:dyDescent="0.25">
      <c r="A503">
        <f t="shared" si="55"/>
        <v>496</v>
      </c>
      <c r="B503" s="88" t="str">
        <f>IF(OR(B502="Total",B502=""),"",IF(VLOOKUP(A503,Journal!$B$7:$E$84,4)=0,"Total",VLOOKUP(A503,Journal!$B$7:$D$84,3)))</f>
        <v/>
      </c>
      <c r="C503" s="86" t="str">
        <f>IF(B503="","",VLOOKUP(A503,Journal!$B$7:$E$84,4))</f>
        <v/>
      </c>
      <c r="D503" s="114" t="str">
        <f>IF(B503="","",VLOOKUP(A503,Journal!$B$7:$J$84,9))</f>
        <v/>
      </c>
      <c r="E503" s="116"/>
      <c r="F503" s="116"/>
      <c r="G503" s="115"/>
      <c r="H503" s="84" t="str">
        <f>IF(B503="","",VLOOKUP(A503,Journal!$B$7:$L$84,11))</f>
        <v/>
      </c>
      <c r="I503" s="84" t="str">
        <f>IF(B503="","",VLOOKUP(A503,Journal!$B$7:$M$84,12))</f>
        <v/>
      </c>
      <c r="J503" s="105">
        <f>IF(B503="Total",SUM(J$8:J502)+0.0001,IF(OR(B503="",I$2=I503),0,VLOOKUP(A503,Journal!$B$7:M$84,8)))</f>
        <v>0</v>
      </c>
      <c r="K503" s="102">
        <f>IF(B503="Total",SUM(K$8:K502)+0.0001,IF(OR(B503="",J503&lt;&gt;0),0,VLOOKUP(A503,Journal!$B$7:M$84,8)))</f>
        <v>0</v>
      </c>
      <c r="L503" s="87">
        <f t="shared" si="49"/>
        <v>0</v>
      </c>
      <c r="P503">
        <f t="shared" si="52"/>
        <v>1.0000000000000001E-5</v>
      </c>
      <c r="R503" s="15">
        <f t="shared" si="53"/>
        <v>496</v>
      </c>
      <c r="S503" s="126">
        <f>IF(VLOOKUP(A503,Journal!$A$7:$E$70,5)=0,S502+1,VLOOKUP(A503,Journal!$A$7:$E$70,5))</f>
        <v>46153</v>
      </c>
      <c r="T503" s="125">
        <f>IF(H$2=VLOOKUP(A503,Journal!$A$7:$F$70,6),VLOOKUP(A503,Journal!$A$7:M$70,9),0)</f>
        <v>0</v>
      </c>
      <c r="U503" s="125">
        <f>IF(H$2=VLOOKUP(A503,Journal!$A$7:$G$70,7),VLOOKUP(A503,Journal!$A$7:M$70,9),0)</f>
        <v>0</v>
      </c>
      <c r="V503" s="125">
        <f t="shared" si="54"/>
        <v>40</v>
      </c>
      <c r="X503">
        <f t="shared" si="51"/>
        <v>0</v>
      </c>
      <c r="Y503" s="143">
        <f t="shared" si="50"/>
        <v>-987.02631578949433</v>
      </c>
    </row>
    <row r="504" spans="1:25" x14ac:dyDescent="0.25">
      <c r="A504">
        <f t="shared" si="55"/>
        <v>497</v>
      </c>
      <c r="B504" s="88" t="str">
        <f>IF(OR(B503="Total",B503=""),"",IF(VLOOKUP(A504,Journal!$B$7:$E$84,4)=0,"Total",VLOOKUP(A504,Journal!$B$7:$D$84,3)))</f>
        <v/>
      </c>
      <c r="C504" s="86" t="str">
        <f>IF(B504="","",VLOOKUP(A504,Journal!$B$7:$E$84,4))</f>
        <v/>
      </c>
      <c r="D504" s="114" t="str">
        <f>IF(B504="","",VLOOKUP(A504,Journal!$B$7:$J$84,9))</f>
        <v/>
      </c>
      <c r="E504" s="116"/>
      <c r="F504" s="116"/>
      <c r="G504" s="115"/>
      <c r="H504" s="84" t="str">
        <f>IF(B504="","",VLOOKUP(A504,Journal!$B$7:$L$84,11))</f>
        <v/>
      </c>
      <c r="I504" s="84" t="str">
        <f>IF(B504="","",VLOOKUP(A504,Journal!$B$7:$M$84,12))</f>
        <v/>
      </c>
      <c r="J504" s="105">
        <f>IF(B504="Total",SUM(J$8:J503)+0.0001,IF(OR(B504="",I$2=I504),0,VLOOKUP(A504,Journal!$B$7:M$84,8)))</f>
        <v>0</v>
      </c>
      <c r="K504" s="102">
        <f>IF(B504="Total",SUM(K$8:K503)+0.0001,IF(OR(B504="",J504&lt;&gt;0),0,VLOOKUP(A504,Journal!$B$7:M$84,8)))</f>
        <v>0</v>
      </c>
      <c r="L504" s="87">
        <f t="shared" si="49"/>
        <v>0</v>
      </c>
      <c r="P504">
        <f t="shared" si="52"/>
        <v>1.0000000000000001E-5</v>
      </c>
      <c r="R504" s="15">
        <f t="shared" si="53"/>
        <v>497</v>
      </c>
      <c r="S504" s="126">
        <f>IF(VLOOKUP(A504,Journal!$A$7:$E$70,5)=0,S503+1,VLOOKUP(A504,Journal!$A$7:$E$70,5))</f>
        <v>46154</v>
      </c>
      <c r="T504" s="125">
        <f>IF(H$2=VLOOKUP(A504,Journal!$A$7:$F$70,6),VLOOKUP(A504,Journal!$A$7:M$70,9),0)</f>
        <v>0</v>
      </c>
      <c r="U504" s="125">
        <f>IF(H$2=VLOOKUP(A504,Journal!$A$7:$G$70,7),VLOOKUP(A504,Journal!$A$7:M$70,9),0)</f>
        <v>0</v>
      </c>
      <c r="V504" s="125">
        <f t="shared" si="54"/>
        <v>40</v>
      </c>
      <c r="X504">
        <f t="shared" si="51"/>
        <v>0</v>
      </c>
      <c r="Y504" s="143">
        <f t="shared" si="50"/>
        <v>-987.00000000002069</v>
      </c>
    </row>
    <row r="505" spans="1:25" x14ac:dyDescent="0.25">
      <c r="A505">
        <f t="shared" si="55"/>
        <v>498</v>
      </c>
      <c r="B505" s="88" t="str">
        <f>IF(OR(B504="Total",B504=""),"",IF(VLOOKUP(A505,Journal!$B$7:$E$84,4)=0,"Total",VLOOKUP(A505,Journal!$B$7:$D$84,3)))</f>
        <v/>
      </c>
      <c r="C505" s="86" t="str">
        <f>IF(B505="","",VLOOKUP(A505,Journal!$B$7:$E$84,4))</f>
        <v/>
      </c>
      <c r="D505" s="114" t="str">
        <f>IF(B505="","",VLOOKUP(A505,Journal!$B$7:$J$84,9))</f>
        <v/>
      </c>
      <c r="E505" s="116"/>
      <c r="F505" s="116"/>
      <c r="G505" s="115"/>
      <c r="H505" s="84" t="str">
        <f>IF(B505="","",VLOOKUP(A505,Journal!$B$7:$L$84,11))</f>
        <v/>
      </c>
      <c r="I505" s="84" t="str">
        <f>IF(B505="","",VLOOKUP(A505,Journal!$B$7:$M$84,12))</f>
        <v/>
      </c>
      <c r="J505" s="105">
        <f>IF(B505="Total",SUM(J$8:J504)+0.0001,IF(OR(B505="",I$2=I505),0,VLOOKUP(A505,Journal!$B$7:M$84,8)))</f>
        <v>0</v>
      </c>
      <c r="K505" s="102">
        <f>IF(B505="Total",SUM(K$8:K504)+0.0001,IF(OR(B505="",J505&lt;&gt;0),0,VLOOKUP(A505,Journal!$B$7:M$84,8)))</f>
        <v>0</v>
      </c>
      <c r="L505" s="87">
        <f t="shared" si="49"/>
        <v>0</v>
      </c>
      <c r="P505">
        <f t="shared" si="52"/>
        <v>1.0000000000000001E-5</v>
      </c>
      <c r="R505" s="15">
        <f t="shared" si="53"/>
        <v>498</v>
      </c>
      <c r="S505" s="126">
        <f>IF(VLOOKUP(A505,Journal!$A$7:$E$70,5)=0,S504+1,VLOOKUP(A505,Journal!$A$7:$E$70,5))</f>
        <v>46155</v>
      </c>
      <c r="T505" s="125">
        <f>IF(H$2=VLOOKUP(A505,Journal!$A$7:$F$70,6),VLOOKUP(A505,Journal!$A$7:M$70,9),0)</f>
        <v>0</v>
      </c>
      <c r="U505" s="125">
        <f>IF(H$2=VLOOKUP(A505,Journal!$A$7:$G$70,7),VLOOKUP(A505,Journal!$A$7:M$70,9),0)</f>
        <v>0</v>
      </c>
      <c r="V505" s="125">
        <f t="shared" si="54"/>
        <v>40</v>
      </c>
      <c r="X505">
        <f t="shared" si="51"/>
        <v>0</v>
      </c>
      <c r="Y505" s="143">
        <f t="shared" si="50"/>
        <v>-986.97368421054705</v>
      </c>
    </row>
    <row r="506" spans="1:25" x14ac:dyDescent="0.25">
      <c r="A506">
        <f t="shared" si="55"/>
        <v>499</v>
      </c>
      <c r="B506" s="88" t="str">
        <f>IF(OR(B505="Total",B505=""),"",IF(VLOOKUP(A506,Journal!$B$7:$E$84,4)=0,"Total",VLOOKUP(A506,Journal!$B$7:$D$84,3)))</f>
        <v/>
      </c>
      <c r="C506" s="86" t="str">
        <f>IF(B506="","",VLOOKUP(A506,Journal!$B$7:$E$84,4))</f>
        <v/>
      </c>
      <c r="D506" s="114" t="str">
        <f>IF(B506="","",VLOOKUP(A506,Journal!$B$7:$J$84,9))</f>
        <v/>
      </c>
      <c r="E506" s="116"/>
      <c r="F506" s="116"/>
      <c r="G506" s="115"/>
      <c r="H506" s="84" t="str">
        <f>IF(B506="","",VLOOKUP(A506,Journal!$B$7:$L$84,11))</f>
        <v/>
      </c>
      <c r="I506" s="84" t="str">
        <f>IF(B506="","",VLOOKUP(A506,Journal!$B$7:$M$84,12))</f>
        <v/>
      </c>
      <c r="J506" s="105">
        <f>IF(B506="Total",SUM(J$8:J505)+0.0001,IF(OR(B506="",I$2=I506),0,VLOOKUP(A506,Journal!$B$7:M$84,8)))</f>
        <v>0</v>
      </c>
      <c r="K506" s="102">
        <f>IF(B506="Total",SUM(K$8:K505)+0.0001,IF(OR(B506="",J506&lt;&gt;0),0,VLOOKUP(A506,Journal!$B$7:M$84,8)))</f>
        <v>0</v>
      </c>
      <c r="L506" s="87">
        <f t="shared" si="49"/>
        <v>0</v>
      </c>
      <c r="P506">
        <f t="shared" si="52"/>
        <v>1.0000000000000001E-5</v>
      </c>
      <c r="R506" s="15">
        <f t="shared" si="53"/>
        <v>499</v>
      </c>
      <c r="S506" s="126">
        <f>IF(VLOOKUP(A506,Journal!$A$7:$E$70,5)=0,S505+1,VLOOKUP(A506,Journal!$A$7:$E$70,5))</f>
        <v>46156</v>
      </c>
      <c r="T506" s="125">
        <f>IF(H$2=VLOOKUP(A506,Journal!$A$7:$F$70,6),VLOOKUP(A506,Journal!$A$7:M$70,9),0)</f>
        <v>0</v>
      </c>
      <c r="U506" s="125">
        <f>IF(H$2=VLOOKUP(A506,Journal!$A$7:$G$70,7),VLOOKUP(A506,Journal!$A$7:M$70,9),0)</f>
        <v>0</v>
      </c>
      <c r="V506" s="125">
        <f t="shared" si="54"/>
        <v>40</v>
      </c>
      <c r="X506">
        <f t="shared" si="51"/>
        <v>0</v>
      </c>
      <c r="Y506" s="143">
        <f t="shared" si="50"/>
        <v>-986.94736842107341</v>
      </c>
    </row>
    <row r="507" spans="1:25" x14ac:dyDescent="0.25">
      <c r="A507">
        <f t="shared" si="55"/>
        <v>500</v>
      </c>
      <c r="B507" s="88" t="str">
        <f>IF(OR(B506="Total",B506=""),"",IF(VLOOKUP(A507,Journal!$B$7:$E$84,4)=0,"Total",VLOOKUP(A507,Journal!$B$7:$D$84,3)))</f>
        <v/>
      </c>
      <c r="C507" s="86" t="str">
        <f>IF(B507="","",VLOOKUP(A507,Journal!$B$7:$E$84,4))</f>
        <v/>
      </c>
      <c r="D507" s="114" t="str">
        <f>IF(B507="","",VLOOKUP(A507,Journal!$B$7:$J$84,9))</f>
        <v/>
      </c>
      <c r="E507" s="116"/>
      <c r="F507" s="116"/>
      <c r="G507" s="115"/>
      <c r="H507" s="84" t="str">
        <f>IF(B507="","",VLOOKUP(A507,Journal!$B$7:$L$84,11))</f>
        <v/>
      </c>
      <c r="I507" s="84" t="str">
        <f>IF(B507="","",VLOOKUP(A507,Journal!$B$7:$M$84,12))</f>
        <v/>
      </c>
      <c r="J507" s="105">
        <f>IF(B507="Total",SUM(J$8:J506)+0.0001,IF(OR(B507="",I$2=I507),0,VLOOKUP(A507,Journal!$B$7:M$84,8)))</f>
        <v>0</v>
      </c>
      <c r="K507" s="102">
        <f>IF(B507="Total",SUM(K$8:K506)+0.0001,IF(OR(B507="",J507&lt;&gt;0),0,VLOOKUP(A507,Journal!$B$7:M$84,8)))</f>
        <v>0</v>
      </c>
      <c r="L507" s="87">
        <f t="shared" si="49"/>
        <v>0</v>
      </c>
      <c r="P507">
        <f t="shared" si="52"/>
        <v>1.0000000000000001E-5</v>
      </c>
      <c r="R507" s="15">
        <f t="shared" si="53"/>
        <v>500</v>
      </c>
      <c r="S507" s="126">
        <f>IF(VLOOKUP(A507,Journal!$A$7:$E$70,5)=0,S506+1,VLOOKUP(A507,Journal!$A$7:$E$70,5))</f>
        <v>46157</v>
      </c>
      <c r="T507" s="125">
        <f>IF(H$2=VLOOKUP(A507,Journal!$A$7:$F$70,6),VLOOKUP(A507,Journal!$A$7:M$70,9),0)</f>
        <v>0</v>
      </c>
      <c r="U507" s="125">
        <f>IF(H$2=VLOOKUP(A507,Journal!$A$7:$G$70,7),VLOOKUP(A507,Journal!$A$7:M$70,9),0)</f>
        <v>0</v>
      </c>
      <c r="V507" s="125">
        <f t="shared" si="54"/>
        <v>40</v>
      </c>
      <c r="X507">
        <f t="shared" si="51"/>
        <v>0</v>
      </c>
      <c r="Y507" s="143">
        <f t="shared" si="50"/>
        <v>-986.92105263159976</v>
      </c>
    </row>
    <row r="508" spans="1:25" x14ac:dyDescent="0.25">
      <c r="A508">
        <f t="shared" si="55"/>
        <v>501</v>
      </c>
      <c r="B508" s="88" t="str">
        <f>IF(OR(B507="Total",B507=""),"",IF(VLOOKUP(A508,Journal!$B$7:$E$84,4)=0,"Total",VLOOKUP(A508,Journal!$B$7:$D$84,3)))</f>
        <v/>
      </c>
      <c r="C508" s="86" t="str">
        <f>IF(B508="","",VLOOKUP(A508,Journal!$B$7:$E$84,4))</f>
        <v/>
      </c>
      <c r="D508" s="114" t="str">
        <f>IF(B508="","",VLOOKUP(A508,Journal!$B$7:$J$84,9))</f>
        <v/>
      </c>
      <c r="E508" s="116"/>
      <c r="F508" s="116"/>
      <c r="G508" s="115"/>
      <c r="H508" s="84" t="str">
        <f>IF(B508="","",VLOOKUP(A508,Journal!$B$7:$L$84,11))</f>
        <v/>
      </c>
      <c r="I508" s="84" t="str">
        <f>IF(B508="","",VLOOKUP(A508,Journal!$B$7:$M$84,12))</f>
        <v/>
      </c>
      <c r="J508" s="105">
        <f>IF(B508="Total",SUM(J$8:J507)+0.0001,IF(OR(B508="",I$2=I508),0,VLOOKUP(A508,Journal!$B$7:M$84,8)))</f>
        <v>0</v>
      </c>
      <c r="K508" s="102">
        <f>IF(B508="Total",SUM(K$8:K507)+0.0001,IF(OR(B508="",J508&lt;&gt;0),0,VLOOKUP(A508,Journal!$B$7:M$84,8)))</f>
        <v>0</v>
      </c>
      <c r="L508" s="87">
        <f t="shared" si="49"/>
        <v>0</v>
      </c>
      <c r="P508">
        <f t="shared" si="52"/>
        <v>1.0000000000000001E-5</v>
      </c>
      <c r="R508" s="15">
        <f t="shared" si="53"/>
        <v>501</v>
      </c>
      <c r="S508" s="126">
        <f>IF(VLOOKUP(A508,Journal!$A$7:$E$70,5)=0,S507+1,VLOOKUP(A508,Journal!$A$7:$E$70,5))</f>
        <v>46158</v>
      </c>
      <c r="T508" s="125">
        <f>IF(H$2=VLOOKUP(A508,Journal!$A$7:$F$70,6),VLOOKUP(A508,Journal!$A$7:M$70,9),0)</f>
        <v>0</v>
      </c>
      <c r="U508" s="125">
        <f>IF(H$2=VLOOKUP(A508,Journal!$A$7:$G$70,7),VLOOKUP(A508,Journal!$A$7:M$70,9),0)</f>
        <v>0</v>
      </c>
      <c r="V508" s="125">
        <f t="shared" si="54"/>
        <v>40</v>
      </c>
      <c r="X508">
        <f t="shared" si="51"/>
        <v>0</v>
      </c>
      <c r="Y508" s="143">
        <f t="shared" si="50"/>
        <v>-986.89473684212612</v>
      </c>
    </row>
    <row r="509" spans="1:25" x14ac:dyDescent="0.25">
      <c r="A509">
        <f t="shared" si="55"/>
        <v>502</v>
      </c>
      <c r="B509" s="88" t="str">
        <f>IF(OR(B508="Total",B508=""),"",IF(VLOOKUP(A509,Journal!$B$7:$E$84,4)=0,"Total",VLOOKUP(A509,Journal!$B$7:$D$84,3)))</f>
        <v/>
      </c>
      <c r="C509" s="86" t="str">
        <f>IF(B509="","",VLOOKUP(A509,Journal!$B$7:$E$84,4))</f>
        <v/>
      </c>
      <c r="D509" s="114" t="str">
        <f>IF(B509="","",VLOOKUP(A509,Journal!$B$7:$J$84,9))</f>
        <v/>
      </c>
      <c r="E509" s="116"/>
      <c r="F509" s="116"/>
      <c r="G509" s="115"/>
      <c r="H509" s="84" t="str">
        <f>IF(B509="","",VLOOKUP(A509,Journal!$B$7:$L$84,11))</f>
        <v/>
      </c>
      <c r="I509" s="84" t="str">
        <f>IF(B509="","",VLOOKUP(A509,Journal!$B$7:$M$84,12))</f>
        <v/>
      </c>
      <c r="J509" s="105">
        <f>IF(B509="Total",SUM(J$8:J508)+0.0001,IF(OR(B509="",I$2=I509),0,VLOOKUP(A509,Journal!$B$7:M$84,8)))</f>
        <v>0</v>
      </c>
      <c r="K509" s="102">
        <f>IF(B509="Total",SUM(K$8:K508)+0.0001,IF(OR(B509="",J509&lt;&gt;0),0,VLOOKUP(A509,Journal!$B$7:M$84,8)))</f>
        <v>0</v>
      </c>
      <c r="L509" s="87">
        <f t="shared" si="49"/>
        <v>0</v>
      </c>
      <c r="P509">
        <f t="shared" si="52"/>
        <v>1.0000000000000001E-5</v>
      </c>
      <c r="R509" s="15">
        <f t="shared" si="53"/>
        <v>502</v>
      </c>
      <c r="S509" s="126">
        <f>IF(VLOOKUP(A509,Journal!$A$7:$E$70,5)=0,S508+1,VLOOKUP(A509,Journal!$A$7:$E$70,5))</f>
        <v>46159</v>
      </c>
      <c r="T509" s="125">
        <f>IF(H$2=VLOOKUP(A509,Journal!$A$7:$F$70,6),VLOOKUP(A509,Journal!$A$7:M$70,9),0)</f>
        <v>0</v>
      </c>
      <c r="U509" s="125">
        <f>IF(H$2=VLOOKUP(A509,Journal!$A$7:$G$70,7),VLOOKUP(A509,Journal!$A$7:M$70,9),0)</f>
        <v>0</v>
      </c>
      <c r="V509" s="125">
        <f t="shared" si="54"/>
        <v>40</v>
      </c>
      <c r="X509">
        <f t="shared" si="51"/>
        <v>0</v>
      </c>
      <c r="Y509" s="143">
        <f t="shared" si="50"/>
        <v>-986.86842105265248</v>
      </c>
    </row>
    <row r="510" spans="1:25" x14ac:dyDescent="0.25">
      <c r="A510">
        <f t="shared" si="55"/>
        <v>503</v>
      </c>
      <c r="B510" s="88" t="str">
        <f>IF(OR(B509="Total",B509=""),"",IF(VLOOKUP(A510,Journal!$B$7:$E$84,4)=0,"Total",VLOOKUP(A510,Journal!$B$7:$D$84,3)))</f>
        <v/>
      </c>
      <c r="C510" s="86" t="str">
        <f>IF(B510="","",VLOOKUP(A510,Journal!$B$7:$E$84,4))</f>
        <v/>
      </c>
      <c r="D510" s="114" t="str">
        <f>IF(B510="","",VLOOKUP(A510,Journal!$B$7:$J$84,9))</f>
        <v/>
      </c>
      <c r="E510" s="116"/>
      <c r="F510" s="116"/>
      <c r="G510" s="115"/>
      <c r="H510" s="84" t="str">
        <f>IF(B510="","",VLOOKUP(A510,Journal!$B$7:$L$84,11))</f>
        <v/>
      </c>
      <c r="I510" s="84" t="str">
        <f>IF(B510="","",VLOOKUP(A510,Journal!$B$7:$M$84,12))</f>
        <v/>
      </c>
      <c r="J510" s="105">
        <f>IF(B510="Total",SUM(J$8:J509)+0.0001,IF(OR(B510="",I$2=I510),0,VLOOKUP(A510,Journal!$B$7:M$84,8)))</f>
        <v>0</v>
      </c>
      <c r="K510" s="102">
        <f>IF(B510="Total",SUM(K$8:K509)+0.0001,IF(OR(B510="",J510&lt;&gt;0),0,VLOOKUP(A510,Journal!$B$7:M$84,8)))</f>
        <v>0</v>
      </c>
      <c r="L510" s="87">
        <f t="shared" si="49"/>
        <v>0</v>
      </c>
      <c r="P510">
        <f t="shared" si="52"/>
        <v>1.0000000000000001E-5</v>
      </c>
      <c r="R510" s="15">
        <f t="shared" si="53"/>
        <v>503</v>
      </c>
      <c r="S510" s="126">
        <f>IF(VLOOKUP(A510,Journal!$A$7:$E$70,5)=0,S509+1,VLOOKUP(A510,Journal!$A$7:$E$70,5))</f>
        <v>46160</v>
      </c>
      <c r="T510" s="125">
        <f>IF(H$2=VLOOKUP(A510,Journal!$A$7:$F$70,6),VLOOKUP(A510,Journal!$A$7:M$70,9),0)</f>
        <v>0</v>
      </c>
      <c r="U510" s="125">
        <f>IF(H$2=VLOOKUP(A510,Journal!$A$7:$G$70,7),VLOOKUP(A510,Journal!$A$7:M$70,9),0)</f>
        <v>0</v>
      </c>
      <c r="V510" s="125">
        <f t="shared" si="54"/>
        <v>40</v>
      </c>
      <c r="X510">
        <f t="shared" si="51"/>
        <v>0</v>
      </c>
      <c r="Y510" s="143">
        <f t="shared" si="50"/>
        <v>-986.84210526317884</v>
      </c>
    </row>
    <row r="511" spans="1:25" x14ac:dyDescent="0.25">
      <c r="A511">
        <f t="shared" si="55"/>
        <v>504</v>
      </c>
      <c r="B511" s="88" t="str">
        <f>IF(OR(B510="Total",B510=""),"",IF(VLOOKUP(A511,Journal!$B$7:$E$84,4)=0,"Total",VLOOKUP(A511,Journal!$B$7:$D$84,3)))</f>
        <v/>
      </c>
      <c r="C511" s="86" t="str">
        <f>IF(B511="","",VLOOKUP(A511,Journal!$B$7:$E$84,4))</f>
        <v/>
      </c>
      <c r="D511" s="114" t="str">
        <f>IF(B511="","",VLOOKUP(A511,Journal!$B$7:$J$84,9))</f>
        <v/>
      </c>
      <c r="E511" s="116"/>
      <c r="F511" s="116"/>
      <c r="G511" s="115"/>
      <c r="H511" s="84" t="str">
        <f>IF(B511="","",VLOOKUP(A511,Journal!$B$7:$L$84,11))</f>
        <v/>
      </c>
      <c r="I511" s="84" t="str">
        <f>IF(B511="","",VLOOKUP(A511,Journal!$B$7:$M$84,12))</f>
        <v/>
      </c>
      <c r="J511" s="105">
        <f>IF(B511="Total",SUM(J$8:J510)+0.0001,IF(OR(B511="",I$2=I511),0,VLOOKUP(A511,Journal!$B$7:M$84,8)))</f>
        <v>0</v>
      </c>
      <c r="K511" s="102">
        <f>IF(B511="Total",SUM(K$8:K510)+0.0001,IF(OR(B511="",J511&lt;&gt;0),0,VLOOKUP(A511,Journal!$B$7:M$84,8)))</f>
        <v>0</v>
      </c>
      <c r="L511" s="87">
        <f t="shared" si="49"/>
        <v>0</v>
      </c>
      <c r="P511">
        <f t="shared" si="52"/>
        <v>1.0000000000000001E-5</v>
      </c>
      <c r="R511" s="15">
        <f t="shared" si="53"/>
        <v>504</v>
      </c>
      <c r="S511" s="126">
        <f>IF(VLOOKUP(A511,Journal!$A$7:$E$70,5)=0,S510+1,VLOOKUP(A511,Journal!$A$7:$E$70,5))</f>
        <v>46161</v>
      </c>
      <c r="T511" s="125">
        <f>IF(H$2=VLOOKUP(A511,Journal!$A$7:$F$70,6),VLOOKUP(A511,Journal!$A$7:M$70,9),0)</f>
        <v>0</v>
      </c>
      <c r="U511" s="125">
        <f>IF(H$2=VLOOKUP(A511,Journal!$A$7:$G$70,7),VLOOKUP(A511,Journal!$A$7:M$70,9),0)</f>
        <v>0</v>
      </c>
      <c r="V511" s="125">
        <f t="shared" si="54"/>
        <v>40</v>
      </c>
      <c r="X511">
        <f t="shared" si="51"/>
        <v>0</v>
      </c>
      <c r="Y511" s="143">
        <f t="shared" si="50"/>
        <v>-986.81578947370519</v>
      </c>
    </row>
    <row r="512" spans="1:25" x14ac:dyDescent="0.25">
      <c r="A512">
        <f t="shared" si="55"/>
        <v>505</v>
      </c>
      <c r="B512" s="88" t="str">
        <f>IF(OR(B511="Total",B511=""),"",IF(VLOOKUP(A512,Journal!$B$7:$E$84,4)=0,"Total",VLOOKUP(A512,Journal!$B$7:$D$84,3)))</f>
        <v/>
      </c>
      <c r="C512" s="86" t="str">
        <f>IF(B512="","",VLOOKUP(A512,Journal!$B$7:$E$84,4))</f>
        <v/>
      </c>
      <c r="D512" s="114" t="str">
        <f>IF(B512="","",VLOOKUP(A512,Journal!$B$7:$J$84,9))</f>
        <v/>
      </c>
      <c r="E512" s="116"/>
      <c r="F512" s="116"/>
      <c r="G512" s="115"/>
      <c r="H512" s="84" t="str">
        <f>IF(B512="","",VLOOKUP(A512,Journal!$B$7:$L$84,11))</f>
        <v/>
      </c>
      <c r="I512" s="84" t="str">
        <f>IF(B512="","",VLOOKUP(A512,Journal!$B$7:$M$84,12))</f>
        <v/>
      </c>
      <c r="J512" s="105">
        <f>IF(B512="Total",SUM(J$8:J511)+0.0001,IF(OR(B512="",I$2=I512),0,VLOOKUP(A512,Journal!$B$7:M$84,8)))</f>
        <v>0</v>
      </c>
      <c r="K512" s="102">
        <f>IF(B512="Total",SUM(K$8:K511)+0.0001,IF(OR(B512="",J512&lt;&gt;0),0,VLOOKUP(A512,Journal!$B$7:M$84,8)))</f>
        <v>0</v>
      </c>
      <c r="L512" s="87">
        <f t="shared" si="49"/>
        <v>0</v>
      </c>
      <c r="P512">
        <f t="shared" si="52"/>
        <v>1.0000000000000001E-5</v>
      </c>
      <c r="R512" s="15">
        <f t="shared" si="53"/>
        <v>505</v>
      </c>
      <c r="S512" s="126">
        <f>IF(VLOOKUP(A512,Journal!$A$7:$E$70,5)=0,S511+1,VLOOKUP(A512,Journal!$A$7:$E$70,5))</f>
        <v>46162</v>
      </c>
      <c r="T512" s="125">
        <f>IF(H$2=VLOOKUP(A512,Journal!$A$7:$F$70,6),VLOOKUP(A512,Journal!$A$7:M$70,9),0)</f>
        <v>0</v>
      </c>
      <c r="U512" s="125">
        <f>IF(H$2=VLOOKUP(A512,Journal!$A$7:$G$70,7),VLOOKUP(A512,Journal!$A$7:M$70,9),0)</f>
        <v>0</v>
      </c>
      <c r="V512" s="125">
        <f t="shared" si="54"/>
        <v>40</v>
      </c>
      <c r="X512">
        <f t="shared" si="51"/>
        <v>0</v>
      </c>
      <c r="Y512" s="143">
        <f t="shared" si="50"/>
        <v>-986.78947368423155</v>
      </c>
    </row>
    <row r="513" spans="1:25" x14ac:dyDescent="0.25">
      <c r="A513">
        <f t="shared" si="55"/>
        <v>506</v>
      </c>
      <c r="B513" s="88" t="str">
        <f>IF(OR(B512="Total",B512=""),"",IF(VLOOKUP(A513,Journal!$B$7:$E$84,4)=0,"Total",VLOOKUP(A513,Journal!$B$7:$D$84,3)))</f>
        <v/>
      </c>
      <c r="C513" s="86" t="str">
        <f>IF(B513="","",VLOOKUP(A513,Journal!$B$7:$E$84,4))</f>
        <v/>
      </c>
      <c r="D513" s="114" t="str">
        <f>IF(B513="","",VLOOKUP(A513,Journal!$B$7:$J$84,9))</f>
        <v/>
      </c>
      <c r="E513" s="116"/>
      <c r="F513" s="116"/>
      <c r="G513" s="115"/>
      <c r="H513" s="84" t="str">
        <f>IF(B513="","",VLOOKUP(A513,Journal!$B$7:$L$84,11))</f>
        <v/>
      </c>
      <c r="I513" s="84" t="str">
        <f>IF(B513="","",VLOOKUP(A513,Journal!$B$7:$M$84,12))</f>
        <v/>
      </c>
      <c r="J513" s="105">
        <f>IF(B513="Total",SUM(J$8:J512)+0.0001,IF(OR(B513="",I$2=I513),0,VLOOKUP(A513,Journal!$B$7:M$84,8)))</f>
        <v>0</v>
      </c>
      <c r="K513" s="102">
        <f>IF(B513="Total",SUM(K$8:K512)+0.0001,IF(OR(B513="",J513&lt;&gt;0),0,VLOOKUP(A513,Journal!$B$7:M$84,8)))</f>
        <v>0</v>
      </c>
      <c r="L513" s="87">
        <f t="shared" si="49"/>
        <v>0</v>
      </c>
      <c r="P513">
        <f t="shared" si="52"/>
        <v>1.0000000000000001E-5</v>
      </c>
      <c r="R513" s="15">
        <f t="shared" si="53"/>
        <v>506</v>
      </c>
      <c r="S513" s="126">
        <f>IF(VLOOKUP(A513,Journal!$A$7:$E$70,5)=0,S512+1,VLOOKUP(A513,Journal!$A$7:$E$70,5))</f>
        <v>46163</v>
      </c>
      <c r="T513" s="125">
        <f>IF(H$2=VLOOKUP(A513,Journal!$A$7:$F$70,6),VLOOKUP(A513,Journal!$A$7:M$70,9),0)</f>
        <v>0</v>
      </c>
      <c r="U513" s="125">
        <f>IF(H$2=VLOOKUP(A513,Journal!$A$7:$G$70,7),VLOOKUP(A513,Journal!$A$7:M$70,9),0)</f>
        <v>0</v>
      </c>
      <c r="V513" s="125">
        <f t="shared" si="54"/>
        <v>40</v>
      </c>
      <c r="X513">
        <f t="shared" si="51"/>
        <v>0</v>
      </c>
      <c r="Y513" s="143">
        <f t="shared" si="50"/>
        <v>-986.76315789475791</v>
      </c>
    </row>
    <row r="514" spans="1:25" x14ac:dyDescent="0.25">
      <c r="A514">
        <f t="shared" si="55"/>
        <v>507</v>
      </c>
      <c r="B514" s="88" t="str">
        <f>IF(OR(B513="Total",B513=""),"",IF(VLOOKUP(A514,Journal!$B$7:$E$84,4)=0,"Total",VLOOKUP(A514,Journal!$B$7:$D$84,3)))</f>
        <v/>
      </c>
      <c r="C514" s="86" t="str">
        <f>IF(B514="","",VLOOKUP(A514,Journal!$B$7:$E$84,4))</f>
        <v/>
      </c>
      <c r="D514" s="114" t="str">
        <f>IF(B514="","",VLOOKUP(A514,Journal!$B$7:$J$84,9))</f>
        <v/>
      </c>
      <c r="E514" s="116"/>
      <c r="F514" s="116"/>
      <c r="G514" s="115"/>
      <c r="H514" s="84" t="str">
        <f>IF(B514="","",VLOOKUP(A514,Journal!$B$7:$L$84,11))</f>
        <v/>
      </c>
      <c r="I514" s="84" t="str">
        <f>IF(B514="","",VLOOKUP(A514,Journal!$B$7:$M$84,12))</f>
        <v/>
      </c>
      <c r="J514" s="105">
        <f>IF(B514="Total",SUM(J$8:J513)+0.0001,IF(OR(B514="",I$2=I514),0,VLOOKUP(A514,Journal!$B$7:M$84,8)))</f>
        <v>0</v>
      </c>
      <c r="K514" s="102">
        <f>IF(B514="Total",SUM(K$8:K513)+0.0001,IF(OR(B514="",J514&lt;&gt;0),0,VLOOKUP(A514,Journal!$B$7:M$84,8)))</f>
        <v>0</v>
      </c>
      <c r="L514" s="87">
        <f t="shared" si="49"/>
        <v>0</v>
      </c>
      <c r="P514">
        <f t="shared" si="52"/>
        <v>1.0000000000000001E-5</v>
      </c>
      <c r="R514" s="15">
        <f t="shared" si="53"/>
        <v>507</v>
      </c>
      <c r="S514" s="126">
        <f>IF(VLOOKUP(A514,Journal!$A$7:$E$70,5)=0,S513+1,VLOOKUP(A514,Journal!$A$7:$E$70,5))</f>
        <v>46164</v>
      </c>
      <c r="T514" s="125">
        <f>IF(H$2=VLOOKUP(A514,Journal!$A$7:$F$70,6),VLOOKUP(A514,Journal!$A$7:M$70,9),0)</f>
        <v>0</v>
      </c>
      <c r="U514" s="125">
        <f>IF(H$2=VLOOKUP(A514,Journal!$A$7:$G$70,7),VLOOKUP(A514,Journal!$A$7:M$70,9),0)</f>
        <v>0</v>
      </c>
      <c r="V514" s="125">
        <f t="shared" si="54"/>
        <v>40</v>
      </c>
      <c r="X514">
        <f t="shared" si="51"/>
        <v>0</v>
      </c>
      <c r="Y514" s="143">
        <f t="shared" si="50"/>
        <v>-986.73684210528427</v>
      </c>
    </row>
    <row r="515" spans="1:25" x14ac:dyDescent="0.25">
      <c r="A515">
        <f t="shared" si="55"/>
        <v>508</v>
      </c>
      <c r="B515" s="88" t="str">
        <f>IF(OR(B514="Total",B514=""),"",IF(VLOOKUP(A515,Journal!$B$7:$E$84,4)=0,"Total",VLOOKUP(A515,Journal!$B$7:$D$84,3)))</f>
        <v/>
      </c>
      <c r="C515" s="86" t="str">
        <f>IF(B515="","",VLOOKUP(A515,Journal!$B$7:$E$84,4))</f>
        <v/>
      </c>
      <c r="D515" s="114" t="str">
        <f>IF(B515="","",VLOOKUP(A515,Journal!$B$7:$J$84,9))</f>
        <v/>
      </c>
      <c r="E515" s="116"/>
      <c r="F515" s="116"/>
      <c r="G515" s="115"/>
      <c r="H515" s="84" t="str">
        <f>IF(B515="","",VLOOKUP(A515,Journal!$B$7:$L$84,11))</f>
        <v/>
      </c>
      <c r="I515" s="84" t="str">
        <f>IF(B515="","",VLOOKUP(A515,Journal!$B$7:$M$84,12))</f>
        <v/>
      </c>
      <c r="J515" s="105">
        <f>IF(B515="Total",SUM(J$8:J514)+0.0001,IF(OR(B515="",I$2=I515),0,VLOOKUP(A515,Journal!$B$7:M$84,8)))</f>
        <v>0</v>
      </c>
      <c r="K515" s="102">
        <f>IF(B515="Total",SUM(K$8:K514)+0.0001,IF(OR(B515="",J515&lt;&gt;0),0,VLOOKUP(A515,Journal!$B$7:M$84,8)))</f>
        <v>0</v>
      </c>
      <c r="L515" s="87">
        <f t="shared" si="49"/>
        <v>0</v>
      </c>
      <c r="P515">
        <f t="shared" si="52"/>
        <v>1.0000000000000001E-5</v>
      </c>
      <c r="R515" s="15">
        <f t="shared" si="53"/>
        <v>508</v>
      </c>
      <c r="S515" s="126">
        <f>IF(VLOOKUP(A515,Journal!$A$7:$E$70,5)=0,S514+1,VLOOKUP(A515,Journal!$A$7:$E$70,5))</f>
        <v>46165</v>
      </c>
      <c r="T515" s="125">
        <f>IF(H$2=VLOOKUP(A515,Journal!$A$7:$F$70,6),VLOOKUP(A515,Journal!$A$7:M$70,9),0)</f>
        <v>0</v>
      </c>
      <c r="U515" s="125">
        <f>IF(H$2=VLOOKUP(A515,Journal!$A$7:$G$70,7),VLOOKUP(A515,Journal!$A$7:M$70,9),0)</f>
        <v>0</v>
      </c>
      <c r="V515" s="125">
        <f t="shared" si="54"/>
        <v>40</v>
      </c>
      <c r="X515">
        <f t="shared" si="51"/>
        <v>0</v>
      </c>
      <c r="Y515" s="143">
        <f t="shared" si="50"/>
        <v>-986.71052631581063</v>
      </c>
    </row>
    <row r="516" spans="1:25" x14ac:dyDescent="0.25">
      <c r="A516">
        <f t="shared" si="55"/>
        <v>509</v>
      </c>
      <c r="B516" s="88" t="str">
        <f>IF(OR(B515="Total",B515=""),"",IF(VLOOKUP(A516,Journal!$B$7:$E$84,4)=0,"Total",VLOOKUP(A516,Journal!$B$7:$D$84,3)))</f>
        <v/>
      </c>
      <c r="C516" s="86" t="str">
        <f>IF(B516="","",VLOOKUP(A516,Journal!$B$7:$E$84,4))</f>
        <v/>
      </c>
      <c r="D516" s="114" t="str">
        <f>IF(B516="","",VLOOKUP(A516,Journal!$B$7:$J$84,9))</f>
        <v/>
      </c>
      <c r="E516" s="116"/>
      <c r="F516" s="116"/>
      <c r="G516" s="115"/>
      <c r="H516" s="84" t="str">
        <f>IF(B516="","",VLOOKUP(A516,Journal!$B$7:$L$84,11))</f>
        <v/>
      </c>
      <c r="I516" s="84" t="str">
        <f>IF(B516="","",VLOOKUP(A516,Journal!$B$7:$M$84,12))</f>
        <v/>
      </c>
      <c r="J516" s="105">
        <f>IF(B516="Total",SUM(J$8:J515)+0.0001,IF(OR(B516="",I$2=I516),0,VLOOKUP(A516,Journal!$B$7:M$84,8)))</f>
        <v>0</v>
      </c>
      <c r="K516" s="102">
        <f>IF(B516="Total",SUM(K$8:K515)+0.0001,IF(OR(B516="",J516&lt;&gt;0),0,VLOOKUP(A516,Journal!$B$7:M$84,8)))</f>
        <v>0</v>
      </c>
      <c r="L516" s="87">
        <f t="shared" si="49"/>
        <v>0</v>
      </c>
      <c r="P516">
        <f t="shared" si="52"/>
        <v>1.0000000000000001E-5</v>
      </c>
      <c r="R516" s="15">
        <f t="shared" si="53"/>
        <v>509</v>
      </c>
      <c r="S516" s="126">
        <f>IF(VLOOKUP(A516,Journal!$A$7:$E$70,5)=0,S515+1,VLOOKUP(A516,Journal!$A$7:$E$70,5))</f>
        <v>46166</v>
      </c>
      <c r="T516" s="125">
        <f>IF(H$2=VLOOKUP(A516,Journal!$A$7:$F$70,6),VLOOKUP(A516,Journal!$A$7:M$70,9),0)</f>
        <v>0</v>
      </c>
      <c r="U516" s="125">
        <f>IF(H$2=VLOOKUP(A516,Journal!$A$7:$G$70,7),VLOOKUP(A516,Journal!$A$7:M$70,9),0)</f>
        <v>0</v>
      </c>
      <c r="V516" s="125">
        <f t="shared" si="54"/>
        <v>40</v>
      </c>
      <c r="X516">
        <f t="shared" si="51"/>
        <v>0</v>
      </c>
      <c r="Y516" s="143">
        <f t="shared" si="50"/>
        <v>-986.68421052633698</v>
      </c>
    </row>
    <row r="517" spans="1:25" x14ac:dyDescent="0.25">
      <c r="A517">
        <f t="shared" si="55"/>
        <v>510</v>
      </c>
      <c r="B517" s="88" t="str">
        <f>IF(OR(B516="Total",B516=""),"",IF(VLOOKUP(A517,Journal!$B$7:$E$84,4)=0,"Total",VLOOKUP(A517,Journal!$B$7:$D$84,3)))</f>
        <v/>
      </c>
      <c r="C517" s="86" t="str">
        <f>IF(B517="","",VLOOKUP(A517,Journal!$B$7:$E$84,4))</f>
        <v/>
      </c>
      <c r="D517" s="114" t="str">
        <f>IF(B517="","",VLOOKUP(A517,Journal!$B$7:$J$84,9))</f>
        <v/>
      </c>
      <c r="E517" s="116"/>
      <c r="F517" s="116"/>
      <c r="G517" s="115"/>
      <c r="H517" s="84" t="str">
        <f>IF(B517="","",VLOOKUP(A517,Journal!$B$7:$L$84,11))</f>
        <v/>
      </c>
      <c r="I517" s="84" t="str">
        <f>IF(B517="","",VLOOKUP(A517,Journal!$B$7:$M$84,12))</f>
        <v/>
      </c>
      <c r="J517" s="105">
        <f>IF(B517="Total",SUM(J$8:J516)+0.0001,IF(OR(B517="",I$2=I517),0,VLOOKUP(A517,Journal!$B$7:M$84,8)))</f>
        <v>0</v>
      </c>
      <c r="K517" s="102">
        <f>IF(B517="Total",SUM(K$8:K516)+0.0001,IF(OR(B517="",J517&lt;&gt;0),0,VLOOKUP(A517,Journal!$B$7:M$84,8)))</f>
        <v>0</v>
      </c>
      <c r="L517" s="87">
        <f t="shared" si="49"/>
        <v>0</v>
      </c>
      <c r="P517">
        <f t="shared" si="52"/>
        <v>1.0000000000000001E-5</v>
      </c>
      <c r="R517" s="15">
        <f t="shared" si="53"/>
        <v>510</v>
      </c>
      <c r="S517" s="126">
        <f>IF(VLOOKUP(A517,Journal!$A$7:$E$70,5)=0,S516+1,VLOOKUP(A517,Journal!$A$7:$E$70,5))</f>
        <v>46167</v>
      </c>
      <c r="T517" s="125">
        <f>IF(H$2=VLOOKUP(A517,Journal!$A$7:$F$70,6),VLOOKUP(A517,Journal!$A$7:M$70,9),0)</f>
        <v>0</v>
      </c>
      <c r="U517" s="125">
        <f>IF(H$2=VLOOKUP(A517,Journal!$A$7:$G$70,7),VLOOKUP(A517,Journal!$A$7:M$70,9),0)</f>
        <v>0</v>
      </c>
      <c r="V517" s="125">
        <f t="shared" si="54"/>
        <v>40</v>
      </c>
      <c r="X517">
        <f t="shared" si="51"/>
        <v>0</v>
      </c>
      <c r="Y517" s="143">
        <f t="shared" si="50"/>
        <v>-986.65789473686334</v>
      </c>
    </row>
    <row r="518" spans="1:25" x14ac:dyDescent="0.25">
      <c r="A518">
        <f t="shared" si="55"/>
        <v>511</v>
      </c>
      <c r="B518" s="88" t="str">
        <f>IF(OR(B517="Total",B517=""),"",IF(VLOOKUP(A518,Journal!$B$7:$E$84,4)=0,"Total",VLOOKUP(A518,Journal!$B$7:$D$84,3)))</f>
        <v/>
      </c>
      <c r="C518" s="86" t="str">
        <f>IF(B518="","",VLOOKUP(A518,Journal!$B$7:$E$84,4))</f>
        <v/>
      </c>
      <c r="D518" s="114" t="str">
        <f>IF(B518="","",VLOOKUP(A518,Journal!$B$7:$J$84,9))</f>
        <v/>
      </c>
      <c r="E518" s="116"/>
      <c r="F518" s="116"/>
      <c r="G518" s="115"/>
      <c r="H518" s="84" t="str">
        <f>IF(B518="","",VLOOKUP(A518,Journal!$B$7:$L$84,11))</f>
        <v/>
      </c>
      <c r="I518" s="84" t="str">
        <f>IF(B518="","",VLOOKUP(A518,Journal!$B$7:$M$84,12))</f>
        <v/>
      </c>
      <c r="J518" s="105">
        <f>IF(B518="Total",SUM(J$8:J517)+0.0001,IF(OR(B518="",I$2=I518),0,VLOOKUP(A518,Journal!$B$7:M$84,8)))</f>
        <v>0</v>
      </c>
      <c r="K518" s="102">
        <f>IF(B518="Total",SUM(K$8:K517)+0.0001,IF(OR(B518="",J518&lt;&gt;0),0,VLOOKUP(A518,Journal!$B$7:M$84,8)))</f>
        <v>0</v>
      </c>
      <c r="L518" s="87">
        <f t="shared" si="49"/>
        <v>0</v>
      </c>
      <c r="P518">
        <f t="shared" si="52"/>
        <v>1.0000000000000001E-5</v>
      </c>
      <c r="R518" s="15">
        <f t="shared" si="53"/>
        <v>511</v>
      </c>
      <c r="S518" s="126">
        <f>IF(VLOOKUP(A518,Journal!$A$7:$E$70,5)=0,S517+1,VLOOKUP(A518,Journal!$A$7:$E$70,5))</f>
        <v>46168</v>
      </c>
      <c r="T518" s="125">
        <f>IF(H$2=VLOOKUP(A518,Journal!$A$7:$F$70,6),VLOOKUP(A518,Journal!$A$7:M$70,9),0)</f>
        <v>0</v>
      </c>
      <c r="U518" s="125">
        <f>IF(H$2=VLOOKUP(A518,Journal!$A$7:$G$70,7),VLOOKUP(A518,Journal!$A$7:M$70,9),0)</f>
        <v>0</v>
      </c>
      <c r="V518" s="125">
        <f t="shared" si="54"/>
        <v>40</v>
      </c>
      <c r="X518">
        <f t="shared" si="51"/>
        <v>0</v>
      </c>
      <c r="Y518" s="143">
        <f t="shared" si="50"/>
        <v>-986.6315789473897</v>
      </c>
    </row>
    <row r="519" spans="1:25" x14ac:dyDescent="0.25">
      <c r="A519">
        <f t="shared" si="55"/>
        <v>512</v>
      </c>
      <c r="B519" s="88" t="str">
        <f>IF(OR(B518="Total",B518=""),"",IF(VLOOKUP(A519,Journal!$B$7:$E$84,4)=0,"Total",VLOOKUP(A519,Journal!$B$7:$D$84,3)))</f>
        <v/>
      </c>
      <c r="C519" s="86" t="str">
        <f>IF(B519="","",VLOOKUP(A519,Journal!$B$7:$E$84,4))</f>
        <v/>
      </c>
      <c r="D519" s="114" t="str">
        <f>IF(B519="","",VLOOKUP(A519,Journal!$B$7:$J$84,9))</f>
        <v/>
      </c>
      <c r="E519" s="116"/>
      <c r="F519" s="116"/>
      <c r="G519" s="115"/>
      <c r="H519" s="84" t="str">
        <f>IF(B519="","",VLOOKUP(A519,Journal!$B$7:$L$84,11))</f>
        <v/>
      </c>
      <c r="I519" s="84" t="str">
        <f>IF(B519="","",VLOOKUP(A519,Journal!$B$7:$M$84,12))</f>
        <v/>
      </c>
      <c r="J519" s="105">
        <f>IF(B519="Total",SUM(J$8:J518)+0.0001,IF(OR(B519="",I$2=I519),0,VLOOKUP(A519,Journal!$B$7:M$84,8)))</f>
        <v>0</v>
      </c>
      <c r="K519" s="102">
        <f>IF(B519="Total",SUM(K$8:K518)+0.0001,IF(OR(B519="",J519&lt;&gt;0),0,VLOOKUP(A519,Journal!$B$7:M$84,8)))</f>
        <v>0</v>
      </c>
      <c r="L519" s="87">
        <f t="shared" si="49"/>
        <v>0</v>
      </c>
      <c r="P519">
        <f t="shared" si="52"/>
        <v>1.0000000000000001E-5</v>
      </c>
      <c r="R519" s="15">
        <f t="shared" si="53"/>
        <v>512</v>
      </c>
      <c r="S519" s="126">
        <f>IF(VLOOKUP(A519,Journal!$A$7:$E$70,5)=0,S518+1,VLOOKUP(A519,Journal!$A$7:$E$70,5))</f>
        <v>46169</v>
      </c>
      <c r="T519" s="125">
        <f>IF(H$2=VLOOKUP(A519,Journal!$A$7:$F$70,6),VLOOKUP(A519,Journal!$A$7:M$70,9),0)</f>
        <v>0</v>
      </c>
      <c r="U519" s="125">
        <f>IF(H$2=VLOOKUP(A519,Journal!$A$7:$G$70,7),VLOOKUP(A519,Journal!$A$7:M$70,9),0)</f>
        <v>0</v>
      </c>
      <c r="V519" s="125">
        <f t="shared" si="54"/>
        <v>40</v>
      </c>
      <c r="X519">
        <f t="shared" si="51"/>
        <v>0</v>
      </c>
      <c r="Y519" s="143">
        <f t="shared" si="50"/>
        <v>-986.60526315791606</v>
      </c>
    </row>
    <row r="520" spans="1:25" x14ac:dyDescent="0.25">
      <c r="A520">
        <f t="shared" si="55"/>
        <v>513</v>
      </c>
      <c r="B520" s="88" t="str">
        <f>IF(OR(B519="Total",B519=""),"",IF(VLOOKUP(A520,Journal!$B$7:$E$84,4)=0,"Total",VLOOKUP(A520,Journal!$B$7:$D$84,3)))</f>
        <v/>
      </c>
      <c r="C520" s="86" t="str">
        <f>IF(B520="","",VLOOKUP(A520,Journal!$B$7:$E$84,4))</f>
        <v/>
      </c>
      <c r="D520" s="114" t="str">
        <f>IF(B520="","",VLOOKUP(A520,Journal!$B$7:$J$84,9))</f>
        <v/>
      </c>
      <c r="E520" s="116"/>
      <c r="F520" s="116"/>
      <c r="G520" s="115"/>
      <c r="H520" s="84" t="str">
        <f>IF(B520="","",VLOOKUP(A520,Journal!$B$7:$L$84,11))</f>
        <v/>
      </c>
      <c r="I520" s="84" t="str">
        <f>IF(B520="","",VLOOKUP(A520,Journal!$B$7:$M$84,12))</f>
        <v/>
      </c>
      <c r="J520" s="105">
        <f>IF(B520="Total",SUM(J$8:J519)+0.0001,IF(OR(B520="",I$2=I520),0,VLOOKUP(A520,Journal!$B$7:M$84,8)))</f>
        <v>0</v>
      </c>
      <c r="K520" s="102">
        <f>IF(B520="Total",SUM(K$8:K519)+0.0001,IF(OR(B520="",J520&lt;&gt;0),0,VLOOKUP(A520,Journal!$B$7:M$84,8)))</f>
        <v>0</v>
      </c>
      <c r="L520" s="87">
        <f t="shared" ref="L520:L583" si="56">IF(B520="Total",L519,IF(B520="",0,IF($M$1=1,L519+J520-K520,L519-J520+K520)))</f>
        <v>0</v>
      </c>
      <c r="P520">
        <f t="shared" si="52"/>
        <v>1.0000000000000001E-5</v>
      </c>
      <c r="R520" s="15">
        <f t="shared" si="53"/>
        <v>513</v>
      </c>
      <c r="S520" s="126">
        <f>IF(VLOOKUP(A520,Journal!$A$7:$E$70,5)=0,S519+1,VLOOKUP(A520,Journal!$A$7:$E$70,5))</f>
        <v>46170</v>
      </c>
      <c r="T520" s="125">
        <f>IF(H$2=VLOOKUP(A520,Journal!$A$7:$F$70,6),VLOOKUP(A520,Journal!$A$7:M$70,9),0)</f>
        <v>0</v>
      </c>
      <c r="U520" s="125">
        <f>IF(H$2=VLOOKUP(A520,Journal!$A$7:$G$70,7),VLOOKUP(A520,Journal!$A$7:M$70,9),0)</f>
        <v>0</v>
      </c>
      <c r="V520" s="125">
        <f t="shared" si="54"/>
        <v>40</v>
      </c>
      <c r="X520">
        <f t="shared" si="51"/>
        <v>0</v>
      </c>
      <c r="Y520" s="143">
        <f t="shared" ref="Y520:Y583" si="57">IF(B519="Total",-1000,Y519+Y$4)</f>
        <v>-986.57894736844241</v>
      </c>
    </row>
    <row r="521" spans="1:25" x14ac:dyDescent="0.25">
      <c r="A521">
        <f t="shared" si="55"/>
        <v>514</v>
      </c>
      <c r="B521" s="88" t="str">
        <f>IF(OR(B520="Total",B520=""),"",IF(VLOOKUP(A521,Journal!$B$7:$E$84,4)=0,"Total",VLOOKUP(A521,Journal!$B$7:$D$84,3)))</f>
        <v/>
      </c>
      <c r="C521" s="86" t="str">
        <f>IF(B521="","",VLOOKUP(A521,Journal!$B$7:$E$84,4))</f>
        <v/>
      </c>
      <c r="D521" s="114" t="str">
        <f>IF(B521="","",VLOOKUP(A521,Journal!$B$7:$J$84,9))</f>
        <v/>
      </c>
      <c r="E521" s="116"/>
      <c r="F521" s="116"/>
      <c r="G521" s="115"/>
      <c r="H521" s="84" t="str">
        <f>IF(B521="","",VLOOKUP(A521,Journal!$B$7:$L$84,11))</f>
        <v/>
      </c>
      <c r="I521" s="84" t="str">
        <f>IF(B521="","",VLOOKUP(A521,Journal!$B$7:$M$84,12))</f>
        <v/>
      </c>
      <c r="J521" s="105">
        <f>IF(B521="Total",SUM(J$8:J520)+0.0001,IF(OR(B521="",I$2=I521),0,VLOOKUP(A521,Journal!$B$7:M$84,8)))</f>
        <v>0</v>
      </c>
      <c r="K521" s="102">
        <f>IF(B521="Total",SUM(K$8:K520)+0.0001,IF(OR(B521="",J521&lt;&gt;0),0,VLOOKUP(A521,Journal!$B$7:M$84,8)))</f>
        <v>0</v>
      </c>
      <c r="L521" s="87">
        <f t="shared" si="56"/>
        <v>0</v>
      </c>
      <c r="P521">
        <f t="shared" si="52"/>
        <v>1.0000000000000001E-5</v>
      </c>
      <c r="R521" s="15">
        <f t="shared" si="53"/>
        <v>514</v>
      </c>
      <c r="S521" s="126">
        <f>IF(VLOOKUP(A521,Journal!$A$7:$E$70,5)=0,S520+1,VLOOKUP(A521,Journal!$A$7:$E$70,5))</f>
        <v>46171</v>
      </c>
      <c r="T521" s="125">
        <f>IF(H$2=VLOOKUP(A521,Journal!$A$7:$F$70,6),VLOOKUP(A521,Journal!$A$7:M$70,9),0)</f>
        <v>0</v>
      </c>
      <c r="U521" s="125">
        <f>IF(H$2=VLOOKUP(A521,Journal!$A$7:$G$70,7),VLOOKUP(A521,Journal!$A$7:M$70,9),0)</f>
        <v>0</v>
      </c>
      <c r="V521" s="125">
        <f t="shared" si="54"/>
        <v>40</v>
      </c>
      <c r="X521">
        <f t="shared" ref="X521:X584" si="58">IF(J$2&gt;S521,1,0)</f>
        <v>0</v>
      </c>
      <c r="Y521" s="143">
        <f t="shared" si="57"/>
        <v>-986.55263157896877</v>
      </c>
    </row>
    <row r="522" spans="1:25" x14ac:dyDescent="0.25">
      <c r="A522">
        <f t="shared" si="55"/>
        <v>515</v>
      </c>
      <c r="B522" s="88" t="str">
        <f>IF(OR(B521="Total",B521=""),"",IF(VLOOKUP(A522,Journal!$B$7:$E$84,4)=0,"Total",VLOOKUP(A522,Journal!$B$7:$D$84,3)))</f>
        <v/>
      </c>
      <c r="C522" s="86" t="str">
        <f>IF(B522="","",VLOOKUP(A522,Journal!$B$7:$E$84,4))</f>
        <v/>
      </c>
      <c r="D522" s="114" t="str">
        <f>IF(B522="","",VLOOKUP(A522,Journal!$B$7:$J$84,9))</f>
        <v/>
      </c>
      <c r="E522" s="116"/>
      <c r="F522" s="116"/>
      <c r="G522" s="115"/>
      <c r="H522" s="84" t="str">
        <f>IF(B522="","",VLOOKUP(A522,Journal!$B$7:$L$84,11))</f>
        <v/>
      </c>
      <c r="I522" s="84" t="str">
        <f>IF(B522="","",VLOOKUP(A522,Journal!$B$7:$M$84,12))</f>
        <v/>
      </c>
      <c r="J522" s="105">
        <f>IF(B522="Total",SUM(J$8:J521)+0.0001,IF(OR(B522="",I$2=I522),0,VLOOKUP(A522,Journal!$B$7:M$84,8)))</f>
        <v>0</v>
      </c>
      <c r="K522" s="102">
        <f>IF(B522="Total",SUM(K$8:K521)+0.0001,IF(OR(B522="",J522&lt;&gt;0),0,VLOOKUP(A522,Journal!$B$7:M$84,8)))</f>
        <v>0</v>
      </c>
      <c r="L522" s="87">
        <f t="shared" si="56"/>
        <v>0</v>
      </c>
      <c r="P522">
        <f t="shared" ref="P522:P585" si="59">IF(L521=L522,L521+0.00001,L522)</f>
        <v>1.0000000000000001E-5</v>
      </c>
      <c r="R522" s="15">
        <f t="shared" ref="R522:R585" si="60">R521+1</f>
        <v>515</v>
      </c>
      <c r="S522" s="126">
        <f>IF(VLOOKUP(A522,Journal!$A$7:$E$70,5)=0,S521+1,VLOOKUP(A522,Journal!$A$7:$E$70,5))</f>
        <v>46172</v>
      </c>
      <c r="T522" s="125">
        <f>IF(H$2=VLOOKUP(A522,Journal!$A$7:$F$70,6),VLOOKUP(A522,Journal!$A$7:M$70,9),0)</f>
        <v>0</v>
      </c>
      <c r="U522" s="125">
        <f>IF(H$2=VLOOKUP(A522,Journal!$A$7:$G$70,7),VLOOKUP(A522,Journal!$A$7:M$70,9),0)</f>
        <v>0</v>
      </c>
      <c r="V522" s="125">
        <f t="shared" ref="V522:V585" si="61">IF($M$1=1,V521+T522-U522,V521-T522+U522)</f>
        <v>40</v>
      </c>
      <c r="X522">
        <f t="shared" si="58"/>
        <v>0</v>
      </c>
      <c r="Y522" s="143">
        <f t="shared" si="57"/>
        <v>-986.52631578949513</v>
      </c>
    </row>
    <row r="523" spans="1:25" x14ac:dyDescent="0.25">
      <c r="A523">
        <f t="shared" ref="A523:A586" si="62">A522+1</f>
        <v>516</v>
      </c>
      <c r="B523" s="88" t="str">
        <f>IF(OR(B522="Total",B522=""),"",IF(VLOOKUP(A523,Journal!$B$7:$E$84,4)=0,"Total",VLOOKUP(A523,Journal!$B$7:$D$84,3)))</f>
        <v/>
      </c>
      <c r="C523" s="86" t="str">
        <f>IF(B523="","",VLOOKUP(A523,Journal!$B$7:$E$84,4))</f>
        <v/>
      </c>
      <c r="D523" s="114" t="str">
        <f>IF(B523="","",VLOOKUP(A523,Journal!$B$7:$J$84,9))</f>
        <v/>
      </c>
      <c r="E523" s="116"/>
      <c r="F523" s="116"/>
      <c r="G523" s="115"/>
      <c r="H523" s="84" t="str">
        <f>IF(B523="","",VLOOKUP(A523,Journal!$B$7:$L$84,11))</f>
        <v/>
      </c>
      <c r="I523" s="84" t="str">
        <f>IF(B523="","",VLOOKUP(A523,Journal!$B$7:$M$84,12))</f>
        <v/>
      </c>
      <c r="J523" s="105">
        <f>IF(B523="Total",SUM(J$8:J522)+0.0001,IF(OR(B523="",I$2=I523),0,VLOOKUP(A523,Journal!$B$7:M$84,8)))</f>
        <v>0</v>
      </c>
      <c r="K523" s="102">
        <f>IF(B523="Total",SUM(K$8:K522)+0.0001,IF(OR(B523="",J523&lt;&gt;0),0,VLOOKUP(A523,Journal!$B$7:M$84,8)))</f>
        <v>0</v>
      </c>
      <c r="L523" s="87">
        <f t="shared" si="56"/>
        <v>0</v>
      </c>
      <c r="P523">
        <f t="shared" si="59"/>
        <v>1.0000000000000001E-5</v>
      </c>
      <c r="R523" s="15">
        <f t="shared" si="60"/>
        <v>516</v>
      </c>
      <c r="S523" s="126">
        <f>IF(VLOOKUP(A523,Journal!$A$7:$E$70,5)=0,S522+1,VLOOKUP(A523,Journal!$A$7:$E$70,5))</f>
        <v>46173</v>
      </c>
      <c r="T523" s="125">
        <f>IF(H$2=VLOOKUP(A523,Journal!$A$7:$F$70,6),VLOOKUP(A523,Journal!$A$7:M$70,9),0)</f>
        <v>0</v>
      </c>
      <c r="U523" s="125">
        <f>IF(H$2=VLOOKUP(A523,Journal!$A$7:$G$70,7),VLOOKUP(A523,Journal!$A$7:M$70,9),0)</f>
        <v>0</v>
      </c>
      <c r="V523" s="125">
        <f t="shared" si="61"/>
        <v>40</v>
      </c>
      <c r="X523">
        <f t="shared" si="58"/>
        <v>0</v>
      </c>
      <c r="Y523" s="143">
        <f t="shared" si="57"/>
        <v>-986.50000000002149</v>
      </c>
    </row>
    <row r="524" spans="1:25" x14ac:dyDescent="0.25">
      <c r="A524">
        <f t="shared" si="62"/>
        <v>517</v>
      </c>
      <c r="B524" s="88" t="str">
        <f>IF(OR(B523="Total",B523=""),"",IF(VLOOKUP(A524,Journal!$B$7:$E$84,4)=0,"Total",VLOOKUP(A524,Journal!$B$7:$D$84,3)))</f>
        <v/>
      </c>
      <c r="C524" s="86" t="str">
        <f>IF(B524="","",VLOOKUP(A524,Journal!$B$7:$E$84,4))</f>
        <v/>
      </c>
      <c r="D524" s="114" t="str">
        <f>IF(B524="","",VLOOKUP(A524,Journal!$B$7:$J$84,9))</f>
        <v/>
      </c>
      <c r="E524" s="116"/>
      <c r="F524" s="116"/>
      <c r="G524" s="115"/>
      <c r="H524" s="84" t="str">
        <f>IF(B524="","",VLOOKUP(A524,Journal!$B$7:$L$84,11))</f>
        <v/>
      </c>
      <c r="I524" s="84" t="str">
        <f>IF(B524="","",VLOOKUP(A524,Journal!$B$7:$M$84,12))</f>
        <v/>
      </c>
      <c r="J524" s="105">
        <f>IF(B524="Total",SUM(J$8:J523)+0.0001,IF(OR(B524="",I$2=I524),0,VLOOKUP(A524,Journal!$B$7:M$84,8)))</f>
        <v>0</v>
      </c>
      <c r="K524" s="102">
        <f>IF(B524="Total",SUM(K$8:K523)+0.0001,IF(OR(B524="",J524&lt;&gt;0),0,VLOOKUP(A524,Journal!$B$7:M$84,8)))</f>
        <v>0</v>
      </c>
      <c r="L524" s="87">
        <f t="shared" si="56"/>
        <v>0</v>
      </c>
      <c r="P524">
        <f t="shared" si="59"/>
        <v>1.0000000000000001E-5</v>
      </c>
      <c r="R524" s="15">
        <f t="shared" si="60"/>
        <v>517</v>
      </c>
      <c r="S524" s="126">
        <f>IF(VLOOKUP(A524,Journal!$A$7:$E$70,5)=0,S523+1,VLOOKUP(A524,Journal!$A$7:$E$70,5))</f>
        <v>46174</v>
      </c>
      <c r="T524" s="125">
        <f>IF(H$2=VLOOKUP(A524,Journal!$A$7:$F$70,6),VLOOKUP(A524,Journal!$A$7:M$70,9),0)</f>
        <v>0</v>
      </c>
      <c r="U524" s="125">
        <f>IF(H$2=VLOOKUP(A524,Journal!$A$7:$G$70,7),VLOOKUP(A524,Journal!$A$7:M$70,9),0)</f>
        <v>0</v>
      </c>
      <c r="V524" s="125">
        <f t="shared" si="61"/>
        <v>40</v>
      </c>
      <c r="X524">
        <f t="shared" si="58"/>
        <v>0</v>
      </c>
      <c r="Y524" s="143">
        <f t="shared" si="57"/>
        <v>-986.47368421054784</v>
      </c>
    </row>
    <row r="525" spans="1:25" x14ac:dyDescent="0.25">
      <c r="A525">
        <f t="shared" si="62"/>
        <v>518</v>
      </c>
      <c r="B525" s="88" t="str">
        <f>IF(OR(B524="Total",B524=""),"",IF(VLOOKUP(A525,Journal!$B$7:$E$84,4)=0,"Total",VLOOKUP(A525,Journal!$B$7:$D$84,3)))</f>
        <v/>
      </c>
      <c r="C525" s="86" t="str">
        <f>IF(B525="","",VLOOKUP(A525,Journal!$B$7:$E$84,4))</f>
        <v/>
      </c>
      <c r="D525" s="114" t="str">
        <f>IF(B525="","",VLOOKUP(A525,Journal!$B$7:$J$84,9))</f>
        <v/>
      </c>
      <c r="E525" s="116"/>
      <c r="F525" s="116"/>
      <c r="G525" s="115"/>
      <c r="H525" s="84" t="str">
        <f>IF(B525="","",VLOOKUP(A525,Journal!$B$7:$L$84,11))</f>
        <v/>
      </c>
      <c r="I525" s="84" t="str">
        <f>IF(B525="","",VLOOKUP(A525,Journal!$B$7:$M$84,12))</f>
        <v/>
      </c>
      <c r="J525" s="105">
        <f>IF(B525="Total",SUM(J$8:J524)+0.0001,IF(OR(B525="",I$2=I525),0,VLOOKUP(A525,Journal!$B$7:M$84,8)))</f>
        <v>0</v>
      </c>
      <c r="K525" s="102">
        <f>IF(B525="Total",SUM(K$8:K524)+0.0001,IF(OR(B525="",J525&lt;&gt;0),0,VLOOKUP(A525,Journal!$B$7:M$84,8)))</f>
        <v>0</v>
      </c>
      <c r="L525" s="87">
        <f t="shared" si="56"/>
        <v>0</v>
      </c>
      <c r="P525">
        <f t="shared" si="59"/>
        <v>1.0000000000000001E-5</v>
      </c>
      <c r="R525" s="15">
        <f t="shared" si="60"/>
        <v>518</v>
      </c>
      <c r="S525" s="126">
        <f>IF(VLOOKUP(A525,Journal!$A$7:$E$70,5)=0,S524+1,VLOOKUP(A525,Journal!$A$7:$E$70,5))</f>
        <v>46175</v>
      </c>
      <c r="T525" s="125">
        <f>IF(H$2=VLOOKUP(A525,Journal!$A$7:$F$70,6),VLOOKUP(A525,Journal!$A$7:M$70,9),0)</f>
        <v>0</v>
      </c>
      <c r="U525" s="125">
        <f>IF(H$2=VLOOKUP(A525,Journal!$A$7:$G$70,7),VLOOKUP(A525,Journal!$A$7:M$70,9),0)</f>
        <v>0</v>
      </c>
      <c r="V525" s="125">
        <f t="shared" si="61"/>
        <v>40</v>
      </c>
      <c r="X525">
        <f t="shared" si="58"/>
        <v>0</v>
      </c>
      <c r="Y525" s="143">
        <f t="shared" si="57"/>
        <v>-986.4473684210742</v>
      </c>
    </row>
    <row r="526" spans="1:25" x14ac:dyDescent="0.25">
      <c r="A526">
        <f t="shared" si="62"/>
        <v>519</v>
      </c>
      <c r="B526" s="88" t="str">
        <f>IF(OR(B525="Total",B525=""),"",IF(VLOOKUP(A526,Journal!$B$7:$E$84,4)=0,"Total",VLOOKUP(A526,Journal!$B$7:$D$84,3)))</f>
        <v/>
      </c>
      <c r="C526" s="86" t="str">
        <f>IF(B526="","",VLOOKUP(A526,Journal!$B$7:$E$84,4))</f>
        <v/>
      </c>
      <c r="D526" s="114" t="str">
        <f>IF(B526="","",VLOOKUP(A526,Journal!$B$7:$J$84,9))</f>
        <v/>
      </c>
      <c r="E526" s="116"/>
      <c r="F526" s="116"/>
      <c r="G526" s="115"/>
      <c r="H526" s="84" t="str">
        <f>IF(B526="","",VLOOKUP(A526,Journal!$B$7:$L$84,11))</f>
        <v/>
      </c>
      <c r="I526" s="84" t="str">
        <f>IF(B526="","",VLOOKUP(A526,Journal!$B$7:$M$84,12))</f>
        <v/>
      </c>
      <c r="J526" s="105">
        <f>IF(B526="Total",SUM(J$8:J525)+0.0001,IF(OR(B526="",I$2=I526),0,VLOOKUP(A526,Journal!$B$7:M$84,8)))</f>
        <v>0</v>
      </c>
      <c r="K526" s="102">
        <f>IF(B526="Total",SUM(K$8:K525)+0.0001,IF(OR(B526="",J526&lt;&gt;0),0,VLOOKUP(A526,Journal!$B$7:M$84,8)))</f>
        <v>0</v>
      </c>
      <c r="L526" s="87">
        <f t="shared" si="56"/>
        <v>0</v>
      </c>
      <c r="P526">
        <f t="shared" si="59"/>
        <v>1.0000000000000001E-5</v>
      </c>
      <c r="R526" s="15">
        <f t="shared" si="60"/>
        <v>519</v>
      </c>
      <c r="S526" s="126">
        <f>IF(VLOOKUP(A526,Journal!$A$7:$E$70,5)=0,S525+1,VLOOKUP(A526,Journal!$A$7:$E$70,5))</f>
        <v>46176</v>
      </c>
      <c r="T526" s="125">
        <f>IF(H$2=VLOOKUP(A526,Journal!$A$7:$F$70,6),VLOOKUP(A526,Journal!$A$7:M$70,9),0)</f>
        <v>0</v>
      </c>
      <c r="U526" s="125">
        <f>IF(H$2=VLOOKUP(A526,Journal!$A$7:$G$70,7),VLOOKUP(A526,Journal!$A$7:M$70,9),0)</f>
        <v>0</v>
      </c>
      <c r="V526" s="125">
        <f t="shared" si="61"/>
        <v>40</v>
      </c>
      <c r="X526">
        <f t="shared" si="58"/>
        <v>0</v>
      </c>
      <c r="Y526" s="143">
        <f t="shared" si="57"/>
        <v>-986.42105263160056</v>
      </c>
    </row>
    <row r="527" spans="1:25" x14ac:dyDescent="0.25">
      <c r="A527">
        <f t="shared" si="62"/>
        <v>520</v>
      </c>
      <c r="B527" s="88" t="str">
        <f>IF(OR(B526="Total",B526=""),"",IF(VLOOKUP(A527,Journal!$B$7:$E$84,4)=0,"Total",VLOOKUP(A527,Journal!$B$7:$D$84,3)))</f>
        <v/>
      </c>
      <c r="C527" s="86" t="str">
        <f>IF(B527="","",VLOOKUP(A527,Journal!$B$7:$E$84,4))</f>
        <v/>
      </c>
      <c r="D527" s="114" t="str">
        <f>IF(B527="","",VLOOKUP(A527,Journal!$B$7:$J$84,9))</f>
        <v/>
      </c>
      <c r="E527" s="116"/>
      <c r="F527" s="116"/>
      <c r="G527" s="115"/>
      <c r="H527" s="84" t="str">
        <f>IF(B527="","",VLOOKUP(A527,Journal!$B$7:$L$84,11))</f>
        <v/>
      </c>
      <c r="I527" s="84" t="str">
        <f>IF(B527="","",VLOOKUP(A527,Journal!$B$7:$M$84,12))</f>
        <v/>
      </c>
      <c r="J527" s="105">
        <f>IF(B527="Total",SUM(J$8:J526)+0.0001,IF(OR(B527="",I$2=I527),0,VLOOKUP(A527,Journal!$B$7:M$84,8)))</f>
        <v>0</v>
      </c>
      <c r="K527" s="102">
        <f>IF(B527="Total",SUM(K$8:K526)+0.0001,IF(OR(B527="",J527&lt;&gt;0),0,VLOOKUP(A527,Journal!$B$7:M$84,8)))</f>
        <v>0</v>
      </c>
      <c r="L527" s="87">
        <f t="shared" si="56"/>
        <v>0</v>
      </c>
      <c r="P527">
        <f t="shared" si="59"/>
        <v>1.0000000000000001E-5</v>
      </c>
      <c r="R527" s="15">
        <f t="shared" si="60"/>
        <v>520</v>
      </c>
      <c r="S527" s="126">
        <f>IF(VLOOKUP(A527,Journal!$A$7:$E$70,5)=0,S526+1,VLOOKUP(A527,Journal!$A$7:$E$70,5))</f>
        <v>46177</v>
      </c>
      <c r="T527" s="125">
        <f>IF(H$2=VLOOKUP(A527,Journal!$A$7:$F$70,6),VLOOKUP(A527,Journal!$A$7:M$70,9),0)</f>
        <v>0</v>
      </c>
      <c r="U527" s="125">
        <f>IF(H$2=VLOOKUP(A527,Journal!$A$7:$G$70,7),VLOOKUP(A527,Journal!$A$7:M$70,9),0)</f>
        <v>0</v>
      </c>
      <c r="V527" s="125">
        <f t="shared" si="61"/>
        <v>40</v>
      </c>
      <c r="X527">
        <f t="shared" si="58"/>
        <v>0</v>
      </c>
      <c r="Y527" s="143">
        <f t="shared" si="57"/>
        <v>-986.39473684212692</v>
      </c>
    </row>
    <row r="528" spans="1:25" x14ac:dyDescent="0.25">
      <c r="A528">
        <f t="shared" si="62"/>
        <v>521</v>
      </c>
      <c r="B528" s="88" t="str">
        <f>IF(OR(B527="Total",B527=""),"",IF(VLOOKUP(A528,Journal!$B$7:$E$84,4)=0,"Total",VLOOKUP(A528,Journal!$B$7:$D$84,3)))</f>
        <v/>
      </c>
      <c r="C528" s="86" t="str">
        <f>IF(B528="","",VLOOKUP(A528,Journal!$B$7:$E$84,4))</f>
        <v/>
      </c>
      <c r="D528" s="114" t="str">
        <f>IF(B528="","",VLOOKUP(A528,Journal!$B$7:$J$84,9))</f>
        <v/>
      </c>
      <c r="E528" s="116"/>
      <c r="F528" s="116"/>
      <c r="G528" s="115"/>
      <c r="H528" s="84" t="str">
        <f>IF(B528="","",VLOOKUP(A528,Journal!$B$7:$L$84,11))</f>
        <v/>
      </c>
      <c r="I528" s="84" t="str">
        <f>IF(B528="","",VLOOKUP(A528,Journal!$B$7:$M$84,12))</f>
        <v/>
      </c>
      <c r="J528" s="105">
        <f>IF(B528="Total",SUM(J$8:J527)+0.0001,IF(OR(B528="",I$2=I528),0,VLOOKUP(A528,Journal!$B$7:M$84,8)))</f>
        <v>0</v>
      </c>
      <c r="K528" s="102">
        <f>IF(B528="Total",SUM(K$8:K527)+0.0001,IF(OR(B528="",J528&lt;&gt;0),0,VLOOKUP(A528,Journal!$B$7:M$84,8)))</f>
        <v>0</v>
      </c>
      <c r="L528" s="87">
        <f t="shared" si="56"/>
        <v>0</v>
      </c>
      <c r="P528">
        <f t="shared" si="59"/>
        <v>1.0000000000000001E-5</v>
      </c>
      <c r="R528" s="15">
        <f t="shared" si="60"/>
        <v>521</v>
      </c>
      <c r="S528" s="126">
        <f>IF(VLOOKUP(A528,Journal!$A$7:$E$70,5)=0,S527+1,VLOOKUP(A528,Journal!$A$7:$E$70,5))</f>
        <v>46178</v>
      </c>
      <c r="T528" s="125">
        <f>IF(H$2=VLOOKUP(A528,Journal!$A$7:$F$70,6),VLOOKUP(A528,Journal!$A$7:M$70,9),0)</f>
        <v>0</v>
      </c>
      <c r="U528" s="125">
        <f>IF(H$2=VLOOKUP(A528,Journal!$A$7:$G$70,7),VLOOKUP(A528,Journal!$A$7:M$70,9),0)</f>
        <v>0</v>
      </c>
      <c r="V528" s="125">
        <f t="shared" si="61"/>
        <v>40</v>
      </c>
      <c r="X528">
        <f t="shared" si="58"/>
        <v>0</v>
      </c>
      <c r="Y528" s="143">
        <f t="shared" si="57"/>
        <v>-986.36842105265328</v>
      </c>
    </row>
    <row r="529" spans="1:25" x14ac:dyDescent="0.25">
      <c r="A529">
        <f t="shared" si="62"/>
        <v>522</v>
      </c>
      <c r="B529" s="88" t="str">
        <f>IF(OR(B528="Total",B528=""),"",IF(VLOOKUP(A529,Journal!$B$7:$E$84,4)=0,"Total",VLOOKUP(A529,Journal!$B$7:$D$84,3)))</f>
        <v/>
      </c>
      <c r="C529" s="86" t="str">
        <f>IF(B529="","",VLOOKUP(A529,Journal!$B$7:$E$84,4))</f>
        <v/>
      </c>
      <c r="D529" s="114" t="str">
        <f>IF(B529="","",VLOOKUP(A529,Journal!$B$7:$J$84,9))</f>
        <v/>
      </c>
      <c r="E529" s="116"/>
      <c r="F529" s="116"/>
      <c r="G529" s="115"/>
      <c r="H529" s="84" t="str">
        <f>IF(B529="","",VLOOKUP(A529,Journal!$B$7:$L$84,11))</f>
        <v/>
      </c>
      <c r="I529" s="84" t="str">
        <f>IF(B529="","",VLOOKUP(A529,Journal!$B$7:$M$84,12))</f>
        <v/>
      </c>
      <c r="J529" s="105">
        <f>IF(B529="Total",SUM(J$8:J528)+0.0001,IF(OR(B529="",I$2=I529),0,VLOOKUP(A529,Journal!$B$7:M$84,8)))</f>
        <v>0</v>
      </c>
      <c r="K529" s="102">
        <f>IF(B529="Total",SUM(K$8:K528)+0.0001,IF(OR(B529="",J529&lt;&gt;0),0,VLOOKUP(A529,Journal!$B$7:M$84,8)))</f>
        <v>0</v>
      </c>
      <c r="L529" s="87">
        <f t="shared" si="56"/>
        <v>0</v>
      </c>
      <c r="P529">
        <f t="shared" si="59"/>
        <v>1.0000000000000001E-5</v>
      </c>
      <c r="R529" s="15">
        <f t="shared" si="60"/>
        <v>522</v>
      </c>
      <c r="S529" s="126">
        <f>IF(VLOOKUP(A529,Journal!$A$7:$E$70,5)=0,S528+1,VLOOKUP(A529,Journal!$A$7:$E$70,5))</f>
        <v>46179</v>
      </c>
      <c r="T529" s="125">
        <f>IF(H$2=VLOOKUP(A529,Journal!$A$7:$F$70,6),VLOOKUP(A529,Journal!$A$7:M$70,9),0)</f>
        <v>0</v>
      </c>
      <c r="U529" s="125">
        <f>IF(H$2=VLOOKUP(A529,Journal!$A$7:$G$70,7),VLOOKUP(A529,Journal!$A$7:M$70,9),0)</f>
        <v>0</v>
      </c>
      <c r="V529" s="125">
        <f t="shared" si="61"/>
        <v>40</v>
      </c>
      <c r="X529">
        <f t="shared" si="58"/>
        <v>0</v>
      </c>
      <c r="Y529" s="143">
        <f t="shared" si="57"/>
        <v>-986.34210526317963</v>
      </c>
    </row>
    <row r="530" spans="1:25" x14ac:dyDescent="0.25">
      <c r="A530">
        <f t="shared" si="62"/>
        <v>523</v>
      </c>
      <c r="B530" s="88" t="str">
        <f>IF(OR(B529="Total",B529=""),"",IF(VLOOKUP(A530,Journal!$B$7:$E$84,4)=0,"Total",VLOOKUP(A530,Journal!$B$7:$D$84,3)))</f>
        <v/>
      </c>
      <c r="C530" s="86" t="str">
        <f>IF(B530="","",VLOOKUP(A530,Journal!$B$7:$E$84,4))</f>
        <v/>
      </c>
      <c r="D530" s="114" t="str">
        <f>IF(B530="","",VLOOKUP(A530,Journal!$B$7:$J$84,9))</f>
        <v/>
      </c>
      <c r="E530" s="116"/>
      <c r="F530" s="116"/>
      <c r="G530" s="115"/>
      <c r="H530" s="84" t="str">
        <f>IF(B530="","",VLOOKUP(A530,Journal!$B$7:$L$84,11))</f>
        <v/>
      </c>
      <c r="I530" s="84" t="str">
        <f>IF(B530="","",VLOOKUP(A530,Journal!$B$7:$M$84,12))</f>
        <v/>
      </c>
      <c r="J530" s="105">
        <f>IF(B530="Total",SUM(J$8:J529)+0.0001,IF(OR(B530="",I$2=I530),0,VLOOKUP(A530,Journal!$B$7:M$84,8)))</f>
        <v>0</v>
      </c>
      <c r="K530" s="102">
        <f>IF(B530="Total",SUM(K$8:K529)+0.0001,IF(OR(B530="",J530&lt;&gt;0),0,VLOOKUP(A530,Journal!$B$7:M$84,8)))</f>
        <v>0</v>
      </c>
      <c r="L530" s="87">
        <f t="shared" si="56"/>
        <v>0</v>
      </c>
      <c r="P530">
        <f t="shared" si="59"/>
        <v>1.0000000000000001E-5</v>
      </c>
      <c r="R530" s="15">
        <f t="shared" si="60"/>
        <v>523</v>
      </c>
      <c r="S530" s="126">
        <f>IF(VLOOKUP(A530,Journal!$A$7:$E$70,5)=0,S529+1,VLOOKUP(A530,Journal!$A$7:$E$70,5))</f>
        <v>46180</v>
      </c>
      <c r="T530" s="125">
        <f>IF(H$2=VLOOKUP(A530,Journal!$A$7:$F$70,6),VLOOKUP(A530,Journal!$A$7:M$70,9),0)</f>
        <v>0</v>
      </c>
      <c r="U530" s="125">
        <f>IF(H$2=VLOOKUP(A530,Journal!$A$7:$G$70,7),VLOOKUP(A530,Journal!$A$7:M$70,9),0)</f>
        <v>0</v>
      </c>
      <c r="V530" s="125">
        <f t="shared" si="61"/>
        <v>40</v>
      </c>
      <c r="X530">
        <f t="shared" si="58"/>
        <v>0</v>
      </c>
      <c r="Y530" s="143">
        <f t="shared" si="57"/>
        <v>-986.31578947370599</v>
      </c>
    </row>
    <row r="531" spans="1:25" x14ac:dyDescent="0.25">
      <c r="A531">
        <f t="shared" si="62"/>
        <v>524</v>
      </c>
      <c r="B531" s="88" t="str">
        <f>IF(OR(B530="Total",B530=""),"",IF(VLOOKUP(A531,Journal!$B$7:$E$84,4)=0,"Total",VLOOKUP(A531,Journal!$B$7:$D$84,3)))</f>
        <v/>
      </c>
      <c r="C531" s="86" t="str">
        <f>IF(B531="","",VLOOKUP(A531,Journal!$B$7:$E$84,4))</f>
        <v/>
      </c>
      <c r="D531" s="114" t="str">
        <f>IF(B531="","",VLOOKUP(A531,Journal!$B$7:$J$84,9))</f>
        <v/>
      </c>
      <c r="E531" s="116"/>
      <c r="F531" s="116"/>
      <c r="G531" s="115"/>
      <c r="H531" s="84" t="str">
        <f>IF(B531="","",VLOOKUP(A531,Journal!$B$7:$L$84,11))</f>
        <v/>
      </c>
      <c r="I531" s="84" t="str">
        <f>IF(B531="","",VLOOKUP(A531,Journal!$B$7:$M$84,12))</f>
        <v/>
      </c>
      <c r="J531" s="105">
        <f>IF(B531="Total",SUM(J$8:J530)+0.0001,IF(OR(B531="",I$2=I531),0,VLOOKUP(A531,Journal!$B$7:M$84,8)))</f>
        <v>0</v>
      </c>
      <c r="K531" s="102">
        <f>IF(B531="Total",SUM(K$8:K530)+0.0001,IF(OR(B531="",J531&lt;&gt;0),0,VLOOKUP(A531,Journal!$B$7:M$84,8)))</f>
        <v>0</v>
      </c>
      <c r="L531" s="87">
        <f t="shared" si="56"/>
        <v>0</v>
      </c>
      <c r="P531">
        <f t="shared" si="59"/>
        <v>1.0000000000000001E-5</v>
      </c>
      <c r="R531" s="15">
        <f t="shared" si="60"/>
        <v>524</v>
      </c>
      <c r="S531" s="126">
        <f>IF(VLOOKUP(A531,Journal!$A$7:$E$70,5)=0,S530+1,VLOOKUP(A531,Journal!$A$7:$E$70,5))</f>
        <v>46181</v>
      </c>
      <c r="T531" s="125">
        <f>IF(H$2=VLOOKUP(A531,Journal!$A$7:$F$70,6),VLOOKUP(A531,Journal!$A$7:M$70,9),0)</f>
        <v>0</v>
      </c>
      <c r="U531" s="125">
        <f>IF(H$2=VLOOKUP(A531,Journal!$A$7:$G$70,7),VLOOKUP(A531,Journal!$A$7:M$70,9),0)</f>
        <v>0</v>
      </c>
      <c r="V531" s="125">
        <f t="shared" si="61"/>
        <v>40</v>
      </c>
      <c r="X531">
        <f t="shared" si="58"/>
        <v>0</v>
      </c>
      <c r="Y531" s="143">
        <f t="shared" si="57"/>
        <v>-986.28947368423235</v>
      </c>
    </row>
    <row r="532" spans="1:25" x14ac:dyDescent="0.25">
      <c r="A532">
        <f t="shared" si="62"/>
        <v>525</v>
      </c>
      <c r="B532" s="88" t="str">
        <f>IF(OR(B531="Total",B531=""),"",IF(VLOOKUP(A532,Journal!$B$7:$E$84,4)=0,"Total",VLOOKUP(A532,Journal!$B$7:$D$84,3)))</f>
        <v/>
      </c>
      <c r="C532" s="86" t="str">
        <f>IF(B532="","",VLOOKUP(A532,Journal!$B$7:$E$84,4))</f>
        <v/>
      </c>
      <c r="D532" s="114" t="str">
        <f>IF(B532="","",VLOOKUP(A532,Journal!$B$7:$J$84,9))</f>
        <v/>
      </c>
      <c r="E532" s="116"/>
      <c r="F532" s="116"/>
      <c r="G532" s="115"/>
      <c r="H532" s="84" t="str">
        <f>IF(B532="","",VLOOKUP(A532,Journal!$B$7:$L$84,11))</f>
        <v/>
      </c>
      <c r="I532" s="84" t="str">
        <f>IF(B532="","",VLOOKUP(A532,Journal!$B$7:$M$84,12))</f>
        <v/>
      </c>
      <c r="J532" s="105">
        <f>IF(B532="Total",SUM(J$8:J531)+0.0001,IF(OR(B532="",I$2=I532),0,VLOOKUP(A532,Journal!$B$7:M$84,8)))</f>
        <v>0</v>
      </c>
      <c r="K532" s="102">
        <f>IF(B532="Total",SUM(K$8:K531)+0.0001,IF(OR(B532="",J532&lt;&gt;0),0,VLOOKUP(A532,Journal!$B$7:M$84,8)))</f>
        <v>0</v>
      </c>
      <c r="L532" s="87">
        <f t="shared" si="56"/>
        <v>0</v>
      </c>
      <c r="P532">
        <f t="shared" si="59"/>
        <v>1.0000000000000001E-5</v>
      </c>
      <c r="R532" s="15">
        <f t="shared" si="60"/>
        <v>525</v>
      </c>
      <c r="S532" s="126">
        <f>IF(VLOOKUP(A532,Journal!$A$7:$E$70,5)=0,S531+1,VLOOKUP(A532,Journal!$A$7:$E$70,5))</f>
        <v>46182</v>
      </c>
      <c r="T532" s="125">
        <f>IF(H$2=VLOOKUP(A532,Journal!$A$7:$F$70,6),VLOOKUP(A532,Journal!$A$7:M$70,9),0)</f>
        <v>0</v>
      </c>
      <c r="U532" s="125">
        <f>IF(H$2=VLOOKUP(A532,Journal!$A$7:$G$70,7),VLOOKUP(A532,Journal!$A$7:M$70,9),0)</f>
        <v>0</v>
      </c>
      <c r="V532" s="125">
        <f t="shared" si="61"/>
        <v>40</v>
      </c>
      <c r="X532">
        <f t="shared" si="58"/>
        <v>0</v>
      </c>
      <c r="Y532" s="143">
        <f t="shared" si="57"/>
        <v>-986.26315789475871</v>
      </c>
    </row>
    <row r="533" spans="1:25" x14ac:dyDescent="0.25">
      <c r="A533">
        <f t="shared" si="62"/>
        <v>526</v>
      </c>
      <c r="B533" s="88" t="str">
        <f>IF(OR(B532="Total",B532=""),"",IF(VLOOKUP(A533,Journal!$B$7:$E$84,4)=0,"Total",VLOOKUP(A533,Journal!$B$7:$D$84,3)))</f>
        <v/>
      </c>
      <c r="C533" s="86" t="str">
        <f>IF(B533="","",VLOOKUP(A533,Journal!$B$7:$E$84,4))</f>
        <v/>
      </c>
      <c r="D533" s="114" t="str">
        <f>IF(B533="","",VLOOKUP(A533,Journal!$B$7:$J$84,9))</f>
        <v/>
      </c>
      <c r="E533" s="116"/>
      <c r="F533" s="116"/>
      <c r="G533" s="115"/>
      <c r="H533" s="84" t="str">
        <f>IF(B533="","",VLOOKUP(A533,Journal!$B$7:$L$84,11))</f>
        <v/>
      </c>
      <c r="I533" s="84" t="str">
        <f>IF(B533="","",VLOOKUP(A533,Journal!$B$7:$M$84,12))</f>
        <v/>
      </c>
      <c r="J533" s="105">
        <f>IF(B533="Total",SUM(J$8:J532)+0.0001,IF(OR(B533="",I$2=I533),0,VLOOKUP(A533,Journal!$B$7:M$84,8)))</f>
        <v>0</v>
      </c>
      <c r="K533" s="102">
        <f>IF(B533="Total",SUM(K$8:K532)+0.0001,IF(OR(B533="",J533&lt;&gt;0),0,VLOOKUP(A533,Journal!$B$7:M$84,8)))</f>
        <v>0</v>
      </c>
      <c r="L533" s="87">
        <f t="shared" si="56"/>
        <v>0</v>
      </c>
      <c r="P533">
        <f t="shared" si="59"/>
        <v>1.0000000000000001E-5</v>
      </c>
      <c r="R533" s="15">
        <f t="shared" si="60"/>
        <v>526</v>
      </c>
      <c r="S533" s="126">
        <f>IF(VLOOKUP(A533,Journal!$A$7:$E$70,5)=0,S532+1,VLOOKUP(A533,Journal!$A$7:$E$70,5))</f>
        <v>46183</v>
      </c>
      <c r="T533" s="125">
        <f>IF(H$2=VLOOKUP(A533,Journal!$A$7:$F$70,6),VLOOKUP(A533,Journal!$A$7:M$70,9),0)</f>
        <v>0</v>
      </c>
      <c r="U533" s="125">
        <f>IF(H$2=VLOOKUP(A533,Journal!$A$7:$G$70,7),VLOOKUP(A533,Journal!$A$7:M$70,9),0)</f>
        <v>0</v>
      </c>
      <c r="V533" s="125">
        <f t="shared" si="61"/>
        <v>40</v>
      </c>
      <c r="X533">
        <f t="shared" si="58"/>
        <v>0</v>
      </c>
      <c r="Y533" s="143">
        <f t="shared" si="57"/>
        <v>-986.23684210528506</v>
      </c>
    </row>
    <row r="534" spans="1:25" x14ac:dyDescent="0.25">
      <c r="A534">
        <f t="shared" si="62"/>
        <v>527</v>
      </c>
      <c r="B534" s="88" t="str">
        <f>IF(OR(B533="Total",B533=""),"",IF(VLOOKUP(A534,Journal!$B$7:$E$84,4)=0,"Total",VLOOKUP(A534,Journal!$B$7:$D$84,3)))</f>
        <v/>
      </c>
      <c r="C534" s="86" t="str">
        <f>IF(B534="","",VLOOKUP(A534,Journal!$B$7:$E$84,4))</f>
        <v/>
      </c>
      <c r="D534" s="114" t="str">
        <f>IF(B534="","",VLOOKUP(A534,Journal!$B$7:$J$84,9))</f>
        <v/>
      </c>
      <c r="E534" s="116"/>
      <c r="F534" s="116"/>
      <c r="G534" s="115"/>
      <c r="H534" s="84" t="str">
        <f>IF(B534="","",VLOOKUP(A534,Journal!$B$7:$L$84,11))</f>
        <v/>
      </c>
      <c r="I534" s="84" t="str">
        <f>IF(B534="","",VLOOKUP(A534,Journal!$B$7:$M$84,12))</f>
        <v/>
      </c>
      <c r="J534" s="105">
        <f>IF(B534="Total",SUM(J$8:J533)+0.0001,IF(OR(B534="",I$2=I534),0,VLOOKUP(A534,Journal!$B$7:M$84,8)))</f>
        <v>0</v>
      </c>
      <c r="K534" s="102">
        <f>IF(B534="Total",SUM(K$8:K533)+0.0001,IF(OR(B534="",J534&lt;&gt;0),0,VLOOKUP(A534,Journal!$B$7:M$84,8)))</f>
        <v>0</v>
      </c>
      <c r="L534" s="87">
        <f t="shared" si="56"/>
        <v>0</v>
      </c>
      <c r="P534">
        <f t="shared" si="59"/>
        <v>1.0000000000000001E-5</v>
      </c>
      <c r="R534" s="15">
        <f t="shared" si="60"/>
        <v>527</v>
      </c>
      <c r="S534" s="126">
        <f>IF(VLOOKUP(A534,Journal!$A$7:$E$70,5)=0,S533+1,VLOOKUP(A534,Journal!$A$7:$E$70,5))</f>
        <v>46184</v>
      </c>
      <c r="T534" s="125">
        <f>IF(H$2=VLOOKUP(A534,Journal!$A$7:$F$70,6),VLOOKUP(A534,Journal!$A$7:M$70,9),0)</f>
        <v>0</v>
      </c>
      <c r="U534" s="125">
        <f>IF(H$2=VLOOKUP(A534,Journal!$A$7:$G$70,7),VLOOKUP(A534,Journal!$A$7:M$70,9),0)</f>
        <v>0</v>
      </c>
      <c r="V534" s="125">
        <f t="shared" si="61"/>
        <v>40</v>
      </c>
      <c r="X534">
        <f t="shared" si="58"/>
        <v>0</v>
      </c>
      <c r="Y534" s="143">
        <f t="shared" si="57"/>
        <v>-986.21052631581142</v>
      </c>
    </row>
    <row r="535" spans="1:25" x14ac:dyDescent="0.25">
      <c r="A535">
        <f t="shared" si="62"/>
        <v>528</v>
      </c>
      <c r="B535" s="88" t="str">
        <f>IF(OR(B534="Total",B534=""),"",IF(VLOOKUP(A535,Journal!$B$7:$E$84,4)=0,"Total",VLOOKUP(A535,Journal!$B$7:$D$84,3)))</f>
        <v/>
      </c>
      <c r="C535" s="86" t="str">
        <f>IF(B535="","",VLOOKUP(A535,Journal!$B$7:$E$84,4))</f>
        <v/>
      </c>
      <c r="D535" s="114" t="str">
        <f>IF(B535="","",VLOOKUP(A535,Journal!$B$7:$J$84,9))</f>
        <v/>
      </c>
      <c r="E535" s="116"/>
      <c r="F535" s="116"/>
      <c r="G535" s="115"/>
      <c r="H535" s="84" t="str">
        <f>IF(B535="","",VLOOKUP(A535,Journal!$B$7:$L$84,11))</f>
        <v/>
      </c>
      <c r="I535" s="84" t="str">
        <f>IF(B535="","",VLOOKUP(A535,Journal!$B$7:$M$84,12))</f>
        <v/>
      </c>
      <c r="J535" s="105">
        <f>IF(B535="Total",SUM(J$8:J534)+0.0001,IF(OR(B535="",I$2=I535),0,VLOOKUP(A535,Journal!$B$7:M$84,8)))</f>
        <v>0</v>
      </c>
      <c r="K535" s="102">
        <f>IF(B535="Total",SUM(K$8:K534)+0.0001,IF(OR(B535="",J535&lt;&gt;0),0,VLOOKUP(A535,Journal!$B$7:M$84,8)))</f>
        <v>0</v>
      </c>
      <c r="L535" s="87">
        <f t="shared" si="56"/>
        <v>0</v>
      </c>
      <c r="P535">
        <f t="shared" si="59"/>
        <v>1.0000000000000001E-5</v>
      </c>
      <c r="R535" s="15">
        <f t="shared" si="60"/>
        <v>528</v>
      </c>
      <c r="S535" s="126">
        <f>IF(VLOOKUP(A535,Journal!$A$7:$E$70,5)=0,S534+1,VLOOKUP(A535,Journal!$A$7:$E$70,5))</f>
        <v>46185</v>
      </c>
      <c r="T535" s="125">
        <f>IF(H$2=VLOOKUP(A535,Journal!$A$7:$F$70,6),VLOOKUP(A535,Journal!$A$7:M$70,9),0)</f>
        <v>0</v>
      </c>
      <c r="U535" s="125">
        <f>IF(H$2=VLOOKUP(A535,Journal!$A$7:$G$70,7),VLOOKUP(A535,Journal!$A$7:M$70,9),0)</f>
        <v>0</v>
      </c>
      <c r="V535" s="125">
        <f t="shared" si="61"/>
        <v>40</v>
      </c>
      <c r="X535">
        <f t="shared" si="58"/>
        <v>0</v>
      </c>
      <c r="Y535" s="143">
        <f t="shared" si="57"/>
        <v>-986.18421052633778</v>
      </c>
    </row>
    <row r="536" spans="1:25" x14ac:dyDescent="0.25">
      <c r="A536">
        <f t="shared" si="62"/>
        <v>529</v>
      </c>
      <c r="B536" s="88" t="str">
        <f>IF(OR(B535="Total",B535=""),"",IF(VLOOKUP(A536,Journal!$B$7:$E$84,4)=0,"Total",VLOOKUP(A536,Journal!$B$7:$D$84,3)))</f>
        <v/>
      </c>
      <c r="C536" s="86" t="str">
        <f>IF(B536="","",VLOOKUP(A536,Journal!$B$7:$E$84,4))</f>
        <v/>
      </c>
      <c r="D536" s="114" t="str">
        <f>IF(B536="","",VLOOKUP(A536,Journal!$B$7:$J$84,9))</f>
        <v/>
      </c>
      <c r="E536" s="116"/>
      <c r="F536" s="116"/>
      <c r="G536" s="115"/>
      <c r="H536" s="84" t="str">
        <f>IF(B536="","",VLOOKUP(A536,Journal!$B$7:$L$84,11))</f>
        <v/>
      </c>
      <c r="I536" s="84" t="str">
        <f>IF(B536="","",VLOOKUP(A536,Journal!$B$7:$M$84,12))</f>
        <v/>
      </c>
      <c r="J536" s="105">
        <f>IF(B536="Total",SUM(J$8:J535)+0.0001,IF(OR(B536="",I$2=I536),0,VLOOKUP(A536,Journal!$B$7:M$84,8)))</f>
        <v>0</v>
      </c>
      <c r="K536" s="102">
        <f>IF(B536="Total",SUM(K$8:K535)+0.0001,IF(OR(B536="",J536&lt;&gt;0),0,VLOOKUP(A536,Journal!$B$7:M$84,8)))</f>
        <v>0</v>
      </c>
      <c r="L536" s="87">
        <f t="shared" si="56"/>
        <v>0</v>
      </c>
      <c r="P536">
        <f t="shared" si="59"/>
        <v>1.0000000000000001E-5</v>
      </c>
      <c r="R536" s="15">
        <f t="shared" si="60"/>
        <v>529</v>
      </c>
      <c r="S536" s="126">
        <f>IF(VLOOKUP(A536,Journal!$A$7:$E$70,5)=0,S535+1,VLOOKUP(A536,Journal!$A$7:$E$70,5))</f>
        <v>46186</v>
      </c>
      <c r="T536" s="125">
        <f>IF(H$2=VLOOKUP(A536,Journal!$A$7:$F$70,6),VLOOKUP(A536,Journal!$A$7:M$70,9),0)</f>
        <v>0</v>
      </c>
      <c r="U536" s="125">
        <f>IF(H$2=VLOOKUP(A536,Journal!$A$7:$G$70,7),VLOOKUP(A536,Journal!$A$7:M$70,9),0)</f>
        <v>0</v>
      </c>
      <c r="V536" s="125">
        <f t="shared" si="61"/>
        <v>40</v>
      </c>
      <c r="X536">
        <f t="shared" si="58"/>
        <v>0</v>
      </c>
      <c r="Y536" s="143">
        <f t="shared" si="57"/>
        <v>-986.15789473686414</v>
      </c>
    </row>
    <row r="537" spans="1:25" x14ac:dyDescent="0.25">
      <c r="A537">
        <f t="shared" si="62"/>
        <v>530</v>
      </c>
      <c r="B537" s="88" t="str">
        <f>IF(OR(B536="Total",B536=""),"",IF(VLOOKUP(A537,Journal!$B$7:$E$84,4)=0,"Total",VLOOKUP(A537,Journal!$B$7:$D$84,3)))</f>
        <v/>
      </c>
      <c r="C537" s="86" t="str">
        <f>IF(B537="","",VLOOKUP(A537,Journal!$B$7:$E$84,4))</f>
        <v/>
      </c>
      <c r="D537" s="114" t="str">
        <f>IF(B537="","",VLOOKUP(A537,Journal!$B$7:$J$84,9))</f>
        <v/>
      </c>
      <c r="E537" s="116"/>
      <c r="F537" s="116"/>
      <c r="G537" s="115"/>
      <c r="H537" s="84" t="str">
        <f>IF(B537="","",VLOOKUP(A537,Journal!$B$7:$L$84,11))</f>
        <v/>
      </c>
      <c r="I537" s="84" t="str">
        <f>IF(B537="","",VLOOKUP(A537,Journal!$B$7:$M$84,12))</f>
        <v/>
      </c>
      <c r="J537" s="105">
        <f>IF(B537="Total",SUM(J$8:J536)+0.0001,IF(OR(B537="",I$2=I537),0,VLOOKUP(A537,Journal!$B$7:M$84,8)))</f>
        <v>0</v>
      </c>
      <c r="K537" s="102">
        <f>IF(B537="Total",SUM(K$8:K536)+0.0001,IF(OR(B537="",J537&lt;&gt;0),0,VLOOKUP(A537,Journal!$B$7:M$84,8)))</f>
        <v>0</v>
      </c>
      <c r="L537" s="87">
        <f t="shared" si="56"/>
        <v>0</v>
      </c>
      <c r="P537">
        <f t="shared" si="59"/>
        <v>1.0000000000000001E-5</v>
      </c>
      <c r="R537" s="15">
        <f t="shared" si="60"/>
        <v>530</v>
      </c>
      <c r="S537" s="126">
        <f>IF(VLOOKUP(A537,Journal!$A$7:$E$70,5)=0,S536+1,VLOOKUP(A537,Journal!$A$7:$E$70,5))</f>
        <v>46187</v>
      </c>
      <c r="T537" s="125">
        <f>IF(H$2=VLOOKUP(A537,Journal!$A$7:$F$70,6),VLOOKUP(A537,Journal!$A$7:M$70,9),0)</f>
        <v>0</v>
      </c>
      <c r="U537" s="125">
        <f>IF(H$2=VLOOKUP(A537,Journal!$A$7:$G$70,7),VLOOKUP(A537,Journal!$A$7:M$70,9),0)</f>
        <v>0</v>
      </c>
      <c r="V537" s="125">
        <f t="shared" si="61"/>
        <v>40</v>
      </c>
      <c r="X537">
        <f t="shared" si="58"/>
        <v>0</v>
      </c>
      <c r="Y537" s="143">
        <f t="shared" si="57"/>
        <v>-986.13157894739049</v>
      </c>
    </row>
    <row r="538" spans="1:25" x14ac:dyDescent="0.25">
      <c r="A538">
        <f t="shared" si="62"/>
        <v>531</v>
      </c>
      <c r="B538" s="88" t="str">
        <f>IF(OR(B537="Total",B537=""),"",IF(VLOOKUP(A538,Journal!$B$7:$E$84,4)=0,"Total",VLOOKUP(A538,Journal!$B$7:$D$84,3)))</f>
        <v/>
      </c>
      <c r="C538" s="86" t="str">
        <f>IF(B538="","",VLOOKUP(A538,Journal!$B$7:$E$84,4))</f>
        <v/>
      </c>
      <c r="D538" s="114" t="str">
        <f>IF(B538="","",VLOOKUP(A538,Journal!$B$7:$J$84,9))</f>
        <v/>
      </c>
      <c r="E538" s="116"/>
      <c r="F538" s="116"/>
      <c r="G538" s="115"/>
      <c r="H538" s="84" t="str">
        <f>IF(B538="","",VLOOKUP(A538,Journal!$B$7:$L$84,11))</f>
        <v/>
      </c>
      <c r="I538" s="84" t="str">
        <f>IF(B538="","",VLOOKUP(A538,Journal!$B$7:$M$84,12))</f>
        <v/>
      </c>
      <c r="J538" s="105">
        <f>IF(B538="Total",SUM(J$8:J537)+0.0001,IF(OR(B538="",I$2=I538),0,VLOOKUP(A538,Journal!$B$7:M$84,8)))</f>
        <v>0</v>
      </c>
      <c r="K538" s="102">
        <f>IF(B538="Total",SUM(K$8:K537)+0.0001,IF(OR(B538="",J538&lt;&gt;0),0,VLOOKUP(A538,Journal!$B$7:M$84,8)))</f>
        <v>0</v>
      </c>
      <c r="L538" s="87">
        <f t="shared" si="56"/>
        <v>0</v>
      </c>
      <c r="P538">
        <f t="shared" si="59"/>
        <v>1.0000000000000001E-5</v>
      </c>
      <c r="R538" s="15">
        <f t="shared" si="60"/>
        <v>531</v>
      </c>
      <c r="S538" s="126">
        <f>IF(VLOOKUP(A538,Journal!$A$7:$E$70,5)=0,S537+1,VLOOKUP(A538,Journal!$A$7:$E$70,5))</f>
        <v>46188</v>
      </c>
      <c r="T538" s="125">
        <f>IF(H$2=VLOOKUP(A538,Journal!$A$7:$F$70,6),VLOOKUP(A538,Journal!$A$7:M$70,9),0)</f>
        <v>0</v>
      </c>
      <c r="U538" s="125">
        <f>IF(H$2=VLOOKUP(A538,Journal!$A$7:$G$70,7),VLOOKUP(A538,Journal!$A$7:M$70,9),0)</f>
        <v>0</v>
      </c>
      <c r="V538" s="125">
        <f t="shared" si="61"/>
        <v>40</v>
      </c>
      <c r="X538">
        <f t="shared" si="58"/>
        <v>0</v>
      </c>
      <c r="Y538" s="143">
        <f t="shared" si="57"/>
        <v>-986.10526315791685</v>
      </c>
    </row>
    <row r="539" spans="1:25" x14ac:dyDescent="0.25">
      <c r="A539">
        <f t="shared" si="62"/>
        <v>532</v>
      </c>
      <c r="B539" s="88" t="str">
        <f>IF(OR(B538="Total",B538=""),"",IF(VLOOKUP(A539,Journal!$B$7:$E$84,4)=0,"Total",VLOOKUP(A539,Journal!$B$7:$D$84,3)))</f>
        <v/>
      </c>
      <c r="C539" s="86" t="str">
        <f>IF(B539="","",VLOOKUP(A539,Journal!$B$7:$E$84,4))</f>
        <v/>
      </c>
      <c r="D539" s="114" t="str">
        <f>IF(B539="","",VLOOKUP(A539,Journal!$B$7:$J$84,9))</f>
        <v/>
      </c>
      <c r="E539" s="116"/>
      <c r="F539" s="116"/>
      <c r="G539" s="115"/>
      <c r="H539" s="84" t="str">
        <f>IF(B539="","",VLOOKUP(A539,Journal!$B$7:$L$84,11))</f>
        <v/>
      </c>
      <c r="I539" s="84" t="str">
        <f>IF(B539="","",VLOOKUP(A539,Journal!$B$7:$M$84,12))</f>
        <v/>
      </c>
      <c r="J539" s="105">
        <f>IF(B539="Total",SUM(J$8:J538)+0.0001,IF(OR(B539="",I$2=I539),0,VLOOKUP(A539,Journal!$B$7:M$84,8)))</f>
        <v>0</v>
      </c>
      <c r="K539" s="102">
        <f>IF(B539="Total",SUM(K$8:K538)+0.0001,IF(OR(B539="",J539&lt;&gt;0),0,VLOOKUP(A539,Journal!$B$7:M$84,8)))</f>
        <v>0</v>
      </c>
      <c r="L539" s="87">
        <f t="shared" si="56"/>
        <v>0</v>
      </c>
      <c r="P539">
        <f t="shared" si="59"/>
        <v>1.0000000000000001E-5</v>
      </c>
      <c r="R539" s="15">
        <f t="shared" si="60"/>
        <v>532</v>
      </c>
      <c r="S539" s="126">
        <f>IF(VLOOKUP(A539,Journal!$A$7:$E$70,5)=0,S538+1,VLOOKUP(A539,Journal!$A$7:$E$70,5))</f>
        <v>46189</v>
      </c>
      <c r="T539" s="125">
        <f>IF(H$2=VLOOKUP(A539,Journal!$A$7:$F$70,6),VLOOKUP(A539,Journal!$A$7:M$70,9),0)</f>
        <v>0</v>
      </c>
      <c r="U539" s="125">
        <f>IF(H$2=VLOOKUP(A539,Journal!$A$7:$G$70,7),VLOOKUP(A539,Journal!$A$7:M$70,9),0)</f>
        <v>0</v>
      </c>
      <c r="V539" s="125">
        <f t="shared" si="61"/>
        <v>40</v>
      </c>
      <c r="X539">
        <f t="shared" si="58"/>
        <v>0</v>
      </c>
      <c r="Y539" s="143">
        <f t="shared" si="57"/>
        <v>-986.07894736844321</v>
      </c>
    </row>
    <row r="540" spans="1:25" x14ac:dyDescent="0.25">
      <c r="A540">
        <f t="shared" si="62"/>
        <v>533</v>
      </c>
      <c r="B540" s="88" t="str">
        <f>IF(OR(B539="Total",B539=""),"",IF(VLOOKUP(A540,Journal!$B$7:$E$84,4)=0,"Total",VLOOKUP(A540,Journal!$B$7:$D$84,3)))</f>
        <v/>
      </c>
      <c r="C540" s="86" t="str">
        <f>IF(B540="","",VLOOKUP(A540,Journal!$B$7:$E$84,4))</f>
        <v/>
      </c>
      <c r="D540" s="114" t="str">
        <f>IF(B540="","",VLOOKUP(A540,Journal!$B$7:$J$84,9))</f>
        <v/>
      </c>
      <c r="E540" s="116"/>
      <c r="F540" s="116"/>
      <c r="G540" s="115"/>
      <c r="H540" s="84" t="str">
        <f>IF(B540="","",VLOOKUP(A540,Journal!$B$7:$L$84,11))</f>
        <v/>
      </c>
      <c r="I540" s="84" t="str">
        <f>IF(B540="","",VLOOKUP(A540,Journal!$B$7:$M$84,12))</f>
        <v/>
      </c>
      <c r="J540" s="105">
        <f>IF(B540="Total",SUM(J$8:J539)+0.0001,IF(OR(B540="",I$2=I540),0,VLOOKUP(A540,Journal!$B$7:M$84,8)))</f>
        <v>0</v>
      </c>
      <c r="K540" s="102">
        <f>IF(B540="Total",SUM(K$8:K539)+0.0001,IF(OR(B540="",J540&lt;&gt;0),0,VLOOKUP(A540,Journal!$B$7:M$84,8)))</f>
        <v>0</v>
      </c>
      <c r="L540" s="87">
        <f t="shared" si="56"/>
        <v>0</v>
      </c>
      <c r="P540">
        <f t="shared" si="59"/>
        <v>1.0000000000000001E-5</v>
      </c>
      <c r="R540" s="15">
        <f t="shared" si="60"/>
        <v>533</v>
      </c>
      <c r="S540" s="126">
        <f>IF(VLOOKUP(A540,Journal!$A$7:$E$70,5)=0,S539+1,VLOOKUP(A540,Journal!$A$7:$E$70,5))</f>
        <v>46190</v>
      </c>
      <c r="T540" s="125">
        <f>IF(H$2=VLOOKUP(A540,Journal!$A$7:$F$70,6),VLOOKUP(A540,Journal!$A$7:M$70,9),0)</f>
        <v>0</v>
      </c>
      <c r="U540" s="125">
        <f>IF(H$2=VLOOKUP(A540,Journal!$A$7:$G$70,7),VLOOKUP(A540,Journal!$A$7:M$70,9),0)</f>
        <v>0</v>
      </c>
      <c r="V540" s="125">
        <f t="shared" si="61"/>
        <v>40</v>
      </c>
      <c r="X540">
        <f t="shared" si="58"/>
        <v>0</v>
      </c>
      <c r="Y540" s="143">
        <f t="shared" si="57"/>
        <v>-986.05263157896957</v>
      </c>
    </row>
    <row r="541" spans="1:25" x14ac:dyDescent="0.25">
      <c r="A541">
        <f t="shared" si="62"/>
        <v>534</v>
      </c>
      <c r="B541" s="88" t="str">
        <f>IF(OR(B540="Total",B540=""),"",IF(VLOOKUP(A541,Journal!$B$7:$E$84,4)=0,"Total",VLOOKUP(A541,Journal!$B$7:$D$84,3)))</f>
        <v/>
      </c>
      <c r="C541" s="86" t="str">
        <f>IF(B541="","",VLOOKUP(A541,Journal!$B$7:$E$84,4))</f>
        <v/>
      </c>
      <c r="D541" s="114" t="str">
        <f>IF(B541="","",VLOOKUP(A541,Journal!$B$7:$J$84,9))</f>
        <v/>
      </c>
      <c r="E541" s="116"/>
      <c r="F541" s="116"/>
      <c r="G541" s="115"/>
      <c r="H541" s="84" t="str">
        <f>IF(B541="","",VLOOKUP(A541,Journal!$B$7:$L$84,11))</f>
        <v/>
      </c>
      <c r="I541" s="84" t="str">
        <f>IF(B541="","",VLOOKUP(A541,Journal!$B$7:$M$84,12))</f>
        <v/>
      </c>
      <c r="J541" s="105">
        <f>IF(B541="Total",SUM(J$8:J540)+0.0001,IF(OR(B541="",I$2=I541),0,VLOOKUP(A541,Journal!$B$7:M$84,8)))</f>
        <v>0</v>
      </c>
      <c r="K541" s="102">
        <f>IF(B541="Total",SUM(K$8:K540)+0.0001,IF(OR(B541="",J541&lt;&gt;0),0,VLOOKUP(A541,Journal!$B$7:M$84,8)))</f>
        <v>0</v>
      </c>
      <c r="L541" s="87">
        <f t="shared" si="56"/>
        <v>0</v>
      </c>
      <c r="P541">
        <f t="shared" si="59"/>
        <v>1.0000000000000001E-5</v>
      </c>
      <c r="R541" s="15">
        <f t="shared" si="60"/>
        <v>534</v>
      </c>
      <c r="S541" s="126">
        <f>IF(VLOOKUP(A541,Journal!$A$7:$E$70,5)=0,S540+1,VLOOKUP(A541,Journal!$A$7:$E$70,5))</f>
        <v>46191</v>
      </c>
      <c r="T541" s="125">
        <f>IF(H$2=VLOOKUP(A541,Journal!$A$7:$F$70,6),VLOOKUP(A541,Journal!$A$7:M$70,9),0)</f>
        <v>0</v>
      </c>
      <c r="U541" s="125">
        <f>IF(H$2=VLOOKUP(A541,Journal!$A$7:$G$70,7),VLOOKUP(A541,Journal!$A$7:M$70,9),0)</f>
        <v>0</v>
      </c>
      <c r="V541" s="125">
        <f t="shared" si="61"/>
        <v>40</v>
      </c>
      <c r="X541">
        <f t="shared" si="58"/>
        <v>0</v>
      </c>
      <c r="Y541" s="143">
        <f t="shared" si="57"/>
        <v>-986.02631578949592</v>
      </c>
    </row>
    <row r="542" spans="1:25" x14ac:dyDescent="0.25">
      <c r="A542">
        <f t="shared" si="62"/>
        <v>535</v>
      </c>
      <c r="B542" s="88" t="str">
        <f>IF(OR(B541="Total",B541=""),"",IF(VLOOKUP(A542,Journal!$B$7:$E$84,4)=0,"Total",VLOOKUP(A542,Journal!$B$7:$D$84,3)))</f>
        <v/>
      </c>
      <c r="C542" s="86" t="str">
        <f>IF(B542="","",VLOOKUP(A542,Journal!$B$7:$E$84,4))</f>
        <v/>
      </c>
      <c r="D542" s="114" t="str">
        <f>IF(B542="","",VLOOKUP(A542,Journal!$B$7:$J$84,9))</f>
        <v/>
      </c>
      <c r="E542" s="116"/>
      <c r="F542" s="116"/>
      <c r="G542" s="115"/>
      <c r="H542" s="84" t="str">
        <f>IF(B542="","",VLOOKUP(A542,Journal!$B$7:$L$84,11))</f>
        <v/>
      </c>
      <c r="I542" s="84" t="str">
        <f>IF(B542="","",VLOOKUP(A542,Journal!$B$7:$M$84,12))</f>
        <v/>
      </c>
      <c r="J542" s="105">
        <f>IF(B542="Total",SUM(J$8:J541)+0.0001,IF(OR(B542="",I$2=I542),0,VLOOKUP(A542,Journal!$B$7:M$84,8)))</f>
        <v>0</v>
      </c>
      <c r="K542" s="102">
        <f>IF(B542="Total",SUM(K$8:K541)+0.0001,IF(OR(B542="",J542&lt;&gt;0),0,VLOOKUP(A542,Journal!$B$7:M$84,8)))</f>
        <v>0</v>
      </c>
      <c r="L542" s="87">
        <f t="shared" si="56"/>
        <v>0</v>
      </c>
      <c r="P542">
        <f t="shared" si="59"/>
        <v>1.0000000000000001E-5</v>
      </c>
      <c r="R542" s="15">
        <f t="shared" si="60"/>
        <v>535</v>
      </c>
      <c r="S542" s="126">
        <f>IF(VLOOKUP(A542,Journal!$A$7:$E$70,5)=0,S541+1,VLOOKUP(A542,Journal!$A$7:$E$70,5))</f>
        <v>46192</v>
      </c>
      <c r="T542" s="125">
        <f>IF(H$2=VLOOKUP(A542,Journal!$A$7:$F$70,6),VLOOKUP(A542,Journal!$A$7:M$70,9),0)</f>
        <v>0</v>
      </c>
      <c r="U542" s="125">
        <f>IF(H$2=VLOOKUP(A542,Journal!$A$7:$G$70,7),VLOOKUP(A542,Journal!$A$7:M$70,9),0)</f>
        <v>0</v>
      </c>
      <c r="V542" s="125">
        <f t="shared" si="61"/>
        <v>40</v>
      </c>
      <c r="X542">
        <f t="shared" si="58"/>
        <v>0</v>
      </c>
      <c r="Y542" s="143">
        <f t="shared" si="57"/>
        <v>-986.00000000002228</v>
      </c>
    </row>
    <row r="543" spans="1:25" x14ac:dyDescent="0.25">
      <c r="A543">
        <f t="shared" si="62"/>
        <v>536</v>
      </c>
      <c r="B543" s="88" t="str">
        <f>IF(OR(B542="Total",B542=""),"",IF(VLOOKUP(A543,Journal!$B$7:$E$84,4)=0,"Total",VLOOKUP(A543,Journal!$B$7:$D$84,3)))</f>
        <v/>
      </c>
      <c r="C543" s="86" t="str">
        <f>IF(B543="","",VLOOKUP(A543,Journal!$B$7:$E$84,4))</f>
        <v/>
      </c>
      <c r="D543" s="114" t="str">
        <f>IF(B543="","",VLOOKUP(A543,Journal!$B$7:$J$84,9))</f>
        <v/>
      </c>
      <c r="E543" s="116"/>
      <c r="F543" s="116"/>
      <c r="G543" s="115"/>
      <c r="H543" s="84" t="str">
        <f>IF(B543="","",VLOOKUP(A543,Journal!$B$7:$L$84,11))</f>
        <v/>
      </c>
      <c r="I543" s="84" t="str">
        <f>IF(B543="","",VLOOKUP(A543,Journal!$B$7:$M$84,12))</f>
        <v/>
      </c>
      <c r="J543" s="105">
        <f>IF(B543="Total",SUM(J$8:J542)+0.0001,IF(OR(B543="",I$2=I543),0,VLOOKUP(A543,Journal!$B$7:M$84,8)))</f>
        <v>0</v>
      </c>
      <c r="K543" s="102">
        <f>IF(B543="Total",SUM(K$8:K542)+0.0001,IF(OR(B543="",J543&lt;&gt;0),0,VLOOKUP(A543,Journal!$B$7:M$84,8)))</f>
        <v>0</v>
      </c>
      <c r="L543" s="87">
        <f t="shared" si="56"/>
        <v>0</v>
      </c>
      <c r="P543">
        <f t="shared" si="59"/>
        <v>1.0000000000000001E-5</v>
      </c>
      <c r="R543" s="15">
        <f t="shared" si="60"/>
        <v>536</v>
      </c>
      <c r="S543" s="126">
        <f>IF(VLOOKUP(A543,Journal!$A$7:$E$70,5)=0,S542+1,VLOOKUP(A543,Journal!$A$7:$E$70,5))</f>
        <v>46193</v>
      </c>
      <c r="T543" s="125">
        <f>IF(H$2=VLOOKUP(A543,Journal!$A$7:$F$70,6),VLOOKUP(A543,Journal!$A$7:M$70,9),0)</f>
        <v>0</v>
      </c>
      <c r="U543" s="125">
        <f>IF(H$2=VLOOKUP(A543,Journal!$A$7:$G$70,7),VLOOKUP(A543,Journal!$A$7:M$70,9),0)</f>
        <v>0</v>
      </c>
      <c r="V543" s="125">
        <f t="shared" si="61"/>
        <v>40</v>
      </c>
      <c r="X543">
        <f t="shared" si="58"/>
        <v>0</v>
      </c>
      <c r="Y543" s="143">
        <f t="shared" si="57"/>
        <v>-985.97368421054864</v>
      </c>
    </row>
    <row r="544" spans="1:25" x14ac:dyDescent="0.25">
      <c r="A544">
        <f t="shared" si="62"/>
        <v>537</v>
      </c>
      <c r="B544" s="88" t="str">
        <f>IF(OR(B543="Total",B543=""),"",IF(VLOOKUP(A544,Journal!$B$7:$E$84,4)=0,"Total",VLOOKUP(A544,Journal!$B$7:$D$84,3)))</f>
        <v/>
      </c>
      <c r="C544" s="86" t="str">
        <f>IF(B544="","",VLOOKUP(A544,Journal!$B$7:$E$84,4))</f>
        <v/>
      </c>
      <c r="D544" s="114" t="str">
        <f>IF(B544="","",VLOOKUP(A544,Journal!$B$7:$J$84,9))</f>
        <v/>
      </c>
      <c r="E544" s="116"/>
      <c r="F544" s="116"/>
      <c r="G544" s="115"/>
      <c r="H544" s="84" t="str">
        <f>IF(B544="","",VLOOKUP(A544,Journal!$B$7:$L$84,11))</f>
        <v/>
      </c>
      <c r="I544" s="84" t="str">
        <f>IF(B544="","",VLOOKUP(A544,Journal!$B$7:$M$84,12))</f>
        <v/>
      </c>
      <c r="J544" s="105">
        <f>IF(B544="Total",SUM(J$8:J543)+0.0001,IF(OR(B544="",I$2=I544),0,VLOOKUP(A544,Journal!$B$7:M$84,8)))</f>
        <v>0</v>
      </c>
      <c r="K544" s="102">
        <f>IF(B544="Total",SUM(K$8:K543)+0.0001,IF(OR(B544="",J544&lt;&gt;0),0,VLOOKUP(A544,Journal!$B$7:M$84,8)))</f>
        <v>0</v>
      </c>
      <c r="L544" s="87">
        <f t="shared" si="56"/>
        <v>0</v>
      </c>
      <c r="P544">
        <f t="shared" si="59"/>
        <v>1.0000000000000001E-5</v>
      </c>
      <c r="R544" s="15">
        <f t="shared" si="60"/>
        <v>537</v>
      </c>
      <c r="S544" s="126">
        <f>IF(VLOOKUP(A544,Journal!$A$7:$E$70,5)=0,S543+1,VLOOKUP(A544,Journal!$A$7:$E$70,5))</f>
        <v>46194</v>
      </c>
      <c r="T544" s="125">
        <f>IF(H$2=VLOOKUP(A544,Journal!$A$7:$F$70,6),VLOOKUP(A544,Journal!$A$7:M$70,9),0)</f>
        <v>0</v>
      </c>
      <c r="U544" s="125">
        <f>IF(H$2=VLOOKUP(A544,Journal!$A$7:$G$70,7),VLOOKUP(A544,Journal!$A$7:M$70,9),0)</f>
        <v>0</v>
      </c>
      <c r="V544" s="125">
        <f t="shared" si="61"/>
        <v>40</v>
      </c>
      <c r="X544">
        <f t="shared" si="58"/>
        <v>0</v>
      </c>
      <c r="Y544" s="143">
        <f t="shared" si="57"/>
        <v>-985.947368421075</v>
      </c>
    </row>
    <row r="545" spans="1:25" x14ac:dyDescent="0.25">
      <c r="A545">
        <f t="shared" si="62"/>
        <v>538</v>
      </c>
      <c r="B545" s="88" t="str">
        <f>IF(OR(B544="Total",B544=""),"",IF(VLOOKUP(A545,Journal!$B$7:$E$84,4)=0,"Total",VLOOKUP(A545,Journal!$B$7:$D$84,3)))</f>
        <v/>
      </c>
      <c r="C545" s="86" t="str">
        <f>IF(B545="","",VLOOKUP(A545,Journal!$B$7:$E$84,4))</f>
        <v/>
      </c>
      <c r="D545" s="114" t="str">
        <f>IF(B545="","",VLOOKUP(A545,Journal!$B$7:$J$84,9))</f>
        <v/>
      </c>
      <c r="E545" s="116"/>
      <c r="F545" s="116"/>
      <c r="G545" s="115"/>
      <c r="H545" s="84" t="str">
        <f>IF(B545="","",VLOOKUP(A545,Journal!$B$7:$L$84,11))</f>
        <v/>
      </c>
      <c r="I545" s="84" t="str">
        <f>IF(B545="","",VLOOKUP(A545,Journal!$B$7:$M$84,12))</f>
        <v/>
      </c>
      <c r="J545" s="105">
        <f>IF(B545="Total",SUM(J$8:J544)+0.0001,IF(OR(B545="",I$2=I545),0,VLOOKUP(A545,Journal!$B$7:M$84,8)))</f>
        <v>0</v>
      </c>
      <c r="K545" s="102">
        <f>IF(B545="Total",SUM(K$8:K544)+0.0001,IF(OR(B545="",J545&lt;&gt;0),0,VLOOKUP(A545,Journal!$B$7:M$84,8)))</f>
        <v>0</v>
      </c>
      <c r="L545" s="87">
        <f t="shared" si="56"/>
        <v>0</v>
      </c>
      <c r="P545">
        <f t="shared" si="59"/>
        <v>1.0000000000000001E-5</v>
      </c>
      <c r="R545" s="15">
        <f t="shared" si="60"/>
        <v>538</v>
      </c>
      <c r="S545" s="126">
        <f>IF(VLOOKUP(A545,Journal!$A$7:$E$70,5)=0,S544+1,VLOOKUP(A545,Journal!$A$7:$E$70,5))</f>
        <v>46195</v>
      </c>
      <c r="T545" s="125">
        <f>IF(H$2=VLOOKUP(A545,Journal!$A$7:$F$70,6),VLOOKUP(A545,Journal!$A$7:M$70,9),0)</f>
        <v>0</v>
      </c>
      <c r="U545" s="125">
        <f>IF(H$2=VLOOKUP(A545,Journal!$A$7:$G$70,7),VLOOKUP(A545,Journal!$A$7:M$70,9),0)</f>
        <v>0</v>
      </c>
      <c r="V545" s="125">
        <f t="shared" si="61"/>
        <v>40</v>
      </c>
      <c r="X545">
        <f t="shared" si="58"/>
        <v>0</v>
      </c>
      <c r="Y545" s="143">
        <f t="shared" si="57"/>
        <v>-985.92105263160136</v>
      </c>
    </row>
    <row r="546" spans="1:25" x14ac:dyDescent="0.25">
      <c r="A546">
        <f t="shared" si="62"/>
        <v>539</v>
      </c>
      <c r="B546" s="88" t="str">
        <f>IF(OR(B545="Total",B545=""),"",IF(VLOOKUP(A546,Journal!$B$7:$E$84,4)=0,"Total",VLOOKUP(A546,Journal!$B$7:$D$84,3)))</f>
        <v/>
      </c>
      <c r="C546" s="86" t="str">
        <f>IF(B546="","",VLOOKUP(A546,Journal!$B$7:$E$84,4))</f>
        <v/>
      </c>
      <c r="D546" s="114" t="str">
        <f>IF(B546="","",VLOOKUP(A546,Journal!$B$7:$J$84,9))</f>
        <v/>
      </c>
      <c r="E546" s="116"/>
      <c r="F546" s="116"/>
      <c r="G546" s="115"/>
      <c r="H546" s="84" t="str">
        <f>IF(B546="","",VLOOKUP(A546,Journal!$B$7:$L$84,11))</f>
        <v/>
      </c>
      <c r="I546" s="84" t="str">
        <f>IF(B546="","",VLOOKUP(A546,Journal!$B$7:$M$84,12))</f>
        <v/>
      </c>
      <c r="J546" s="105">
        <f>IF(B546="Total",SUM(J$8:J545)+0.0001,IF(OR(B546="",I$2=I546),0,VLOOKUP(A546,Journal!$B$7:M$84,8)))</f>
        <v>0</v>
      </c>
      <c r="K546" s="102">
        <f>IF(B546="Total",SUM(K$8:K545)+0.0001,IF(OR(B546="",J546&lt;&gt;0),0,VLOOKUP(A546,Journal!$B$7:M$84,8)))</f>
        <v>0</v>
      </c>
      <c r="L546" s="87">
        <f t="shared" si="56"/>
        <v>0</v>
      </c>
      <c r="P546">
        <f t="shared" si="59"/>
        <v>1.0000000000000001E-5</v>
      </c>
      <c r="R546" s="15">
        <f t="shared" si="60"/>
        <v>539</v>
      </c>
      <c r="S546" s="126">
        <f>IF(VLOOKUP(A546,Journal!$A$7:$E$70,5)=0,S545+1,VLOOKUP(A546,Journal!$A$7:$E$70,5))</f>
        <v>46196</v>
      </c>
      <c r="T546" s="125">
        <f>IF(H$2=VLOOKUP(A546,Journal!$A$7:$F$70,6),VLOOKUP(A546,Journal!$A$7:M$70,9),0)</f>
        <v>0</v>
      </c>
      <c r="U546" s="125">
        <f>IF(H$2=VLOOKUP(A546,Journal!$A$7:$G$70,7),VLOOKUP(A546,Journal!$A$7:M$70,9),0)</f>
        <v>0</v>
      </c>
      <c r="V546" s="125">
        <f t="shared" si="61"/>
        <v>40</v>
      </c>
      <c r="X546">
        <f t="shared" si="58"/>
        <v>0</v>
      </c>
      <c r="Y546" s="143">
        <f t="shared" si="57"/>
        <v>-985.89473684212771</v>
      </c>
    </row>
    <row r="547" spans="1:25" x14ac:dyDescent="0.25">
      <c r="A547">
        <f t="shared" si="62"/>
        <v>540</v>
      </c>
      <c r="B547" s="88" t="str">
        <f>IF(OR(B546="Total",B546=""),"",IF(VLOOKUP(A547,Journal!$B$7:$E$84,4)=0,"Total",VLOOKUP(A547,Journal!$B$7:$D$84,3)))</f>
        <v/>
      </c>
      <c r="C547" s="86" t="str">
        <f>IF(B547="","",VLOOKUP(A547,Journal!$B$7:$E$84,4))</f>
        <v/>
      </c>
      <c r="D547" s="114" t="str">
        <f>IF(B547="","",VLOOKUP(A547,Journal!$B$7:$J$84,9))</f>
        <v/>
      </c>
      <c r="E547" s="116"/>
      <c r="F547" s="116"/>
      <c r="G547" s="115"/>
      <c r="H547" s="84" t="str">
        <f>IF(B547="","",VLOOKUP(A547,Journal!$B$7:$L$84,11))</f>
        <v/>
      </c>
      <c r="I547" s="84" t="str">
        <f>IF(B547="","",VLOOKUP(A547,Journal!$B$7:$M$84,12))</f>
        <v/>
      </c>
      <c r="J547" s="105">
        <f>IF(B547="Total",SUM(J$8:J546)+0.0001,IF(OR(B547="",I$2=I547),0,VLOOKUP(A547,Journal!$B$7:M$84,8)))</f>
        <v>0</v>
      </c>
      <c r="K547" s="102">
        <f>IF(B547="Total",SUM(K$8:K546)+0.0001,IF(OR(B547="",J547&lt;&gt;0),0,VLOOKUP(A547,Journal!$B$7:M$84,8)))</f>
        <v>0</v>
      </c>
      <c r="L547" s="87">
        <f t="shared" si="56"/>
        <v>0</v>
      </c>
      <c r="P547">
        <f t="shared" si="59"/>
        <v>1.0000000000000001E-5</v>
      </c>
      <c r="R547" s="15">
        <f t="shared" si="60"/>
        <v>540</v>
      </c>
      <c r="S547" s="126">
        <f>IF(VLOOKUP(A547,Journal!$A$7:$E$70,5)=0,S546+1,VLOOKUP(A547,Journal!$A$7:$E$70,5))</f>
        <v>46197</v>
      </c>
      <c r="T547" s="125">
        <f>IF(H$2=VLOOKUP(A547,Journal!$A$7:$F$70,6),VLOOKUP(A547,Journal!$A$7:M$70,9),0)</f>
        <v>0</v>
      </c>
      <c r="U547" s="125">
        <f>IF(H$2=VLOOKUP(A547,Journal!$A$7:$G$70,7),VLOOKUP(A547,Journal!$A$7:M$70,9),0)</f>
        <v>0</v>
      </c>
      <c r="V547" s="125">
        <f t="shared" si="61"/>
        <v>40</v>
      </c>
      <c r="X547">
        <f t="shared" si="58"/>
        <v>0</v>
      </c>
      <c r="Y547" s="143">
        <f t="shared" si="57"/>
        <v>-985.86842105265407</v>
      </c>
    </row>
    <row r="548" spans="1:25" x14ac:dyDescent="0.25">
      <c r="A548">
        <f t="shared" si="62"/>
        <v>541</v>
      </c>
      <c r="B548" s="88" t="str">
        <f>IF(OR(B547="Total",B547=""),"",IF(VLOOKUP(A548,Journal!$B$7:$E$84,4)=0,"Total",VLOOKUP(A548,Journal!$B$7:$D$84,3)))</f>
        <v/>
      </c>
      <c r="C548" s="86" t="str">
        <f>IF(B548="","",VLOOKUP(A548,Journal!$B$7:$E$84,4))</f>
        <v/>
      </c>
      <c r="D548" s="114" t="str">
        <f>IF(B548="","",VLOOKUP(A548,Journal!$B$7:$J$84,9))</f>
        <v/>
      </c>
      <c r="E548" s="116"/>
      <c r="F548" s="116"/>
      <c r="G548" s="115"/>
      <c r="H548" s="84" t="str">
        <f>IF(B548="","",VLOOKUP(A548,Journal!$B$7:$L$84,11))</f>
        <v/>
      </c>
      <c r="I548" s="84" t="str">
        <f>IF(B548="","",VLOOKUP(A548,Journal!$B$7:$M$84,12))</f>
        <v/>
      </c>
      <c r="J548" s="105">
        <f>IF(B548="Total",SUM(J$8:J547)+0.0001,IF(OR(B548="",I$2=I548),0,VLOOKUP(A548,Journal!$B$7:M$84,8)))</f>
        <v>0</v>
      </c>
      <c r="K548" s="102">
        <f>IF(B548="Total",SUM(K$8:K547)+0.0001,IF(OR(B548="",J548&lt;&gt;0),0,VLOOKUP(A548,Journal!$B$7:M$84,8)))</f>
        <v>0</v>
      </c>
      <c r="L548" s="87">
        <f t="shared" si="56"/>
        <v>0</v>
      </c>
      <c r="P548">
        <f t="shared" si="59"/>
        <v>1.0000000000000001E-5</v>
      </c>
      <c r="R548" s="15">
        <f t="shared" si="60"/>
        <v>541</v>
      </c>
      <c r="S548" s="126">
        <f>IF(VLOOKUP(A548,Journal!$A$7:$E$70,5)=0,S547+1,VLOOKUP(A548,Journal!$A$7:$E$70,5))</f>
        <v>46198</v>
      </c>
      <c r="T548" s="125">
        <f>IF(H$2=VLOOKUP(A548,Journal!$A$7:$F$70,6),VLOOKUP(A548,Journal!$A$7:M$70,9),0)</f>
        <v>0</v>
      </c>
      <c r="U548" s="125">
        <f>IF(H$2=VLOOKUP(A548,Journal!$A$7:$G$70,7),VLOOKUP(A548,Journal!$A$7:M$70,9),0)</f>
        <v>0</v>
      </c>
      <c r="V548" s="125">
        <f t="shared" si="61"/>
        <v>40</v>
      </c>
      <c r="X548">
        <f t="shared" si="58"/>
        <v>0</v>
      </c>
      <c r="Y548" s="143">
        <f t="shared" si="57"/>
        <v>-985.84210526318043</v>
      </c>
    </row>
    <row r="549" spans="1:25" x14ac:dyDescent="0.25">
      <c r="A549">
        <f t="shared" si="62"/>
        <v>542</v>
      </c>
      <c r="B549" s="88" t="str">
        <f>IF(OR(B548="Total",B548=""),"",IF(VLOOKUP(A549,Journal!$B$7:$E$84,4)=0,"Total",VLOOKUP(A549,Journal!$B$7:$D$84,3)))</f>
        <v/>
      </c>
      <c r="C549" s="86" t="str">
        <f>IF(B549="","",VLOOKUP(A549,Journal!$B$7:$E$84,4))</f>
        <v/>
      </c>
      <c r="D549" s="114" t="str">
        <f>IF(B549="","",VLOOKUP(A549,Journal!$B$7:$J$84,9))</f>
        <v/>
      </c>
      <c r="E549" s="116"/>
      <c r="F549" s="116"/>
      <c r="G549" s="115"/>
      <c r="H549" s="84" t="str">
        <f>IF(B549="","",VLOOKUP(A549,Journal!$B$7:$L$84,11))</f>
        <v/>
      </c>
      <c r="I549" s="84" t="str">
        <f>IF(B549="","",VLOOKUP(A549,Journal!$B$7:$M$84,12))</f>
        <v/>
      </c>
      <c r="J549" s="105">
        <f>IF(B549="Total",SUM(J$8:J548)+0.0001,IF(OR(B549="",I$2=I549),0,VLOOKUP(A549,Journal!$B$7:M$84,8)))</f>
        <v>0</v>
      </c>
      <c r="K549" s="102">
        <f>IF(B549="Total",SUM(K$8:K548)+0.0001,IF(OR(B549="",J549&lt;&gt;0),0,VLOOKUP(A549,Journal!$B$7:M$84,8)))</f>
        <v>0</v>
      </c>
      <c r="L549" s="87">
        <f t="shared" si="56"/>
        <v>0</v>
      </c>
      <c r="P549">
        <f t="shared" si="59"/>
        <v>1.0000000000000001E-5</v>
      </c>
      <c r="R549" s="15">
        <f t="shared" si="60"/>
        <v>542</v>
      </c>
      <c r="S549" s="126">
        <f>IF(VLOOKUP(A549,Journal!$A$7:$E$70,5)=0,S548+1,VLOOKUP(A549,Journal!$A$7:$E$70,5))</f>
        <v>46199</v>
      </c>
      <c r="T549" s="125">
        <f>IF(H$2=VLOOKUP(A549,Journal!$A$7:$F$70,6),VLOOKUP(A549,Journal!$A$7:M$70,9),0)</f>
        <v>0</v>
      </c>
      <c r="U549" s="125">
        <f>IF(H$2=VLOOKUP(A549,Journal!$A$7:$G$70,7),VLOOKUP(A549,Journal!$A$7:M$70,9),0)</f>
        <v>0</v>
      </c>
      <c r="V549" s="125">
        <f t="shared" si="61"/>
        <v>40</v>
      </c>
      <c r="X549">
        <f t="shared" si="58"/>
        <v>0</v>
      </c>
      <c r="Y549" s="143">
        <f t="shared" si="57"/>
        <v>-985.81578947370679</v>
      </c>
    </row>
    <row r="550" spans="1:25" x14ac:dyDescent="0.25">
      <c r="A550">
        <f t="shared" si="62"/>
        <v>543</v>
      </c>
      <c r="B550" s="88" t="str">
        <f>IF(OR(B549="Total",B549=""),"",IF(VLOOKUP(A550,Journal!$B$7:$E$84,4)=0,"Total",VLOOKUP(A550,Journal!$B$7:$D$84,3)))</f>
        <v/>
      </c>
      <c r="C550" s="86" t="str">
        <f>IF(B550="","",VLOOKUP(A550,Journal!$B$7:$E$84,4))</f>
        <v/>
      </c>
      <c r="D550" s="114" t="str">
        <f>IF(B550="","",VLOOKUP(A550,Journal!$B$7:$J$84,9))</f>
        <v/>
      </c>
      <c r="E550" s="116"/>
      <c r="F550" s="116"/>
      <c r="G550" s="115"/>
      <c r="H550" s="84" t="str">
        <f>IF(B550="","",VLOOKUP(A550,Journal!$B$7:$L$84,11))</f>
        <v/>
      </c>
      <c r="I550" s="84" t="str">
        <f>IF(B550="","",VLOOKUP(A550,Journal!$B$7:$M$84,12))</f>
        <v/>
      </c>
      <c r="J550" s="105">
        <f>IF(B550="Total",SUM(J$8:J549)+0.0001,IF(OR(B550="",I$2=I550),0,VLOOKUP(A550,Journal!$B$7:M$84,8)))</f>
        <v>0</v>
      </c>
      <c r="K550" s="102">
        <f>IF(B550="Total",SUM(K$8:K549)+0.0001,IF(OR(B550="",J550&lt;&gt;0),0,VLOOKUP(A550,Journal!$B$7:M$84,8)))</f>
        <v>0</v>
      </c>
      <c r="L550" s="87">
        <f t="shared" si="56"/>
        <v>0</v>
      </c>
      <c r="P550">
        <f t="shared" si="59"/>
        <v>1.0000000000000001E-5</v>
      </c>
      <c r="R550" s="15">
        <f t="shared" si="60"/>
        <v>543</v>
      </c>
      <c r="S550" s="126">
        <f>IF(VLOOKUP(A550,Journal!$A$7:$E$70,5)=0,S549+1,VLOOKUP(A550,Journal!$A$7:$E$70,5))</f>
        <v>46200</v>
      </c>
      <c r="T550" s="125">
        <f>IF(H$2=VLOOKUP(A550,Journal!$A$7:$F$70,6),VLOOKUP(A550,Journal!$A$7:M$70,9),0)</f>
        <v>0</v>
      </c>
      <c r="U550" s="125">
        <f>IF(H$2=VLOOKUP(A550,Journal!$A$7:$G$70,7),VLOOKUP(A550,Journal!$A$7:M$70,9),0)</f>
        <v>0</v>
      </c>
      <c r="V550" s="125">
        <f t="shared" si="61"/>
        <v>40</v>
      </c>
      <c r="X550">
        <f t="shared" si="58"/>
        <v>0</v>
      </c>
      <c r="Y550" s="143">
        <f t="shared" si="57"/>
        <v>-985.78947368423314</v>
      </c>
    </row>
    <row r="551" spans="1:25" x14ac:dyDescent="0.25">
      <c r="A551">
        <f t="shared" si="62"/>
        <v>544</v>
      </c>
      <c r="B551" s="88" t="str">
        <f>IF(OR(B550="Total",B550=""),"",IF(VLOOKUP(A551,Journal!$B$7:$E$84,4)=0,"Total",VLOOKUP(A551,Journal!$B$7:$D$84,3)))</f>
        <v/>
      </c>
      <c r="C551" s="86" t="str">
        <f>IF(B551="","",VLOOKUP(A551,Journal!$B$7:$E$84,4))</f>
        <v/>
      </c>
      <c r="D551" s="114" t="str">
        <f>IF(B551="","",VLOOKUP(A551,Journal!$B$7:$J$84,9))</f>
        <v/>
      </c>
      <c r="E551" s="116"/>
      <c r="F551" s="116"/>
      <c r="G551" s="115"/>
      <c r="H551" s="84" t="str">
        <f>IF(B551="","",VLOOKUP(A551,Journal!$B$7:$L$84,11))</f>
        <v/>
      </c>
      <c r="I551" s="84" t="str">
        <f>IF(B551="","",VLOOKUP(A551,Journal!$B$7:$M$84,12))</f>
        <v/>
      </c>
      <c r="J551" s="105">
        <f>IF(B551="Total",SUM(J$8:J550)+0.0001,IF(OR(B551="",I$2=I551),0,VLOOKUP(A551,Journal!$B$7:M$84,8)))</f>
        <v>0</v>
      </c>
      <c r="K551" s="102">
        <f>IF(B551="Total",SUM(K$8:K550)+0.0001,IF(OR(B551="",J551&lt;&gt;0),0,VLOOKUP(A551,Journal!$B$7:M$84,8)))</f>
        <v>0</v>
      </c>
      <c r="L551" s="87">
        <f t="shared" si="56"/>
        <v>0</v>
      </c>
      <c r="P551">
        <f t="shared" si="59"/>
        <v>1.0000000000000001E-5</v>
      </c>
      <c r="R551" s="15">
        <f t="shared" si="60"/>
        <v>544</v>
      </c>
      <c r="S551" s="126">
        <f>IF(VLOOKUP(A551,Journal!$A$7:$E$70,5)=0,S550+1,VLOOKUP(A551,Journal!$A$7:$E$70,5))</f>
        <v>46201</v>
      </c>
      <c r="T551" s="125">
        <f>IF(H$2=VLOOKUP(A551,Journal!$A$7:$F$70,6),VLOOKUP(A551,Journal!$A$7:M$70,9),0)</f>
        <v>0</v>
      </c>
      <c r="U551" s="125">
        <f>IF(H$2=VLOOKUP(A551,Journal!$A$7:$G$70,7),VLOOKUP(A551,Journal!$A$7:M$70,9),0)</f>
        <v>0</v>
      </c>
      <c r="V551" s="125">
        <f t="shared" si="61"/>
        <v>40</v>
      </c>
      <c r="X551">
        <f t="shared" si="58"/>
        <v>0</v>
      </c>
      <c r="Y551" s="143">
        <f t="shared" si="57"/>
        <v>-985.7631578947595</v>
      </c>
    </row>
    <row r="552" spans="1:25" x14ac:dyDescent="0.25">
      <c r="A552">
        <f t="shared" si="62"/>
        <v>545</v>
      </c>
      <c r="B552" s="88" t="str">
        <f>IF(OR(B551="Total",B551=""),"",IF(VLOOKUP(A552,Journal!$B$7:$E$84,4)=0,"Total",VLOOKUP(A552,Journal!$B$7:$D$84,3)))</f>
        <v/>
      </c>
      <c r="C552" s="86" t="str">
        <f>IF(B552="","",VLOOKUP(A552,Journal!$B$7:$E$84,4))</f>
        <v/>
      </c>
      <c r="D552" s="114" t="str">
        <f>IF(B552="","",VLOOKUP(A552,Journal!$B$7:$J$84,9))</f>
        <v/>
      </c>
      <c r="E552" s="116"/>
      <c r="F552" s="116"/>
      <c r="G552" s="115"/>
      <c r="H552" s="84" t="str">
        <f>IF(B552="","",VLOOKUP(A552,Journal!$B$7:$L$84,11))</f>
        <v/>
      </c>
      <c r="I552" s="84" t="str">
        <f>IF(B552="","",VLOOKUP(A552,Journal!$B$7:$M$84,12))</f>
        <v/>
      </c>
      <c r="J552" s="105">
        <f>IF(B552="Total",SUM(J$8:J551)+0.0001,IF(OR(B552="",I$2=I552),0,VLOOKUP(A552,Journal!$B$7:M$84,8)))</f>
        <v>0</v>
      </c>
      <c r="K552" s="102">
        <f>IF(B552="Total",SUM(K$8:K551)+0.0001,IF(OR(B552="",J552&lt;&gt;0),0,VLOOKUP(A552,Journal!$B$7:M$84,8)))</f>
        <v>0</v>
      </c>
      <c r="L552" s="87">
        <f t="shared" si="56"/>
        <v>0</v>
      </c>
      <c r="P552">
        <f t="shared" si="59"/>
        <v>1.0000000000000001E-5</v>
      </c>
      <c r="R552" s="15">
        <f t="shared" si="60"/>
        <v>545</v>
      </c>
      <c r="S552" s="126">
        <f>IF(VLOOKUP(A552,Journal!$A$7:$E$70,5)=0,S551+1,VLOOKUP(A552,Journal!$A$7:$E$70,5))</f>
        <v>46202</v>
      </c>
      <c r="T552" s="125">
        <f>IF(H$2=VLOOKUP(A552,Journal!$A$7:$F$70,6),VLOOKUP(A552,Journal!$A$7:M$70,9),0)</f>
        <v>0</v>
      </c>
      <c r="U552" s="125">
        <f>IF(H$2=VLOOKUP(A552,Journal!$A$7:$G$70,7),VLOOKUP(A552,Journal!$A$7:M$70,9),0)</f>
        <v>0</v>
      </c>
      <c r="V552" s="125">
        <f t="shared" si="61"/>
        <v>40</v>
      </c>
      <c r="X552">
        <f t="shared" si="58"/>
        <v>0</v>
      </c>
      <c r="Y552" s="143">
        <f t="shared" si="57"/>
        <v>-985.73684210528586</v>
      </c>
    </row>
    <row r="553" spans="1:25" x14ac:dyDescent="0.25">
      <c r="A553">
        <f t="shared" si="62"/>
        <v>546</v>
      </c>
      <c r="B553" s="88" t="str">
        <f>IF(OR(B552="Total",B552=""),"",IF(VLOOKUP(A553,Journal!$B$7:$E$84,4)=0,"Total",VLOOKUP(A553,Journal!$B$7:$D$84,3)))</f>
        <v/>
      </c>
      <c r="C553" s="86" t="str">
        <f>IF(B553="","",VLOOKUP(A553,Journal!$B$7:$E$84,4))</f>
        <v/>
      </c>
      <c r="D553" s="114" t="str">
        <f>IF(B553="","",VLOOKUP(A553,Journal!$B$7:$J$84,9))</f>
        <v/>
      </c>
      <c r="E553" s="116"/>
      <c r="F553" s="116"/>
      <c r="G553" s="115"/>
      <c r="H553" s="84" t="str">
        <f>IF(B553="","",VLOOKUP(A553,Journal!$B$7:$L$84,11))</f>
        <v/>
      </c>
      <c r="I553" s="84" t="str">
        <f>IF(B553="","",VLOOKUP(A553,Journal!$B$7:$M$84,12))</f>
        <v/>
      </c>
      <c r="J553" s="105">
        <f>IF(B553="Total",SUM(J$8:J552)+0.0001,IF(OR(B553="",I$2=I553),0,VLOOKUP(A553,Journal!$B$7:M$84,8)))</f>
        <v>0</v>
      </c>
      <c r="K553" s="102">
        <f>IF(B553="Total",SUM(K$8:K552)+0.0001,IF(OR(B553="",J553&lt;&gt;0),0,VLOOKUP(A553,Journal!$B$7:M$84,8)))</f>
        <v>0</v>
      </c>
      <c r="L553" s="87">
        <f t="shared" si="56"/>
        <v>0</v>
      </c>
      <c r="P553">
        <f t="shared" si="59"/>
        <v>1.0000000000000001E-5</v>
      </c>
      <c r="R553" s="15">
        <f t="shared" si="60"/>
        <v>546</v>
      </c>
      <c r="S553" s="126">
        <f>IF(VLOOKUP(A553,Journal!$A$7:$E$70,5)=0,S552+1,VLOOKUP(A553,Journal!$A$7:$E$70,5))</f>
        <v>46203</v>
      </c>
      <c r="T553" s="125">
        <f>IF(H$2=VLOOKUP(A553,Journal!$A$7:$F$70,6),VLOOKUP(A553,Journal!$A$7:M$70,9),0)</f>
        <v>0</v>
      </c>
      <c r="U553" s="125">
        <f>IF(H$2=VLOOKUP(A553,Journal!$A$7:$G$70,7),VLOOKUP(A553,Journal!$A$7:M$70,9),0)</f>
        <v>0</v>
      </c>
      <c r="V553" s="125">
        <f t="shared" si="61"/>
        <v>40</v>
      </c>
      <c r="X553">
        <f t="shared" si="58"/>
        <v>0</v>
      </c>
      <c r="Y553" s="143">
        <f t="shared" si="57"/>
        <v>-985.71052631581222</v>
      </c>
    </row>
    <row r="554" spans="1:25" x14ac:dyDescent="0.25">
      <c r="A554">
        <f t="shared" si="62"/>
        <v>547</v>
      </c>
      <c r="B554" s="88" t="str">
        <f>IF(OR(B553="Total",B553=""),"",IF(VLOOKUP(A554,Journal!$B$7:$E$84,4)=0,"Total",VLOOKUP(A554,Journal!$B$7:$D$84,3)))</f>
        <v/>
      </c>
      <c r="C554" s="86" t="str">
        <f>IF(B554="","",VLOOKUP(A554,Journal!$B$7:$E$84,4))</f>
        <v/>
      </c>
      <c r="D554" s="114" t="str">
        <f>IF(B554="","",VLOOKUP(A554,Journal!$B$7:$J$84,9))</f>
        <v/>
      </c>
      <c r="E554" s="116"/>
      <c r="F554" s="116"/>
      <c r="G554" s="115"/>
      <c r="H554" s="84" t="str">
        <f>IF(B554="","",VLOOKUP(A554,Journal!$B$7:$L$84,11))</f>
        <v/>
      </c>
      <c r="I554" s="84" t="str">
        <f>IF(B554="","",VLOOKUP(A554,Journal!$B$7:$M$84,12))</f>
        <v/>
      </c>
      <c r="J554" s="105">
        <f>IF(B554="Total",SUM(J$8:J553)+0.0001,IF(OR(B554="",I$2=I554),0,VLOOKUP(A554,Journal!$B$7:M$84,8)))</f>
        <v>0</v>
      </c>
      <c r="K554" s="102">
        <f>IF(B554="Total",SUM(K$8:K553)+0.0001,IF(OR(B554="",J554&lt;&gt;0),0,VLOOKUP(A554,Journal!$B$7:M$84,8)))</f>
        <v>0</v>
      </c>
      <c r="L554" s="87">
        <f t="shared" si="56"/>
        <v>0</v>
      </c>
      <c r="P554">
        <f t="shared" si="59"/>
        <v>1.0000000000000001E-5</v>
      </c>
      <c r="R554" s="15">
        <f t="shared" si="60"/>
        <v>547</v>
      </c>
      <c r="S554" s="126">
        <f>IF(VLOOKUP(A554,Journal!$A$7:$E$70,5)=0,S553+1,VLOOKUP(A554,Journal!$A$7:$E$70,5))</f>
        <v>46204</v>
      </c>
      <c r="T554" s="125">
        <f>IF(H$2=VLOOKUP(A554,Journal!$A$7:$F$70,6),VLOOKUP(A554,Journal!$A$7:M$70,9),0)</f>
        <v>0</v>
      </c>
      <c r="U554" s="125">
        <f>IF(H$2=VLOOKUP(A554,Journal!$A$7:$G$70,7),VLOOKUP(A554,Journal!$A$7:M$70,9),0)</f>
        <v>0</v>
      </c>
      <c r="V554" s="125">
        <f t="shared" si="61"/>
        <v>40</v>
      </c>
      <c r="X554">
        <f t="shared" si="58"/>
        <v>0</v>
      </c>
      <c r="Y554" s="143">
        <f t="shared" si="57"/>
        <v>-985.68421052633857</v>
      </c>
    </row>
    <row r="555" spans="1:25" x14ac:dyDescent="0.25">
      <c r="A555">
        <f t="shared" si="62"/>
        <v>548</v>
      </c>
      <c r="B555" s="88" t="str">
        <f>IF(OR(B554="Total",B554=""),"",IF(VLOOKUP(A555,Journal!$B$7:$E$84,4)=0,"Total",VLOOKUP(A555,Journal!$B$7:$D$84,3)))</f>
        <v/>
      </c>
      <c r="C555" s="86" t="str">
        <f>IF(B555="","",VLOOKUP(A555,Journal!$B$7:$E$84,4))</f>
        <v/>
      </c>
      <c r="D555" s="114" t="str">
        <f>IF(B555="","",VLOOKUP(A555,Journal!$B$7:$J$84,9))</f>
        <v/>
      </c>
      <c r="E555" s="116"/>
      <c r="F555" s="116"/>
      <c r="G555" s="115"/>
      <c r="H555" s="84" t="str">
        <f>IF(B555="","",VLOOKUP(A555,Journal!$B$7:$L$84,11))</f>
        <v/>
      </c>
      <c r="I555" s="84" t="str">
        <f>IF(B555="","",VLOOKUP(A555,Journal!$B$7:$M$84,12))</f>
        <v/>
      </c>
      <c r="J555" s="105">
        <f>IF(B555="Total",SUM(J$8:J554)+0.0001,IF(OR(B555="",I$2=I555),0,VLOOKUP(A555,Journal!$B$7:M$84,8)))</f>
        <v>0</v>
      </c>
      <c r="K555" s="102">
        <f>IF(B555="Total",SUM(K$8:K554)+0.0001,IF(OR(B555="",J555&lt;&gt;0),0,VLOOKUP(A555,Journal!$B$7:M$84,8)))</f>
        <v>0</v>
      </c>
      <c r="L555" s="87">
        <f t="shared" si="56"/>
        <v>0</v>
      </c>
      <c r="P555">
        <f t="shared" si="59"/>
        <v>1.0000000000000001E-5</v>
      </c>
      <c r="R555" s="15">
        <f t="shared" si="60"/>
        <v>548</v>
      </c>
      <c r="S555" s="126">
        <f>IF(VLOOKUP(A555,Journal!$A$7:$E$70,5)=0,S554+1,VLOOKUP(A555,Journal!$A$7:$E$70,5))</f>
        <v>46205</v>
      </c>
      <c r="T555" s="125">
        <f>IF(H$2=VLOOKUP(A555,Journal!$A$7:$F$70,6),VLOOKUP(A555,Journal!$A$7:M$70,9),0)</f>
        <v>0</v>
      </c>
      <c r="U555" s="125">
        <f>IF(H$2=VLOOKUP(A555,Journal!$A$7:$G$70,7),VLOOKUP(A555,Journal!$A$7:M$70,9),0)</f>
        <v>0</v>
      </c>
      <c r="V555" s="125">
        <f t="shared" si="61"/>
        <v>40</v>
      </c>
      <c r="X555">
        <f t="shared" si="58"/>
        <v>0</v>
      </c>
      <c r="Y555" s="143">
        <f t="shared" si="57"/>
        <v>-985.65789473686493</v>
      </c>
    </row>
    <row r="556" spans="1:25" x14ac:dyDescent="0.25">
      <c r="A556">
        <f t="shared" si="62"/>
        <v>549</v>
      </c>
      <c r="B556" s="88" t="str">
        <f>IF(OR(B555="Total",B555=""),"",IF(VLOOKUP(A556,Journal!$B$7:$E$84,4)=0,"Total",VLOOKUP(A556,Journal!$B$7:$D$84,3)))</f>
        <v/>
      </c>
      <c r="C556" s="86" t="str">
        <f>IF(B556="","",VLOOKUP(A556,Journal!$B$7:$E$84,4))</f>
        <v/>
      </c>
      <c r="D556" s="114" t="str">
        <f>IF(B556="","",VLOOKUP(A556,Journal!$B$7:$J$84,9))</f>
        <v/>
      </c>
      <c r="E556" s="116"/>
      <c r="F556" s="116"/>
      <c r="G556" s="115"/>
      <c r="H556" s="84" t="str">
        <f>IF(B556="","",VLOOKUP(A556,Journal!$B$7:$L$84,11))</f>
        <v/>
      </c>
      <c r="I556" s="84" t="str">
        <f>IF(B556="","",VLOOKUP(A556,Journal!$B$7:$M$84,12))</f>
        <v/>
      </c>
      <c r="J556" s="105">
        <f>IF(B556="Total",SUM(J$8:J555)+0.0001,IF(OR(B556="",I$2=I556),0,VLOOKUP(A556,Journal!$B$7:M$84,8)))</f>
        <v>0</v>
      </c>
      <c r="K556" s="102">
        <f>IF(B556="Total",SUM(K$8:K555)+0.0001,IF(OR(B556="",J556&lt;&gt;0),0,VLOOKUP(A556,Journal!$B$7:M$84,8)))</f>
        <v>0</v>
      </c>
      <c r="L556" s="87">
        <f t="shared" si="56"/>
        <v>0</v>
      </c>
      <c r="P556">
        <f t="shared" si="59"/>
        <v>1.0000000000000001E-5</v>
      </c>
      <c r="R556" s="15">
        <f t="shared" si="60"/>
        <v>549</v>
      </c>
      <c r="S556" s="126">
        <f>IF(VLOOKUP(A556,Journal!$A$7:$E$70,5)=0,S555+1,VLOOKUP(A556,Journal!$A$7:$E$70,5))</f>
        <v>46206</v>
      </c>
      <c r="T556" s="125">
        <f>IF(H$2=VLOOKUP(A556,Journal!$A$7:$F$70,6),VLOOKUP(A556,Journal!$A$7:M$70,9),0)</f>
        <v>0</v>
      </c>
      <c r="U556" s="125">
        <f>IF(H$2=VLOOKUP(A556,Journal!$A$7:$G$70,7),VLOOKUP(A556,Journal!$A$7:M$70,9),0)</f>
        <v>0</v>
      </c>
      <c r="V556" s="125">
        <f t="shared" si="61"/>
        <v>40</v>
      </c>
      <c r="X556">
        <f t="shared" si="58"/>
        <v>0</v>
      </c>
      <c r="Y556" s="143">
        <f t="shared" si="57"/>
        <v>-985.63157894739129</v>
      </c>
    </row>
    <row r="557" spans="1:25" x14ac:dyDescent="0.25">
      <c r="A557">
        <f t="shared" si="62"/>
        <v>550</v>
      </c>
      <c r="B557" s="88" t="str">
        <f>IF(OR(B556="Total",B556=""),"",IF(VLOOKUP(A557,Journal!$B$7:$E$84,4)=0,"Total",VLOOKUP(A557,Journal!$B$7:$D$84,3)))</f>
        <v/>
      </c>
      <c r="C557" s="86" t="str">
        <f>IF(B557="","",VLOOKUP(A557,Journal!$B$7:$E$84,4))</f>
        <v/>
      </c>
      <c r="D557" s="114" t="str">
        <f>IF(B557="","",VLOOKUP(A557,Journal!$B$7:$J$84,9))</f>
        <v/>
      </c>
      <c r="E557" s="116"/>
      <c r="F557" s="116"/>
      <c r="G557" s="115"/>
      <c r="H557" s="84" t="str">
        <f>IF(B557="","",VLOOKUP(A557,Journal!$B$7:$L$84,11))</f>
        <v/>
      </c>
      <c r="I557" s="84" t="str">
        <f>IF(B557="","",VLOOKUP(A557,Journal!$B$7:$M$84,12))</f>
        <v/>
      </c>
      <c r="J557" s="105">
        <f>IF(B557="Total",SUM(J$8:J556)+0.0001,IF(OR(B557="",I$2=I557),0,VLOOKUP(A557,Journal!$B$7:M$84,8)))</f>
        <v>0</v>
      </c>
      <c r="K557" s="102">
        <f>IF(B557="Total",SUM(K$8:K556)+0.0001,IF(OR(B557="",J557&lt;&gt;0),0,VLOOKUP(A557,Journal!$B$7:M$84,8)))</f>
        <v>0</v>
      </c>
      <c r="L557" s="87">
        <f t="shared" si="56"/>
        <v>0</v>
      </c>
      <c r="P557">
        <f t="shared" si="59"/>
        <v>1.0000000000000001E-5</v>
      </c>
      <c r="R557" s="15">
        <f t="shared" si="60"/>
        <v>550</v>
      </c>
      <c r="S557" s="126">
        <f>IF(VLOOKUP(A557,Journal!$A$7:$E$70,5)=0,S556+1,VLOOKUP(A557,Journal!$A$7:$E$70,5))</f>
        <v>46207</v>
      </c>
      <c r="T557" s="125">
        <f>IF(H$2=VLOOKUP(A557,Journal!$A$7:$F$70,6),VLOOKUP(A557,Journal!$A$7:M$70,9),0)</f>
        <v>0</v>
      </c>
      <c r="U557" s="125">
        <f>IF(H$2=VLOOKUP(A557,Journal!$A$7:$G$70,7),VLOOKUP(A557,Journal!$A$7:M$70,9),0)</f>
        <v>0</v>
      </c>
      <c r="V557" s="125">
        <f t="shared" si="61"/>
        <v>40</v>
      </c>
      <c r="X557">
        <f t="shared" si="58"/>
        <v>0</v>
      </c>
      <c r="Y557" s="143">
        <f t="shared" si="57"/>
        <v>-985.60526315791765</v>
      </c>
    </row>
    <row r="558" spans="1:25" x14ac:dyDescent="0.25">
      <c r="A558">
        <f t="shared" si="62"/>
        <v>551</v>
      </c>
      <c r="B558" s="88" t="str">
        <f>IF(OR(B557="Total",B557=""),"",IF(VLOOKUP(A558,Journal!$B$7:$E$84,4)=0,"Total",VLOOKUP(A558,Journal!$B$7:$D$84,3)))</f>
        <v/>
      </c>
      <c r="C558" s="86" t="str">
        <f>IF(B558="","",VLOOKUP(A558,Journal!$B$7:$E$84,4))</f>
        <v/>
      </c>
      <c r="D558" s="114" t="str">
        <f>IF(B558="","",VLOOKUP(A558,Journal!$B$7:$J$84,9))</f>
        <v/>
      </c>
      <c r="E558" s="116"/>
      <c r="F558" s="116"/>
      <c r="G558" s="115"/>
      <c r="H558" s="84" t="str">
        <f>IF(B558="","",VLOOKUP(A558,Journal!$B$7:$L$84,11))</f>
        <v/>
      </c>
      <c r="I558" s="84" t="str">
        <f>IF(B558="","",VLOOKUP(A558,Journal!$B$7:$M$84,12))</f>
        <v/>
      </c>
      <c r="J558" s="105">
        <f>IF(B558="Total",SUM(J$8:J557)+0.0001,IF(OR(B558="",I$2=I558),0,VLOOKUP(A558,Journal!$B$7:M$84,8)))</f>
        <v>0</v>
      </c>
      <c r="K558" s="102">
        <f>IF(B558="Total",SUM(K$8:K557)+0.0001,IF(OR(B558="",J558&lt;&gt;0),0,VLOOKUP(A558,Journal!$B$7:M$84,8)))</f>
        <v>0</v>
      </c>
      <c r="L558" s="87">
        <f t="shared" si="56"/>
        <v>0</v>
      </c>
      <c r="P558">
        <f t="shared" si="59"/>
        <v>1.0000000000000001E-5</v>
      </c>
      <c r="R558" s="15">
        <f t="shared" si="60"/>
        <v>551</v>
      </c>
      <c r="S558" s="126">
        <f>IF(VLOOKUP(A558,Journal!$A$7:$E$70,5)=0,S557+1,VLOOKUP(A558,Journal!$A$7:$E$70,5))</f>
        <v>46208</v>
      </c>
      <c r="T558" s="125">
        <f>IF(H$2=VLOOKUP(A558,Journal!$A$7:$F$70,6),VLOOKUP(A558,Journal!$A$7:M$70,9),0)</f>
        <v>0</v>
      </c>
      <c r="U558" s="125">
        <f>IF(H$2=VLOOKUP(A558,Journal!$A$7:$G$70,7),VLOOKUP(A558,Journal!$A$7:M$70,9),0)</f>
        <v>0</v>
      </c>
      <c r="V558" s="125">
        <f t="shared" si="61"/>
        <v>40</v>
      </c>
      <c r="X558">
        <f t="shared" si="58"/>
        <v>0</v>
      </c>
      <c r="Y558" s="143">
        <f t="shared" si="57"/>
        <v>-985.57894736844401</v>
      </c>
    </row>
    <row r="559" spans="1:25" x14ac:dyDescent="0.25">
      <c r="A559">
        <f t="shared" si="62"/>
        <v>552</v>
      </c>
      <c r="B559" s="88" t="str">
        <f>IF(OR(B558="Total",B558=""),"",IF(VLOOKUP(A559,Journal!$B$7:$E$84,4)=0,"Total",VLOOKUP(A559,Journal!$B$7:$D$84,3)))</f>
        <v/>
      </c>
      <c r="C559" s="86" t="str">
        <f>IF(B559="","",VLOOKUP(A559,Journal!$B$7:$E$84,4))</f>
        <v/>
      </c>
      <c r="D559" s="114" t="str">
        <f>IF(B559="","",VLOOKUP(A559,Journal!$B$7:$J$84,9))</f>
        <v/>
      </c>
      <c r="E559" s="116"/>
      <c r="F559" s="116"/>
      <c r="G559" s="115"/>
      <c r="H559" s="84" t="str">
        <f>IF(B559="","",VLOOKUP(A559,Journal!$B$7:$L$84,11))</f>
        <v/>
      </c>
      <c r="I559" s="84" t="str">
        <f>IF(B559="","",VLOOKUP(A559,Journal!$B$7:$M$84,12))</f>
        <v/>
      </c>
      <c r="J559" s="105">
        <f>IF(B559="Total",SUM(J$8:J558)+0.0001,IF(OR(B559="",I$2=I559),0,VLOOKUP(A559,Journal!$B$7:M$84,8)))</f>
        <v>0</v>
      </c>
      <c r="K559" s="102">
        <f>IF(B559="Total",SUM(K$8:K558)+0.0001,IF(OR(B559="",J559&lt;&gt;0),0,VLOOKUP(A559,Journal!$B$7:M$84,8)))</f>
        <v>0</v>
      </c>
      <c r="L559" s="87">
        <f t="shared" si="56"/>
        <v>0</v>
      </c>
      <c r="P559">
        <f t="shared" si="59"/>
        <v>1.0000000000000001E-5</v>
      </c>
      <c r="R559" s="15">
        <f t="shared" si="60"/>
        <v>552</v>
      </c>
      <c r="S559" s="126">
        <f>IF(VLOOKUP(A559,Journal!$A$7:$E$70,5)=0,S558+1,VLOOKUP(A559,Journal!$A$7:$E$70,5))</f>
        <v>46209</v>
      </c>
      <c r="T559" s="125">
        <f>IF(H$2=VLOOKUP(A559,Journal!$A$7:$F$70,6),VLOOKUP(A559,Journal!$A$7:M$70,9),0)</f>
        <v>0</v>
      </c>
      <c r="U559" s="125">
        <f>IF(H$2=VLOOKUP(A559,Journal!$A$7:$G$70,7),VLOOKUP(A559,Journal!$A$7:M$70,9),0)</f>
        <v>0</v>
      </c>
      <c r="V559" s="125">
        <f t="shared" si="61"/>
        <v>40</v>
      </c>
      <c r="X559">
        <f t="shared" si="58"/>
        <v>0</v>
      </c>
      <c r="Y559" s="143">
        <f t="shared" si="57"/>
        <v>-985.55263157897036</v>
      </c>
    </row>
    <row r="560" spans="1:25" x14ac:dyDescent="0.25">
      <c r="A560">
        <f t="shared" si="62"/>
        <v>553</v>
      </c>
      <c r="B560" s="88" t="str">
        <f>IF(OR(B559="Total",B559=""),"",IF(VLOOKUP(A560,Journal!$B$7:$E$84,4)=0,"Total",VLOOKUP(A560,Journal!$B$7:$D$84,3)))</f>
        <v/>
      </c>
      <c r="C560" s="86" t="str">
        <f>IF(B560="","",VLOOKUP(A560,Journal!$B$7:$E$84,4))</f>
        <v/>
      </c>
      <c r="D560" s="114" t="str">
        <f>IF(B560="","",VLOOKUP(A560,Journal!$B$7:$J$84,9))</f>
        <v/>
      </c>
      <c r="E560" s="116"/>
      <c r="F560" s="116"/>
      <c r="G560" s="115"/>
      <c r="H560" s="84" t="str">
        <f>IF(B560="","",VLOOKUP(A560,Journal!$B$7:$L$84,11))</f>
        <v/>
      </c>
      <c r="I560" s="84" t="str">
        <f>IF(B560="","",VLOOKUP(A560,Journal!$B$7:$M$84,12))</f>
        <v/>
      </c>
      <c r="J560" s="105">
        <f>IF(B560="Total",SUM(J$8:J559)+0.0001,IF(OR(B560="",I$2=I560),0,VLOOKUP(A560,Journal!$B$7:M$84,8)))</f>
        <v>0</v>
      </c>
      <c r="K560" s="102">
        <f>IF(B560="Total",SUM(K$8:K559)+0.0001,IF(OR(B560="",J560&lt;&gt;0),0,VLOOKUP(A560,Journal!$B$7:M$84,8)))</f>
        <v>0</v>
      </c>
      <c r="L560" s="87">
        <f t="shared" si="56"/>
        <v>0</v>
      </c>
      <c r="P560">
        <f t="shared" si="59"/>
        <v>1.0000000000000001E-5</v>
      </c>
      <c r="R560" s="15">
        <f t="shared" si="60"/>
        <v>553</v>
      </c>
      <c r="S560" s="126">
        <f>IF(VLOOKUP(A560,Journal!$A$7:$E$70,5)=0,S559+1,VLOOKUP(A560,Journal!$A$7:$E$70,5))</f>
        <v>46210</v>
      </c>
      <c r="T560" s="125">
        <f>IF(H$2=VLOOKUP(A560,Journal!$A$7:$F$70,6),VLOOKUP(A560,Journal!$A$7:M$70,9),0)</f>
        <v>0</v>
      </c>
      <c r="U560" s="125">
        <f>IF(H$2=VLOOKUP(A560,Journal!$A$7:$G$70,7),VLOOKUP(A560,Journal!$A$7:M$70,9),0)</f>
        <v>0</v>
      </c>
      <c r="V560" s="125">
        <f t="shared" si="61"/>
        <v>40</v>
      </c>
      <c r="X560">
        <f t="shared" si="58"/>
        <v>0</v>
      </c>
      <c r="Y560" s="143">
        <f t="shared" si="57"/>
        <v>-985.52631578949672</v>
      </c>
    </row>
    <row r="561" spans="1:25" x14ac:dyDescent="0.25">
      <c r="A561">
        <f t="shared" si="62"/>
        <v>554</v>
      </c>
      <c r="B561" s="88" t="str">
        <f>IF(OR(B560="Total",B560=""),"",IF(VLOOKUP(A561,Journal!$B$7:$E$84,4)=0,"Total",VLOOKUP(A561,Journal!$B$7:$D$84,3)))</f>
        <v/>
      </c>
      <c r="C561" s="86" t="str">
        <f>IF(B561="","",VLOOKUP(A561,Journal!$B$7:$E$84,4))</f>
        <v/>
      </c>
      <c r="D561" s="114" t="str">
        <f>IF(B561="","",VLOOKUP(A561,Journal!$B$7:$J$84,9))</f>
        <v/>
      </c>
      <c r="E561" s="116"/>
      <c r="F561" s="116"/>
      <c r="G561" s="115"/>
      <c r="H561" s="84" t="str">
        <f>IF(B561="","",VLOOKUP(A561,Journal!$B$7:$L$84,11))</f>
        <v/>
      </c>
      <c r="I561" s="84" t="str">
        <f>IF(B561="","",VLOOKUP(A561,Journal!$B$7:$M$84,12))</f>
        <v/>
      </c>
      <c r="J561" s="105">
        <f>IF(B561="Total",SUM(J$8:J560)+0.0001,IF(OR(B561="",I$2=I561),0,VLOOKUP(A561,Journal!$B$7:M$84,8)))</f>
        <v>0</v>
      </c>
      <c r="K561" s="102">
        <f>IF(B561="Total",SUM(K$8:K560)+0.0001,IF(OR(B561="",J561&lt;&gt;0),0,VLOOKUP(A561,Journal!$B$7:M$84,8)))</f>
        <v>0</v>
      </c>
      <c r="L561" s="87">
        <f t="shared" si="56"/>
        <v>0</v>
      </c>
      <c r="P561">
        <f t="shared" si="59"/>
        <v>1.0000000000000001E-5</v>
      </c>
      <c r="R561" s="15">
        <f t="shared" si="60"/>
        <v>554</v>
      </c>
      <c r="S561" s="126">
        <f>IF(VLOOKUP(A561,Journal!$A$7:$E$70,5)=0,S560+1,VLOOKUP(A561,Journal!$A$7:$E$70,5))</f>
        <v>46211</v>
      </c>
      <c r="T561" s="125">
        <f>IF(H$2=VLOOKUP(A561,Journal!$A$7:$F$70,6),VLOOKUP(A561,Journal!$A$7:M$70,9),0)</f>
        <v>0</v>
      </c>
      <c r="U561" s="125">
        <f>IF(H$2=VLOOKUP(A561,Journal!$A$7:$G$70,7),VLOOKUP(A561,Journal!$A$7:M$70,9),0)</f>
        <v>0</v>
      </c>
      <c r="V561" s="125">
        <f t="shared" si="61"/>
        <v>40</v>
      </c>
      <c r="X561">
        <f t="shared" si="58"/>
        <v>0</v>
      </c>
      <c r="Y561" s="143">
        <f t="shared" si="57"/>
        <v>-985.50000000002308</v>
      </c>
    </row>
    <row r="562" spans="1:25" x14ac:dyDescent="0.25">
      <c r="A562">
        <f t="shared" si="62"/>
        <v>555</v>
      </c>
      <c r="B562" s="88" t="str">
        <f>IF(OR(B561="Total",B561=""),"",IF(VLOOKUP(A562,Journal!$B$7:$E$84,4)=0,"Total",VLOOKUP(A562,Journal!$B$7:$D$84,3)))</f>
        <v/>
      </c>
      <c r="C562" s="86" t="str">
        <f>IF(B562="","",VLOOKUP(A562,Journal!$B$7:$E$84,4))</f>
        <v/>
      </c>
      <c r="D562" s="114" t="str">
        <f>IF(B562="","",VLOOKUP(A562,Journal!$B$7:$J$84,9))</f>
        <v/>
      </c>
      <c r="E562" s="116"/>
      <c r="F562" s="116"/>
      <c r="G562" s="115"/>
      <c r="H562" s="84" t="str">
        <f>IF(B562="","",VLOOKUP(A562,Journal!$B$7:$L$84,11))</f>
        <v/>
      </c>
      <c r="I562" s="84" t="str">
        <f>IF(B562="","",VLOOKUP(A562,Journal!$B$7:$M$84,12))</f>
        <v/>
      </c>
      <c r="J562" s="105">
        <f>IF(B562="Total",SUM(J$8:J561)+0.0001,IF(OR(B562="",I$2=I562),0,VLOOKUP(A562,Journal!$B$7:M$84,8)))</f>
        <v>0</v>
      </c>
      <c r="K562" s="102">
        <f>IF(B562="Total",SUM(K$8:K561)+0.0001,IF(OR(B562="",J562&lt;&gt;0),0,VLOOKUP(A562,Journal!$B$7:M$84,8)))</f>
        <v>0</v>
      </c>
      <c r="L562" s="87">
        <f t="shared" si="56"/>
        <v>0</v>
      </c>
      <c r="P562">
        <f t="shared" si="59"/>
        <v>1.0000000000000001E-5</v>
      </c>
      <c r="R562" s="15">
        <f t="shared" si="60"/>
        <v>555</v>
      </c>
      <c r="S562" s="126">
        <f>IF(VLOOKUP(A562,Journal!$A$7:$E$70,5)=0,S561+1,VLOOKUP(A562,Journal!$A$7:$E$70,5))</f>
        <v>46212</v>
      </c>
      <c r="T562" s="125">
        <f>IF(H$2=VLOOKUP(A562,Journal!$A$7:$F$70,6),VLOOKUP(A562,Journal!$A$7:M$70,9),0)</f>
        <v>0</v>
      </c>
      <c r="U562" s="125">
        <f>IF(H$2=VLOOKUP(A562,Journal!$A$7:$G$70,7),VLOOKUP(A562,Journal!$A$7:M$70,9),0)</f>
        <v>0</v>
      </c>
      <c r="V562" s="125">
        <f t="shared" si="61"/>
        <v>40</v>
      </c>
      <c r="X562">
        <f t="shared" si="58"/>
        <v>0</v>
      </c>
      <c r="Y562" s="143">
        <f t="shared" si="57"/>
        <v>-985.47368421054944</v>
      </c>
    </row>
    <row r="563" spans="1:25" x14ac:dyDescent="0.25">
      <c r="A563">
        <f t="shared" si="62"/>
        <v>556</v>
      </c>
      <c r="B563" s="88" t="str">
        <f>IF(OR(B562="Total",B562=""),"",IF(VLOOKUP(A563,Journal!$B$7:$E$84,4)=0,"Total",VLOOKUP(A563,Journal!$B$7:$D$84,3)))</f>
        <v/>
      </c>
      <c r="C563" s="86" t="str">
        <f>IF(B563="","",VLOOKUP(A563,Journal!$B$7:$E$84,4))</f>
        <v/>
      </c>
      <c r="D563" s="114" t="str">
        <f>IF(B563="","",VLOOKUP(A563,Journal!$B$7:$J$84,9))</f>
        <v/>
      </c>
      <c r="E563" s="116"/>
      <c r="F563" s="116"/>
      <c r="G563" s="115"/>
      <c r="H563" s="84" t="str">
        <f>IF(B563="","",VLOOKUP(A563,Journal!$B$7:$L$84,11))</f>
        <v/>
      </c>
      <c r="I563" s="84" t="str">
        <f>IF(B563="","",VLOOKUP(A563,Journal!$B$7:$M$84,12))</f>
        <v/>
      </c>
      <c r="J563" s="105">
        <f>IF(B563="Total",SUM(J$8:J562)+0.0001,IF(OR(B563="",I$2=I563),0,VLOOKUP(A563,Journal!$B$7:M$84,8)))</f>
        <v>0</v>
      </c>
      <c r="K563" s="102">
        <f>IF(B563="Total",SUM(K$8:K562)+0.0001,IF(OR(B563="",J563&lt;&gt;0),0,VLOOKUP(A563,Journal!$B$7:M$84,8)))</f>
        <v>0</v>
      </c>
      <c r="L563" s="87">
        <f t="shared" si="56"/>
        <v>0</v>
      </c>
      <c r="P563">
        <f t="shared" si="59"/>
        <v>1.0000000000000001E-5</v>
      </c>
      <c r="R563" s="15">
        <f t="shared" si="60"/>
        <v>556</v>
      </c>
      <c r="S563" s="126">
        <f>IF(VLOOKUP(A563,Journal!$A$7:$E$70,5)=0,S562+1,VLOOKUP(A563,Journal!$A$7:$E$70,5))</f>
        <v>46213</v>
      </c>
      <c r="T563" s="125">
        <f>IF(H$2=VLOOKUP(A563,Journal!$A$7:$F$70,6),VLOOKUP(A563,Journal!$A$7:M$70,9),0)</f>
        <v>0</v>
      </c>
      <c r="U563" s="125">
        <f>IF(H$2=VLOOKUP(A563,Journal!$A$7:$G$70,7),VLOOKUP(A563,Journal!$A$7:M$70,9),0)</f>
        <v>0</v>
      </c>
      <c r="V563" s="125">
        <f t="shared" si="61"/>
        <v>40</v>
      </c>
      <c r="X563">
        <f t="shared" si="58"/>
        <v>0</v>
      </c>
      <c r="Y563" s="143">
        <f t="shared" si="57"/>
        <v>-985.44736842107579</v>
      </c>
    </row>
    <row r="564" spans="1:25" x14ac:dyDescent="0.25">
      <c r="A564">
        <f t="shared" si="62"/>
        <v>557</v>
      </c>
      <c r="B564" s="88" t="str">
        <f>IF(OR(B563="Total",B563=""),"",IF(VLOOKUP(A564,Journal!$B$7:$E$84,4)=0,"Total",VLOOKUP(A564,Journal!$B$7:$D$84,3)))</f>
        <v/>
      </c>
      <c r="C564" s="86" t="str">
        <f>IF(B564="","",VLOOKUP(A564,Journal!$B$7:$E$84,4))</f>
        <v/>
      </c>
      <c r="D564" s="114" t="str">
        <f>IF(B564="","",VLOOKUP(A564,Journal!$B$7:$J$84,9))</f>
        <v/>
      </c>
      <c r="E564" s="116"/>
      <c r="F564" s="116"/>
      <c r="G564" s="115"/>
      <c r="H564" s="84" t="str">
        <f>IF(B564="","",VLOOKUP(A564,Journal!$B$7:$L$84,11))</f>
        <v/>
      </c>
      <c r="I564" s="84" t="str">
        <f>IF(B564="","",VLOOKUP(A564,Journal!$B$7:$M$84,12))</f>
        <v/>
      </c>
      <c r="J564" s="105">
        <f>IF(B564="Total",SUM(J$8:J563)+0.0001,IF(OR(B564="",I$2=I564),0,VLOOKUP(A564,Journal!$B$7:M$84,8)))</f>
        <v>0</v>
      </c>
      <c r="K564" s="102">
        <f>IF(B564="Total",SUM(K$8:K563)+0.0001,IF(OR(B564="",J564&lt;&gt;0),0,VLOOKUP(A564,Journal!$B$7:M$84,8)))</f>
        <v>0</v>
      </c>
      <c r="L564" s="87">
        <f t="shared" si="56"/>
        <v>0</v>
      </c>
      <c r="P564">
        <f t="shared" si="59"/>
        <v>1.0000000000000001E-5</v>
      </c>
      <c r="R564" s="15">
        <f t="shared" si="60"/>
        <v>557</v>
      </c>
      <c r="S564" s="126">
        <f>IF(VLOOKUP(A564,Journal!$A$7:$E$70,5)=0,S563+1,VLOOKUP(A564,Journal!$A$7:$E$70,5))</f>
        <v>46214</v>
      </c>
      <c r="T564" s="125">
        <f>IF(H$2=VLOOKUP(A564,Journal!$A$7:$F$70,6),VLOOKUP(A564,Journal!$A$7:M$70,9),0)</f>
        <v>0</v>
      </c>
      <c r="U564" s="125">
        <f>IF(H$2=VLOOKUP(A564,Journal!$A$7:$G$70,7),VLOOKUP(A564,Journal!$A$7:M$70,9),0)</f>
        <v>0</v>
      </c>
      <c r="V564" s="125">
        <f t="shared" si="61"/>
        <v>40</v>
      </c>
      <c r="X564">
        <f t="shared" si="58"/>
        <v>0</v>
      </c>
      <c r="Y564" s="143">
        <f t="shared" si="57"/>
        <v>-985.42105263160215</v>
      </c>
    </row>
    <row r="565" spans="1:25" x14ac:dyDescent="0.25">
      <c r="A565">
        <f t="shared" si="62"/>
        <v>558</v>
      </c>
      <c r="B565" s="88" t="str">
        <f>IF(OR(B564="Total",B564=""),"",IF(VLOOKUP(A565,Journal!$B$7:$E$84,4)=0,"Total",VLOOKUP(A565,Journal!$B$7:$D$84,3)))</f>
        <v/>
      </c>
      <c r="C565" s="86" t="str">
        <f>IF(B565="","",VLOOKUP(A565,Journal!$B$7:$E$84,4))</f>
        <v/>
      </c>
      <c r="D565" s="114" t="str">
        <f>IF(B565="","",VLOOKUP(A565,Journal!$B$7:$J$84,9))</f>
        <v/>
      </c>
      <c r="E565" s="116"/>
      <c r="F565" s="116"/>
      <c r="G565" s="115"/>
      <c r="H565" s="84" t="str">
        <f>IF(B565="","",VLOOKUP(A565,Journal!$B$7:$L$84,11))</f>
        <v/>
      </c>
      <c r="I565" s="84" t="str">
        <f>IF(B565="","",VLOOKUP(A565,Journal!$B$7:$M$84,12))</f>
        <v/>
      </c>
      <c r="J565" s="105">
        <f>IF(B565="Total",SUM(J$8:J564)+0.0001,IF(OR(B565="",I$2=I565),0,VLOOKUP(A565,Journal!$B$7:M$84,8)))</f>
        <v>0</v>
      </c>
      <c r="K565" s="102">
        <f>IF(B565="Total",SUM(K$8:K564)+0.0001,IF(OR(B565="",J565&lt;&gt;0),0,VLOOKUP(A565,Journal!$B$7:M$84,8)))</f>
        <v>0</v>
      </c>
      <c r="L565" s="87">
        <f t="shared" si="56"/>
        <v>0</v>
      </c>
      <c r="P565">
        <f t="shared" si="59"/>
        <v>1.0000000000000001E-5</v>
      </c>
      <c r="R565" s="15">
        <f t="shared" si="60"/>
        <v>558</v>
      </c>
      <c r="S565" s="126">
        <f>IF(VLOOKUP(A565,Journal!$A$7:$E$70,5)=0,S564+1,VLOOKUP(A565,Journal!$A$7:$E$70,5))</f>
        <v>46215</v>
      </c>
      <c r="T565" s="125">
        <f>IF(H$2=VLOOKUP(A565,Journal!$A$7:$F$70,6),VLOOKUP(A565,Journal!$A$7:M$70,9),0)</f>
        <v>0</v>
      </c>
      <c r="U565" s="125">
        <f>IF(H$2=VLOOKUP(A565,Journal!$A$7:$G$70,7),VLOOKUP(A565,Journal!$A$7:M$70,9),0)</f>
        <v>0</v>
      </c>
      <c r="V565" s="125">
        <f t="shared" si="61"/>
        <v>40</v>
      </c>
      <c r="X565">
        <f t="shared" si="58"/>
        <v>0</v>
      </c>
      <c r="Y565" s="143">
        <f t="shared" si="57"/>
        <v>-985.39473684212851</v>
      </c>
    </row>
    <row r="566" spans="1:25" x14ac:dyDescent="0.25">
      <c r="A566">
        <f t="shared" si="62"/>
        <v>559</v>
      </c>
      <c r="B566" s="88" t="str">
        <f>IF(OR(B565="Total",B565=""),"",IF(VLOOKUP(A566,Journal!$B$7:$E$84,4)=0,"Total",VLOOKUP(A566,Journal!$B$7:$D$84,3)))</f>
        <v/>
      </c>
      <c r="C566" s="86" t="str">
        <f>IF(B566="","",VLOOKUP(A566,Journal!$B$7:$E$84,4))</f>
        <v/>
      </c>
      <c r="D566" s="114" t="str">
        <f>IF(B566="","",VLOOKUP(A566,Journal!$B$7:$J$84,9))</f>
        <v/>
      </c>
      <c r="E566" s="116"/>
      <c r="F566" s="116"/>
      <c r="G566" s="115"/>
      <c r="H566" s="84" t="str">
        <f>IF(B566="","",VLOOKUP(A566,Journal!$B$7:$L$84,11))</f>
        <v/>
      </c>
      <c r="I566" s="84" t="str">
        <f>IF(B566="","",VLOOKUP(A566,Journal!$B$7:$M$84,12))</f>
        <v/>
      </c>
      <c r="J566" s="105">
        <f>IF(B566="Total",SUM(J$8:J565)+0.0001,IF(OR(B566="",I$2=I566),0,VLOOKUP(A566,Journal!$B$7:M$84,8)))</f>
        <v>0</v>
      </c>
      <c r="K566" s="102">
        <f>IF(B566="Total",SUM(K$8:K565)+0.0001,IF(OR(B566="",J566&lt;&gt;0),0,VLOOKUP(A566,Journal!$B$7:M$84,8)))</f>
        <v>0</v>
      </c>
      <c r="L566" s="87">
        <f t="shared" si="56"/>
        <v>0</v>
      </c>
      <c r="P566">
        <f t="shared" si="59"/>
        <v>1.0000000000000001E-5</v>
      </c>
      <c r="R566" s="15">
        <f t="shared" si="60"/>
        <v>559</v>
      </c>
      <c r="S566" s="126">
        <f>IF(VLOOKUP(A566,Journal!$A$7:$E$70,5)=0,S565+1,VLOOKUP(A566,Journal!$A$7:$E$70,5))</f>
        <v>46216</v>
      </c>
      <c r="T566" s="125">
        <f>IF(H$2=VLOOKUP(A566,Journal!$A$7:$F$70,6),VLOOKUP(A566,Journal!$A$7:M$70,9),0)</f>
        <v>0</v>
      </c>
      <c r="U566" s="125">
        <f>IF(H$2=VLOOKUP(A566,Journal!$A$7:$G$70,7),VLOOKUP(A566,Journal!$A$7:M$70,9),0)</f>
        <v>0</v>
      </c>
      <c r="V566" s="125">
        <f t="shared" si="61"/>
        <v>40</v>
      </c>
      <c r="X566">
        <f t="shared" si="58"/>
        <v>0</v>
      </c>
      <c r="Y566" s="143">
        <f t="shared" si="57"/>
        <v>-985.36842105265487</v>
      </c>
    </row>
    <row r="567" spans="1:25" x14ac:dyDescent="0.25">
      <c r="A567">
        <f t="shared" si="62"/>
        <v>560</v>
      </c>
      <c r="B567" s="88" t="str">
        <f>IF(OR(B566="Total",B566=""),"",IF(VLOOKUP(A567,Journal!$B$7:$E$84,4)=0,"Total",VLOOKUP(A567,Journal!$B$7:$D$84,3)))</f>
        <v/>
      </c>
      <c r="C567" s="86" t="str">
        <f>IF(B567="","",VLOOKUP(A567,Journal!$B$7:$E$84,4))</f>
        <v/>
      </c>
      <c r="D567" s="114" t="str">
        <f>IF(B567="","",VLOOKUP(A567,Journal!$B$7:$J$84,9))</f>
        <v/>
      </c>
      <c r="E567" s="116"/>
      <c r="F567" s="116"/>
      <c r="G567" s="115"/>
      <c r="H567" s="84" t="str">
        <f>IF(B567="","",VLOOKUP(A567,Journal!$B$7:$L$84,11))</f>
        <v/>
      </c>
      <c r="I567" s="84" t="str">
        <f>IF(B567="","",VLOOKUP(A567,Journal!$B$7:$M$84,12))</f>
        <v/>
      </c>
      <c r="J567" s="105">
        <f>IF(B567="Total",SUM(J$8:J566)+0.0001,IF(OR(B567="",I$2=I567),0,VLOOKUP(A567,Journal!$B$7:M$84,8)))</f>
        <v>0</v>
      </c>
      <c r="K567" s="102">
        <f>IF(B567="Total",SUM(K$8:K566)+0.0001,IF(OR(B567="",J567&lt;&gt;0),0,VLOOKUP(A567,Journal!$B$7:M$84,8)))</f>
        <v>0</v>
      </c>
      <c r="L567" s="87">
        <f t="shared" si="56"/>
        <v>0</v>
      </c>
      <c r="P567">
        <f t="shared" si="59"/>
        <v>1.0000000000000001E-5</v>
      </c>
      <c r="R567" s="15">
        <f t="shared" si="60"/>
        <v>560</v>
      </c>
      <c r="S567" s="126">
        <f>IF(VLOOKUP(A567,Journal!$A$7:$E$70,5)=0,S566+1,VLOOKUP(A567,Journal!$A$7:$E$70,5))</f>
        <v>46217</v>
      </c>
      <c r="T567" s="125">
        <f>IF(H$2=VLOOKUP(A567,Journal!$A$7:$F$70,6),VLOOKUP(A567,Journal!$A$7:M$70,9),0)</f>
        <v>0</v>
      </c>
      <c r="U567" s="125">
        <f>IF(H$2=VLOOKUP(A567,Journal!$A$7:$G$70,7),VLOOKUP(A567,Journal!$A$7:M$70,9),0)</f>
        <v>0</v>
      </c>
      <c r="V567" s="125">
        <f t="shared" si="61"/>
        <v>40</v>
      </c>
      <c r="X567">
        <f t="shared" si="58"/>
        <v>0</v>
      </c>
      <c r="Y567" s="143">
        <f t="shared" si="57"/>
        <v>-985.34210526318122</v>
      </c>
    </row>
    <row r="568" spans="1:25" x14ac:dyDescent="0.25">
      <c r="A568">
        <f t="shared" si="62"/>
        <v>561</v>
      </c>
      <c r="B568" s="88" t="str">
        <f>IF(OR(B567="Total",B567=""),"",IF(VLOOKUP(A568,Journal!$B$7:$E$84,4)=0,"Total",VLOOKUP(A568,Journal!$B$7:$D$84,3)))</f>
        <v/>
      </c>
      <c r="C568" s="86" t="str">
        <f>IF(B568="","",VLOOKUP(A568,Journal!$B$7:$E$84,4))</f>
        <v/>
      </c>
      <c r="D568" s="114" t="str">
        <f>IF(B568="","",VLOOKUP(A568,Journal!$B$7:$J$84,9))</f>
        <v/>
      </c>
      <c r="E568" s="116"/>
      <c r="F568" s="116"/>
      <c r="G568" s="115"/>
      <c r="H568" s="84" t="str">
        <f>IF(B568="","",VLOOKUP(A568,Journal!$B$7:$L$84,11))</f>
        <v/>
      </c>
      <c r="I568" s="84" t="str">
        <f>IF(B568="","",VLOOKUP(A568,Journal!$B$7:$M$84,12))</f>
        <v/>
      </c>
      <c r="J568" s="105">
        <f>IF(B568="Total",SUM(J$8:J567)+0.0001,IF(OR(B568="",I$2=I568),0,VLOOKUP(A568,Journal!$B$7:M$84,8)))</f>
        <v>0</v>
      </c>
      <c r="K568" s="102">
        <f>IF(B568="Total",SUM(K$8:K567)+0.0001,IF(OR(B568="",J568&lt;&gt;0),0,VLOOKUP(A568,Journal!$B$7:M$84,8)))</f>
        <v>0</v>
      </c>
      <c r="L568" s="87">
        <f t="shared" si="56"/>
        <v>0</v>
      </c>
      <c r="P568">
        <f t="shared" si="59"/>
        <v>1.0000000000000001E-5</v>
      </c>
      <c r="R568" s="15">
        <f t="shared" si="60"/>
        <v>561</v>
      </c>
      <c r="S568" s="126">
        <f>IF(VLOOKUP(A568,Journal!$A$7:$E$70,5)=0,S567+1,VLOOKUP(A568,Journal!$A$7:$E$70,5))</f>
        <v>46218</v>
      </c>
      <c r="T568" s="125">
        <f>IF(H$2=VLOOKUP(A568,Journal!$A$7:$F$70,6),VLOOKUP(A568,Journal!$A$7:M$70,9),0)</f>
        <v>0</v>
      </c>
      <c r="U568" s="125">
        <f>IF(H$2=VLOOKUP(A568,Journal!$A$7:$G$70,7),VLOOKUP(A568,Journal!$A$7:M$70,9),0)</f>
        <v>0</v>
      </c>
      <c r="V568" s="125">
        <f t="shared" si="61"/>
        <v>40</v>
      </c>
      <c r="X568">
        <f t="shared" si="58"/>
        <v>0</v>
      </c>
      <c r="Y568" s="143">
        <f t="shared" si="57"/>
        <v>-985.31578947370758</v>
      </c>
    </row>
    <row r="569" spans="1:25" x14ac:dyDescent="0.25">
      <c r="A569">
        <f t="shared" si="62"/>
        <v>562</v>
      </c>
      <c r="B569" s="88" t="str">
        <f>IF(OR(B568="Total",B568=""),"",IF(VLOOKUP(A569,Journal!$B$7:$E$84,4)=0,"Total",VLOOKUP(A569,Journal!$B$7:$D$84,3)))</f>
        <v/>
      </c>
      <c r="C569" s="86" t="str">
        <f>IF(B569="","",VLOOKUP(A569,Journal!$B$7:$E$84,4))</f>
        <v/>
      </c>
      <c r="D569" s="114" t="str">
        <f>IF(B569="","",VLOOKUP(A569,Journal!$B$7:$J$84,9))</f>
        <v/>
      </c>
      <c r="E569" s="116"/>
      <c r="F569" s="116"/>
      <c r="G569" s="115"/>
      <c r="H569" s="84" t="str">
        <f>IF(B569="","",VLOOKUP(A569,Journal!$B$7:$L$84,11))</f>
        <v/>
      </c>
      <c r="I569" s="84" t="str">
        <f>IF(B569="","",VLOOKUP(A569,Journal!$B$7:$M$84,12))</f>
        <v/>
      </c>
      <c r="J569" s="105">
        <f>IF(B569="Total",SUM(J$8:J568)+0.0001,IF(OR(B569="",I$2=I569),0,VLOOKUP(A569,Journal!$B$7:M$84,8)))</f>
        <v>0</v>
      </c>
      <c r="K569" s="102">
        <f>IF(B569="Total",SUM(K$8:K568)+0.0001,IF(OR(B569="",J569&lt;&gt;0),0,VLOOKUP(A569,Journal!$B$7:M$84,8)))</f>
        <v>0</v>
      </c>
      <c r="L569" s="87">
        <f t="shared" si="56"/>
        <v>0</v>
      </c>
      <c r="P569">
        <f t="shared" si="59"/>
        <v>1.0000000000000001E-5</v>
      </c>
      <c r="R569" s="15">
        <f t="shared" si="60"/>
        <v>562</v>
      </c>
      <c r="S569" s="126">
        <f>IF(VLOOKUP(A569,Journal!$A$7:$E$70,5)=0,S568+1,VLOOKUP(A569,Journal!$A$7:$E$70,5))</f>
        <v>46219</v>
      </c>
      <c r="T569" s="125">
        <f>IF(H$2=VLOOKUP(A569,Journal!$A$7:$F$70,6),VLOOKUP(A569,Journal!$A$7:M$70,9),0)</f>
        <v>0</v>
      </c>
      <c r="U569" s="125">
        <f>IF(H$2=VLOOKUP(A569,Journal!$A$7:$G$70,7),VLOOKUP(A569,Journal!$A$7:M$70,9),0)</f>
        <v>0</v>
      </c>
      <c r="V569" s="125">
        <f t="shared" si="61"/>
        <v>40</v>
      </c>
      <c r="X569">
        <f t="shared" si="58"/>
        <v>0</v>
      </c>
      <c r="Y569" s="143">
        <f t="shared" si="57"/>
        <v>-985.28947368423394</v>
      </c>
    </row>
    <row r="570" spans="1:25" x14ac:dyDescent="0.25">
      <c r="A570">
        <f t="shared" si="62"/>
        <v>563</v>
      </c>
      <c r="B570" s="88" t="str">
        <f>IF(OR(B569="Total",B569=""),"",IF(VLOOKUP(A570,Journal!$B$7:$E$84,4)=0,"Total",VLOOKUP(A570,Journal!$B$7:$D$84,3)))</f>
        <v/>
      </c>
      <c r="C570" s="86" t="str">
        <f>IF(B570="","",VLOOKUP(A570,Journal!$B$7:$E$84,4))</f>
        <v/>
      </c>
      <c r="D570" s="114" t="str">
        <f>IF(B570="","",VLOOKUP(A570,Journal!$B$7:$J$84,9))</f>
        <v/>
      </c>
      <c r="E570" s="116"/>
      <c r="F570" s="116"/>
      <c r="G570" s="115"/>
      <c r="H570" s="84" t="str">
        <f>IF(B570="","",VLOOKUP(A570,Journal!$B$7:$L$84,11))</f>
        <v/>
      </c>
      <c r="I570" s="84" t="str">
        <f>IF(B570="","",VLOOKUP(A570,Journal!$B$7:$M$84,12))</f>
        <v/>
      </c>
      <c r="J570" s="105">
        <f>IF(B570="Total",SUM(J$8:J569)+0.0001,IF(OR(B570="",I$2=I570),0,VLOOKUP(A570,Journal!$B$7:M$84,8)))</f>
        <v>0</v>
      </c>
      <c r="K570" s="102">
        <f>IF(B570="Total",SUM(K$8:K569)+0.0001,IF(OR(B570="",J570&lt;&gt;0),0,VLOOKUP(A570,Journal!$B$7:M$84,8)))</f>
        <v>0</v>
      </c>
      <c r="L570" s="87">
        <f t="shared" si="56"/>
        <v>0</v>
      </c>
      <c r="P570">
        <f t="shared" si="59"/>
        <v>1.0000000000000001E-5</v>
      </c>
      <c r="R570" s="15">
        <f t="shared" si="60"/>
        <v>563</v>
      </c>
      <c r="S570" s="126">
        <f>IF(VLOOKUP(A570,Journal!$A$7:$E$70,5)=0,S569+1,VLOOKUP(A570,Journal!$A$7:$E$70,5))</f>
        <v>46220</v>
      </c>
      <c r="T570" s="125">
        <f>IF(H$2=VLOOKUP(A570,Journal!$A$7:$F$70,6),VLOOKUP(A570,Journal!$A$7:M$70,9),0)</f>
        <v>0</v>
      </c>
      <c r="U570" s="125">
        <f>IF(H$2=VLOOKUP(A570,Journal!$A$7:$G$70,7),VLOOKUP(A570,Journal!$A$7:M$70,9),0)</f>
        <v>0</v>
      </c>
      <c r="V570" s="125">
        <f t="shared" si="61"/>
        <v>40</v>
      </c>
      <c r="X570">
        <f t="shared" si="58"/>
        <v>0</v>
      </c>
      <c r="Y570" s="143">
        <f t="shared" si="57"/>
        <v>-985.2631578947603</v>
      </c>
    </row>
    <row r="571" spans="1:25" x14ac:dyDescent="0.25">
      <c r="A571">
        <f t="shared" si="62"/>
        <v>564</v>
      </c>
      <c r="B571" s="88" t="str">
        <f>IF(OR(B570="Total",B570=""),"",IF(VLOOKUP(A571,Journal!$B$7:$E$84,4)=0,"Total",VLOOKUP(A571,Journal!$B$7:$D$84,3)))</f>
        <v/>
      </c>
      <c r="C571" s="86" t="str">
        <f>IF(B571="","",VLOOKUP(A571,Journal!$B$7:$E$84,4))</f>
        <v/>
      </c>
      <c r="D571" s="114" t="str">
        <f>IF(B571="","",VLOOKUP(A571,Journal!$B$7:$J$84,9))</f>
        <v/>
      </c>
      <c r="E571" s="116"/>
      <c r="F571" s="116"/>
      <c r="G571" s="115"/>
      <c r="H571" s="84" t="str">
        <f>IF(B571="","",VLOOKUP(A571,Journal!$B$7:$L$84,11))</f>
        <v/>
      </c>
      <c r="I571" s="84" t="str">
        <f>IF(B571="","",VLOOKUP(A571,Journal!$B$7:$M$84,12))</f>
        <v/>
      </c>
      <c r="J571" s="105">
        <f>IF(B571="Total",SUM(J$8:J570)+0.0001,IF(OR(B571="",I$2=I571),0,VLOOKUP(A571,Journal!$B$7:M$84,8)))</f>
        <v>0</v>
      </c>
      <c r="K571" s="102">
        <f>IF(B571="Total",SUM(K$8:K570)+0.0001,IF(OR(B571="",J571&lt;&gt;0),0,VLOOKUP(A571,Journal!$B$7:M$84,8)))</f>
        <v>0</v>
      </c>
      <c r="L571" s="87">
        <f t="shared" si="56"/>
        <v>0</v>
      </c>
      <c r="P571">
        <f t="shared" si="59"/>
        <v>1.0000000000000001E-5</v>
      </c>
      <c r="R571" s="15">
        <f t="shared" si="60"/>
        <v>564</v>
      </c>
      <c r="S571" s="126">
        <f>IF(VLOOKUP(A571,Journal!$A$7:$E$70,5)=0,S570+1,VLOOKUP(A571,Journal!$A$7:$E$70,5))</f>
        <v>46221</v>
      </c>
      <c r="T571" s="125">
        <f>IF(H$2=VLOOKUP(A571,Journal!$A$7:$F$70,6),VLOOKUP(A571,Journal!$A$7:M$70,9),0)</f>
        <v>0</v>
      </c>
      <c r="U571" s="125">
        <f>IF(H$2=VLOOKUP(A571,Journal!$A$7:$G$70,7),VLOOKUP(A571,Journal!$A$7:M$70,9),0)</f>
        <v>0</v>
      </c>
      <c r="V571" s="125">
        <f t="shared" si="61"/>
        <v>40</v>
      </c>
      <c r="X571">
        <f t="shared" si="58"/>
        <v>0</v>
      </c>
      <c r="Y571" s="143">
        <f t="shared" si="57"/>
        <v>-985.23684210528666</v>
      </c>
    </row>
    <row r="572" spans="1:25" x14ac:dyDescent="0.25">
      <c r="A572">
        <f t="shared" si="62"/>
        <v>565</v>
      </c>
      <c r="B572" s="88" t="str">
        <f>IF(OR(B571="Total",B571=""),"",IF(VLOOKUP(A572,Journal!$B$7:$E$84,4)=0,"Total",VLOOKUP(A572,Journal!$B$7:$D$84,3)))</f>
        <v/>
      </c>
      <c r="C572" s="86" t="str">
        <f>IF(B572="","",VLOOKUP(A572,Journal!$B$7:$E$84,4))</f>
        <v/>
      </c>
      <c r="D572" s="114" t="str">
        <f>IF(B572="","",VLOOKUP(A572,Journal!$B$7:$J$84,9))</f>
        <v/>
      </c>
      <c r="E572" s="116"/>
      <c r="F572" s="116"/>
      <c r="G572" s="115"/>
      <c r="H572" s="84" t="str">
        <f>IF(B572="","",VLOOKUP(A572,Journal!$B$7:$L$84,11))</f>
        <v/>
      </c>
      <c r="I572" s="84" t="str">
        <f>IF(B572="","",VLOOKUP(A572,Journal!$B$7:$M$84,12))</f>
        <v/>
      </c>
      <c r="J572" s="105">
        <f>IF(B572="Total",SUM(J$8:J571)+0.0001,IF(OR(B572="",I$2=I572),0,VLOOKUP(A572,Journal!$B$7:M$84,8)))</f>
        <v>0</v>
      </c>
      <c r="K572" s="102">
        <f>IF(B572="Total",SUM(K$8:K571)+0.0001,IF(OR(B572="",J572&lt;&gt;0),0,VLOOKUP(A572,Journal!$B$7:M$84,8)))</f>
        <v>0</v>
      </c>
      <c r="L572" s="87">
        <f t="shared" si="56"/>
        <v>0</v>
      </c>
      <c r="P572">
        <f t="shared" si="59"/>
        <v>1.0000000000000001E-5</v>
      </c>
      <c r="R572" s="15">
        <f t="shared" si="60"/>
        <v>565</v>
      </c>
      <c r="S572" s="126">
        <f>IF(VLOOKUP(A572,Journal!$A$7:$E$70,5)=0,S571+1,VLOOKUP(A572,Journal!$A$7:$E$70,5))</f>
        <v>46222</v>
      </c>
      <c r="T572" s="125">
        <f>IF(H$2=VLOOKUP(A572,Journal!$A$7:$F$70,6),VLOOKUP(A572,Journal!$A$7:M$70,9),0)</f>
        <v>0</v>
      </c>
      <c r="U572" s="125">
        <f>IF(H$2=VLOOKUP(A572,Journal!$A$7:$G$70,7),VLOOKUP(A572,Journal!$A$7:M$70,9),0)</f>
        <v>0</v>
      </c>
      <c r="V572" s="125">
        <f t="shared" si="61"/>
        <v>40</v>
      </c>
      <c r="X572">
        <f t="shared" si="58"/>
        <v>0</v>
      </c>
      <c r="Y572" s="143">
        <f t="shared" si="57"/>
        <v>-985.21052631581301</v>
      </c>
    </row>
    <row r="573" spans="1:25" x14ac:dyDescent="0.25">
      <c r="A573">
        <f t="shared" si="62"/>
        <v>566</v>
      </c>
      <c r="B573" s="88" t="str">
        <f>IF(OR(B572="Total",B572=""),"",IF(VLOOKUP(A573,Journal!$B$7:$E$84,4)=0,"Total",VLOOKUP(A573,Journal!$B$7:$D$84,3)))</f>
        <v/>
      </c>
      <c r="C573" s="86" t="str">
        <f>IF(B573="","",VLOOKUP(A573,Journal!$B$7:$E$84,4))</f>
        <v/>
      </c>
      <c r="D573" s="114" t="str">
        <f>IF(B573="","",VLOOKUP(A573,Journal!$B$7:$J$84,9))</f>
        <v/>
      </c>
      <c r="E573" s="116"/>
      <c r="F573" s="116"/>
      <c r="G573" s="115"/>
      <c r="H573" s="84" t="str">
        <f>IF(B573="","",VLOOKUP(A573,Journal!$B$7:$L$84,11))</f>
        <v/>
      </c>
      <c r="I573" s="84" t="str">
        <f>IF(B573="","",VLOOKUP(A573,Journal!$B$7:$M$84,12))</f>
        <v/>
      </c>
      <c r="J573" s="105">
        <f>IF(B573="Total",SUM(J$8:J572)+0.0001,IF(OR(B573="",I$2=I573),0,VLOOKUP(A573,Journal!$B$7:M$84,8)))</f>
        <v>0</v>
      </c>
      <c r="K573" s="102">
        <f>IF(B573="Total",SUM(K$8:K572)+0.0001,IF(OR(B573="",J573&lt;&gt;0),0,VLOOKUP(A573,Journal!$B$7:M$84,8)))</f>
        <v>0</v>
      </c>
      <c r="L573" s="87">
        <f t="shared" si="56"/>
        <v>0</v>
      </c>
      <c r="P573">
        <f t="shared" si="59"/>
        <v>1.0000000000000001E-5</v>
      </c>
      <c r="R573" s="15">
        <f t="shared" si="60"/>
        <v>566</v>
      </c>
      <c r="S573" s="126">
        <f>IF(VLOOKUP(A573,Journal!$A$7:$E$70,5)=0,S572+1,VLOOKUP(A573,Journal!$A$7:$E$70,5))</f>
        <v>46223</v>
      </c>
      <c r="T573" s="125">
        <f>IF(H$2=VLOOKUP(A573,Journal!$A$7:$F$70,6),VLOOKUP(A573,Journal!$A$7:M$70,9),0)</f>
        <v>0</v>
      </c>
      <c r="U573" s="125">
        <f>IF(H$2=VLOOKUP(A573,Journal!$A$7:$G$70,7),VLOOKUP(A573,Journal!$A$7:M$70,9),0)</f>
        <v>0</v>
      </c>
      <c r="V573" s="125">
        <f t="shared" si="61"/>
        <v>40</v>
      </c>
      <c r="X573">
        <f t="shared" si="58"/>
        <v>0</v>
      </c>
      <c r="Y573" s="143">
        <f t="shared" si="57"/>
        <v>-985.18421052633937</v>
      </c>
    </row>
    <row r="574" spans="1:25" x14ac:dyDescent="0.25">
      <c r="A574">
        <f t="shared" si="62"/>
        <v>567</v>
      </c>
      <c r="B574" s="88" t="str">
        <f>IF(OR(B573="Total",B573=""),"",IF(VLOOKUP(A574,Journal!$B$7:$E$84,4)=0,"Total",VLOOKUP(A574,Journal!$B$7:$D$84,3)))</f>
        <v/>
      </c>
      <c r="C574" s="86" t="str">
        <f>IF(B574="","",VLOOKUP(A574,Journal!$B$7:$E$84,4))</f>
        <v/>
      </c>
      <c r="D574" s="114" t="str">
        <f>IF(B574="","",VLOOKUP(A574,Journal!$B$7:$J$84,9))</f>
        <v/>
      </c>
      <c r="E574" s="116"/>
      <c r="F574" s="116"/>
      <c r="G574" s="115"/>
      <c r="H574" s="84" t="str">
        <f>IF(B574="","",VLOOKUP(A574,Journal!$B$7:$L$84,11))</f>
        <v/>
      </c>
      <c r="I574" s="84" t="str">
        <f>IF(B574="","",VLOOKUP(A574,Journal!$B$7:$M$84,12))</f>
        <v/>
      </c>
      <c r="J574" s="105">
        <f>IF(B574="Total",SUM(J$8:J573)+0.0001,IF(OR(B574="",I$2=I574),0,VLOOKUP(A574,Journal!$B$7:M$84,8)))</f>
        <v>0</v>
      </c>
      <c r="K574" s="102">
        <f>IF(B574="Total",SUM(K$8:K573)+0.0001,IF(OR(B574="",J574&lt;&gt;0),0,VLOOKUP(A574,Journal!$B$7:M$84,8)))</f>
        <v>0</v>
      </c>
      <c r="L574" s="87">
        <f t="shared" si="56"/>
        <v>0</v>
      </c>
      <c r="P574">
        <f t="shared" si="59"/>
        <v>1.0000000000000001E-5</v>
      </c>
      <c r="R574" s="15">
        <f t="shared" si="60"/>
        <v>567</v>
      </c>
      <c r="S574" s="126">
        <f>IF(VLOOKUP(A574,Journal!$A$7:$E$70,5)=0,S573+1,VLOOKUP(A574,Journal!$A$7:$E$70,5))</f>
        <v>46224</v>
      </c>
      <c r="T574" s="125">
        <f>IF(H$2=VLOOKUP(A574,Journal!$A$7:$F$70,6),VLOOKUP(A574,Journal!$A$7:M$70,9),0)</f>
        <v>0</v>
      </c>
      <c r="U574" s="125">
        <f>IF(H$2=VLOOKUP(A574,Journal!$A$7:$G$70,7),VLOOKUP(A574,Journal!$A$7:M$70,9),0)</f>
        <v>0</v>
      </c>
      <c r="V574" s="125">
        <f t="shared" si="61"/>
        <v>40</v>
      </c>
      <c r="X574">
        <f t="shared" si="58"/>
        <v>0</v>
      </c>
      <c r="Y574" s="143">
        <f t="shared" si="57"/>
        <v>-985.15789473686573</v>
      </c>
    </row>
    <row r="575" spans="1:25" x14ac:dyDescent="0.25">
      <c r="A575">
        <f t="shared" si="62"/>
        <v>568</v>
      </c>
      <c r="B575" s="88" t="str">
        <f>IF(OR(B574="Total",B574=""),"",IF(VLOOKUP(A575,Journal!$B$7:$E$84,4)=0,"Total",VLOOKUP(A575,Journal!$B$7:$D$84,3)))</f>
        <v/>
      </c>
      <c r="C575" s="86" t="str">
        <f>IF(B575="","",VLOOKUP(A575,Journal!$B$7:$E$84,4))</f>
        <v/>
      </c>
      <c r="D575" s="114" t="str">
        <f>IF(B575="","",VLOOKUP(A575,Journal!$B$7:$J$84,9))</f>
        <v/>
      </c>
      <c r="E575" s="116"/>
      <c r="F575" s="116"/>
      <c r="G575" s="115"/>
      <c r="H575" s="84" t="str">
        <f>IF(B575="","",VLOOKUP(A575,Journal!$B$7:$L$84,11))</f>
        <v/>
      </c>
      <c r="I575" s="84" t="str">
        <f>IF(B575="","",VLOOKUP(A575,Journal!$B$7:$M$84,12))</f>
        <v/>
      </c>
      <c r="J575" s="105">
        <f>IF(B575="Total",SUM(J$8:J574)+0.0001,IF(OR(B575="",I$2=I575),0,VLOOKUP(A575,Journal!$B$7:M$84,8)))</f>
        <v>0</v>
      </c>
      <c r="K575" s="102">
        <f>IF(B575="Total",SUM(K$8:K574)+0.0001,IF(OR(B575="",J575&lt;&gt;0),0,VLOOKUP(A575,Journal!$B$7:M$84,8)))</f>
        <v>0</v>
      </c>
      <c r="L575" s="87">
        <f t="shared" si="56"/>
        <v>0</v>
      </c>
      <c r="P575">
        <f t="shared" si="59"/>
        <v>1.0000000000000001E-5</v>
      </c>
      <c r="R575" s="15">
        <f t="shared" si="60"/>
        <v>568</v>
      </c>
      <c r="S575" s="126">
        <f>IF(VLOOKUP(A575,Journal!$A$7:$E$70,5)=0,S574+1,VLOOKUP(A575,Journal!$A$7:$E$70,5))</f>
        <v>46225</v>
      </c>
      <c r="T575" s="125">
        <f>IF(H$2=VLOOKUP(A575,Journal!$A$7:$F$70,6),VLOOKUP(A575,Journal!$A$7:M$70,9),0)</f>
        <v>0</v>
      </c>
      <c r="U575" s="125">
        <f>IF(H$2=VLOOKUP(A575,Journal!$A$7:$G$70,7),VLOOKUP(A575,Journal!$A$7:M$70,9),0)</f>
        <v>0</v>
      </c>
      <c r="V575" s="125">
        <f t="shared" si="61"/>
        <v>40</v>
      </c>
      <c r="X575">
        <f t="shared" si="58"/>
        <v>0</v>
      </c>
      <c r="Y575" s="143">
        <f t="shared" si="57"/>
        <v>-985.13157894739209</v>
      </c>
    </row>
    <row r="576" spans="1:25" x14ac:dyDescent="0.25">
      <c r="A576">
        <f t="shared" si="62"/>
        <v>569</v>
      </c>
      <c r="B576" s="88" t="str">
        <f>IF(OR(B575="Total",B575=""),"",IF(VLOOKUP(A576,Journal!$B$7:$E$84,4)=0,"Total",VLOOKUP(A576,Journal!$B$7:$D$84,3)))</f>
        <v/>
      </c>
      <c r="C576" s="86" t="str">
        <f>IF(B576="","",VLOOKUP(A576,Journal!$B$7:$E$84,4))</f>
        <v/>
      </c>
      <c r="D576" s="114" t="str">
        <f>IF(B576="","",VLOOKUP(A576,Journal!$B$7:$J$84,9))</f>
        <v/>
      </c>
      <c r="E576" s="116"/>
      <c r="F576" s="116"/>
      <c r="G576" s="115"/>
      <c r="H576" s="84" t="str">
        <f>IF(B576="","",VLOOKUP(A576,Journal!$B$7:$L$84,11))</f>
        <v/>
      </c>
      <c r="I576" s="84" t="str">
        <f>IF(B576="","",VLOOKUP(A576,Journal!$B$7:$M$84,12))</f>
        <v/>
      </c>
      <c r="J576" s="105">
        <f>IF(B576="Total",SUM(J$8:J575)+0.0001,IF(OR(B576="",I$2=I576),0,VLOOKUP(A576,Journal!$B$7:M$84,8)))</f>
        <v>0</v>
      </c>
      <c r="K576" s="102">
        <f>IF(B576="Total",SUM(K$8:K575)+0.0001,IF(OR(B576="",J576&lt;&gt;0),0,VLOOKUP(A576,Journal!$B$7:M$84,8)))</f>
        <v>0</v>
      </c>
      <c r="L576" s="87">
        <f t="shared" si="56"/>
        <v>0</v>
      </c>
      <c r="P576">
        <f t="shared" si="59"/>
        <v>1.0000000000000001E-5</v>
      </c>
      <c r="R576" s="15">
        <f t="shared" si="60"/>
        <v>569</v>
      </c>
      <c r="S576" s="126">
        <f>IF(VLOOKUP(A576,Journal!$A$7:$E$70,5)=0,S575+1,VLOOKUP(A576,Journal!$A$7:$E$70,5))</f>
        <v>46226</v>
      </c>
      <c r="T576" s="125">
        <f>IF(H$2=VLOOKUP(A576,Journal!$A$7:$F$70,6),VLOOKUP(A576,Journal!$A$7:M$70,9),0)</f>
        <v>0</v>
      </c>
      <c r="U576" s="125">
        <f>IF(H$2=VLOOKUP(A576,Journal!$A$7:$G$70,7),VLOOKUP(A576,Journal!$A$7:M$70,9),0)</f>
        <v>0</v>
      </c>
      <c r="V576" s="125">
        <f t="shared" si="61"/>
        <v>40</v>
      </c>
      <c r="X576">
        <f t="shared" si="58"/>
        <v>0</v>
      </c>
      <c r="Y576" s="143">
        <f t="shared" si="57"/>
        <v>-985.10526315791844</v>
      </c>
    </row>
    <row r="577" spans="1:25" x14ac:dyDescent="0.25">
      <c r="A577">
        <f t="shared" si="62"/>
        <v>570</v>
      </c>
      <c r="B577" s="88" t="str">
        <f>IF(OR(B576="Total",B576=""),"",IF(VLOOKUP(A577,Journal!$B$7:$E$84,4)=0,"Total",VLOOKUP(A577,Journal!$B$7:$D$84,3)))</f>
        <v/>
      </c>
      <c r="C577" s="86" t="str">
        <f>IF(B577="","",VLOOKUP(A577,Journal!$B$7:$E$84,4))</f>
        <v/>
      </c>
      <c r="D577" s="114" t="str">
        <f>IF(B577="","",VLOOKUP(A577,Journal!$B$7:$J$84,9))</f>
        <v/>
      </c>
      <c r="E577" s="116"/>
      <c r="F577" s="116"/>
      <c r="G577" s="115"/>
      <c r="H577" s="84" t="str">
        <f>IF(B577="","",VLOOKUP(A577,Journal!$B$7:$L$84,11))</f>
        <v/>
      </c>
      <c r="I577" s="84" t="str">
        <f>IF(B577="","",VLOOKUP(A577,Journal!$B$7:$M$84,12))</f>
        <v/>
      </c>
      <c r="J577" s="105">
        <f>IF(B577="Total",SUM(J$8:J576)+0.0001,IF(OR(B577="",I$2=I577),0,VLOOKUP(A577,Journal!$B$7:M$84,8)))</f>
        <v>0</v>
      </c>
      <c r="K577" s="102">
        <f>IF(B577="Total",SUM(K$8:K576)+0.0001,IF(OR(B577="",J577&lt;&gt;0),0,VLOOKUP(A577,Journal!$B$7:M$84,8)))</f>
        <v>0</v>
      </c>
      <c r="L577" s="87">
        <f t="shared" si="56"/>
        <v>0</v>
      </c>
      <c r="P577">
        <f t="shared" si="59"/>
        <v>1.0000000000000001E-5</v>
      </c>
      <c r="R577" s="15">
        <f t="shared" si="60"/>
        <v>570</v>
      </c>
      <c r="S577" s="126">
        <f>IF(VLOOKUP(A577,Journal!$A$7:$E$70,5)=0,S576+1,VLOOKUP(A577,Journal!$A$7:$E$70,5))</f>
        <v>46227</v>
      </c>
      <c r="T577" s="125">
        <f>IF(H$2=VLOOKUP(A577,Journal!$A$7:$F$70,6),VLOOKUP(A577,Journal!$A$7:M$70,9),0)</f>
        <v>0</v>
      </c>
      <c r="U577" s="125">
        <f>IF(H$2=VLOOKUP(A577,Journal!$A$7:$G$70,7),VLOOKUP(A577,Journal!$A$7:M$70,9),0)</f>
        <v>0</v>
      </c>
      <c r="V577" s="125">
        <f t="shared" si="61"/>
        <v>40</v>
      </c>
      <c r="X577">
        <f t="shared" si="58"/>
        <v>0</v>
      </c>
      <c r="Y577" s="143">
        <f t="shared" si="57"/>
        <v>-985.0789473684448</v>
      </c>
    </row>
    <row r="578" spans="1:25" x14ac:dyDescent="0.25">
      <c r="A578">
        <f t="shared" si="62"/>
        <v>571</v>
      </c>
      <c r="B578" s="88" t="str">
        <f>IF(OR(B577="Total",B577=""),"",IF(VLOOKUP(A578,Journal!$B$7:$E$84,4)=0,"Total",VLOOKUP(A578,Journal!$B$7:$D$84,3)))</f>
        <v/>
      </c>
      <c r="C578" s="86" t="str">
        <f>IF(B578="","",VLOOKUP(A578,Journal!$B$7:$E$84,4))</f>
        <v/>
      </c>
      <c r="D578" s="114" t="str">
        <f>IF(B578="","",VLOOKUP(A578,Journal!$B$7:$J$84,9))</f>
        <v/>
      </c>
      <c r="E578" s="116"/>
      <c r="F578" s="116"/>
      <c r="G578" s="115"/>
      <c r="H578" s="84" t="str">
        <f>IF(B578="","",VLOOKUP(A578,Journal!$B$7:$L$84,11))</f>
        <v/>
      </c>
      <c r="I578" s="84" t="str">
        <f>IF(B578="","",VLOOKUP(A578,Journal!$B$7:$M$84,12))</f>
        <v/>
      </c>
      <c r="J578" s="105">
        <f>IF(B578="Total",SUM(J$8:J577)+0.0001,IF(OR(B578="",I$2=I578),0,VLOOKUP(A578,Journal!$B$7:M$84,8)))</f>
        <v>0</v>
      </c>
      <c r="K578" s="102">
        <f>IF(B578="Total",SUM(K$8:K577)+0.0001,IF(OR(B578="",J578&lt;&gt;0),0,VLOOKUP(A578,Journal!$B$7:M$84,8)))</f>
        <v>0</v>
      </c>
      <c r="L578" s="87">
        <f t="shared" si="56"/>
        <v>0</v>
      </c>
      <c r="P578">
        <f t="shared" si="59"/>
        <v>1.0000000000000001E-5</v>
      </c>
      <c r="R578" s="15">
        <f t="shared" si="60"/>
        <v>571</v>
      </c>
      <c r="S578" s="126">
        <f>IF(VLOOKUP(A578,Journal!$A$7:$E$70,5)=0,S577+1,VLOOKUP(A578,Journal!$A$7:$E$70,5))</f>
        <v>46228</v>
      </c>
      <c r="T578" s="125">
        <f>IF(H$2=VLOOKUP(A578,Journal!$A$7:$F$70,6),VLOOKUP(A578,Journal!$A$7:M$70,9),0)</f>
        <v>0</v>
      </c>
      <c r="U578" s="125">
        <f>IF(H$2=VLOOKUP(A578,Journal!$A$7:$G$70,7),VLOOKUP(A578,Journal!$A$7:M$70,9),0)</f>
        <v>0</v>
      </c>
      <c r="V578" s="125">
        <f t="shared" si="61"/>
        <v>40</v>
      </c>
      <c r="X578">
        <f t="shared" si="58"/>
        <v>0</v>
      </c>
      <c r="Y578" s="143">
        <f t="shared" si="57"/>
        <v>-985.05263157897116</v>
      </c>
    </row>
    <row r="579" spans="1:25" x14ac:dyDescent="0.25">
      <c r="A579">
        <f t="shared" si="62"/>
        <v>572</v>
      </c>
      <c r="B579" s="88" t="str">
        <f>IF(OR(B578="Total",B578=""),"",IF(VLOOKUP(A579,Journal!$B$7:$E$84,4)=0,"Total",VLOOKUP(A579,Journal!$B$7:$D$84,3)))</f>
        <v/>
      </c>
      <c r="C579" s="86" t="str">
        <f>IF(B579="","",VLOOKUP(A579,Journal!$B$7:$E$84,4))</f>
        <v/>
      </c>
      <c r="D579" s="114" t="str">
        <f>IF(B579="","",VLOOKUP(A579,Journal!$B$7:$J$84,9))</f>
        <v/>
      </c>
      <c r="E579" s="116"/>
      <c r="F579" s="116"/>
      <c r="G579" s="115"/>
      <c r="H579" s="84" t="str">
        <f>IF(B579="","",VLOOKUP(A579,Journal!$B$7:$L$84,11))</f>
        <v/>
      </c>
      <c r="I579" s="84" t="str">
        <f>IF(B579="","",VLOOKUP(A579,Journal!$B$7:$M$84,12))</f>
        <v/>
      </c>
      <c r="J579" s="105">
        <f>IF(B579="Total",SUM(J$8:J578)+0.0001,IF(OR(B579="",I$2=I579),0,VLOOKUP(A579,Journal!$B$7:M$84,8)))</f>
        <v>0</v>
      </c>
      <c r="K579" s="102">
        <f>IF(B579="Total",SUM(K$8:K578)+0.0001,IF(OR(B579="",J579&lt;&gt;0),0,VLOOKUP(A579,Journal!$B$7:M$84,8)))</f>
        <v>0</v>
      </c>
      <c r="L579" s="87">
        <f t="shared" si="56"/>
        <v>0</v>
      </c>
      <c r="P579">
        <f t="shared" si="59"/>
        <v>1.0000000000000001E-5</v>
      </c>
      <c r="R579" s="15">
        <f t="shared" si="60"/>
        <v>572</v>
      </c>
      <c r="S579" s="126">
        <f>IF(VLOOKUP(A579,Journal!$A$7:$E$70,5)=0,S578+1,VLOOKUP(A579,Journal!$A$7:$E$70,5))</f>
        <v>46229</v>
      </c>
      <c r="T579" s="125">
        <f>IF(H$2=VLOOKUP(A579,Journal!$A$7:$F$70,6),VLOOKUP(A579,Journal!$A$7:M$70,9),0)</f>
        <v>0</v>
      </c>
      <c r="U579" s="125">
        <f>IF(H$2=VLOOKUP(A579,Journal!$A$7:$G$70,7),VLOOKUP(A579,Journal!$A$7:M$70,9),0)</f>
        <v>0</v>
      </c>
      <c r="V579" s="125">
        <f t="shared" si="61"/>
        <v>40</v>
      </c>
      <c r="X579">
        <f t="shared" si="58"/>
        <v>0</v>
      </c>
      <c r="Y579" s="143">
        <f t="shared" si="57"/>
        <v>-985.02631578949752</v>
      </c>
    </row>
    <row r="580" spans="1:25" x14ac:dyDescent="0.25">
      <c r="A580">
        <f t="shared" si="62"/>
        <v>573</v>
      </c>
      <c r="B580" s="88" t="str">
        <f>IF(OR(B579="Total",B579=""),"",IF(VLOOKUP(A580,Journal!$B$7:$E$84,4)=0,"Total",VLOOKUP(A580,Journal!$B$7:$D$84,3)))</f>
        <v/>
      </c>
      <c r="C580" s="86" t="str">
        <f>IF(B580="","",VLOOKUP(A580,Journal!$B$7:$E$84,4))</f>
        <v/>
      </c>
      <c r="D580" s="114" t="str">
        <f>IF(B580="","",VLOOKUP(A580,Journal!$B$7:$J$84,9))</f>
        <v/>
      </c>
      <c r="E580" s="116"/>
      <c r="F580" s="116"/>
      <c r="G580" s="115"/>
      <c r="H580" s="84" t="str">
        <f>IF(B580="","",VLOOKUP(A580,Journal!$B$7:$L$84,11))</f>
        <v/>
      </c>
      <c r="I580" s="84" t="str">
        <f>IF(B580="","",VLOOKUP(A580,Journal!$B$7:$M$84,12))</f>
        <v/>
      </c>
      <c r="J580" s="105">
        <f>IF(B580="Total",SUM(J$8:J579)+0.0001,IF(OR(B580="",I$2=I580),0,VLOOKUP(A580,Journal!$B$7:M$84,8)))</f>
        <v>0</v>
      </c>
      <c r="K580" s="102">
        <f>IF(B580="Total",SUM(K$8:K579)+0.0001,IF(OR(B580="",J580&lt;&gt;0),0,VLOOKUP(A580,Journal!$B$7:M$84,8)))</f>
        <v>0</v>
      </c>
      <c r="L580" s="87">
        <f t="shared" si="56"/>
        <v>0</v>
      </c>
      <c r="P580">
        <f t="shared" si="59"/>
        <v>1.0000000000000001E-5</v>
      </c>
      <c r="R580" s="15">
        <f t="shared" si="60"/>
        <v>573</v>
      </c>
      <c r="S580" s="126">
        <f>IF(VLOOKUP(A580,Journal!$A$7:$E$70,5)=0,S579+1,VLOOKUP(A580,Journal!$A$7:$E$70,5))</f>
        <v>46230</v>
      </c>
      <c r="T580" s="125">
        <f>IF(H$2=VLOOKUP(A580,Journal!$A$7:$F$70,6),VLOOKUP(A580,Journal!$A$7:M$70,9),0)</f>
        <v>0</v>
      </c>
      <c r="U580" s="125">
        <f>IF(H$2=VLOOKUP(A580,Journal!$A$7:$G$70,7),VLOOKUP(A580,Journal!$A$7:M$70,9),0)</f>
        <v>0</v>
      </c>
      <c r="V580" s="125">
        <f t="shared" si="61"/>
        <v>40</v>
      </c>
      <c r="X580">
        <f t="shared" si="58"/>
        <v>0</v>
      </c>
      <c r="Y580" s="143">
        <f t="shared" si="57"/>
        <v>-985.00000000002387</v>
      </c>
    </row>
    <row r="581" spans="1:25" x14ac:dyDescent="0.25">
      <c r="A581">
        <f t="shared" si="62"/>
        <v>574</v>
      </c>
      <c r="B581" s="88" t="str">
        <f>IF(OR(B580="Total",B580=""),"",IF(VLOOKUP(A581,Journal!$B$7:$E$84,4)=0,"Total",VLOOKUP(A581,Journal!$B$7:$D$84,3)))</f>
        <v/>
      </c>
      <c r="C581" s="86" t="str">
        <f>IF(B581="","",VLOOKUP(A581,Journal!$B$7:$E$84,4))</f>
        <v/>
      </c>
      <c r="D581" s="114" t="str">
        <f>IF(B581="","",VLOOKUP(A581,Journal!$B$7:$J$84,9))</f>
        <v/>
      </c>
      <c r="E581" s="116"/>
      <c r="F581" s="116"/>
      <c r="G581" s="115"/>
      <c r="H581" s="84" t="str">
        <f>IF(B581="","",VLOOKUP(A581,Journal!$B$7:$L$84,11))</f>
        <v/>
      </c>
      <c r="I581" s="84" t="str">
        <f>IF(B581="","",VLOOKUP(A581,Journal!$B$7:$M$84,12))</f>
        <v/>
      </c>
      <c r="J581" s="105">
        <f>IF(B581="Total",SUM(J$8:J580)+0.0001,IF(OR(B581="",I$2=I581),0,VLOOKUP(A581,Journal!$B$7:M$84,8)))</f>
        <v>0</v>
      </c>
      <c r="K581" s="102">
        <f>IF(B581="Total",SUM(K$8:K580)+0.0001,IF(OR(B581="",J581&lt;&gt;0),0,VLOOKUP(A581,Journal!$B$7:M$84,8)))</f>
        <v>0</v>
      </c>
      <c r="L581" s="87">
        <f t="shared" si="56"/>
        <v>0</v>
      </c>
      <c r="P581">
        <f t="shared" si="59"/>
        <v>1.0000000000000001E-5</v>
      </c>
      <c r="R581" s="15">
        <f t="shared" si="60"/>
        <v>574</v>
      </c>
      <c r="S581" s="126">
        <f>IF(VLOOKUP(A581,Journal!$A$7:$E$70,5)=0,S580+1,VLOOKUP(A581,Journal!$A$7:$E$70,5))</f>
        <v>46231</v>
      </c>
      <c r="T581" s="125">
        <f>IF(H$2=VLOOKUP(A581,Journal!$A$7:$F$70,6),VLOOKUP(A581,Journal!$A$7:M$70,9),0)</f>
        <v>0</v>
      </c>
      <c r="U581" s="125">
        <f>IF(H$2=VLOOKUP(A581,Journal!$A$7:$G$70,7),VLOOKUP(A581,Journal!$A$7:M$70,9),0)</f>
        <v>0</v>
      </c>
      <c r="V581" s="125">
        <f t="shared" si="61"/>
        <v>40</v>
      </c>
      <c r="X581">
        <f t="shared" si="58"/>
        <v>0</v>
      </c>
      <c r="Y581" s="143">
        <f t="shared" si="57"/>
        <v>-984.97368421055023</v>
      </c>
    </row>
    <row r="582" spans="1:25" x14ac:dyDescent="0.25">
      <c r="A582">
        <f t="shared" si="62"/>
        <v>575</v>
      </c>
      <c r="B582" s="88" t="str">
        <f>IF(OR(B581="Total",B581=""),"",IF(VLOOKUP(A582,Journal!$B$7:$E$84,4)=0,"Total",VLOOKUP(A582,Journal!$B$7:$D$84,3)))</f>
        <v/>
      </c>
      <c r="C582" s="86" t="str">
        <f>IF(B582="","",VLOOKUP(A582,Journal!$B$7:$E$84,4))</f>
        <v/>
      </c>
      <c r="D582" s="114" t="str">
        <f>IF(B582="","",VLOOKUP(A582,Journal!$B$7:$J$84,9))</f>
        <v/>
      </c>
      <c r="E582" s="116"/>
      <c r="F582" s="116"/>
      <c r="G582" s="115"/>
      <c r="H582" s="84" t="str">
        <f>IF(B582="","",VLOOKUP(A582,Journal!$B$7:$L$84,11))</f>
        <v/>
      </c>
      <c r="I582" s="84" t="str">
        <f>IF(B582="","",VLOOKUP(A582,Journal!$B$7:$M$84,12))</f>
        <v/>
      </c>
      <c r="J582" s="105">
        <f>IF(B582="Total",SUM(J$8:J581)+0.0001,IF(OR(B582="",I$2=I582),0,VLOOKUP(A582,Journal!$B$7:M$84,8)))</f>
        <v>0</v>
      </c>
      <c r="K582" s="102">
        <f>IF(B582="Total",SUM(K$8:K581)+0.0001,IF(OR(B582="",J582&lt;&gt;0),0,VLOOKUP(A582,Journal!$B$7:M$84,8)))</f>
        <v>0</v>
      </c>
      <c r="L582" s="87">
        <f t="shared" si="56"/>
        <v>0</v>
      </c>
      <c r="P582">
        <f t="shared" si="59"/>
        <v>1.0000000000000001E-5</v>
      </c>
      <c r="R582" s="15">
        <f t="shared" si="60"/>
        <v>575</v>
      </c>
      <c r="S582" s="126">
        <f>IF(VLOOKUP(A582,Journal!$A$7:$E$70,5)=0,S581+1,VLOOKUP(A582,Journal!$A$7:$E$70,5))</f>
        <v>46232</v>
      </c>
      <c r="T582" s="125">
        <f>IF(H$2=VLOOKUP(A582,Journal!$A$7:$F$70,6),VLOOKUP(A582,Journal!$A$7:M$70,9),0)</f>
        <v>0</v>
      </c>
      <c r="U582" s="125">
        <f>IF(H$2=VLOOKUP(A582,Journal!$A$7:$G$70,7),VLOOKUP(A582,Journal!$A$7:M$70,9),0)</f>
        <v>0</v>
      </c>
      <c r="V582" s="125">
        <f t="shared" si="61"/>
        <v>40</v>
      </c>
      <c r="X582">
        <f t="shared" si="58"/>
        <v>0</v>
      </c>
      <c r="Y582" s="143">
        <f t="shared" si="57"/>
        <v>-984.94736842107659</v>
      </c>
    </row>
    <row r="583" spans="1:25" x14ac:dyDescent="0.25">
      <c r="A583">
        <f t="shared" si="62"/>
        <v>576</v>
      </c>
      <c r="B583" s="88" t="str">
        <f>IF(OR(B582="Total",B582=""),"",IF(VLOOKUP(A583,Journal!$B$7:$E$84,4)=0,"Total",VLOOKUP(A583,Journal!$B$7:$D$84,3)))</f>
        <v/>
      </c>
      <c r="C583" s="86" t="str">
        <f>IF(B583="","",VLOOKUP(A583,Journal!$B$7:$E$84,4))</f>
        <v/>
      </c>
      <c r="D583" s="114" t="str">
        <f>IF(B583="","",VLOOKUP(A583,Journal!$B$7:$J$84,9))</f>
        <v/>
      </c>
      <c r="E583" s="116"/>
      <c r="F583" s="116"/>
      <c r="G583" s="115"/>
      <c r="H583" s="84" t="str">
        <f>IF(B583="","",VLOOKUP(A583,Journal!$B$7:$L$84,11))</f>
        <v/>
      </c>
      <c r="I583" s="84" t="str">
        <f>IF(B583="","",VLOOKUP(A583,Journal!$B$7:$M$84,12))</f>
        <v/>
      </c>
      <c r="J583" s="105">
        <f>IF(B583="Total",SUM(J$8:J582)+0.0001,IF(OR(B583="",I$2=I583),0,VLOOKUP(A583,Journal!$B$7:M$84,8)))</f>
        <v>0</v>
      </c>
      <c r="K583" s="102">
        <f>IF(B583="Total",SUM(K$8:K582)+0.0001,IF(OR(B583="",J583&lt;&gt;0),0,VLOOKUP(A583,Journal!$B$7:M$84,8)))</f>
        <v>0</v>
      </c>
      <c r="L583" s="87">
        <f t="shared" si="56"/>
        <v>0</v>
      </c>
      <c r="P583">
        <f t="shared" si="59"/>
        <v>1.0000000000000001E-5</v>
      </c>
      <c r="R583" s="15">
        <f t="shared" si="60"/>
        <v>576</v>
      </c>
      <c r="S583" s="126">
        <f>IF(VLOOKUP(A583,Journal!$A$7:$E$70,5)=0,S582+1,VLOOKUP(A583,Journal!$A$7:$E$70,5))</f>
        <v>46233</v>
      </c>
      <c r="T583" s="125">
        <f>IF(H$2=VLOOKUP(A583,Journal!$A$7:$F$70,6),VLOOKUP(A583,Journal!$A$7:M$70,9),0)</f>
        <v>0</v>
      </c>
      <c r="U583" s="125">
        <f>IF(H$2=VLOOKUP(A583,Journal!$A$7:$G$70,7),VLOOKUP(A583,Journal!$A$7:M$70,9),0)</f>
        <v>0</v>
      </c>
      <c r="V583" s="125">
        <f t="shared" si="61"/>
        <v>40</v>
      </c>
      <c r="X583">
        <f t="shared" si="58"/>
        <v>0</v>
      </c>
      <c r="Y583" s="143">
        <f t="shared" si="57"/>
        <v>-984.92105263160295</v>
      </c>
    </row>
    <row r="584" spans="1:25" x14ac:dyDescent="0.25">
      <c r="A584">
        <f t="shared" si="62"/>
        <v>577</v>
      </c>
      <c r="B584" s="88" t="str">
        <f>IF(OR(B583="Total",B583=""),"",IF(VLOOKUP(A584,Journal!$B$7:$E$84,4)=0,"Total",VLOOKUP(A584,Journal!$B$7:$D$84,3)))</f>
        <v/>
      </c>
      <c r="C584" s="86" t="str">
        <f>IF(B584="","",VLOOKUP(A584,Journal!$B$7:$E$84,4))</f>
        <v/>
      </c>
      <c r="D584" s="114" t="str">
        <f>IF(B584="","",VLOOKUP(A584,Journal!$B$7:$J$84,9))</f>
        <v/>
      </c>
      <c r="E584" s="116"/>
      <c r="F584" s="116"/>
      <c r="G584" s="115"/>
      <c r="H584" s="84" t="str">
        <f>IF(B584="","",VLOOKUP(A584,Journal!$B$7:$L$84,11))</f>
        <v/>
      </c>
      <c r="I584" s="84" t="str">
        <f>IF(B584="","",VLOOKUP(A584,Journal!$B$7:$M$84,12))</f>
        <v/>
      </c>
      <c r="J584" s="105">
        <f>IF(B584="Total",SUM(J$8:J583)+0.0001,IF(OR(B584="",I$2=I584),0,VLOOKUP(A584,Journal!$B$7:M$84,8)))</f>
        <v>0</v>
      </c>
      <c r="K584" s="102">
        <f>IF(B584="Total",SUM(K$8:K583)+0.0001,IF(OR(B584="",J584&lt;&gt;0),0,VLOOKUP(A584,Journal!$B$7:M$84,8)))</f>
        <v>0</v>
      </c>
      <c r="L584" s="87">
        <f t="shared" ref="L584:L647" si="63">IF(B584="Total",L583,IF(B584="",0,IF($M$1=1,L583+J584-K584,L583-J584+K584)))</f>
        <v>0</v>
      </c>
      <c r="P584">
        <f t="shared" si="59"/>
        <v>1.0000000000000001E-5</v>
      </c>
      <c r="R584" s="15">
        <f t="shared" si="60"/>
        <v>577</v>
      </c>
      <c r="S584" s="126">
        <f>IF(VLOOKUP(A584,Journal!$A$7:$E$70,5)=0,S583+1,VLOOKUP(A584,Journal!$A$7:$E$70,5))</f>
        <v>46234</v>
      </c>
      <c r="T584" s="125">
        <f>IF(H$2=VLOOKUP(A584,Journal!$A$7:$F$70,6),VLOOKUP(A584,Journal!$A$7:M$70,9),0)</f>
        <v>0</v>
      </c>
      <c r="U584" s="125">
        <f>IF(H$2=VLOOKUP(A584,Journal!$A$7:$G$70,7),VLOOKUP(A584,Journal!$A$7:M$70,9),0)</f>
        <v>0</v>
      </c>
      <c r="V584" s="125">
        <f t="shared" si="61"/>
        <v>40</v>
      </c>
      <c r="X584">
        <f t="shared" si="58"/>
        <v>0</v>
      </c>
      <c r="Y584" s="143">
        <f t="shared" ref="Y584:Y647" si="64">IF(B583="Total",-1000,Y583+Y$4)</f>
        <v>-984.8947368421293</v>
      </c>
    </row>
    <row r="585" spans="1:25" x14ac:dyDescent="0.25">
      <c r="A585">
        <f t="shared" si="62"/>
        <v>578</v>
      </c>
      <c r="B585" s="88" t="str">
        <f>IF(OR(B584="Total",B584=""),"",IF(VLOOKUP(A585,Journal!$B$7:$E$84,4)=0,"Total",VLOOKUP(A585,Journal!$B$7:$D$84,3)))</f>
        <v/>
      </c>
      <c r="C585" s="86" t="str">
        <f>IF(B585="","",VLOOKUP(A585,Journal!$B$7:$E$84,4))</f>
        <v/>
      </c>
      <c r="D585" s="114" t="str">
        <f>IF(B585="","",VLOOKUP(A585,Journal!$B$7:$J$84,9))</f>
        <v/>
      </c>
      <c r="E585" s="116"/>
      <c r="F585" s="116"/>
      <c r="G585" s="115"/>
      <c r="H585" s="84" t="str">
        <f>IF(B585="","",VLOOKUP(A585,Journal!$B$7:$L$84,11))</f>
        <v/>
      </c>
      <c r="I585" s="84" t="str">
        <f>IF(B585="","",VLOOKUP(A585,Journal!$B$7:$M$84,12))</f>
        <v/>
      </c>
      <c r="J585" s="105">
        <f>IF(B585="Total",SUM(J$8:J584)+0.0001,IF(OR(B585="",I$2=I585),0,VLOOKUP(A585,Journal!$B$7:M$84,8)))</f>
        <v>0</v>
      </c>
      <c r="K585" s="102">
        <f>IF(B585="Total",SUM(K$8:K584)+0.0001,IF(OR(B585="",J585&lt;&gt;0),0,VLOOKUP(A585,Journal!$B$7:M$84,8)))</f>
        <v>0</v>
      </c>
      <c r="L585" s="87">
        <f t="shared" si="63"/>
        <v>0</v>
      </c>
      <c r="P585">
        <f t="shared" si="59"/>
        <v>1.0000000000000001E-5</v>
      </c>
      <c r="R585" s="15">
        <f t="shared" si="60"/>
        <v>578</v>
      </c>
      <c r="S585" s="126">
        <f>IF(VLOOKUP(A585,Journal!$A$7:$E$70,5)=0,S584+1,VLOOKUP(A585,Journal!$A$7:$E$70,5))</f>
        <v>46235</v>
      </c>
      <c r="T585" s="125">
        <f>IF(H$2=VLOOKUP(A585,Journal!$A$7:$F$70,6),VLOOKUP(A585,Journal!$A$7:M$70,9),0)</f>
        <v>0</v>
      </c>
      <c r="U585" s="125">
        <f>IF(H$2=VLOOKUP(A585,Journal!$A$7:$G$70,7),VLOOKUP(A585,Journal!$A$7:M$70,9),0)</f>
        <v>0</v>
      </c>
      <c r="V585" s="125">
        <f t="shared" si="61"/>
        <v>40</v>
      </c>
      <c r="X585">
        <f t="shared" ref="X585:X648" si="65">IF(J$2&gt;S585,1,0)</f>
        <v>0</v>
      </c>
      <c r="Y585" s="143">
        <f t="shared" si="64"/>
        <v>-984.86842105265566</v>
      </c>
    </row>
    <row r="586" spans="1:25" x14ac:dyDescent="0.25">
      <c r="A586">
        <f t="shared" si="62"/>
        <v>579</v>
      </c>
      <c r="B586" s="88" t="str">
        <f>IF(OR(B585="Total",B585=""),"",IF(VLOOKUP(A586,Journal!$B$7:$E$84,4)=0,"Total",VLOOKUP(A586,Journal!$B$7:$D$84,3)))</f>
        <v/>
      </c>
      <c r="C586" s="86" t="str">
        <f>IF(B586="","",VLOOKUP(A586,Journal!$B$7:$E$84,4))</f>
        <v/>
      </c>
      <c r="D586" s="114" t="str">
        <f>IF(B586="","",VLOOKUP(A586,Journal!$B$7:$J$84,9))</f>
        <v/>
      </c>
      <c r="E586" s="116"/>
      <c r="F586" s="116"/>
      <c r="G586" s="115"/>
      <c r="H586" s="84" t="str">
        <f>IF(B586="","",VLOOKUP(A586,Journal!$B$7:$L$84,11))</f>
        <v/>
      </c>
      <c r="I586" s="84" t="str">
        <f>IF(B586="","",VLOOKUP(A586,Journal!$B$7:$M$84,12))</f>
        <v/>
      </c>
      <c r="J586" s="105">
        <f>IF(B586="Total",SUM(J$8:J585)+0.0001,IF(OR(B586="",I$2=I586),0,VLOOKUP(A586,Journal!$B$7:M$84,8)))</f>
        <v>0</v>
      </c>
      <c r="K586" s="102">
        <f>IF(B586="Total",SUM(K$8:K585)+0.0001,IF(OR(B586="",J586&lt;&gt;0),0,VLOOKUP(A586,Journal!$B$7:M$84,8)))</f>
        <v>0</v>
      </c>
      <c r="L586" s="87">
        <f t="shared" si="63"/>
        <v>0</v>
      </c>
      <c r="P586">
        <f t="shared" ref="P586:P649" si="66">IF(L585=L586,L585+0.00001,L586)</f>
        <v>1.0000000000000001E-5</v>
      </c>
      <c r="R586" s="15">
        <f t="shared" ref="R586:R649" si="67">R585+1</f>
        <v>579</v>
      </c>
      <c r="S586" s="126">
        <f>IF(VLOOKUP(A586,Journal!$A$7:$E$70,5)=0,S585+1,VLOOKUP(A586,Journal!$A$7:$E$70,5))</f>
        <v>46236</v>
      </c>
      <c r="T586" s="125">
        <f>IF(H$2=VLOOKUP(A586,Journal!$A$7:$F$70,6),VLOOKUP(A586,Journal!$A$7:M$70,9),0)</f>
        <v>0</v>
      </c>
      <c r="U586" s="125">
        <f>IF(H$2=VLOOKUP(A586,Journal!$A$7:$G$70,7),VLOOKUP(A586,Journal!$A$7:M$70,9),0)</f>
        <v>0</v>
      </c>
      <c r="V586" s="125">
        <f t="shared" ref="V586:V649" si="68">IF($M$1=1,V585+T586-U586,V585-T586+U586)</f>
        <v>40</v>
      </c>
      <c r="X586">
        <f t="shared" si="65"/>
        <v>0</v>
      </c>
      <c r="Y586" s="143">
        <f t="shared" si="64"/>
        <v>-984.84210526318202</v>
      </c>
    </row>
    <row r="587" spans="1:25" x14ac:dyDescent="0.25">
      <c r="A587">
        <f t="shared" ref="A587:A650" si="69">A586+1</f>
        <v>580</v>
      </c>
      <c r="B587" s="88" t="str">
        <f>IF(OR(B586="Total",B586=""),"",IF(VLOOKUP(A587,Journal!$B$7:$E$84,4)=0,"Total",VLOOKUP(A587,Journal!$B$7:$D$84,3)))</f>
        <v/>
      </c>
      <c r="C587" s="86" t="str">
        <f>IF(B587="","",VLOOKUP(A587,Journal!$B$7:$E$84,4))</f>
        <v/>
      </c>
      <c r="D587" s="114" t="str">
        <f>IF(B587="","",VLOOKUP(A587,Journal!$B$7:$J$84,9))</f>
        <v/>
      </c>
      <c r="E587" s="116"/>
      <c r="F587" s="116"/>
      <c r="G587" s="115"/>
      <c r="H587" s="84" t="str">
        <f>IF(B587="","",VLOOKUP(A587,Journal!$B$7:$L$84,11))</f>
        <v/>
      </c>
      <c r="I587" s="84" t="str">
        <f>IF(B587="","",VLOOKUP(A587,Journal!$B$7:$M$84,12))</f>
        <v/>
      </c>
      <c r="J587" s="105">
        <f>IF(B587="Total",SUM(J$8:J586)+0.0001,IF(OR(B587="",I$2=I587),0,VLOOKUP(A587,Journal!$B$7:M$84,8)))</f>
        <v>0</v>
      </c>
      <c r="K587" s="102">
        <f>IF(B587="Total",SUM(K$8:K586)+0.0001,IF(OR(B587="",J587&lt;&gt;0),0,VLOOKUP(A587,Journal!$B$7:M$84,8)))</f>
        <v>0</v>
      </c>
      <c r="L587" s="87">
        <f t="shared" si="63"/>
        <v>0</v>
      </c>
      <c r="P587">
        <f t="shared" si="66"/>
        <v>1.0000000000000001E-5</v>
      </c>
      <c r="R587" s="15">
        <f t="shared" si="67"/>
        <v>580</v>
      </c>
      <c r="S587" s="126">
        <f>IF(VLOOKUP(A587,Journal!$A$7:$E$70,5)=0,S586+1,VLOOKUP(A587,Journal!$A$7:$E$70,5))</f>
        <v>46237</v>
      </c>
      <c r="T587" s="125">
        <f>IF(H$2=VLOOKUP(A587,Journal!$A$7:$F$70,6),VLOOKUP(A587,Journal!$A$7:M$70,9),0)</f>
        <v>0</v>
      </c>
      <c r="U587" s="125">
        <f>IF(H$2=VLOOKUP(A587,Journal!$A$7:$G$70,7),VLOOKUP(A587,Journal!$A$7:M$70,9),0)</f>
        <v>0</v>
      </c>
      <c r="V587" s="125">
        <f t="shared" si="68"/>
        <v>40</v>
      </c>
      <c r="X587">
        <f t="shared" si="65"/>
        <v>0</v>
      </c>
      <c r="Y587" s="143">
        <f t="shared" si="64"/>
        <v>-984.81578947370838</v>
      </c>
    </row>
    <row r="588" spans="1:25" x14ac:dyDescent="0.25">
      <c r="A588">
        <f t="shared" si="69"/>
        <v>581</v>
      </c>
      <c r="B588" s="88" t="str">
        <f>IF(OR(B587="Total",B587=""),"",IF(VLOOKUP(A588,Journal!$B$7:$E$84,4)=0,"Total",VLOOKUP(A588,Journal!$B$7:$D$84,3)))</f>
        <v/>
      </c>
      <c r="C588" s="86" t="str">
        <f>IF(B588="","",VLOOKUP(A588,Journal!$B$7:$E$84,4))</f>
        <v/>
      </c>
      <c r="D588" s="114" t="str">
        <f>IF(B588="","",VLOOKUP(A588,Journal!$B$7:$J$84,9))</f>
        <v/>
      </c>
      <c r="E588" s="116"/>
      <c r="F588" s="116"/>
      <c r="G588" s="115"/>
      <c r="H588" s="84" t="str">
        <f>IF(B588="","",VLOOKUP(A588,Journal!$B$7:$L$84,11))</f>
        <v/>
      </c>
      <c r="I588" s="84" t="str">
        <f>IF(B588="","",VLOOKUP(A588,Journal!$B$7:$M$84,12))</f>
        <v/>
      </c>
      <c r="J588" s="105">
        <f>IF(B588="Total",SUM(J$8:J587)+0.0001,IF(OR(B588="",I$2=I588),0,VLOOKUP(A588,Journal!$B$7:M$84,8)))</f>
        <v>0</v>
      </c>
      <c r="K588" s="102">
        <f>IF(B588="Total",SUM(K$8:K587)+0.0001,IF(OR(B588="",J588&lt;&gt;0),0,VLOOKUP(A588,Journal!$B$7:M$84,8)))</f>
        <v>0</v>
      </c>
      <c r="L588" s="87">
        <f t="shared" si="63"/>
        <v>0</v>
      </c>
      <c r="P588">
        <f t="shared" si="66"/>
        <v>1.0000000000000001E-5</v>
      </c>
      <c r="R588" s="15">
        <f t="shared" si="67"/>
        <v>581</v>
      </c>
      <c r="S588" s="126">
        <f>IF(VLOOKUP(A588,Journal!$A$7:$E$70,5)=0,S587+1,VLOOKUP(A588,Journal!$A$7:$E$70,5))</f>
        <v>46238</v>
      </c>
      <c r="T588" s="125">
        <f>IF(H$2=VLOOKUP(A588,Journal!$A$7:$F$70,6),VLOOKUP(A588,Journal!$A$7:M$70,9),0)</f>
        <v>0</v>
      </c>
      <c r="U588" s="125">
        <f>IF(H$2=VLOOKUP(A588,Journal!$A$7:$G$70,7),VLOOKUP(A588,Journal!$A$7:M$70,9),0)</f>
        <v>0</v>
      </c>
      <c r="V588" s="125">
        <f t="shared" si="68"/>
        <v>40</v>
      </c>
      <c r="X588">
        <f t="shared" si="65"/>
        <v>0</v>
      </c>
      <c r="Y588" s="143">
        <f t="shared" si="64"/>
        <v>-984.78947368423474</v>
      </c>
    </row>
    <row r="589" spans="1:25" x14ac:dyDescent="0.25">
      <c r="A589">
        <f t="shared" si="69"/>
        <v>582</v>
      </c>
      <c r="B589" s="88" t="str">
        <f>IF(OR(B588="Total",B588=""),"",IF(VLOOKUP(A589,Journal!$B$7:$E$84,4)=0,"Total",VLOOKUP(A589,Journal!$B$7:$D$84,3)))</f>
        <v/>
      </c>
      <c r="C589" s="86" t="str">
        <f>IF(B589="","",VLOOKUP(A589,Journal!$B$7:$E$84,4))</f>
        <v/>
      </c>
      <c r="D589" s="114" t="str">
        <f>IF(B589="","",VLOOKUP(A589,Journal!$B$7:$J$84,9))</f>
        <v/>
      </c>
      <c r="E589" s="116"/>
      <c r="F589" s="116"/>
      <c r="G589" s="115"/>
      <c r="H589" s="84" t="str">
        <f>IF(B589="","",VLOOKUP(A589,Journal!$B$7:$L$84,11))</f>
        <v/>
      </c>
      <c r="I589" s="84" t="str">
        <f>IF(B589="","",VLOOKUP(A589,Journal!$B$7:$M$84,12))</f>
        <v/>
      </c>
      <c r="J589" s="105">
        <f>IF(B589="Total",SUM(J$8:J588)+0.0001,IF(OR(B589="",I$2=I589),0,VLOOKUP(A589,Journal!$B$7:M$84,8)))</f>
        <v>0</v>
      </c>
      <c r="K589" s="102">
        <f>IF(B589="Total",SUM(K$8:K588)+0.0001,IF(OR(B589="",J589&lt;&gt;0),0,VLOOKUP(A589,Journal!$B$7:M$84,8)))</f>
        <v>0</v>
      </c>
      <c r="L589" s="87">
        <f t="shared" si="63"/>
        <v>0</v>
      </c>
      <c r="P589">
        <f t="shared" si="66"/>
        <v>1.0000000000000001E-5</v>
      </c>
      <c r="R589" s="15">
        <f t="shared" si="67"/>
        <v>582</v>
      </c>
      <c r="S589" s="126">
        <f>IF(VLOOKUP(A589,Journal!$A$7:$E$70,5)=0,S588+1,VLOOKUP(A589,Journal!$A$7:$E$70,5))</f>
        <v>46239</v>
      </c>
      <c r="T589" s="125">
        <f>IF(H$2=VLOOKUP(A589,Journal!$A$7:$F$70,6),VLOOKUP(A589,Journal!$A$7:M$70,9),0)</f>
        <v>0</v>
      </c>
      <c r="U589" s="125">
        <f>IF(H$2=VLOOKUP(A589,Journal!$A$7:$G$70,7),VLOOKUP(A589,Journal!$A$7:M$70,9),0)</f>
        <v>0</v>
      </c>
      <c r="V589" s="125">
        <f t="shared" si="68"/>
        <v>40</v>
      </c>
      <c r="X589">
        <f t="shared" si="65"/>
        <v>0</v>
      </c>
      <c r="Y589" s="143">
        <f t="shared" si="64"/>
        <v>-984.76315789476109</v>
      </c>
    </row>
    <row r="590" spans="1:25" x14ac:dyDescent="0.25">
      <c r="A590">
        <f t="shared" si="69"/>
        <v>583</v>
      </c>
      <c r="B590" s="88" t="str">
        <f>IF(OR(B589="Total",B589=""),"",IF(VLOOKUP(A590,Journal!$B$7:$E$84,4)=0,"Total",VLOOKUP(A590,Journal!$B$7:$D$84,3)))</f>
        <v/>
      </c>
      <c r="C590" s="86" t="str">
        <f>IF(B590="","",VLOOKUP(A590,Journal!$B$7:$E$84,4))</f>
        <v/>
      </c>
      <c r="D590" s="114" t="str">
        <f>IF(B590="","",VLOOKUP(A590,Journal!$B$7:$J$84,9))</f>
        <v/>
      </c>
      <c r="E590" s="116"/>
      <c r="F590" s="116"/>
      <c r="G590" s="115"/>
      <c r="H590" s="84" t="str">
        <f>IF(B590="","",VLOOKUP(A590,Journal!$B$7:$L$84,11))</f>
        <v/>
      </c>
      <c r="I590" s="84" t="str">
        <f>IF(B590="","",VLOOKUP(A590,Journal!$B$7:$M$84,12))</f>
        <v/>
      </c>
      <c r="J590" s="105">
        <f>IF(B590="Total",SUM(J$8:J589)+0.0001,IF(OR(B590="",I$2=I590),0,VLOOKUP(A590,Journal!$B$7:M$84,8)))</f>
        <v>0</v>
      </c>
      <c r="K590" s="102">
        <f>IF(B590="Total",SUM(K$8:K589)+0.0001,IF(OR(B590="",J590&lt;&gt;0),0,VLOOKUP(A590,Journal!$B$7:M$84,8)))</f>
        <v>0</v>
      </c>
      <c r="L590" s="87">
        <f t="shared" si="63"/>
        <v>0</v>
      </c>
      <c r="P590">
        <f t="shared" si="66"/>
        <v>1.0000000000000001E-5</v>
      </c>
      <c r="R590" s="15">
        <f t="shared" si="67"/>
        <v>583</v>
      </c>
      <c r="S590" s="126">
        <f>IF(VLOOKUP(A590,Journal!$A$7:$E$70,5)=0,S589+1,VLOOKUP(A590,Journal!$A$7:$E$70,5))</f>
        <v>46240</v>
      </c>
      <c r="T590" s="125">
        <f>IF(H$2=VLOOKUP(A590,Journal!$A$7:$F$70,6),VLOOKUP(A590,Journal!$A$7:M$70,9),0)</f>
        <v>0</v>
      </c>
      <c r="U590" s="125">
        <f>IF(H$2=VLOOKUP(A590,Journal!$A$7:$G$70,7),VLOOKUP(A590,Journal!$A$7:M$70,9),0)</f>
        <v>0</v>
      </c>
      <c r="V590" s="125">
        <f t="shared" si="68"/>
        <v>40</v>
      </c>
      <c r="X590">
        <f t="shared" si="65"/>
        <v>0</v>
      </c>
      <c r="Y590" s="143">
        <f t="shared" si="64"/>
        <v>-984.73684210528745</v>
      </c>
    </row>
    <row r="591" spans="1:25" x14ac:dyDescent="0.25">
      <c r="A591">
        <f t="shared" si="69"/>
        <v>584</v>
      </c>
      <c r="B591" s="88" t="str">
        <f>IF(OR(B590="Total",B590=""),"",IF(VLOOKUP(A591,Journal!$B$7:$E$84,4)=0,"Total",VLOOKUP(A591,Journal!$B$7:$D$84,3)))</f>
        <v/>
      </c>
      <c r="C591" s="86" t="str">
        <f>IF(B591="","",VLOOKUP(A591,Journal!$B$7:$E$84,4))</f>
        <v/>
      </c>
      <c r="D591" s="114" t="str">
        <f>IF(B591="","",VLOOKUP(A591,Journal!$B$7:$J$84,9))</f>
        <v/>
      </c>
      <c r="E591" s="116"/>
      <c r="F591" s="116"/>
      <c r="G591" s="115"/>
      <c r="H591" s="84" t="str">
        <f>IF(B591="","",VLOOKUP(A591,Journal!$B$7:$L$84,11))</f>
        <v/>
      </c>
      <c r="I591" s="84" t="str">
        <f>IF(B591="","",VLOOKUP(A591,Journal!$B$7:$M$84,12))</f>
        <v/>
      </c>
      <c r="J591" s="105">
        <f>IF(B591="Total",SUM(J$8:J590)+0.0001,IF(OR(B591="",I$2=I591),0,VLOOKUP(A591,Journal!$B$7:M$84,8)))</f>
        <v>0</v>
      </c>
      <c r="K591" s="102">
        <f>IF(B591="Total",SUM(K$8:K590)+0.0001,IF(OR(B591="",J591&lt;&gt;0),0,VLOOKUP(A591,Journal!$B$7:M$84,8)))</f>
        <v>0</v>
      </c>
      <c r="L591" s="87">
        <f t="shared" si="63"/>
        <v>0</v>
      </c>
      <c r="P591">
        <f t="shared" si="66"/>
        <v>1.0000000000000001E-5</v>
      </c>
      <c r="R591" s="15">
        <f t="shared" si="67"/>
        <v>584</v>
      </c>
      <c r="S591" s="126">
        <f>IF(VLOOKUP(A591,Journal!$A$7:$E$70,5)=0,S590+1,VLOOKUP(A591,Journal!$A$7:$E$70,5))</f>
        <v>46241</v>
      </c>
      <c r="T591" s="125">
        <f>IF(H$2=VLOOKUP(A591,Journal!$A$7:$F$70,6),VLOOKUP(A591,Journal!$A$7:M$70,9),0)</f>
        <v>0</v>
      </c>
      <c r="U591" s="125">
        <f>IF(H$2=VLOOKUP(A591,Journal!$A$7:$G$70,7),VLOOKUP(A591,Journal!$A$7:M$70,9),0)</f>
        <v>0</v>
      </c>
      <c r="V591" s="125">
        <f t="shared" si="68"/>
        <v>40</v>
      </c>
      <c r="X591">
        <f t="shared" si="65"/>
        <v>0</v>
      </c>
      <c r="Y591" s="143">
        <f t="shared" si="64"/>
        <v>-984.71052631581381</v>
      </c>
    </row>
    <row r="592" spans="1:25" x14ac:dyDescent="0.25">
      <c r="A592">
        <f t="shared" si="69"/>
        <v>585</v>
      </c>
      <c r="B592" s="88" t="str">
        <f>IF(OR(B591="Total",B591=""),"",IF(VLOOKUP(A592,Journal!$B$7:$E$84,4)=0,"Total",VLOOKUP(A592,Journal!$B$7:$D$84,3)))</f>
        <v/>
      </c>
      <c r="C592" s="86" t="str">
        <f>IF(B592="","",VLOOKUP(A592,Journal!$B$7:$E$84,4))</f>
        <v/>
      </c>
      <c r="D592" s="114" t="str">
        <f>IF(B592="","",VLOOKUP(A592,Journal!$B$7:$J$84,9))</f>
        <v/>
      </c>
      <c r="E592" s="116"/>
      <c r="F592" s="116"/>
      <c r="G592" s="115"/>
      <c r="H592" s="84" t="str">
        <f>IF(B592="","",VLOOKUP(A592,Journal!$B$7:$L$84,11))</f>
        <v/>
      </c>
      <c r="I592" s="84" t="str">
        <f>IF(B592="","",VLOOKUP(A592,Journal!$B$7:$M$84,12))</f>
        <v/>
      </c>
      <c r="J592" s="105">
        <f>IF(B592="Total",SUM(J$8:J591)+0.0001,IF(OR(B592="",I$2=I592),0,VLOOKUP(A592,Journal!$B$7:M$84,8)))</f>
        <v>0</v>
      </c>
      <c r="K592" s="102">
        <f>IF(B592="Total",SUM(K$8:K591)+0.0001,IF(OR(B592="",J592&lt;&gt;0),0,VLOOKUP(A592,Journal!$B$7:M$84,8)))</f>
        <v>0</v>
      </c>
      <c r="L592" s="87">
        <f t="shared" si="63"/>
        <v>0</v>
      </c>
      <c r="P592">
        <f t="shared" si="66"/>
        <v>1.0000000000000001E-5</v>
      </c>
      <c r="R592" s="15">
        <f t="shared" si="67"/>
        <v>585</v>
      </c>
      <c r="S592" s="126">
        <f>IF(VLOOKUP(A592,Journal!$A$7:$E$70,5)=0,S591+1,VLOOKUP(A592,Journal!$A$7:$E$70,5))</f>
        <v>46242</v>
      </c>
      <c r="T592" s="125">
        <f>IF(H$2=VLOOKUP(A592,Journal!$A$7:$F$70,6),VLOOKUP(A592,Journal!$A$7:M$70,9),0)</f>
        <v>0</v>
      </c>
      <c r="U592" s="125">
        <f>IF(H$2=VLOOKUP(A592,Journal!$A$7:$G$70,7),VLOOKUP(A592,Journal!$A$7:M$70,9),0)</f>
        <v>0</v>
      </c>
      <c r="V592" s="125">
        <f t="shared" si="68"/>
        <v>40</v>
      </c>
      <c r="X592">
        <f t="shared" si="65"/>
        <v>0</v>
      </c>
      <c r="Y592" s="143">
        <f t="shared" si="64"/>
        <v>-984.68421052634017</v>
      </c>
    </row>
    <row r="593" spans="1:25" x14ac:dyDescent="0.25">
      <c r="A593">
        <f t="shared" si="69"/>
        <v>586</v>
      </c>
      <c r="B593" s="88" t="str">
        <f>IF(OR(B592="Total",B592=""),"",IF(VLOOKUP(A593,Journal!$B$7:$E$84,4)=0,"Total",VLOOKUP(A593,Journal!$B$7:$D$84,3)))</f>
        <v/>
      </c>
      <c r="C593" s="86" t="str">
        <f>IF(B593="","",VLOOKUP(A593,Journal!$B$7:$E$84,4))</f>
        <v/>
      </c>
      <c r="D593" s="114" t="str">
        <f>IF(B593="","",VLOOKUP(A593,Journal!$B$7:$J$84,9))</f>
        <v/>
      </c>
      <c r="E593" s="116"/>
      <c r="F593" s="116"/>
      <c r="G593" s="115"/>
      <c r="H593" s="84" t="str">
        <f>IF(B593="","",VLOOKUP(A593,Journal!$B$7:$L$84,11))</f>
        <v/>
      </c>
      <c r="I593" s="84" t="str">
        <f>IF(B593="","",VLOOKUP(A593,Journal!$B$7:$M$84,12))</f>
        <v/>
      </c>
      <c r="J593" s="105">
        <f>IF(B593="Total",SUM(J$8:J592)+0.0001,IF(OR(B593="",I$2=I593),0,VLOOKUP(A593,Journal!$B$7:M$84,8)))</f>
        <v>0</v>
      </c>
      <c r="K593" s="102">
        <f>IF(B593="Total",SUM(K$8:K592)+0.0001,IF(OR(B593="",J593&lt;&gt;0),0,VLOOKUP(A593,Journal!$B$7:M$84,8)))</f>
        <v>0</v>
      </c>
      <c r="L593" s="87">
        <f t="shared" si="63"/>
        <v>0</v>
      </c>
      <c r="P593">
        <f t="shared" si="66"/>
        <v>1.0000000000000001E-5</v>
      </c>
      <c r="R593" s="15">
        <f t="shared" si="67"/>
        <v>586</v>
      </c>
      <c r="S593" s="126">
        <f>IF(VLOOKUP(A593,Journal!$A$7:$E$70,5)=0,S592+1,VLOOKUP(A593,Journal!$A$7:$E$70,5))</f>
        <v>46243</v>
      </c>
      <c r="T593" s="125">
        <f>IF(H$2=VLOOKUP(A593,Journal!$A$7:$F$70,6),VLOOKUP(A593,Journal!$A$7:M$70,9),0)</f>
        <v>0</v>
      </c>
      <c r="U593" s="125">
        <f>IF(H$2=VLOOKUP(A593,Journal!$A$7:$G$70,7),VLOOKUP(A593,Journal!$A$7:M$70,9),0)</f>
        <v>0</v>
      </c>
      <c r="V593" s="125">
        <f t="shared" si="68"/>
        <v>40</v>
      </c>
      <c r="X593">
        <f t="shared" si="65"/>
        <v>0</v>
      </c>
      <c r="Y593" s="143">
        <f t="shared" si="64"/>
        <v>-984.65789473686652</v>
      </c>
    </row>
    <row r="594" spans="1:25" x14ac:dyDescent="0.25">
      <c r="A594">
        <f t="shared" si="69"/>
        <v>587</v>
      </c>
      <c r="B594" s="88" t="str">
        <f>IF(OR(B593="Total",B593=""),"",IF(VLOOKUP(A594,Journal!$B$7:$E$84,4)=0,"Total",VLOOKUP(A594,Journal!$B$7:$D$84,3)))</f>
        <v/>
      </c>
      <c r="C594" s="86" t="str">
        <f>IF(B594="","",VLOOKUP(A594,Journal!$B$7:$E$84,4))</f>
        <v/>
      </c>
      <c r="D594" s="114" t="str">
        <f>IF(B594="","",VLOOKUP(A594,Journal!$B$7:$J$84,9))</f>
        <v/>
      </c>
      <c r="E594" s="116"/>
      <c r="F594" s="116"/>
      <c r="G594" s="115"/>
      <c r="H594" s="84" t="str">
        <f>IF(B594="","",VLOOKUP(A594,Journal!$B$7:$L$84,11))</f>
        <v/>
      </c>
      <c r="I594" s="84" t="str">
        <f>IF(B594="","",VLOOKUP(A594,Journal!$B$7:$M$84,12))</f>
        <v/>
      </c>
      <c r="J594" s="105">
        <f>IF(B594="Total",SUM(J$8:J593)+0.0001,IF(OR(B594="",I$2=I594),0,VLOOKUP(A594,Journal!$B$7:M$84,8)))</f>
        <v>0</v>
      </c>
      <c r="K594" s="102">
        <f>IF(B594="Total",SUM(K$8:K593)+0.0001,IF(OR(B594="",J594&lt;&gt;0),0,VLOOKUP(A594,Journal!$B$7:M$84,8)))</f>
        <v>0</v>
      </c>
      <c r="L594" s="87">
        <f t="shared" si="63"/>
        <v>0</v>
      </c>
      <c r="P594">
        <f t="shared" si="66"/>
        <v>1.0000000000000001E-5</v>
      </c>
      <c r="R594" s="15">
        <f t="shared" si="67"/>
        <v>587</v>
      </c>
      <c r="S594" s="126">
        <f>IF(VLOOKUP(A594,Journal!$A$7:$E$70,5)=0,S593+1,VLOOKUP(A594,Journal!$A$7:$E$70,5))</f>
        <v>46244</v>
      </c>
      <c r="T594" s="125">
        <f>IF(H$2=VLOOKUP(A594,Journal!$A$7:$F$70,6),VLOOKUP(A594,Journal!$A$7:M$70,9),0)</f>
        <v>0</v>
      </c>
      <c r="U594" s="125">
        <f>IF(H$2=VLOOKUP(A594,Journal!$A$7:$G$70,7),VLOOKUP(A594,Journal!$A$7:M$70,9),0)</f>
        <v>0</v>
      </c>
      <c r="V594" s="125">
        <f t="shared" si="68"/>
        <v>40</v>
      </c>
      <c r="X594">
        <f t="shared" si="65"/>
        <v>0</v>
      </c>
      <c r="Y594" s="143">
        <f t="shared" si="64"/>
        <v>-984.63157894739288</v>
      </c>
    </row>
    <row r="595" spans="1:25" x14ac:dyDescent="0.25">
      <c r="A595">
        <f t="shared" si="69"/>
        <v>588</v>
      </c>
      <c r="B595" s="88" t="str">
        <f>IF(OR(B594="Total",B594=""),"",IF(VLOOKUP(A595,Journal!$B$7:$E$84,4)=0,"Total",VLOOKUP(A595,Journal!$B$7:$D$84,3)))</f>
        <v/>
      </c>
      <c r="C595" s="86" t="str">
        <f>IF(B595="","",VLOOKUP(A595,Journal!$B$7:$E$84,4))</f>
        <v/>
      </c>
      <c r="D595" s="114" t="str">
        <f>IF(B595="","",VLOOKUP(A595,Journal!$B$7:$J$84,9))</f>
        <v/>
      </c>
      <c r="E595" s="116"/>
      <c r="F595" s="116"/>
      <c r="G595" s="115"/>
      <c r="H595" s="84" t="str">
        <f>IF(B595="","",VLOOKUP(A595,Journal!$B$7:$L$84,11))</f>
        <v/>
      </c>
      <c r="I595" s="84" t="str">
        <f>IF(B595="","",VLOOKUP(A595,Journal!$B$7:$M$84,12))</f>
        <v/>
      </c>
      <c r="J595" s="105">
        <f>IF(B595="Total",SUM(J$8:J594)+0.0001,IF(OR(B595="",I$2=I595),0,VLOOKUP(A595,Journal!$B$7:M$84,8)))</f>
        <v>0</v>
      </c>
      <c r="K595" s="102">
        <f>IF(B595="Total",SUM(K$8:K594)+0.0001,IF(OR(B595="",J595&lt;&gt;0),0,VLOOKUP(A595,Journal!$B$7:M$84,8)))</f>
        <v>0</v>
      </c>
      <c r="L595" s="87">
        <f t="shared" si="63"/>
        <v>0</v>
      </c>
      <c r="P595">
        <f t="shared" si="66"/>
        <v>1.0000000000000001E-5</v>
      </c>
      <c r="R595" s="15">
        <f t="shared" si="67"/>
        <v>588</v>
      </c>
      <c r="S595" s="126">
        <f>IF(VLOOKUP(A595,Journal!$A$7:$E$70,5)=0,S594+1,VLOOKUP(A595,Journal!$A$7:$E$70,5))</f>
        <v>46245</v>
      </c>
      <c r="T595" s="125">
        <f>IF(H$2=VLOOKUP(A595,Journal!$A$7:$F$70,6),VLOOKUP(A595,Journal!$A$7:M$70,9),0)</f>
        <v>0</v>
      </c>
      <c r="U595" s="125">
        <f>IF(H$2=VLOOKUP(A595,Journal!$A$7:$G$70,7),VLOOKUP(A595,Journal!$A$7:M$70,9),0)</f>
        <v>0</v>
      </c>
      <c r="V595" s="125">
        <f t="shared" si="68"/>
        <v>40</v>
      </c>
      <c r="X595">
        <f t="shared" si="65"/>
        <v>0</v>
      </c>
      <c r="Y595" s="143">
        <f t="shared" si="64"/>
        <v>-984.60526315791924</v>
      </c>
    </row>
    <row r="596" spans="1:25" x14ac:dyDescent="0.25">
      <c r="A596">
        <f t="shared" si="69"/>
        <v>589</v>
      </c>
      <c r="B596" s="88" t="str">
        <f>IF(OR(B595="Total",B595=""),"",IF(VLOOKUP(A596,Journal!$B$7:$E$84,4)=0,"Total",VLOOKUP(A596,Journal!$B$7:$D$84,3)))</f>
        <v/>
      </c>
      <c r="C596" s="86" t="str">
        <f>IF(B596="","",VLOOKUP(A596,Journal!$B$7:$E$84,4))</f>
        <v/>
      </c>
      <c r="D596" s="114" t="str">
        <f>IF(B596="","",VLOOKUP(A596,Journal!$B$7:$J$84,9))</f>
        <v/>
      </c>
      <c r="E596" s="116"/>
      <c r="F596" s="116"/>
      <c r="G596" s="115"/>
      <c r="H596" s="84" t="str">
        <f>IF(B596="","",VLOOKUP(A596,Journal!$B$7:$L$84,11))</f>
        <v/>
      </c>
      <c r="I596" s="84" t="str">
        <f>IF(B596="","",VLOOKUP(A596,Journal!$B$7:$M$84,12))</f>
        <v/>
      </c>
      <c r="J596" s="105">
        <f>IF(B596="Total",SUM(J$8:J595)+0.0001,IF(OR(B596="",I$2=I596),0,VLOOKUP(A596,Journal!$B$7:M$84,8)))</f>
        <v>0</v>
      </c>
      <c r="K596" s="102">
        <f>IF(B596="Total",SUM(K$8:K595)+0.0001,IF(OR(B596="",J596&lt;&gt;0),0,VLOOKUP(A596,Journal!$B$7:M$84,8)))</f>
        <v>0</v>
      </c>
      <c r="L596" s="87">
        <f t="shared" si="63"/>
        <v>0</v>
      </c>
      <c r="P596">
        <f t="shared" si="66"/>
        <v>1.0000000000000001E-5</v>
      </c>
      <c r="R596" s="15">
        <f t="shared" si="67"/>
        <v>589</v>
      </c>
      <c r="S596" s="126">
        <f>IF(VLOOKUP(A596,Journal!$A$7:$E$70,5)=0,S595+1,VLOOKUP(A596,Journal!$A$7:$E$70,5))</f>
        <v>46246</v>
      </c>
      <c r="T596" s="125">
        <f>IF(H$2=VLOOKUP(A596,Journal!$A$7:$F$70,6),VLOOKUP(A596,Journal!$A$7:M$70,9),0)</f>
        <v>0</v>
      </c>
      <c r="U596" s="125">
        <f>IF(H$2=VLOOKUP(A596,Journal!$A$7:$G$70,7),VLOOKUP(A596,Journal!$A$7:M$70,9),0)</f>
        <v>0</v>
      </c>
      <c r="V596" s="125">
        <f t="shared" si="68"/>
        <v>40</v>
      </c>
      <c r="X596">
        <f t="shared" si="65"/>
        <v>0</v>
      </c>
      <c r="Y596" s="143">
        <f t="shared" si="64"/>
        <v>-984.5789473684456</v>
      </c>
    </row>
    <row r="597" spans="1:25" x14ac:dyDescent="0.25">
      <c r="A597">
        <f t="shared" si="69"/>
        <v>590</v>
      </c>
      <c r="B597" s="88" t="str">
        <f>IF(OR(B596="Total",B596=""),"",IF(VLOOKUP(A597,Journal!$B$7:$E$84,4)=0,"Total",VLOOKUP(A597,Journal!$B$7:$D$84,3)))</f>
        <v/>
      </c>
      <c r="C597" s="86" t="str">
        <f>IF(B597="","",VLOOKUP(A597,Journal!$B$7:$E$84,4))</f>
        <v/>
      </c>
      <c r="D597" s="114" t="str">
        <f>IF(B597="","",VLOOKUP(A597,Journal!$B$7:$J$84,9))</f>
        <v/>
      </c>
      <c r="E597" s="116"/>
      <c r="F597" s="116"/>
      <c r="G597" s="115"/>
      <c r="H597" s="84" t="str">
        <f>IF(B597="","",VLOOKUP(A597,Journal!$B$7:$L$84,11))</f>
        <v/>
      </c>
      <c r="I597" s="84" t="str">
        <f>IF(B597="","",VLOOKUP(A597,Journal!$B$7:$M$84,12))</f>
        <v/>
      </c>
      <c r="J597" s="105">
        <f>IF(B597="Total",SUM(J$8:J596)+0.0001,IF(OR(B597="",I$2=I597),0,VLOOKUP(A597,Journal!$B$7:M$84,8)))</f>
        <v>0</v>
      </c>
      <c r="K597" s="102">
        <f>IF(B597="Total",SUM(K$8:K596)+0.0001,IF(OR(B597="",J597&lt;&gt;0),0,VLOOKUP(A597,Journal!$B$7:M$84,8)))</f>
        <v>0</v>
      </c>
      <c r="L597" s="87">
        <f t="shared" si="63"/>
        <v>0</v>
      </c>
      <c r="P597">
        <f t="shared" si="66"/>
        <v>1.0000000000000001E-5</v>
      </c>
      <c r="R597" s="15">
        <f t="shared" si="67"/>
        <v>590</v>
      </c>
      <c r="S597" s="126">
        <f>IF(VLOOKUP(A597,Journal!$A$7:$E$70,5)=0,S596+1,VLOOKUP(A597,Journal!$A$7:$E$70,5))</f>
        <v>46247</v>
      </c>
      <c r="T597" s="125">
        <f>IF(H$2=VLOOKUP(A597,Journal!$A$7:$F$70,6),VLOOKUP(A597,Journal!$A$7:M$70,9),0)</f>
        <v>0</v>
      </c>
      <c r="U597" s="125">
        <f>IF(H$2=VLOOKUP(A597,Journal!$A$7:$G$70,7),VLOOKUP(A597,Journal!$A$7:M$70,9),0)</f>
        <v>0</v>
      </c>
      <c r="V597" s="125">
        <f t="shared" si="68"/>
        <v>40</v>
      </c>
      <c r="X597">
        <f t="shared" si="65"/>
        <v>0</v>
      </c>
      <c r="Y597" s="143">
        <f t="shared" si="64"/>
        <v>-984.55263157897195</v>
      </c>
    </row>
    <row r="598" spans="1:25" x14ac:dyDescent="0.25">
      <c r="A598">
        <f t="shared" si="69"/>
        <v>591</v>
      </c>
      <c r="B598" s="88" t="str">
        <f>IF(OR(B597="Total",B597=""),"",IF(VLOOKUP(A598,Journal!$B$7:$E$84,4)=0,"Total",VLOOKUP(A598,Journal!$B$7:$D$84,3)))</f>
        <v/>
      </c>
      <c r="C598" s="86" t="str">
        <f>IF(B598="","",VLOOKUP(A598,Journal!$B$7:$E$84,4))</f>
        <v/>
      </c>
      <c r="D598" s="114" t="str">
        <f>IF(B598="","",VLOOKUP(A598,Journal!$B$7:$J$84,9))</f>
        <v/>
      </c>
      <c r="E598" s="116"/>
      <c r="F598" s="116"/>
      <c r="G598" s="115"/>
      <c r="H598" s="84" t="str">
        <f>IF(B598="","",VLOOKUP(A598,Journal!$B$7:$L$84,11))</f>
        <v/>
      </c>
      <c r="I598" s="84" t="str">
        <f>IF(B598="","",VLOOKUP(A598,Journal!$B$7:$M$84,12))</f>
        <v/>
      </c>
      <c r="J598" s="105">
        <f>IF(B598="Total",SUM(J$8:J597)+0.0001,IF(OR(B598="",I$2=I598),0,VLOOKUP(A598,Journal!$B$7:M$84,8)))</f>
        <v>0</v>
      </c>
      <c r="K598" s="102">
        <f>IF(B598="Total",SUM(K$8:K597)+0.0001,IF(OR(B598="",J598&lt;&gt;0),0,VLOOKUP(A598,Journal!$B$7:M$84,8)))</f>
        <v>0</v>
      </c>
      <c r="L598" s="87">
        <f t="shared" si="63"/>
        <v>0</v>
      </c>
      <c r="P598">
        <f t="shared" si="66"/>
        <v>1.0000000000000001E-5</v>
      </c>
      <c r="R598" s="15">
        <f t="shared" si="67"/>
        <v>591</v>
      </c>
      <c r="S598" s="126">
        <f>IF(VLOOKUP(A598,Journal!$A$7:$E$70,5)=0,S597+1,VLOOKUP(A598,Journal!$A$7:$E$70,5))</f>
        <v>46248</v>
      </c>
      <c r="T598" s="125">
        <f>IF(H$2=VLOOKUP(A598,Journal!$A$7:$F$70,6),VLOOKUP(A598,Journal!$A$7:M$70,9),0)</f>
        <v>0</v>
      </c>
      <c r="U598" s="125">
        <f>IF(H$2=VLOOKUP(A598,Journal!$A$7:$G$70,7),VLOOKUP(A598,Journal!$A$7:M$70,9),0)</f>
        <v>0</v>
      </c>
      <c r="V598" s="125">
        <f t="shared" si="68"/>
        <v>40</v>
      </c>
      <c r="X598">
        <f t="shared" si="65"/>
        <v>0</v>
      </c>
      <c r="Y598" s="143">
        <f t="shared" si="64"/>
        <v>-984.52631578949831</v>
      </c>
    </row>
    <row r="599" spans="1:25" x14ac:dyDescent="0.25">
      <c r="A599">
        <f t="shared" si="69"/>
        <v>592</v>
      </c>
      <c r="B599" s="88" t="str">
        <f>IF(OR(B598="Total",B598=""),"",IF(VLOOKUP(A599,Journal!$B$7:$E$84,4)=0,"Total",VLOOKUP(A599,Journal!$B$7:$D$84,3)))</f>
        <v/>
      </c>
      <c r="C599" s="86" t="str">
        <f>IF(B599="","",VLOOKUP(A599,Journal!$B$7:$E$84,4))</f>
        <v/>
      </c>
      <c r="D599" s="114" t="str">
        <f>IF(B599="","",VLOOKUP(A599,Journal!$B$7:$J$84,9))</f>
        <v/>
      </c>
      <c r="E599" s="116"/>
      <c r="F599" s="116"/>
      <c r="G599" s="115"/>
      <c r="H599" s="84" t="str">
        <f>IF(B599="","",VLOOKUP(A599,Journal!$B$7:$L$84,11))</f>
        <v/>
      </c>
      <c r="I599" s="84" t="str">
        <f>IF(B599="","",VLOOKUP(A599,Journal!$B$7:$M$84,12))</f>
        <v/>
      </c>
      <c r="J599" s="105">
        <f>IF(B599="Total",SUM(J$8:J598)+0.0001,IF(OR(B599="",I$2=I599),0,VLOOKUP(A599,Journal!$B$7:M$84,8)))</f>
        <v>0</v>
      </c>
      <c r="K599" s="102">
        <f>IF(B599="Total",SUM(K$8:K598)+0.0001,IF(OR(B599="",J599&lt;&gt;0),0,VLOOKUP(A599,Journal!$B$7:M$84,8)))</f>
        <v>0</v>
      </c>
      <c r="L599" s="87">
        <f t="shared" si="63"/>
        <v>0</v>
      </c>
      <c r="P599">
        <f t="shared" si="66"/>
        <v>1.0000000000000001E-5</v>
      </c>
      <c r="R599" s="15">
        <f t="shared" si="67"/>
        <v>592</v>
      </c>
      <c r="S599" s="126">
        <f>IF(VLOOKUP(A599,Journal!$A$7:$E$70,5)=0,S598+1,VLOOKUP(A599,Journal!$A$7:$E$70,5))</f>
        <v>46249</v>
      </c>
      <c r="T599" s="125">
        <f>IF(H$2=VLOOKUP(A599,Journal!$A$7:$F$70,6),VLOOKUP(A599,Journal!$A$7:M$70,9),0)</f>
        <v>0</v>
      </c>
      <c r="U599" s="125">
        <f>IF(H$2=VLOOKUP(A599,Journal!$A$7:$G$70,7),VLOOKUP(A599,Journal!$A$7:M$70,9),0)</f>
        <v>0</v>
      </c>
      <c r="V599" s="125">
        <f t="shared" si="68"/>
        <v>40</v>
      </c>
      <c r="X599">
        <f t="shared" si="65"/>
        <v>0</v>
      </c>
      <c r="Y599" s="143">
        <f t="shared" si="64"/>
        <v>-984.50000000002467</v>
      </c>
    </row>
    <row r="600" spans="1:25" x14ac:dyDescent="0.25">
      <c r="A600">
        <f t="shared" si="69"/>
        <v>593</v>
      </c>
      <c r="B600" s="88" t="str">
        <f>IF(OR(B599="Total",B599=""),"",IF(VLOOKUP(A600,Journal!$B$7:$E$84,4)=0,"Total",VLOOKUP(A600,Journal!$B$7:$D$84,3)))</f>
        <v/>
      </c>
      <c r="C600" s="86" t="str">
        <f>IF(B600="","",VLOOKUP(A600,Journal!$B$7:$E$84,4))</f>
        <v/>
      </c>
      <c r="D600" s="114" t="str">
        <f>IF(B600="","",VLOOKUP(A600,Journal!$B$7:$J$84,9))</f>
        <v/>
      </c>
      <c r="E600" s="116"/>
      <c r="F600" s="116"/>
      <c r="G600" s="115"/>
      <c r="H600" s="84" t="str">
        <f>IF(B600="","",VLOOKUP(A600,Journal!$B$7:$L$84,11))</f>
        <v/>
      </c>
      <c r="I600" s="84" t="str">
        <f>IF(B600="","",VLOOKUP(A600,Journal!$B$7:$M$84,12))</f>
        <v/>
      </c>
      <c r="J600" s="105">
        <f>IF(B600="Total",SUM(J$8:J599)+0.0001,IF(OR(B600="",I$2=I600),0,VLOOKUP(A600,Journal!$B$7:M$84,8)))</f>
        <v>0</v>
      </c>
      <c r="K600" s="102">
        <f>IF(B600="Total",SUM(K$8:K599)+0.0001,IF(OR(B600="",J600&lt;&gt;0),0,VLOOKUP(A600,Journal!$B$7:M$84,8)))</f>
        <v>0</v>
      </c>
      <c r="L600" s="87">
        <f t="shared" si="63"/>
        <v>0</v>
      </c>
      <c r="P600">
        <f t="shared" si="66"/>
        <v>1.0000000000000001E-5</v>
      </c>
      <c r="R600" s="15">
        <f t="shared" si="67"/>
        <v>593</v>
      </c>
      <c r="S600" s="126">
        <f>IF(VLOOKUP(A600,Journal!$A$7:$E$70,5)=0,S599+1,VLOOKUP(A600,Journal!$A$7:$E$70,5))</f>
        <v>46250</v>
      </c>
      <c r="T600" s="125">
        <f>IF(H$2=VLOOKUP(A600,Journal!$A$7:$F$70,6),VLOOKUP(A600,Journal!$A$7:M$70,9),0)</f>
        <v>0</v>
      </c>
      <c r="U600" s="125">
        <f>IF(H$2=VLOOKUP(A600,Journal!$A$7:$G$70,7),VLOOKUP(A600,Journal!$A$7:M$70,9),0)</f>
        <v>0</v>
      </c>
      <c r="V600" s="125">
        <f t="shared" si="68"/>
        <v>40</v>
      </c>
      <c r="X600">
        <f t="shared" si="65"/>
        <v>0</v>
      </c>
      <c r="Y600" s="143">
        <f t="shared" si="64"/>
        <v>-984.47368421055103</v>
      </c>
    </row>
    <row r="601" spans="1:25" x14ac:dyDescent="0.25">
      <c r="A601">
        <f t="shared" si="69"/>
        <v>594</v>
      </c>
      <c r="B601" s="88" t="str">
        <f>IF(OR(B600="Total",B600=""),"",IF(VLOOKUP(A601,Journal!$B$7:$E$84,4)=0,"Total",VLOOKUP(A601,Journal!$B$7:$D$84,3)))</f>
        <v/>
      </c>
      <c r="C601" s="86" t="str">
        <f>IF(B601="","",VLOOKUP(A601,Journal!$B$7:$E$84,4))</f>
        <v/>
      </c>
      <c r="D601" s="114" t="str">
        <f>IF(B601="","",VLOOKUP(A601,Journal!$B$7:$J$84,9))</f>
        <v/>
      </c>
      <c r="E601" s="116"/>
      <c r="F601" s="116"/>
      <c r="G601" s="115"/>
      <c r="H601" s="84" t="str">
        <f>IF(B601="","",VLOOKUP(A601,Journal!$B$7:$L$84,11))</f>
        <v/>
      </c>
      <c r="I601" s="84" t="str">
        <f>IF(B601="","",VLOOKUP(A601,Journal!$B$7:$M$84,12))</f>
        <v/>
      </c>
      <c r="J601" s="105">
        <f>IF(B601="Total",SUM(J$8:J600)+0.0001,IF(OR(B601="",I$2=I601),0,VLOOKUP(A601,Journal!$B$7:M$84,8)))</f>
        <v>0</v>
      </c>
      <c r="K601" s="102">
        <f>IF(B601="Total",SUM(K$8:K600)+0.0001,IF(OR(B601="",J601&lt;&gt;0),0,VLOOKUP(A601,Journal!$B$7:M$84,8)))</f>
        <v>0</v>
      </c>
      <c r="L601" s="87">
        <f t="shared" si="63"/>
        <v>0</v>
      </c>
      <c r="P601">
        <f t="shared" si="66"/>
        <v>1.0000000000000001E-5</v>
      </c>
      <c r="R601" s="15">
        <f t="shared" si="67"/>
        <v>594</v>
      </c>
      <c r="S601" s="126">
        <f>IF(VLOOKUP(A601,Journal!$A$7:$E$70,5)=0,S600+1,VLOOKUP(A601,Journal!$A$7:$E$70,5))</f>
        <v>46251</v>
      </c>
      <c r="T601" s="125">
        <f>IF(H$2=VLOOKUP(A601,Journal!$A$7:$F$70,6),VLOOKUP(A601,Journal!$A$7:M$70,9),0)</f>
        <v>0</v>
      </c>
      <c r="U601" s="125">
        <f>IF(H$2=VLOOKUP(A601,Journal!$A$7:$G$70,7),VLOOKUP(A601,Journal!$A$7:M$70,9),0)</f>
        <v>0</v>
      </c>
      <c r="V601" s="125">
        <f t="shared" si="68"/>
        <v>40</v>
      </c>
      <c r="X601">
        <f t="shared" si="65"/>
        <v>0</v>
      </c>
      <c r="Y601" s="143">
        <f t="shared" si="64"/>
        <v>-984.44736842107739</v>
      </c>
    </row>
    <row r="602" spans="1:25" x14ac:dyDescent="0.25">
      <c r="A602">
        <f t="shared" si="69"/>
        <v>595</v>
      </c>
      <c r="B602" s="88" t="str">
        <f>IF(OR(B601="Total",B601=""),"",IF(VLOOKUP(A602,Journal!$B$7:$E$84,4)=0,"Total",VLOOKUP(A602,Journal!$B$7:$D$84,3)))</f>
        <v/>
      </c>
      <c r="C602" s="86" t="str">
        <f>IF(B602="","",VLOOKUP(A602,Journal!$B$7:$E$84,4))</f>
        <v/>
      </c>
      <c r="D602" s="114" t="str">
        <f>IF(B602="","",VLOOKUP(A602,Journal!$B$7:$J$84,9))</f>
        <v/>
      </c>
      <c r="E602" s="116"/>
      <c r="F602" s="116"/>
      <c r="G602" s="115"/>
      <c r="H602" s="84" t="str">
        <f>IF(B602="","",VLOOKUP(A602,Journal!$B$7:$L$84,11))</f>
        <v/>
      </c>
      <c r="I602" s="84" t="str">
        <f>IF(B602="","",VLOOKUP(A602,Journal!$B$7:$M$84,12))</f>
        <v/>
      </c>
      <c r="J602" s="105">
        <f>IF(B602="Total",SUM(J$8:J601)+0.0001,IF(OR(B602="",I$2=I602),0,VLOOKUP(A602,Journal!$B$7:M$84,8)))</f>
        <v>0</v>
      </c>
      <c r="K602" s="102">
        <f>IF(B602="Total",SUM(K$8:K601)+0.0001,IF(OR(B602="",J602&lt;&gt;0),0,VLOOKUP(A602,Journal!$B$7:M$84,8)))</f>
        <v>0</v>
      </c>
      <c r="L602" s="87">
        <f t="shared" si="63"/>
        <v>0</v>
      </c>
      <c r="P602">
        <f t="shared" si="66"/>
        <v>1.0000000000000001E-5</v>
      </c>
      <c r="R602" s="15">
        <f t="shared" si="67"/>
        <v>595</v>
      </c>
      <c r="S602" s="126">
        <f>IF(VLOOKUP(A602,Journal!$A$7:$E$70,5)=0,S601+1,VLOOKUP(A602,Journal!$A$7:$E$70,5))</f>
        <v>46252</v>
      </c>
      <c r="T602" s="125">
        <f>IF(H$2=VLOOKUP(A602,Journal!$A$7:$F$70,6),VLOOKUP(A602,Journal!$A$7:M$70,9),0)</f>
        <v>0</v>
      </c>
      <c r="U602" s="125">
        <f>IF(H$2=VLOOKUP(A602,Journal!$A$7:$G$70,7),VLOOKUP(A602,Journal!$A$7:M$70,9),0)</f>
        <v>0</v>
      </c>
      <c r="V602" s="125">
        <f t="shared" si="68"/>
        <v>40</v>
      </c>
      <c r="X602">
        <f t="shared" si="65"/>
        <v>0</v>
      </c>
      <c r="Y602" s="143">
        <f t="shared" si="64"/>
        <v>-984.42105263160374</v>
      </c>
    </row>
    <row r="603" spans="1:25" x14ac:dyDescent="0.25">
      <c r="A603">
        <f t="shared" si="69"/>
        <v>596</v>
      </c>
      <c r="B603" s="88" t="str">
        <f>IF(OR(B602="Total",B602=""),"",IF(VLOOKUP(A603,Journal!$B$7:$E$84,4)=0,"Total",VLOOKUP(A603,Journal!$B$7:$D$84,3)))</f>
        <v/>
      </c>
      <c r="C603" s="86" t="str">
        <f>IF(B603="","",VLOOKUP(A603,Journal!$B$7:$E$84,4))</f>
        <v/>
      </c>
      <c r="D603" s="114" t="str">
        <f>IF(B603="","",VLOOKUP(A603,Journal!$B$7:$J$84,9))</f>
        <v/>
      </c>
      <c r="E603" s="116"/>
      <c r="F603" s="116"/>
      <c r="G603" s="115"/>
      <c r="H603" s="84" t="str">
        <f>IF(B603="","",VLOOKUP(A603,Journal!$B$7:$L$84,11))</f>
        <v/>
      </c>
      <c r="I603" s="84" t="str">
        <f>IF(B603="","",VLOOKUP(A603,Journal!$B$7:$M$84,12))</f>
        <v/>
      </c>
      <c r="J603" s="105">
        <f>IF(B603="Total",SUM(J$8:J602)+0.0001,IF(OR(B603="",I$2=I603),0,VLOOKUP(A603,Journal!$B$7:M$84,8)))</f>
        <v>0</v>
      </c>
      <c r="K603" s="102">
        <f>IF(B603="Total",SUM(K$8:K602)+0.0001,IF(OR(B603="",J603&lt;&gt;0),0,VLOOKUP(A603,Journal!$B$7:M$84,8)))</f>
        <v>0</v>
      </c>
      <c r="L603" s="87">
        <f t="shared" si="63"/>
        <v>0</v>
      </c>
      <c r="P603">
        <f t="shared" si="66"/>
        <v>1.0000000000000001E-5</v>
      </c>
      <c r="R603" s="15">
        <f t="shared" si="67"/>
        <v>596</v>
      </c>
      <c r="S603" s="126">
        <f>IF(VLOOKUP(A603,Journal!$A$7:$E$70,5)=0,S602+1,VLOOKUP(A603,Journal!$A$7:$E$70,5))</f>
        <v>46253</v>
      </c>
      <c r="T603" s="125">
        <f>IF(H$2=VLOOKUP(A603,Journal!$A$7:$F$70,6),VLOOKUP(A603,Journal!$A$7:M$70,9),0)</f>
        <v>0</v>
      </c>
      <c r="U603" s="125">
        <f>IF(H$2=VLOOKUP(A603,Journal!$A$7:$G$70,7),VLOOKUP(A603,Journal!$A$7:M$70,9),0)</f>
        <v>0</v>
      </c>
      <c r="V603" s="125">
        <f t="shared" si="68"/>
        <v>40</v>
      </c>
      <c r="X603">
        <f t="shared" si="65"/>
        <v>0</v>
      </c>
      <c r="Y603" s="143">
        <f t="shared" si="64"/>
        <v>-984.3947368421301</v>
      </c>
    </row>
    <row r="604" spans="1:25" x14ac:dyDescent="0.25">
      <c r="A604">
        <f t="shared" si="69"/>
        <v>597</v>
      </c>
      <c r="B604" s="88" t="str">
        <f>IF(OR(B603="Total",B603=""),"",IF(VLOOKUP(A604,Journal!$B$7:$E$84,4)=0,"Total",VLOOKUP(A604,Journal!$B$7:$D$84,3)))</f>
        <v/>
      </c>
      <c r="C604" s="86" t="str">
        <f>IF(B604="","",VLOOKUP(A604,Journal!$B$7:$E$84,4))</f>
        <v/>
      </c>
      <c r="D604" s="114" t="str">
        <f>IF(B604="","",VLOOKUP(A604,Journal!$B$7:$J$84,9))</f>
        <v/>
      </c>
      <c r="E604" s="116"/>
      <c r="F604" s="116"/>
      <c r="G604" s="115"/>
      <c r="H604" s="84" t="str">
        <f>IF(B604="","",VLOOKUP(A604,Journal!$B$7:$L$84,11))</f>
        <v/>
      </c>
      <c r="I604" s="84" t="str">
        <f>IF(B604="","",VLOOKUP(A604,Journal!$B$7:$M$84,12))</f>
        <v/>
      </c>
      <c r="J604" s="105">
        <f>IF(B604="Total",SUM(J$8:J603)+0.0001,IF(OR(B604="",I$2=I604),0,VLOOKUP(A604,Journal!$B$7:M$84,8)))</f>
        <v>0</v>
      </c>
      <c r="K604" s="102">
        <f>IF(B604="Total",SUM(K$8:K603)+0.0001,IF(OR(B604="",J604&lt;&gt;0),0,VLOOKUP(A604,Journal!$B$7:M$84,8)))</f>
        <v>0</v>
      </c>
      <c r="L604" s="87">
        <f t="shared" si="63"/>
        <v>0</v>
      </c>
      <c r="P604">
        <f t="shared" si="66"/>
        <v>1.0000000000000001E-5</v>
      </c>
      <c r="R604" s="15">
        <f t="shared" si="67"/>
        <v>597</v>
      </c>
      <c r="S604" s="126">
        <f>IF(VLOOKUP(A604,Journal!$A$7:$E$70,5)=0,S603+1,VLOOKUP(A604,Journal!$A$7:$E$70,5))</f>
        <v>46254</v>
      </c>
      <c r="T604" s="125">
        <f>IF(H$2=VLOOKUP(A604,Journal!$A$7:$F$70,6),VLOOKUP(A604,Journal!$A$7:M$70,9),0)</f>
        <v>0</v>
      </c>
      <c r="U604" s="125">
        <f>IF(H$2=VLOOKUP(A604,Journal!$A$7:$G$70,7),VLOOKUP(A604,Journal!$A$7:M$70,9),0)</f>
        <v>0</v>
      </c>
      <c r="V604" s="125">
        <f t="shared" si="68"/>
        <v>40</v>
      </c>
      <c r="X604">
        <f t="shared" si="65"/>
        <v>0</v>
      </c>
      <c r="Y604" s="143">
        <f t="shared" si="64"/>
        <v>-984.36842105265646</v>
      </c>
    </row>
    <row r="605" spans="1:25" x14ac:dyDescent="0.25">
      <c r="A605">
        <f t="shared" si="69"/>
        <v>598</v>
      </c>
      <c r="B605" s="88" t="str">
        <f>IF(OR(B604="Total",B604=""),"",IF(VLOOKUP(A605,Journal!$B$7:$E$84,4)=0,"Total",VLOOKUP(A605,Journal!$B$7:$D$84,3)))</f>
        <v/>
      </c>
      <c r="C605" s="86" t="str">
        <f>IF(B605="","",VLOOKUP(A605,Journal!$B$7:$E$84,4))</f>
        <v/>
      </c>
      <c r="D605" s="114" t="str">
        <f>IF(B605="","",VLOOKUP(A605,Journal!$B$7:$J$84,9))</f>
        <v/>
      </c>
      <c r="E605" s="116"/>
      <c r="F605" s="116"/>
      <c r="G605" s="115"/>
      <c r="H605" s="84" t="str">
        <f>IF(B605="","",VLOOKUP(A605,Journal!$B$7:$L$84,11))</f>
        <v/>
      </c>
      <c r="I605" s="84" t="str">
        <f>IF(B605="","",VLOOKUP(A605,Journal!$B$7:$M$84,12))</f>
        <v/>
      </c>
      <c r="J605" s="105">
        <f>IF(B605="Total",SUM(J$8:J604)+0.0001,IF(OR(B605="",I$2=I605),0,VLOOKUP(A605,Journal!$B$7:M$84,8)))</f>
        <v>0</v>
      </c>
      <c r="K605" s="102">
        <f>IF(B605="Total",SUM(K$8:K604)+0.0001,IF(OR(B605="",J605&lt;&gt;0),0,VLOOKUP(A605,Journal!$B$7:M$84,8)))</f>
        <v>0</v>
      </c>
      <c r="L605" s="87">
        <f t="shared" si="63"/>
        <v>0</v>
      </c>
      <c r="P605">
        <f t="shared" si="66"/>
        <v>1.0000000000000001E-5</v>
      </c>
      <c r="R605" s="15">
        <f t="shared" si="67"/>
        <v>598</v>
      </c>
      <c r="S605" s="126">
        <f>IF(VLOOKUP(A605,Journal!$A$7:$E$70,5)=0,S604+1,VLOOKUP(A605,Journal!$A$7:$E$70,5))</f>
        <v>46255</v>
      </c>
      <c r="T605" s="125">
        <f>IF(H$2=VLOOKUP(A605,Journal!$A$7:$F$70,6),VLOOKUP(A605,Journal!$A$7:M$70,9),0)</f>
        <v>0</v>
      </c>
      <c r="U605" s="125">
        <f>IF(H$2=VLOOKUP(A605,Journal!$A$7:$G$70,7),VLOOKUP(A605,Journal!$A$7:M$70,9),0)</f>
        <v>0</v>
      </c>
      <c r="V605" s="125">
        <f t="shared" si="68"/>
        <v>40</v>
      </c>
      <c r="X605">
        <f t="shared" si="65"/>
        <v>0</v>
      </c>
      <c r="Y605" s="143">
        <f t="shared" si="64"/>
        <v>-984.34210526318282</v>
      </c>
    </row>
    <row r="606" spans="1:25" x14ac:dyDescent="0.25">
      <c r="A606">
        <f t="shared" si="69"/>
        <v>599</v>
      </c>
      <c r="B606" s="88" t="str">
        <f>IF(OR(B605="Total",B605=""),"",IF(VLOOKUP(A606,Journal!$B$7:$E$84,4)=0,"Total",VLOOKUP(A606,Journal!$B$7:$D$84,3)))</f>
        <v/>
      </c>
      <c r="C606" s="86" t="str">
        <f>IF(B606="","",VLOOKUP(A606,Journal!$B$7:$E$84,4))</f>
        <v/>
      </c>
      <c r="D606" s="114" t="str">
        <f>IF(B606="","",VLOOKUP(A606,Journal!$B$7:$J$84,9))</f>
        <v/>
      </c>
      <c r="E606" s="116"/>
      <c r="F606" s="116"/>
      <c r="G606" s="115"/>
      <c r="H606" s="84" t="str">
        <f>IF(B606="","",VLOOKUP(A606,Journal!$B$7:$L$84,11))</f>
        <v/>
      </c>
      <c r="I606" s="84" t="str">
        <f>IF(B606="","",VLOOKUP(A606,Journal!$B$7:$M$84,12))</f>
        <v/>
      </c>
      <c r="J606" s="105">
        <f>IF(B606="Total",SUM(J$8:J605)+0.0001,IF(OR(B606="",I$2=I606),0,VLOOKUP(A606,Journal!$B$7:M$84,8)))</f>
        <v>0</v>
      </c>
      <c r="K606" s="102">
        <f>IF(B606="Total",SUM(K$8:K605)+0.0001,IF(OR(B606="",J606&lt;&gt;0),0,VLOOKUP(A606,Journal!$B$7:M$84,8)))</f>
        <v>0</v>
      </c>
      <c r="L606" s="87">
        <f t="shared" si="63"/>
        <v>0</v>
      </c>
      <c r="P606">
        <f t="shared" si="66"/>
        <v>1.0000000000000001E-5</v>
      </c>
      <c r="R606" s="15">
        <f t="shared" si="67"/>
        <v>599</v>
      </c>
      <c r="S606" s="126">
        <f>IF(VLOOKUP(A606,Journal!$A$7:$E$70,5)=0,S605+1,VLOOKUP(A606,Journal!$A$7:$E$70,5))</f>
        <v>46256</v>
      </c>
      <c r="T606" s="125">
        <f>IF(H$2=VLOOKUP(A606,Journal!$A$7:$F$70,6),VLOOKUP(A606,Journal!$A$7:M$70,9),0)</f>
        <v>0</v>
      </c>
      <c r="U606" s="125">
        <f>IF(H$2=VLOOKUP(A606,Journal!$A$7:$G$70,7),VLOOKUP(A606,Journal!$A$7:M$70,9),0)</f>
        <v>0</v>
      </c>
      <c r="V606" s="125">
        <f t="shared" si="68"/>
        <v>40</v>
      </c>
      <c r="X606">
        <f t="shared" si="65"/>
        <v>0</v>
      </c>
      <c r="Y606" s="143">
        <f t="shared" si="64"/>
        <v>-984.31578947370917</v>
      </c>
    </row>
    <row r="607" spans="1:25" x14ac:dyDescent="0.25">
      <c r="A607">
        <f t="shared" si="69"/>
        <v>600</v>
      </c>
      <c r="B607" s="88" t="str">
        <f>IF(OR(B606="Total",B606=""),"",IF(VLOOKUP(A607,Journal!$B$7:$E$84,4)=0,"Total",VLOOKUP(A607,Journal!$B$7:$D$84,3)))</f>
        <v/>
      </c>
      <c r="C607" s="86" t="str">
        <f>IF(B607="","",VLOOKUP(A607,Journal!$B$7:$E$84,4))</f>
        <v/>
      </c>
      <c r="D607" s="114" t="str">
        <f>IF(B607="","",VLOOKUP(A607,Journal!$B$7:$J$84,9))</f>
        <v/>
      </c>
      <c r="E607" s="116"/>
      <c r="F607" s="116"/>
      <c r="G607" s="115"/>
      <c r="H607" s="84" t="str">
        <f>IF(B607="","",VLOOKUP(A607,Journal!$B$7:$L$84,11))</f>
        <v/>
      </c>
      <c r="I607" s="84" t="str">
        <f>IF(B607="","",VLOOKUP(A607,Journal!$B$7:$M$84,12))</f>
        <v/>
      </c>
      <c r="J607" s="105">
        <f>IF(B607="Total",SUM(J$8:J606)+0.0001,IF(OR(B607="",I$2=I607),0,VLOOKUP(A607,Journal!$B$7:M$84,8)))</f>
        <v>0</v>
      </c>
      <c r="K607" s="102">
        <f>IF(B607="Total",SUM(K$8:K606)+0.0001,IF(OR(B607="",J607&lt;&gt;0),0,VLOOKUP(A607,Journal!$B$7:M$84,8)))</f>
        <v>0</v>
      </c>
      <c r="L607" s="87">
        <f t="shared" si="63"/>
        <v>0</v>
      </c>
      <c r="P607">
        <f t="shared" si="66"/>
        <v>1.0000000000000001E-5</v>
      </c>
      <c r="R607" s="15">
        <f t="shared" si="67"/>
        <v>600</v>
      </c>
      <c r="S607" s="126">
        <f>IF(VLOOKUP(A607,Journal!$A$7:$E$70,5)=0,S606+1,VLOOKUP(A607,Journal!$A$7:$E$70,5))</f>
        <v>46257</v>
      </c>
      <c r="T607" s="125">
        <f>IF(H$2=VLOOKUP(A607,Journal!$A$7:$F$70,6),VLOOKUP(A607,Journal!$A$7:M$70,9),0)</f>
        <v>0</v>
      </c>
      <c r="U607" s="125">
        <f>IF(H$2=VLOOKUP(A607,Journal!$A$7:$G$70,7),VLOOKUP(A607,Journal!$A$7:M$70,9),0)</f>
        <v>0</v>
      </c>
      <c r="V607" s="125">
        <f t="shared" si="68"/>
        <v>40</v>
      </c>
      <c r="X607">
        <f t="shared" si="65"/>
        <v>0</v>
      </c>
      <c r="Y607" s="143">
        <f t="shared" si="64"/>
        <v>-984.28947368423553</v>
      </c>
    </row>
    <row r="608" spans="1:25" x14ac:dyDescent="0.25">
      <c r="A608">
        <f t="shared" si="69"/>
        <v>601</v>
      </c>
      <c r="B608" s="88" t="str">
        <f>IF(OR(B607="Total",B607=""),"",IF(VLOOKUP(A608,Journal!$B$7:$E$84,4)=0,"Total",VLOOKUP(A608,Journal!$B$7:$D$84,3)))</f>
        <v/>
      </c>
      <c r="C608" s="86" t="str">
        <f>IF(B608="","",VLOOKUP(A608,Journal!$B$7:$E$84,4))</f>
        <v/>
      </c>
      <c r="D608" s="114" t="str">
        <f>IF(B608="","",VLOOKUP(A608,Journal!$B$7:$J$84,9))</f>
        <v/>
      </c>
      <c r="E608" s="116"/>
      <c r="F608" s="116"/>
      <c r="G608" s="115"/>
      <c r="H608" s="84" t="str">
        <f>IF(B608="","",VLOOKUP(A608,Journal!$B$7:$L$84,11))</f>
        <v/>
      </c>
      <c r="I608" s="84" t="str">
        <f>IF(B608="","",VLOOKUP(A608,Journal!$B$7:$M$84,12))</f>
        <v/>
      </c>
      <c r="J608" s="105">
        <f>IF(B608="Total",SUM(J$8:J607)+0.0001,IF(OR(B608="",I$2=I608),0,VLOOKUP(A608,Journal!$B$7:M$84,8)))</f>
        <v>0</v>
      </c>
      <c r="K608" s="102">
        <f>IF(B608="Total",SUM(K$8:K607)+0.0001,IF(OR(B608="",J608&lt;&gt;0),0,VLOOKUP(A608,Journal!$B$7:M$84,8)))</f>
        <v>0</v>
      </c>
      <c r="L608" s="87">
        <f t="shared" si="63"/>
        <v>0</v>
      </c>
      <c r="P608">
        <f t="shared" si="66"/>
        <v>1.0000000000000001E-5</v>
      </c>
      <c r="R608" s="15">
        <f t="shared" si="67"/>
        <v>601</v>
      </c>
      <c r="S608" s="126">
        <f>IF(VLOOKUP(A608,Journal!$A$7:$E$70,5)=0,S607+1,VLOOKUP(A608,Journal!$A$7:$E$70,5))</f>
        <v>46258</v>
      </c>
      <c r="T608" s="125">
        <f>IF(H$2=VLOOKUP(A608,Journal!$A$7:$F$70,6),VLOOKUP(A608,Journal!$A$7:M$70,9),0)</f>
        <v>0</v>
      </c>
      <c r="U608" s="125">
        <f>IF(H$2=VLOOKUP(A608,Journal!$A$7:$G$70,7),VLOOKUP(A608,Journal!$A$7:M$70,9),0)</f>
        <v>0</v>
      </c>
      <c r="V608" s="125">
        <f t="shared" si="68"/>
        <v>40</v>
      </c>
      <c r="X608">
        <f t="shared" si="65"/>
        <v>0</v>
      </c>
      <c r="Y608" s="143">
        <f t="shared" si="64"/>
        <v>-984.26315789476189</v>
      </c>
    </row>
    <row r="609" spans="1:25" x14ac:dyDescent="0.25">
      <c r="A609">
        <f t="shared" si="69"/>
        <v>602</v>
      </c>
      <c r="B609" s="88" t="str">
        <f>IF(OR(B608="Total",B608=""),"",IF(VLOOKUP(A609,Journal!$B$7:$E$84,4)=0,"Total",VLOOKUP(A609,Journal!$B$7:$D$84,3)))</f>
        <v/>
      </c>
      <c r="C609" s="86" t="str">
        <f>IF(B609="","",VLOOKUP(A609,Journal!$B$7:$E$84,4))</f>
        <v/>
      </c>
      <c r="D609" s="114" t="str">
        <f>IF(B609="","",VLOOKUP(A609,Journal!$B$7:$J$84,9))</f>
        <v/>
      </c>
      <c r="E609" s="116"/>
      <c r="F609" s="116"/>
      <c r="G609" s="115"/>
      <c r="H609" s="84" t="str">
        <f>IF(B609="","",VLOOKUP(A609,Journal!$B$7:$L$84,11))</f>
        <v/>
      </c>
      <c r="I609" s="84" t="str">
        <f>IF(B609="","",VLOOKUP(A609,Journal!$B$7:$M$84,12))</f>
        <v/>
      </c>
      <c r="J609" s="105">
        <f>IF(B609="Total",SUM(J$8:J608)+0.0001,IF(OR(B609="",I$2=I609),0,VLOOKUP(A609,Journal!$B$7:M$84,8)))</f>
        <v>0</v>
      </c>
      <c r="K609" s="102">
        <f>IF(B609="Total",SUM(K$8:K608)+0.0001,IF(OR(B609="",J609&lt;&gt;0),0,VLOOKUP(A609,Journal!$B$7:M$84,8)))</f>
        <v>0</v>
      </c>
      <c r="L609" s="87">
        <f t="shared" si="63"/>
        <v>0</v>
      </c>
      <c r="P609">
        <f t="shared" si="66"/>
        <v>1.0000000000000001E-5</v>
      </c>
      <c r="R609" s="15">
        <f t="shared" si="67"/>
        <v>602</v>
      </c>
      <c r="S609" s="126">
        <f>IF(VLOOKUP(A609,Journal!$A$7:$E$70,5)=0,S608+1,VLOOKUP(A609,Journal!$A$7:$E$70,5))</f>
        <v>46259</v>
      </c>
      <c r="T609" s="125">
        <f>IF(H$2=VLOOKUP(A609,Journal!$A$7:$F$70,6),VLOOKUP(A609,Journal!$A$7:M$70,9),0)</f>
        <v>0</v>
      </c>
      <c r="U609" s="125">
        <f>IF(H$2=VLOOKUP(A609,Journal!$A$7:$G$70,7),VLOOKUP(A609,Journal!$A$7:M$70,9),0)</f>
        <v>0</v>
      </c>
      <c r="V609" s="125">
        <f t="shared" si="68"/>
        <v>40</v>
      </c>
      <c r="X609">
        <f t="shared" si="65"/>
        <v>0</v>
      </c>
      <c r="Y609" s="143">
        <f t="shared" si="64"/>
        <v>-984.23684210528825</v>
      </c>
    </row>
    <row r="610" spans="1:25" x14ac:dyDescent="0.25">
      <c r="A610">
        <f t="shared" si="69"/>
        <v>603</v>
      </c>
      <c r="B610" s="88" t="str">
        <f>IF(OR(B609="Total",B609=""),"",IF(VLOOKUP(A610,Journal!$B$7:$E$84,4)=0,"Total",VLOOKUP(A610,Journal!$B$7:$D$84,3)))</f>
        <v/>
      </c>
      <c r="C610" s="86" t="str">
        <f>IF(B610="","",VLOOKUP(A610,Journal!$B$7:$E$84,4))</f>
        <v/>
      </c>
      <c r="D610" s="114" t="str">
        <f>IF(B610="","",VLOOKUP(A610,Journal!$B$7:$J$84,9))</f>
        <v/>
      </c>
      <c r="E610" s="116"/>
      <c r="F610" s="116"/>
      <c r="G610" s="115"/>
      <c r="H610" s="84" t="str">
        <f>IF(B610="","",VLOOKUP(A610,Journal!$B$7:$L$84,11))</f>
        <v/>
      </c>
      <c r="I610" s="84" t="str">
        <f>IF(B610="","",VLOOKUP(A610,Journal!$B$7:$M$84,12))</f>
        <v/>
      </c>
      <c r="J610" s="105">
        <f>IF(B610="Total",SUM(J$8:J609)+0.0001,IF(OR(B610="",I$2=I610),0,VLOOKUP(A610,Journal!$B$7:M$84,8)))</f>
        <v>0</v>
      </c>
      <c r="K610" s="102">
        <f>IF(B610="Total",SUM(K$8:K609)+0.0001,IF(OR(B610="",J610&lt;&gt;0),0,VLOOKUP(A610,Journal!$B$7:M$84,8)))</f>
        <v>0</v>
      </c>
      <c r="L610" s="87">
        <f t="shared" si="63"/>
        <v>0</v>
      </c>
      <c r="P610">
        <f t="shared" si="66"/>
        <v>1.0000000000000001E-5</v>
      </c>
      <c r="R610" s="15">
        <f t="shared" si="67"/>
        <v>603</v>
      </c>
      <c r="S610" s="126">
        <f>IF(VLOOKUP(A610,Journal!$A$7:$E$70,5)=0,S609+1,VLOOKUP(A610,Journal!$A$7:$E$70,5))</f>
        <v>46260</v>
      </c>
      <c r="T610" s="125">
        <f>IF(H$2=VLOOKUP(A610,Journal!$A$7:$F$70,6),VLOOKUP(A610,Journal!$A$7:M$70,9),0)</f>
        <v>0</v>
      </c>
      <c r="U610" s="125">
        <f>IF(H$2=VLOOKUP(A610,Journal!$A$7:$G$70,7),VLOOKUP(A610,Journal!$A$7:M$70,9),0)</f>
        <v>0</v>
      </c>
      <c r="V610" s="125">
        <f t="shared" si="68"/>
        <v>40</v>
      </c>
      <c r="X610">
        <f t="shared" si="65"/>
        <v>0</v>
      </c>
      <c r="Y610" s="143">
        <f t="shared" si="64"/>
        <v>-984.2105263158146</v>
      </c>
    </row>
    <row r="611" spans="1:25" x14ac:dyDescent="0.25">
      <c r="A611">
        <f t="shared" si="69"/>
        <v>604</v>
      </c>
      <c r="B611" s="88" t="str">
        <f>IF(OR(B610="Total",B610=""),"",IF(VLOOKUP(A611,Journal!$B$7:$E$84,4)=0,"Total",VLOOKUP(A611,Journal!$B$7:$D$84,3)))</f>
        <v/>
      </c>
      <c r="C611" s="86" t="str">
        <f>IF(B611="","",VLOOKUP(A611,Journal!$B$7:$E$84,4))</f>
        <v/>
      </c>
      <c r="D611" s="114" t="str">
        <f>IF(B611="","",VLOOKUP(A611,Journal!$B$7:$J$84,9))</f>
        <v/>
      </c>
      <c r="E611" s="116"/>
      <c r="F611" s="116"/>
      <c r="G611" s="115"/>
      <c r="H611" s="84" t="str">
        <f>IF(B611="","",VLOOKUP(A611,Journal!$B$7:$L$84,11))</f>
        <v/>
      </c>
      <c r="I611" s="84" t="str">
        <f>IF(B611="","",VLOOKUP(A611,Journal!$B$7:$M$84,12))</f>
        <v/>
      </c>
      <c r="J611" s="105">
        <f>IF(B611="Total",SUM(J$8:J610)+0.0001,IF(OR(B611="",I$2=I611),0,VLOOKUP(A611,Journal!$B$7:M$84,8)))</f>
        <v>0</v>
      </c>
      <c r="K611" s="102">
        <f>IF(B611="Total",SUM(K$8:K610)+0.0001,IF(OR(B611="",J611&lt;&gt;0),0,VLOOKUP(A611,Journal!$B$7:M$84,8)))</f>
        <v>0</v>
      </c>
      <c r="L611" s="87">
        <f t="shared" si="63"/>
        <v>0</v>
      </c>
      <c r="P611">
        <f t="shared" si="66"/>
        <v>1.0000000000000001E-5</v>
      </c>
      <c r="R611" s="15">
        <f t="shared" si="67"/>
        <v>604</v>
      </c>
      <c r="S611" s="126">
        <f>IF(VLOOKUP(A611,Journal!$A$7:$E$70,5)=0,S610+1,VLOOKUP(A611,Journal!$A$7:$E$70,5))</f>
        <v>46261</v>
      </c>
      <c r="T611" s="125">
        <f>IF(H$2=VLOOKUP(A611,Journal!$A$7:$F$70,6),VLOOKUP(A611,Journal!$A$7:M$70,9),0)</f>
        <v>0</v>
      </c>
      <c r="U611" s="125">
        <f>IF(H$2=VLOOKUP(A611,Journal!$A$7:$G$70,7),VLOOKUP(A611,Journal!$A$7:M$70,9),0)</f>
        <v>0</v>
      </c>
      <c r="V611" s="125">
        <f t="shared" si="68"/>
        <v>40</v>
      </c>
      <c r="X611">
        <f t="shared" si="65"/>
        <v>0</v>
      </c>
      <c r="Y611" s="143">
        <f t="shared" si="64"/>
        <v>-984.18421052634096</v>
      </c>
    </row>
    <row r="612" spans="1:25" x14ac:dyDescent="0.25">
      <c r="A612">
        <f t="shared" si="69"/>
        <v>605</v>
      </c>
      <c r="B612" s="88" t="str">
        <f>IF(OR(B611="Total",B611=""),"",IF(VLOOKUP(A612,Journal!$B$7:$E$84,4)=0,"Total",VLOOKUP(A612,Journal!$B$7:$D$84,3)))</f>
        <v/>
      </c>
      <c r="C612" s="86" t="str">
        <f>IF(B612="","",VLOOKUP(A612,Journal!$B$7:$E$84,4))</f>
        <v/>
      </c>
      <c r="D612" s="114" t="str">
        <f>IF(B612="","",VLOOKUP(A612,Journal!$B$7:$J$84,9))</f>
        <v/>
      </c>
      <c r="E612" s="116"/>
      <c r="F612" s="116"/>
      <c r="G612" s="115"/>
      <c r="H612" s="84" t="str">
        <f>IF(B612="","",VLOOKUP(A612,Journal!$B$7:$L$84,11))</f>
        <v/>
      </c>
      <c r="I612" s="84" t="str">
        <f>IF(B612="","",VLOOKUP(A612,Journal!$B$7:$M$84,12))</f>
        <v/>
      </c>
      <c r="J612" s="105">
        <f>IF(B612="Total",SUM(J$8:J611)+0.0001,IF(OR(B612="",I$2=I612),0,VLOOKUP(A612,Journal!$B$7:M$84,8)))</f>
        <v>0</v>
      </c>
      <c r="K612" s="102">
        <f>IF(B612="Total",SUM(K$8:K611)+0.0001,IF(OR(B612="",J612&lt;&gt;0),0,VLOOKUP(A612,Journal!$B$7:M$84,8)))</f>
        <v>0</v>
      </c>
      <c r="L612" s="87">
        <f t="shared" si="63"/>
        <v>0</v>
      </c>
      <c r="P612">
        <f t="shared" si="66"/>
        <v>1.0000000000000001E-5</v>
      </c>
      <c r="R612" s="15">
        <f t="shared" si="67"/>
        <v>605</v>
      </c>
      <c r="S612" s="126">
        <f>IF(VLOOKUP(A612,Journal!$A$7:$E$70,5)=0,S611+1,VLOOKUP(A612,Journal!$A$7:$E$70,5))</f>
        <v>46262</v>
      </c>
      <c r="T612" s="125">
        <f>IF(H$2=VLOOKUP(A612,Journal!$A$7:$F$70,6),VLOOKUP(A612,Journal!$A$7:M$70,9),0)</f>
        <v>0</v>
      </c>
      <c r="U612" s="125">
        <f>IF(H$2=VLOOKUP(A612,Journal!$A$7:$G$70,7),VLOOKUP(A612,Journal!$A$7:M$70,9),0)</f>
        <v>0</v>
      </c>
      <c r="V612" s="125">
        <f t="shared" si="68"/>
        <v>40</v>
      </c>
      <c r="X612">
        <f t="shared" si="65"/>
        <v>0</v>
      </c>
      <c r="Y612" s="143">
        <f t="shared" si="64"/>
        <v>-984.15789473686732</v>
      </c>
    </row>
    <row r="613" spans="1:25" x14ac:dyDescent="0.25">
      <c r="A613">
        <f t="shared" si="69"/>
        <v>606</v>
      </c>
      <c r="B613" s="88" t="str">
        <f>IF(OR(B612="Total",B612=""),"",IF(VLOOKUP(A613,Journal!$B$7:$E$84,4)=0,"Total",VLOOKUP(A613,Journal!$B$7:$D$84,3)))</f>
        <v/>
      </c>
      <c r="C613" s="86" t="str">
        <f>IF(B613="","",VLOOKUP(A613,Journal!$B$7:$E$84,4))</f>
        <v/>
      </c>
      <c r="D613" s="114" t="str">
        <f>IF(B613="","",VLOOKUP(A613,Journal!$B$7:$J$84,9))</f>
        <v/>
      </c>
      <c r="E613" s="116"/>
      <c r="F613" s="116"/>
      <c r="G613" s="115"/>
      <c r="H613" s="84" t="str">
        <f>IF(B613="","",VLOOKUP(A613,Journal!$B$7:$L$84,11))</f>
        <v/>
      </c>
      <c r="I613" s="84" t="str">
        <f>IF(B613="","",VLOOKUP(A613,Journal!$B$7:$M$84,12))</f>
        <v/>
      </c>
      <c r="J613" s="105">
        <f>IF(B613="Total",SUM(J$8:J612)+0.0001,IF(OR(B613="",I$2=I613),0,VLOOKUP(A613,Journal!$B$7:M$84,8)))</f>
        <v>0</v>
      </c>
      <c r="K613" s="102">
        <f>IF(B613="Total",SUM(K$8:K612)+0.0001,IF(OR(B613="",J613&lt;&gt;0),0,VLOOKUP(A613,Journal!$B$7:M$84,8)))</f>
        <v>0</v>
      </c>
      <c r="L613" s="87">
        <f t="shared" si="63"/>
        <v>0</v>
      </c>
      <c r="P613">
        <f t="shared" si="66"/>
        <v>1.0000000000000001E-5</v>
      </c>
      <c r="R613" s="15">
        <f t="shared" si="67"/>
        <v>606</v>
      </c>
      <c r="S613" s="126">
        <f>IF(VLOOKUP(A613,Journal!$A$7:$E$70,5)=0,S612+1,VLOOKUP(A613,Journal!$A$7:$E$70,5))</f>
        <v>46263</v>
      </c>
      <c r="T613" s="125">
        <f>IF(H$2=VLOOKUP(A613,Journal!$A$7:$F$70,6),VLOOKUP(A613,Journal!$A$7:M$70,9),0)</f>
        <v>0</v>
      </c>
      <c r="U613" s="125">
        <f>IF(H$2=VLOOKUP(A613,Journal!$A$7:$G$70,7),VLOOKUP(A613,Journal!$A$7:M$70,9),0)</f>
        <v>0</v>
      </c>
      <c r="V613" s="125">
        <f t="shared" si="68"/>
        <v>40</v>
      </c>
      <c r="X613">
        <f t="shared" si="65"/>
        <v>0</v>
      </c>
      <c r="Y613" s="143">
        <f t="shared" si="64"/>
        <v>-984.13157894739368</v>
      </c>
    </row>
    <row r="614" spans="1:25" x14ac:dyDescent="0.25">
      <c r="A614">
        <f t="shared" si="69"/>
        <v>607</v>
      </c>
      <c r="B614" s="88" t="str">
        <f>IF(OR(B613="Total",B613=""),"",IF(VLOOKUP(A614,Journal!$B$7:$E$84,4)=0,"Total",VLOOKUP(A614,Journal!$B$7:$D$84,3)))</f>
        <v/>
      </c>
      <c r="C614" s="86" t="str">
        <f>IF(B614="","",VLOOKUP(A614,Journal!$B$7:$E$84,4))</f>
        <v/>
      </c>
      <c r="D614" s="114" t="str">
        <f>IF(B614="","",VLOOKUP(A614,Journal!$B$7:$J$84,9))</f>
        <v/>
      </c>
      <c r="E614" s="116"/>
      <c r="F614" s="116"/>
      <c r="G614" s="115"/>
      <c r="H614" s="84" t="str">
        <f>IF(B614="","",VLOOKUP(A614,Journal!$B$7:$L$84,11))</f>
        <v/>
      </c>
      <c r="I614" s="84" t="str">
        <f>IF(B614="","",VLOOKUP(A614,Journal!$B$7:$M$84,12))</f>
        <v/>
      </c>
      <c r="J614" s="105">
        <f>IF(B614="Total",SUM(J$8:J613)+0.0001,IF(OR(B614="",I$2=I614),0,VLOOKUP(A614,Journal!$B$7:M$84,8)))</f>
        <v>0</v>
      </c>
      <c r="K614" s="102">
        <f>IF(B614="Total",SUM(K$8:K613)+0.0001,IF(OR(B614="",J614&lt;&gt;0),0,VLOOKUP(A614,Journal!$B$7:M$84,8)))</f>
        <v>0</v>
      </c>
      <c r="L614" s="87">
        <f t="shared" si="63"/>
        <v>0</v>
      </c>
      <c r="P614">
        <f t="shared" si="66"/>
        <v>1.0000000000000001E-5</v>
      </c>
      <c r="R614" s="15">
        <f t="shared" si="67"/>
        <v>607</v>
      </c>
      <c r="S614" s="126">
        <f>IF(VLOOKUP(A614,Journal!$A$7:$E$70,5)=0,S613+1,VLOOKUP(A614,Journal!$A$7:$E$70,5))</f>
        <v>46264</v>
      </c>
      <c r="T614" s="125">
        <f>IF(H$2=VLOOKUP(A614,Journal!$A$7:$F$70,6),VLOOKUP(A614,Journal!$A$7:M$70,9),0)</f>
        <v>0</v>
      </c>
      <c r="U614" s="125">
        <f>IF(H$2=VLOOKUP(A614,Journal!$A$7:$G$70,7),VLOOKUP(A614,Journal!$A$7:M$70,9),0)</f>
        <v>0</v>
      </c>
      <c r="V614" s="125">
        <f t="shared" si="68"/>
        <v>40</v>
      </c>
      <c r="X614">
        <f t="shared" si="65"/>
        <v>0</v>
      </c>
      <c r="Y614" s="143">
        <f t="shared" si="64"/>
        <v>-984.10526315792004</v>
      </c>
    </row>
    <row r="615" spans="1:25" x14ac:dyDescent="0.25">
      <c r="A615">
        <f t="shared" si="69"/>
        <v>608</v>
      </c>
      <c r="B615" s="88" t="str">
        <f>IF(OR(B614="Total",B614=""),"",IF(VLOOKUP(A615,Journal!$B$7:$E$84,4)=0,"Total",VLOOKUP(A615,Journal!$B$7:$D$84,3)))</f>
        <v/>
      </c>
      <c r="C615" s="86" t="str">
        <f>IF(B615="","",VLOOKUP(A615,Journal!$B$7:$E$84,4))</f>
        <v/>
      </c>
      <c r="D615" s="114" t="str">
        <f>IF(B615="","",VLOOKUP(A615,Journal!$B$7:$J$84,9))</f>
        <v/>
      </c>
      <c r="E615" s="116"/>
      <c r="F615" s="116"/>
      <c r="G615" s="115"/>
      <c r="H615" s="84" t="str">
        <f>IF(B615="","",VLOOKUP(A615,Journal!$B$7:$L$84,11))</f>
        <v/>
      </c>
      <c r="I615" s="84" t="str">
        <f>IF(B615="","",VLOOKUP(A615,Journal!$B$7:$M$84,12))</f>
        <v/>
      </c>
      <c r="J615" s="105">
        <f>IF(B615="Total",SUM(J$8:J614)+0.0001,IF(OR(B615="",I$2=I615),0,VLOOKUP(A615,Journal!$B$7:M$84,8)))</f>
        <v>0</v>
      </c>
      <c r="K615" s="102">
        <f>IF(B615="Total",SUM(K$8:K614)+0.0001,IF(OR(B615="",J615&lt;&gt;0),0,VLOOKUP(A615,Journal!$B$7:M$84,8)))</f>
        <v>0</v>
      </c>
      <c r="L615" s="87">
        <f t="shared" si="63"/>
        <v>0</v>
      </c>
      <c r="P615">
        <f t="shared" si="66"/>
        <v>1.0000000000000001E-5</v>
      </c>
      <c r="R615" s="15">
        <f t="shared" si="67"/>
        <v>608</v>
      </c>
      <c r="S615" s="126">
        <f>IF(VLOOKUP(A615,Journal!$A$7:$E$70,5)=0,S614+1,VLOOKUP(A615,Journal!$A$7:$E$70,5))</f>
        <v>46265</v>
      </c>
      <c r="T615" s="125">
        <f>IF(H$2=VLOOKUP(A615,Journal!$A$7:$F$70,6),VLOOKUP(A615,Journal!$A$7:M$70,9),0)</f>
        <v>0</v>
      </c>
      <c r="U615" s="125">
        <f>IF(H$2=VLOOKUP(A615,Journal!$A$7:$G$70,7),VLOOKUP(A615,Journal!$A$7:M$70,9),0)</f>
        <v>0</v>
      </c>
      <c r="V615" s="125">
        <f t="shared" si="68"/>
        <v>40</v>
      </c>
      <c r="X615">
        <f t="shared" si="65"/>
        <v>0</v>
      </c>
      <c r="Y615" s="143">
        <f t="shared" si="64"/>
        <v>-984.07894736844639</v>
      </c>
    </row>
    <row r="616" spans="1:25" x14ac:dyDescent="0.25">
      <c r="A616">
        <f t="shared" si="69"/>
        <v>609</v>
      </c>
      <c r="B616" s="88" t="str">
        <f>IF(OR(B615="Total",B615=""),"",IF(VLOOKUP(A616,Journal!$B$7:$E$84,4)=0,"Total",VLOOKUP(A616,Journal!$B$7:$D$84,3)))</f>
        <v/>
      </c>
      <c r="C616" s="86" t="str">
        <f>IF(B616="","",VLOOKUP(A616,Journal!$B$7:$E$84,4))</f>
        <v/>
      </c>
      <c r="D616" s="114" t="str">
        <f>IF(B616="","",VLOOKUP(A616,Journal!$B$7:$J$84,9))</f>
        <v/>
      </c>
      <c r="E616" s="116"/>
      <c r="F616" s="116"/>
      <c r="G616" s="115"/>
      <c r="H616" s="84" t="str">
        <f>IF(B616="","",VLOOKUP(A616,Journal!$B$7:$L$84,11))</f>
        <v/>
      </c>
      <c r="I616" s="84" t="str">
        <f>IF(B616="","",VLOOKUP(A616,Journal!$B$7:$M$84,12))</f>
        <v/>
      </c>
      <c r="J616" s="105">
        <f>IF(B616="Total",SUM(J$8:J615)+0.0001,IF(OR(B616="",I$2=I616),0,VLOOKUP(A616,Journal!$B$7:M$84,8)))</f>
        <v>0</v>
      </c>
      <c r="K616" s="102">
        <f>IF(B616="Total",SUM(K$8:K615)+0.0001,IF(OR(B616="",J616&lt;&gt;0),0,VLOOKUP(A616,Journal!$B$7:M$84,8)))</f>
        <v>0</v>
      </c>
      <c r="L616" s="87">
        <f t="shared" si="63"/>
        <v>0</v>
      </c>
      <c r="P616">
        <f t="shared" si="66"/>
        <v>1.0000000000000001E-5</v>
      </c>
      <c r="R616" s="15">
        <f t="shared" si="67"/>
        <v>609</v>
      </c>
      <c r="S616" s="126">
        <f>IF(VLOOKUP(A616,Journal!$A$7:$E$70,5)=0,S615+1,VLOOKUP(A616,Journal!$A$7:$E$70,5))</f>
        <v>46266</v>
      </c>
      <c r="T616" s="125">
        <f>IF(H$2=VLOOKUP(A616,Journal!$A$7:$F$70,6),VLOOKUP(A616,Journal!$A$7:M$70,9),0)</f>
        <v>0</v>
      </c>
      <c r="U616" s="125">
        <f>IF(H$2=VLOOKUP(A616,Journal!$A$7:$G$70,7),VLOOKUP(A616,Journal!$A$7:M$70,9),0)</f>
        <v>0</v>
      </c>
      <c r="V616" s="125">
        <f t="shared" si="68"/>
        <v>40</v>
      </c>
      <c r="X616">
        <f t="shared" si="65"/>
        <v>0</v>
      </c>
      <c r="Y616" s="143">
        <f t="shared" si="64"/>
        <v>-984.05263157897275</v>
      </c>
    </row>
    <row r="617" spans="1:25" x14ac:dyDescent="0.25">
      <c r="A617">
        <f t="shared" si="69"/>
        <v>610</v>
      </c>
      <c r="B617" s="88" t="str">
        <f>IF(OR(B616="Total",B616=""),"",IF(VLOOKUP(A617,Journal!$B$7:$E$84,4)=0,"Total",VLOOKUP(A617,Journal!$B$7:$D$84,3)))</f>
        <v/>
      </c>
      <c r="C617" s="86" t="str">
        <f>IF(B617="","",VLOOKUP(A617,Journal!$B$7:$E$84,4))</f>
        <v/>
      </c>
      <c r="D617" s="114" t="str">
        <f>IF(B617="","",VLOOKUP(A617,Journal!$B$7:$J$84,9))</f>
        <v/>
      </c>
      <c r="E617" s="116"/>
      <c r="F617" s="116"/>
      <c r="G617" s="115"/>
      <c r="H617" s="84" t="str">
        <f>IF(B617="","",VLOOKUP(A617,Journal!$B$7:$L$84,11))</f>
        <v/>
      </c>
      <c r="I617" s="84" t="str">
        <f>IF(B617="","",VLOOKUP(A617,Journal!$B$7:$M$84,12))</f>
        <v/>
      </c>
      <c r="J617" s="105">
        <f>IF(B617="Total",SUM(J$8:J616)+0.0001,IF(OR(B617="",I$2=I617),0,VLOOKUP(A617,Journal!$B$7:M$84,8)))</f>
        <v>0</v>
      </c>
      <c r="K617" s="102">
        <f>IF(B617="Total",SUM(K$8:K616)+0.0001,IF(OR(B617="",J617&lt;&gt;0),0,VLOOKUP(A617,Journal!$B$7:M$84,8)))</f>
        <v>0</v>
      </c>
      <c r="L617" s="87">
        <f t="shared" si="63"/>
        <v>0</v>
      </c>
      <c r="P617">
        <f t="shared" si="66"/>
        <v>1.0000000000000001E-5</v>
      </c>
      <c r="R617" s="15">
        <f t="shared" si="67"/>
        <v>610</v>
      </c>
      <c r="S617" s="126">
        <f>IF(VLOOKUP(A617,Journal!$A$7:$E$70,5)=0,S616+1,VLOOKUP(A617,Journal!$A$7:$E$70,5))</f>
        <v>46267</v>
      </c>
      <c r="T617" s="125">
        <f>IF(H$2=VLOOKUP(A617,Journal!$A$7:$F$70,6),VLOOKUP(A617,Journal!$A$7:M$70,9),0)</f>
        <v>0</v>
      </c>
      <c r="U617" s="125">
        <f>IF(H$2=VLOOKUP(A617,Journal!$A$7:$G$70,7),VLOOKUP(A617,Journal!$A$7:M$70,9),0)</f>
        <v>0</v>
      </c>
      <c r="V617" s="125">
        <f t="shared" si="68"/>
        <v>40</v>
      </c>
      <c r="X617">
        <f t="shared" si="65"/>
        <v>0</v>
      </c>
      <c r="Y617" s="143">
        <f t="shared" si="64"/>
        <v>-984.02631578949911</v>
      </c>
    </row>
    <row r="618" spans="1:25" x14ac:dyDescent="0.25">
      <c r="A618">
        <f t="shared" si="69"/>
        <v>611</v>
      </c>
      <c r="B618" s="88" t="str">
        <f>IF(OR(B617="Total",B617=""),"",IF(VLOOKUP(A618,Journal!$B$7:$E$84,4)=0,"Total",VLOOKUP(A618,Journal!$B$7:$D$84,3)))</f>
        <v/>
      </c>
      <c r="C618" s="86" t="str">
        <f>IF(B618="","",VLOOKUP(A618,Journal!$B$7:$E$84,4))</f>
        <v/>
      </c>
      <c r="D618" s="114" t="str">
        <f>IF(B618="","",VLOOKUP(A618,Journal!$B$7:$J$84,9))</f>
        <v/>
      </c>
      <c r="E618" s="116"/>
      <c r="F618" s="116"/>
      <c r="G618" s="115"/>
      <c r="H618" s="84" t="str">
        <f>IF(B618="","",VLOOKUP(A618,Journal!$B$7:$L$84,11))</f>
        <v/>
      </c>
      <c r="I618" s="84" t="str">
        <f>IF(B618="","",VLOOKUP(A618,Journal!$B$7:$M$84,12))</f>
        <v/>
      </c>
      <c r="J618" s="105">
        <f>IF(B618="Total",SUM(J$8:J617)+0.0001,IF(OR(B618="",I$2=I618),0,VLOOKUP(A618,Journal!$B$7:M$84,8)))</f>
        <v>0</v>
      </c>
      <c r="K618" s="102">
        <f>IF(B618="Total",SUM(K$8:K617)+0.0001,IF(OR(B618="",J618&lt;&gt;0),0,VLOOKUP(A618,Journal!$B$7:M$84,8)))</f>
        <v>0</v>
      </c>
      <c r="L618" s="87">
        <f t="shared" si="63"/>
        <v>0</v>
      </c>
      <c r="P618">
        <f t="shared" si="66"/>
        <v>1.0000000000000001E-5</v>
      </c>
      <c r="R618" s="15">
        <f t="shared" si="67"/>
        <v>611</v>
      </c>
      <c r="S618" s="126">
        <f>IF(VLOOKUP(A618,Journal!$A$7:$E$70,5)=0,S617+1,VLOOKUP(A618,Journal!$A$7:$E$70,5))</f>
        <v>46268</v>
      </c>
      <c r="T618" s="125">
        <f>IF(H$2=VLOOKUP(A618,Journal!$A$7:$F$70,6),VLOOKUP(A618,Journal!$A$7:M$70,9),0)</f>
        <v>0</v>
      </c>
      <c r="U618" s="125">
        <f>IF(H$2=VLOOKUP(A618,Journal!$A$7:$G$70,7),VLOOKUP(A618,Journal!$A$7:M$70,9),0)</f>
        <v>0</v>
      </c>
      <c r="V618" s="125">
        <f t="shared" si="68"/>
        <v>40</v>
      </c>
      <c r="X618">
        <f t="shared" si="65"/>
        <v>0</v>
      </c>
      <c r="Y618" s="143">
        <f t="shared" si="64"/>
        <v>-984.00000000002547</v>
      </c>
    </row>
    <row r="619" spans="1:25" x14ac:dyDescent="0.25">
      <c r="A619">
        <f t="shared" si="69"/>
        <v>612</v>
      </c>
      <c r="B619" s="88" t="str">
        <f>IF(OR(B618="Total",B618=""),"",IF(VLOOKUP(A619,Journal!$B$7:$E$84,4)=0,"Total",VLOOKUP(A619,Journal!$B$7:$D$84,3)))</f>
        <v/>
      </c>
      <c r="C619" s="86" t="str">
        <f>IF(B619="","",VLOOKUP(A619,Journal!$B$7:$E$84,4))</f>
        <v/>
      </c>
      <c r="D619" s="114" t="str">
        <f>IF(B619="","",VLOOKUP(A619,Journal!$B$7:$J$84,9))</f>
        <v/>
      </c>
      <c r="E619" s="116"/>
      <c r="F619" s="116"/>
      <c r="G619" s="115"/>
      <c r="H619" s="84" t="str">
        <f>IF(B619="","",VLOOKUP(A619,Journal!$B$7:$L$84,11))</f>
        <v/>
      </c>
      <c r="I619" s="84" t="str">
        <f>IF(B619="","",VLOOKUP(A619,Journal!$B$7:$M$84,12))</f>
        <v/>
      </c>
      <c r="J619" s="105">
        <f>IF(B619="Total",SUM(J$8:J618)+0.0001,IF(OR(B619="",I$2=I619),0,VLOOKUP(A619,Journal!$B$7:M$84,8)))</f>
        <v>0</v>
      </c>
      <c r="K619" s="102">
        <f>IF(B619="Total",SUM(K$8:K618)+0.0001,IF(OR(B619="",J619&lt;&gt;0),0,VLOOKUP(A619,Journal!$B$7:M$84,8)))</f>
        <v>0</v>
      </c>
      <c r="L619" s="87">
        <f t="shared" si="63"/>
        <v>0</v>
      </c>
      <c r="P619">
        <f t="shared" si="66"/>
        <v>1.0000000000000001E-5</v>
      </c>
      <c r="R619" s="15">
        <f t="shared" si="67"/>
        <v>612</v>
      </c>
      <c r="S619" s="126">
        <f>IF(VLOOKUP(A619,Journal!$A$7:$E$70,5)=0,S618+1,VLOOKUP(A619,Journal!$A$7:$E$70,5))</f>
        <v>46269</v>
      </c>
      <c r="T619" s="125">
        <f>IF(H$2=VLOOKUP(A619,Journal!$A$7:$F$70,6),VLOOKUP(A619,Journal!$A$7:M$70,9),0)</f>
        <v>0</v>
      </c>
      <c r="U619" s="125">
        <f>IF(H$2=VLOOKUP(A619,Journal!$A$7:$G$70,7),VLOOKUP(A619,Journal!$A$7:M$70,9),0)</f>
        <v>0</v>
      </c>
      <c r="V619" s="125">
        <f t="shared" si="68"/>
        <v>40</v>
      </c>
      <c r="X619">
        <f t="shared" si="65"/>
        <v>0</v>
      </c>
      <c r="Y619" s="143">
        <f t="shared" si="64"/>
        <v>-983.97368421055182</v>
      </c>
    </row>
    <row r="620" spans="1:25" x14ac:dyDescent="0.25">
      <c r="A620">
        <f t="shared" si="69"/>
        <v>613</v>
      </c>
      <c r="B620" s="88" t="str">
        <f>IF(OR(B619="Total",B619=""),"",IF(VLOOKUP(A620,Journal!$B$7:$E$84,4)=0,"Total",VLOOKUP(A620,Journal!$B$7:$D$84,3)))</f>
        <v/>
      </c>
      <c r="C620" s="86" t="str">
        <f>IF(B620="","",VLOOKUP(A620,Journal!$B$7:$E$84,4))</f>
        <v/>
      </c>
      <c r="D620" s="114" t="str">
        <f>IF(B620="","",VLOOKUP(A620,Journal!$B$7:$J$84,9))</f>
        <v/>
      </c>
      <c r="E620" s="116"/>
      <c r="F620" s="116"/>
      <c r="G620" s="115"/>
      <c r="H620" s="84" t="str">
        <f>IF(B620="","",VLOOKUP(A620,Journal!$B$7:$L$84,11))</f>
        <v/>
      </c>
      <c r="I620" s="84" t="str">
        <f>IF(B620="","",VLOOKUP(A620,Journal!$B$7:$M$84,12))</f>
        <v/>
      </c>
      <c r="J620" s="105">
        <f>IF(B620="Total",SUM(J$8:J619)+0.0001,IF(OR(B620="",I$2=I620),0,VLOOKUP(A620,Journal!$B$7:M$84,8)))</f>
        <v>0</v>
      </c>
      <c r="K620" s="102">
        <f>IF(B620="Total",SUM(K$8:K619)+0.0001,IF(OR(B620="",J620&lt;&gt;0),0,VLOOKUP(A620,Journal!$B$7:M$84,8)))</f>
        <v>0</v>
      </c>
      <c r="L620" s="87">
        <f t="shared" si="63"/>
        <v>0</v>
      </c>
      <c r="P620">
        <f t="shared" si="66"/>
        <v>1.0000000000000001E-5</v>
      </c>
      <c r="R620" s="15">
        <f t="shared" si="67"/>
        <v>613</v>
      </c>
      <c r="S620" s="126">
        <f>IF(VLOOKUP(A620,Journal!$A$7:$E$70,5)=0,S619+1,VLOOKUP(A620,Journal!$A$7:$E$70,5))</f>
        <v>46270</v>
      </c>
      <c r="T620" s="125">
        <f>IF(H$2=VLOOKUP(A620,Journal!$A$7:$F$70,6),VLOOKUP(A620,Journal!$A$7:M$70,9),0)</f>
        <v>0</v>
      </c>
      <c r="U620" s="125">
        <f>IF(H$2=VLOOKUP(A620,Journal!$A$7:$G$70,7),VLOOKUP(A620,Journal!$A$7:M$70,9),0)</f>
        <v>0</v>
      </c>
      <c r="V620" s="125">
        <f t="shared" si="68"/>
        <v>40</v>
      </c>
      <c r="X620">
        <f t="shared" si="65"/>
        <v>0</v>
      </c>
      <c r="Y620" s="143">
        <f t="shared" si="64"/>
        <v>-983.94736842107818</v>
      </c>
    </row>
    <row r="621" spans="1:25" x14ac:dyDescent="0.25">
      <c r="A621">
        <f t="shared" si="69"/>
        <v>614</v>
      </c>
      <c r="B621" s="88" t="str">
        <f>IF(OR(B620="Total",B620=""),"",IF(VLOOKUP(A621,Journal!$B$7:$E$84,4)=0,"Total",VLOOKUP(A621,Journal!$B$7:$D$84,3)))</f>
        <v/>
      </c>
      <c r="C621" s="86" t="str">
        <f>IF(B621="","",VLOOKUP(A621,Journal!$B$7:$E$84,4))</f>
        <v/>
      </c>
      <c r="D621" s="114" t="str">
        <f>IF(B621="","",VLOOKUP(A621,Journal!$B$7:$J$84,9))</f>
        <v/>
      </c>
      <c r="E621" s="116"/>
      <c r="F621" s="116"/>
      <c r="G621" s="115"/>
      <c r="H621" s="84" t="str">
        <f>IF(B621="","",VLOOKUP(A621,Journal!$B$7:$L$84,11))</f>
        <v/>
      </c>
      <c r="I621" s="84" t="str">
        <f>IF(B621="","",VLOOKUP(A621,Journal!$B$7:$M$84,12))</f>
        <v/>
      </c>
      <c r="J621" s="105">
        <f>IF(B621="Total",SUM(J$8:J620)+0.0001,IF(OR(B621="",I$2=I621),0,VLOOKUP(A621,Journal!$B$7:M$84,8)))</f>
        <v>0</v>
      </c>
      <c r="K621" s="102">
        <f>IF(B621="Total",SUM(K$8:K620)+0.0001,IF(OR(B621="",J621&lt;&gt;0),0,VLOOKUP(A621,Journal!$B$7:M$84,8)))</f>
        <v>0</v>
      </c>
      <c r="L621" s="87">
        <f t="shared" si="63"/>
        <v>0</v>
      </c>
      <c r="P621">
        <f t="shared" si="66"/>
        <v>1.0000000000000001E-5</v>
      </c>
      <c r="R621" s="15">
        <f t="shared" si="67"/>
        <v>614</v>
      </c>
      <c r="S621" s="126">
        <f>IF(VLOOKUP(A621,Journal!$A$7:$E$70,5)=0,S620+1,VLOOKUP(A621,Journal!$A$7:$E$70,5))</f>
        <v>46271</v>
      </c>
      <c r="T621" s="125">
        <f>IF(H$2=VLOOKUP(A621,Journal!$A$7:$F$70,6),VLOOKUP(A621,Journal!$A$7:M$70,9),0)</f>
        <v>0</v>
      </c>
      <c r="U621" s="125">
        <f>IF(H$2=VLOOKUP(A621,Journal!$A$7:$G$70,7),VLOOKUP(A621,Journal!$A$7:M$70,9),0)</f>
        <v>0</v>
      </c>
      <c r="V621" s="125">
        <f t="shared" si="68"/>
        <v>40</v>
      </c>
      <c r="X621">
        <f t="shared" si="65"/>
        <v>0</v>
      </c>
      <c r="Y621" s="143">
        <f t="shared" si="64"/>
        <v>-983.92105263160454</v>
      </c>
    </row>
    <row r="622" spans="1:25" x14ac:dyDescent="0.25">
      <c r="A622">
        <f t="shared" si="69"/>
        <v>615</v>
      </c>
      <c r="B622" s="88" t="str">
        <f>IF(OR(B621="Total",B621=""),"",IF(VLOOKUP(A622,Journal!$B$7:$E$84,4)=0,"Total",VLOOKUP(A622,Journal!$B$7:$D$84,3)))</f>
        <v/>
      </c>
      <c r="C622" s="86" t="str">
        <f>IF(B622="","",VLOOKUP(A622,Journal!$B$7:$E$84,4))</f>
        <v/>
      </c>
      <c r="D622" s="114" t="str">
        <f>IF(B622="","",VLOOKUP(A622,Journal!$B$7:$J$84,9))</f>
        <v/>
      </c>
      <c r="E622" s="116"/>
      <c r="F622" s="116"/>
      <c r="G622" s="115"/>
      <c r="H622" s="84" t="str">
        <f>IF(B622="","",VLOOKUP(A622,Journal!$B$7:$L$84,11))</f>
        <v/>
      </c>
      <c r="I622" s="84" t="str">
        <f>IF(B622="","",VLOOKUP(A622,Journal!$B$7:$M$84,12))</f>
        <v/>
      </c>
      <c r="J622" s="105">
        <f>IF(B622="Total",SUM(J$8:J621)+0.0001,IF(OR(B622="",I$2=I622),0,VLOOKUP(A622,Journal!$B$7:M$84,8)))</f>
        <v>0</v>
      </c>
      <c r="K622" s="102">
        <f>IF(B622="Total",SUM(K$8:K621)+0.0001,IF(OR(B622="",J622&lt;&gt;0),0,VLOOKUP(A622,Journal!$B$7:M$84,8)))</f>
        <v>0</v>
      </c>
      <c r="L622" s="87">
        <f t="shared" si="63"/>
        <v>0</v>
      </c>
      <c r="P622">
        <f t="shared" si="66"/>
        <v>1.0000000000000001E-5</v>
      </c>
      <c r="R622" s="15">
        <f t="shared" si="67"/>
        <v>615</v>
      </c>
      <c r="S622" s="126">
        <f>IF(VLOOKUP(A622,Journal!$A$7:$E$70,5)=0,S621+1,VLOOKUP(A622,Journal!$A$7:$E$70,5))</f>
        <v>46272</v>
      </c>
      <c r="T622" s="125">
        <f>IF(H$2=VLOOKUP(A622,Journal!$A$7:$F$70,6),VLOOKUP(A622,Journal!$A$7:M$70,9),0)</f>
        <v>0</v>
      </c>
      <c r="U622" s="125">
        <f>IF(H$2=VLOOKUP(A622,Journal!$A$7:$G$70,7),VLOOKUP(A622,Journal!$A$7:M$70,9),0)</f>
        <v>0</v>
      </c>
      <c r="V622" s="125">
        <f t="shared" si="68"/>
        <v>40</v>
      </c>
      <c r="X622">
        <f t="shared" si="65"/>
        <v>0</v>
      </c>
      <c r="Y622" s="143">
        <f t="shared" si="64"/>
        <v>-983.8947368421309</v>
      </c>
    </row>
    <row r="623" spans="1:25" x14ac:dyDescent="0.25">
      <c r="A623">
        <f t="shared" si="69"/>
        <v>616</v>
      </c>
      <c r="B623" s="88" t="str">
        <f>IF(OR(B622="Total",B622=""),"",IF(VLOOKUP(A623,Journal!$B$7:$E$84,4)=0,"Total",VLOOKUP(A623,Journal!$B$7:$D$84,3)))</f>
        <v/>
      </c>
      <c r="C623" s="86" t="str">
        <f>IF(B623="","",VLOOKUP(A623,Journal!$B$7:$E$84,4))</f>
        <v/>
      </c>
      <c r="D623" s="114" t="str">
        <f>IF(B623="","",VLOOKUP(A623,Journal!$B$7:$J$84,9))</f>
        <v/>
      </c>
      <c r="E623" s="116"/>
      <c r="F623" s="116"/>
      <c r="G623" s="115"/>
      <c r="H623" s="84" t="str">
        <f>IF(B623="","",VLOOKUP(A623,Journal!$B$7:$L$84,11))</f>
        <v/>
      </c>
      <c r="I623" s="84" t="str">
        <f>IF(B623="","",VLOOKUP(A623,Journal!$B$7:$M$84,12))</f>
        <v/>
      </c>
      <c r="J623" s="105">
        <f>IF(B623="Total",SUM(J$8:J622)+0.0001,IF(OR(B623="",I$2=I623),0,VLOOKUP(A623,Journal!$B$7:M$84,8)))</f>
        <v>0</v>
      </c>
      <c r="K623" s="102">
        <f>IF(B623="Total",SUM(K$8:K622)+0.0001,IF(OR(B623="",J623&lt;&gt;0),0,VLOOKUP(A623,Journal!$B$7:M$84,8)))</f>
        <v>0</v>
      </c>
      <c r="L623" s="87">
        <f t="shared" si="63"/>
        <v>0</v>
      </c>
      <c r="P623">
        <f t="shared" si="66"/>
        <v>1.0000000000000001E-5</v>
      </c>
      <c r="R623" s="15">
        <f t="shared" si="67"/>
        <v>616</v>
      </c>
      <c r="S623" s="126">
        <f>IF(VLOOKUP(A623,Journal!$A$7:$E$70,5)=0,S622+1,VLOOKUP(A623,Journal!$A$7:$E$70,5))</f>
        <v>46273</v>
      </c>
      <c r="T623" s="125">
        <f>IF(H$2=VLOOKUP(A623,Journal!$A$7:$F$70,6),VLOOKUP(A623,Journal!$A$7:M$70,9),0)</f>
        <v>0</v>
      </c>
      <c r="U623" s="125">
        <f>IF(H$2=VLOOKUP(A623,Journal!$A$7:$G$70,7),VLOOKUP(A623,Journal!$A$7:M$70,9),0)</f>
        <v>0</v>
      </c>
      <c r="V623" s="125">
        <f t="shared" si="68"/>
        <v>40</v>
      </c>
      <c r="X623">
        <f t="shared" si="65"/>
        <v>0</v>
      </c>
      <c r="Y623" s="143">
        <f t="shared" si="64"/>
        <v>-983.86842105265725</v>
      </c>
    </row>
    <row r="624" spans="1:25" x14ac:dyDescent="0.25">
      <c r="A624">
        <f t="shared" si="69"/>
        <v>617</v>
      </c>
      <c r="B624" s="88" t="str">
        <f>IF(OR(B623="Total",B623=""),"",IF(VLOOKUP(A624,Journal!$B$7:$E$84,4)=0,"Total",VLOOKUP(A624,Journal!$B$7:$D$84,3)))</f>
        <v/>
      </c>
      <c r="C624" s="86" t="str">
        <f>IF(B624="","",VLOOKUP(A624,Journal!$B$7:$E$84,4))</f>
        <v/>
      </c>
      <c r="D624" s="114" t="str">
        <f>IF(B624="","",VLOOKUP(A624,Journal!$B$7:$J$84,9))</f>
        <v/>
      </c>
      <c r="E624" s="116"/>
      <c r="F624" s="116"/>
      <c r="G624" s="115"/>
      <c r="H624" s="84" t="str">
        <f>IF(B624="","",VLOOKUP(A624,Journal!$B$7:$L$84,11))</f>
        <v/>
      </c>
      <c r="I624" s="84" t="str">
        <f>IF(B624="","",VLOOKUP(A624,Journal!$B$7:$M$84,12))</f>
        <v/>
      </c>
      <c r="J624" s="105">
        <f>IF(B624="Total",SUM(J$8:J623)+0.0001,IF(OR(B624="",I$2=I624),0,VLOOKUP(A624,Journal!$B$7:M$84,8)))</f>
        <v>0</v>
      </c>
      <c r="K624" s="102">
        <f>IF(B624="Total",SUM(K$8:K623)+0.0001,IF(OR(B624="",J624&lt;&gt;0),0,VLOOKUP(A624,Journal!$B$7:M$84,8)))</f>
        <v>0</v>
      </c>
      <c r="L624" s="87">
        <f t="shared" si="63"/>
        <v>0</v>
      </c>
      <c r="P624">
        <f t="shared" si="66"/>
        <v>1.0000000000000001E-5</v>
      </c>
      <c r="R624" s="15">
        <f t="shared" si="67"/>
        <v>617</v>
      </c>
      <c r="S624" s="126">
        <f>IF(VLOOKUP(A624,Journal!$A$7:$E$70,5)=0,S623+1,VLOOKUP(A624,Journal!$A$7:$E$70,5))</f>
        <v>46274</v>
      </c>
      <c r="T624" s="125">
        <f>IF(H$2=VLOOKUP(A624,Journal!$A$7:$F$70,6),VLOOKUP(A624,Journal!$A$7:M$70,9),0)</f>
        <v>0</v>
      </c>
      <c r="U624" s="125">
        <f>IF(H$2=VLOOKUP(A624,Journal!$A$7:$G$70,7),VLOOKUP(A624,Journal!$A$7:M$70,9),0)</f>
        <v>0</v>
      </c>
      <c r="V624" s="125">
        <f t="shared" si="68"/>
        <v>40</v>
      </c>
      <c r="X624">
        <f t="shared" si="65"/>
        <v>0</v>
      </c>
      <c r="Y624" s="143">
        <f t="shared" si="64"/>
        <v>-983.84210526318361</v>
      </c>
    </row>
    <row r="625" spans="1:25" x14ac:dyDescent="0.25">
      <c r="A625">
        <f t="shared" si="69"/>
        <v>618</v>
      </c>
      <c r="B625" s="88" t="str">
        <f>IF(OR(B624="Total",B624=""),"",IF(VLOOKUP(A625,Journal!$B$7:$E$84,4)=0,"Total",VLOOKUP(A625,Journal!$B$7:$D$84,3)))</f>
        <v/>
      </c>
      <c r="C625" s="86" t="str">
        <f>IF(B625="","",VLOOKUP(A625,Journal!$B$7:$E$84,4))</f>
        <v/>
      </c>
      <c r="D625" s="114" t="str">
        <f>IF(B625="","",VLOOKUP(A625,Journal!$B$7:$J$84,9))</f>
        <v/>
      </c>
      <c r="E625" s="116"/>
      <c r="F625" s="116"/>
      <c r="G625" s="115"/>
      <c r="H625" s="84" t="str">
        <f>IF(B625="","",VLOOKUP(A625,Journal!$B$7:$L$84,11))</f>
        <v/>
      </c>
      <c r="I625" s="84" t="str">
        <f>IF(B625="","",VLOOKUP(A625,Journal!$B$7:$M$84,12))</f>
        <v/>
      </c>
      <c r="J625" s="105">
        <f>IF(B625="Total",SUM(J$8:J624)+0.0001,IF(OR(B625="",I$2=I625),0,VLOOKUP(A625,Journal!$B$7:M$84,8)))</f>
        <v>0</v>
      </c>
      <c r="K625" s="102">
        <f>IF(B625="Total",SUM(K$8:K624)+0.0001,IF(OR(B625="",J625&lt;&gt;0),0,VLOOKUP(A625,Journal!$B$7:M$84,8)))</f>
        <v>0</v>
      </c>
      <c r="L625" s="87">
        <f t="shared" si="63"/>
        <v>0</v>
      </c>
      <c r="P625">
        <f t="shared" si="66"/>
        <v>1.0000000000000001E-5</v>
      </c>
      <c r="R625" s="15">
        <f t="shared" si="67"/>
        <v>618</v>
      </c>
      <c r="S625" s="126">
        <f>IF(VLOOKUP(A625,Journal!$A$7:$E$70,5)=0,S624+1,VLOOKUP(A625,Journal!$A$7:$E$70,5))</f>
        <v>46275</v>
      </c>
      <c r="T625" s="125">
        <f>IF(H$2=VLOOKUP(A625,Journal!$A$7:$F$70,6),VLOOKUP(A625,Journal!$A$7:M$70,9),0)</f>
        <v>0</v>
      </c>
      <c r="U625" s="125">
        <f>IF(H$2=VLOOKUP(A625,Journal!$A$7:$G$70,7),VLOOKUP(A625,Journal!$A$7:M$70,9),0)</f>
        <v>0</v>
      </c>
      <c r="V625" s="125">
        <f t="shared" si="68"/>
        <v>40</v>
      </c>
      <c r="X625">
        <f t="shared" si="65"/>
        <v>0</v>
      </c>
      <c r="Y625" s="143">
        <f t="shared" si="64"/>
        <v>-983.81578947370997</v>
      </c>
    </row>
    <row r="626" spans="1:25" x14ac:dyDescent="0.25">
      <c r="A626">
        <f t="shared" si="69"/>
        <v>619</v>
      </c>
      <c r="B626" s="88" t="str">
        <f>IF(OR(B625="Total",B625=""),"",IF(VLOOKUP(A626,Journal!$B$7:$E$84,4)=0,"Total",VLOOKUP(A626,Journal!$B$7:$D$84,3)))</f>
        <v/>
      </c>
      <c r="C626" s="86" t="str">
        <f>IF(B626="","",VLOOKUP(A626,Journal!$B$7:$E$84,4))</f>
        <v/>
      </c>
      <c r="D626" s="114" t="str">
        <f>IF(B626="","",VLOOKUP(A626,Journal!$B$7:$J$84,9))</f>
        <v/>
      </c>
      <c r="E626" s="116"/>
      <c r="F626" s="116"/>
      <c r="G626" s="115"/>
      <c r="H626" s="84" t="str">
        <f>IF(B626="","",VLOOKUP(A626,Journal!$B$7:$L$84,11))</f>
        <v/>
      </c>
      <c r="I626" s="84" t="str">
        <f>IF(B626="","",VLOOKUP(A626,Journal!$B$7:$M$84,12))</f>
        <v/>
      </c>
      <c r="J626" s="105">
        <f>IF(B626="Total",SUM(J$8:J625)+0.0001,IF(OR(B626="",I$2=I626),0,VLOOKUP(A626,Journal!$B$7:M$84,8)))</f>
        <v>0</v>
      </c>
      <c r="K626" s="102">
        <f>IF(B626="Total",SUM(K$8:K625)+0.0001,IF(OR(B626="",J626&lt;&gt;0),0,VLOOKUP(A626,Journal!$B$7:M$84,8)))</f>
        <v>0</v>
      </c>
      <c r="L626" s="87">
        <f t="shared" si="63"/>
        <v>0</v>
      </c>
      <c r="P626">
        <f t="shared" si="66"/>
        <v>1.0000000000000001E-5</v>
      </c>
      <c r="R626" s="15">
        <f t="shared" si="67"/>
        <v>619</v>
      </c>
      <c r="S626" s="126">
        <f>IF(VLOOKUP(A626,Journal!$A$7:$E$70,5)=0,S625+1,VLOOKUP(A626,Journal!$A$7:$E$70,5))</f>
        <v>46276</v>
      </c>
      <c r="T626" s="125">
        <f>IF(H$2=VLOOKUP(A626,Journal!$A$7:$F$70,6),VLOOKUP(A626,Journal!$A$7:M$70,9),0)</f>
        <v>0</v>
      </c>
      <c r="U626" s="125">
        <f>IF(H$2=VLOOKUP(A626,Journal!$A$7:$G$70,7),VLOOKUP(A626,Journal!$A$7:M$70,9),0)</f>
        <v>0</v>
      </c>
      <c r="V626" s="125">
        <f t="shared" si="68"/>
        <v>40</v>
      </c>
      <c r="X626">
        <f t="shared" si="65"/>
        <v>0</v>
      </c>
      <c r="Y626" s="143">
        <f t="shared" si="64"/>
        <v>-983.78947368423633</v>
      </c>
    </row>
    <row r="627" spans="1:25" x14ac:dyDescent="0.25">
      <c r="A627">
        <f t="shared" si="69"/>
        <v>620</v>
      </c>
      <c r="B627" s="88" t="str">
        <f>IF(OR(B626="Total",B626=""),"",IF(VLOOKUP(A627,Journal!$B$7:$E$84,4)=0,"Total",VLOOKUP(A627,Journal!$B$7:$D$84,3)))</f>
        <v/>
      </c>
      <c r="C627" s="86" t="str">
        <f>IF(B627="","",VLOOKUP(A627,Journal!$B$7:$E$84,4))</f>
        <v/>
      </c>
      <c r="D627" s="114" t="str">
        <f>IF(B627="","",VLOOKUP(A627,Journal!$B$7:$J$84,9))</f>
        <v/>
      </c>
      <c r="E627" s="116"/>
      <c r="F627" s="116"/>
      <c r="G627" s="115"/>
      <c r="H627" s="84" t="str">
        <f>IF(B627="","",VLOOKUP(A627,Journal!$B$7:$L$84,11))</f>
        <v/>
      </c>
      <c r="I627" s="84" t="str">
        <f>IF(B627="","",VLOOKUP(A627,Journal!$B$7:$M$84,12))</f>
        <v/>
      </c>
      <c r="J627" s="105">
        <f>IF(B627="Total",SUM(J$8:J626)+0.0001,IF(OR(B627="",I$2=I627),0,VLOOKUP(A627,Journal!$B$7:M$84,8)))</f>
        <v>0</v>
      </c>
      <c r="K627" s="102">
        <f>IF(B627="Total",SUM(K$8:K626)+0.0001,IF(OR(B627="",J627&lt;&gt;0),0,VLOOKUP(A627,Journal!$B$7:M$84,8)))</f>
        <v>0</v>
      </c>
      <c r="L627" s="87">
        <f t="shared" si="63"/>
        <v>0</v>
      </c>
      <c r="P627">
        <f t="shared" si="66"/>
        <v>1.0000000000000001E-5</v>
      </c>
      <c r="R627" s="15">
        <f t="shared" si="67"/>
        <v>620</v>
      </c>
      <c r="S627" s="126">
        <f>IF(VLOOKUP(A627,Journal!$A$7:$E$70,5)=0,S626+1,VLOOKUP(A627,Journal!$A$7:$E$70,5))</f>
        <v>46277</v>
      </c>
      <c r="T627" s="125">
        <f>IF(H$2=VLOOKUP(A627,Journal!$A$7:$F$70,6),VLOOKUP(A627,Journal!$A$7:M$70,9),0)</f>
        <v>0</v>
      </c>
      <c r="U627" s="125">
        <f>IF(H$2=VLOOKUP(A627,Journal!$A$7:$G$70,7),VLOOKUP(A627,Journal!$A$7:M$70,9),0)</f>
        <v>0</v>
      </c>
      <c r="V627" s="125">
        <f t="shared" si="68"/>
        <v>40</v>
      </c>
      <c r="X627">
        <f t="shared" si="65"/>
        <v>0</v>
      </c>
      <c r="Y627" s="143">
        <f t="shared" si="64"/>
        <v>-983.76315789476268</v>
      </c>
    </row>
    <row r="628" spans="1:25" x14ac:dyDescent="0.25">
      <c r="A628">
        <f t="shared" si="69"/>
        <v>621</v>
      </c>
      <c r="B628" s="88" t="str">
        <f>IF(OR(B627="Total",B627=""),"",IF(VLOOKUP(A628,Journal!$B$7:$E$84,4)=0,"Total",VLOOKUP(A628,Journal!$B$7:$D$84,3)))</f>
        <v/>
      </c>
      <c r="C628" s="86" t="str">
        <f>IF(B628="","",VLOOKUP(A628,Journal!$B$7:$E$84,4))</f>
        <v/>
      </c>
      <c r="D628" s="114" t="str">
        <f>IF(B628="","",VLOOKUP(A628,Journal!$B$7:$J$84,9))</f>
        <v/>
      </c>
      <c r="E628" s="116"/>
      <c r="F628" s="116"/>
      <c r="G628" s="115"/>
      <c r="H628" s="84" t="str">
        <f>IF(B628="","",VLOOKUP(A628,Journal!$B$7:$L$84,11))</f>
        <v/>
      </c>
      <c r="I628" s="84" t="str">
        <f>IF(B628="","",VLOOKUP(A628,Journal!$B$7:$M$84,12))</f>
        <v/>
      </c>
      <c r="J628" s="105">
        <f>IF(B628="Total",SUM(J$8:J627)+0.0001,IF(OR(B628="",I$2=I628),0,VLOOKUP(A628,Journal!$B$7:M$84,8)))</f>
        <v>0</v>
      </c>
      <c r="K628" s="102">
        <f>IF(B628="Total",SUM(K$8:K627)+0.0001,IF(OR(B628="",J628&lt;&gt;0),0,VLOOKUP(A628,Journal!$B$7:M$84,8)))</f>
        <v>0</v>
      </c>
      <c r="L628" s="87">
        <f t="shared" si="63"/>
        <v>0</v>
      </c>
      <c r="P628">
        <f t="shared" si="66"/>
        <v>1.0000000000000001E-5</v>
      </c>
      <c r="R628" s="15">
        <f t="shared" si="67"/>
        <v>621</v>
      </c>
      <c r="S628" s="126">
        <f>IF(VLOOKUP(A628,Journal!$A$7:$E$70,5)=0,S627+1,VLOOKUP(A628,Journal!$A$7:$E$70,5))</f>
        <v>46278</v>
      </c>
      <c r="T628" s="125">
        <f>IF(H$2=VLOOKUP(A628,Journal!$A$7:$F$70,6),VLOOKUP(A628,Journal!$A$7:M$70,9),0)</f>
        <v>0</v>
      </c>
      <c r="U628" s="125">
        <f>IF(H$2=VLOOKUP(A628,Journal!$A$7:$G$70,7),VLOOKUP(A628,Journal!$A$7:M$70,9),0)</f>
        <v>0</v>
      </c>
      <c r="V628" s="125">
        <f t="shared" si="68"/>
        <v>40</v>
      </c>
      <c r="X628">
        <f t="shared" si="65"/>
        <v>0</v>
      </c>
      <c r="Y628" s="143">
        <f t="shared" si="64"/>
        <v>-983.73684210528904</v>
      </c>
    </row>
    <row r="629" spans="1:25" x14ac:dyDescent="0.25">
      <c r="A629">
        <f t="shared" si="69"/>
        <v>622</v>
      </c>
      <c r="B629" s="88" t="str">
        <f>IF(OR(B628="Total",B628=""),"",IF(VLOOKUP(A629,Journal!$B$7:$E$84,4)=0,"Total",VLOOKUP(A629,Journal!$B$7:$D$84,3)))</f>
        <v/>
      </c>
      <c r="C629" s="86" t="str">
        <f>IF(B629="","",VLOOKUP(A629,Journal!$B$7:$E$84,4))</f>
        <v/>
      </c>
      <c r="D629" s="114" t="str">
        <f>IF(B629="","",VLOOKUP(A629,Journal!$B$7:$J$84,9))</f>
        <v/>
      </c>
      <c r="E629" s="116"/>
      <c r="F629" s="116"/>
      <c r="G629" s="115"/>
      <c r="H629" s="84" t="str">
        <f>IF(B629="","",VLOOKUP(A629,Journal!$B$7:$L$84,11))</f>
        <v/>
      </c>
      <c r="I629" s="84" t="str">
        <f>IF(B629="","",VLOOKUP(A629,Journal!$B$7:$M$84,12))</f>
        <v/>
      </c>
      <c r="J629" s="105">
        <f>IF(B629="Total",SUM(J$8:J628)+0.0001,IF(OR(B629="",I$2=I629),0,VLOOKUP(A629,Journal!$B$7:M$84,8)))</f>
        <v>0</v>
      </c>
      <c r="K629" s="102">
        <f>IF(B629="Total",SUM(K$8:K628)+0.0001,IF(OR(B629="",J629&lt;&gt;0),0,VLOOKUP(A629,Journal!$B$7:M$84,8)))</f>
        <v>0</v>
      </c>
      <c r="L629" s="87">
        <f t="shared" si="63"/>
        <v>0</v>
      </c>
      <c r="P629">
        <f t="shared" si="66"/>
        <v>1.0000000000000001E-5</v>
      </c>
      <c r="R629" s="15">
        <f t="shared" si="67"/>
        <v>622</v>
      </c>
      <c r="S629" s="126">
        <f>IF(VLOOKUP(A629,Journal!$A$7:$E$70,5)=0,S628+1,VLOOKUP(A629,Journal!$A$7:$E$70,5))</f>
        <v>46279</v>
      </c>
      <c r="T629" s="125">
        <f>IF(H$2=VLOOKUP(A629,Journal!$A$7:$F$70,6),VLOOKUP(A629,Journal!$A$7:M$70,9),0)</f>
        <v>0</v>
      </c>
      <c r="U629" s="125">
        <f>IF(H$2=VLOOKUP(A629,Journal!$A$7:$G$70,7),VLOOKUP(A629,Journal!$A$7:M$70,9),0)</f>
        <v>0</v>
      </c>
      <c r="V629" s="125">
        <f t="shared" si="68"/>
        <v>40</v>
      </c>
      <c r="X629">
        <f t="shared" si="65"/>
        <v>0</v>
      </c>
      <c r="Y629" s="143">
        <f t="shared" si="64"/>
        <v>-983.7105263158154</v>
      </c>
    </row>
    <row r="630" spans="1:25" x14ac:dyDescent="0.25">
      <c r="A630">
        <f t="shared" si="69"/>
        <v>623</v>
      </c>
      <c r="B630" s="88" t="str">
        <f>IF(OR(B629="Total",B629=""),"",IF(VLOOKUP(A630,Journal!$B$7:$E$84,4)=0,"Total",VLOOKUP(A630,Journal!$B$7:$D$84,3)))</f>
        <v/>
      </c>
      <c r="C630" s="86" t="str">
        <f>IF(B630="","",VLOOKUP(A630,Journal!$B$7:$E$84,4))</f>
        <v/>
      </c>
      <c r="D630" s="114" t="str">
        <f>IF(B630="","",VLOOKUP(A630,Journal!$B$7:$J$84,9))</f>
        <v/>
      </c>
      <c r="E630" s="116"/>
      <c r="F630" s="116"/>
      <c r="G630" s="115"/>
      <c r="H630" s="84" t="str">
        <f>IF(B630="","",VLOOKUP(A630,Journal!$B$7:$L$84,11))</f>
        <v/>
      </c>
      <c r="I630" s="84" t="str">
        <f>IF(B630="","",VLOOKUP(A630,Journal!$B$7:$M$84,12))</f>
        <v/>
      </c>
      <c r="J630" s="105">
        <f>IF(B630="Total",SUM(J$8:J629)+0.0001,IF(OR(B630="",I$2=I630),0,VLOOKUP(A630,Journal!$B$7:M$84,8)))</f>
        <v>0</v>
      </c>
      <c r="K630" s="102">
        <f>IF(B630="Total",SUM(K$8:K629)+0.0001,IF(OR(B630="",J630&lt;&gt;0),0,VLOOKUP(A630,Journal!$B$7:M$84,8)))</f>
        <v>0</v>
      </c>
      <c r="L630" s="87">
        <f t="shared" si="63"/>
        <v>0</v>
      </c>
      <c r="P630">
        <f t="shared" si="66"/>
        <v>1.0000000000000001E-5</v>
      </c>
      <c r="R630" s="15">
        <f t="shared" si="67"/>
        <v>623</v>
      </c>
      <c r="S630" s="126">
        <f>IF(VLOOKUP(A630,Journal!$A$7:$E$70,5)=0,S629+1,VLOOKUP(A630,Journal!$A$7:$E$70,5))</f>
        <v>46280</v>
      </c>
      <c r="T630" s="125">
        <f>IF(H$2=VLOOKUP(A630,Journal!$A$7:$F$70,6),VLOOKUP(A630,Journal!$A$7:M$70,9),0)</f>
        <v>0</v>
      </c>
      <c r="U630" s="125">
        <f>IF(H$2=VLOOKUP(A630,Journal!$A$7:$G$70,7),VLOOKUP(A630,Journal!$A$7:M$70,9),0)</f>
        <v>0</v>
      </c>
      <c r="V630" s="125">
        <f t="shared" si="68"/>
        <v>40</v>
      </c>
      <c r="X630">
        <f t="shared" si="65"/>
        <v>0</v>
      </c>
      <c r="Y630" s="143">
        <f t="shared" si="64"/>
        <v>-983.68421052634176</v>
      </c>
    </row>
    <row r="631" spans="1:25" x14ac:dyDescent="0.25">
      <c r="A631">
        <f t="shared" si="69"/>
        <v>624</v>
      </c>
      <c r="B631" s="88" t="str">
        <f>IF(OR(B630="Total",B630=""),"",IF(VLOOKUP(A631,Journal!$B$7:$E$84,4)=0,"Total",VLOOKUP(A631,Journal!$B$7:$D$84,3)))</f>
        <v/>
      </c>
      <c r="C631" s="86" t="str">
        <f>IF(B631="","",VLOOKUP(A631,Journal!$B$7:$E$84,4))</f>
        <v/>
      </c>
      <c r="D631" s="114" t="str">
        <f>IF(B631="","",VLOOKUP(A631,Journal!$B$7:$J$84,9))</f>
        <v/>
      </c>
      <c r="E631" s="116"/>
      <c r="F631" s="116"/>
      <c r="G631" s="115"/>
      <c r="H631" s="84" t="str">
        <f>IF(B631="","",VLOOKUP(A631,Journal!$B$7:$L$84,11))</f>
        <v/>
      </c>
      <c r="I631" s="84" t="str">
        <f>IF(B631="","",VLOOKUP(A631,Journal!$B$7:$M$84,12))</f>
        <v/>
      </c>
      <c r="J631" s="105">
        <f>IF(B631="Total",SUM(J$8:J630)+0.0001,IF(OR(B631="",I$2=I631),0,VLOOKUP(A631,Journal!$B$7:M$84,8)))</f>
        <v>0</v>
      </c>
      <c r="K631" s="102">
        <f>IF(B631="Total",SUM(K$8:K630)+0.0001,IF(OR(B631="",J631&lt;&gt;0),0,VLOOKUP(A631,Journal!$B$7:M$84,8)))</f>
        <v>0</v>
      </c>
      <c r="L631" s="87">
        <f t="shared" si="63"/>
        <v>0</v>
      </c>
      <c r="P631">
        <f t="shared" si="66"/>
        <v>1.0000000000000001E-5</v>
      </c>
      <c r="R631" s="15">
        <f t="shared" si="67"/>
        <v>624</v>
      </c>
      <c r="S631" s="126">
        <f>IF(VLOOKUP(A631,Journal!$A$7:$E$70,5)=0,S630+1,VLOOKUP(A631,Journal!$A$7:$E$70,5))</f>
        <v>46281</v>
      </c>
      <c r="T631" s="125">
        <f>IF(H$2=VLOOKUP(A631,Journal!$A$7:$F$70,6),VLOOKUP(A631,Journal!$A$7:M$70,9),0)</f>
        <v>0</v>
      </c>
      <c r="U631" s="125">
        <f>IF(H$2=VLOOKUP(A631,Journal!$A$7:$G$70,7),VLOOKUP(A631,Journal!$A$7:M$70,9),0)</f>
        <v>0</v>
      </c>
      <c r="V631" s="125">
        <f t="shared" si="68"/>
        <v>40</v>
      </c>
      <c r="X631">
        <f t="shared" si="65"/>
        <v>0</v>
      </c>
      <c r="Y631" s="143">
        <f t="shared" si="64"/>
        <v>-983.65789473686812</v>
      </c>
    </row>
    <row r="632" spans="1:25" x14ac:dyDescent="0.25">
      <c r="A632">
        <f t="shared" si="69"/>
        <v>625</v>
      </c>
      <c r="B632" s="88" t="str">
        <f>IF(OR(B631="Total",B631=""),"",IF(VLOOKUP(A632,Journal!$B$7:$E$84,4)=0,"Total",VLOOKUP(A632,Journal!$B$7:$D$84,3)))</f>
        <v/>
      </c>
      <c r="C632" s="86" t="str">
        <f>IF(B632="","",VLOOKUP(A632,Journal!$B$7:$E$84,4))</f>
        <v/>
      </c>
      <c r="D632" s="114" t="str">
        <f>IF(B632="","",VLOOKUP(A632,Journal!$B$7:$J$84,9))</f>
        <v/>
      </c>
      <c r="E632" s="116"/>
      <c r="F632" s="116"/>
      <c r="G632" s="115"/>
      <c r="H632" s="84" t="str">
        <f>IF(B632="","",VLOOKUP(A632,Journal!$B$7:$L$84,11))</f>
        <v/>
      </c>
      <c r="I632" s="84" t="str">
        <f>IF(B632="","",VLOOKUP(A632,Journal!$B$7:$M$84,12))</f>
        <v/>
      </c>
      <c r="J632" s="105">
        <f>IF(B632="Total",SUM(J$8:J631)+0.0001,IF(OR(B632="",I$2=I632),0,VLOOKUP(A632,Journal!$B$7:M$84,8)))</f>
        <v>0</v>
      </c>
      <c r="K632" s="102">
        <f>IF(B632="Total",SUM(K$8:K631)+0.0001,IF(OR(B632="",J632&lt;&gt;0),0,VLOOKUP(A632,Journal!$B$7:M$84,8)))</f>
        <v>0</v>
      </c>
      <c r="L632" s="87">
        <f t="shared" si="63"/>
        <v>0</v>
      </c>
      <c r="P632">
        <f t="shared" si="66"/>
        <v>1.0000000000000001E-5</v>
      </c>
      <c r="R632" s="15">
        <f t="shared" si="67"/>
        <v>625</v>
      </c>
      <c r="S632" s="126">
        <f>IF(VLOOKUP(A632,Journal!$A$7:$E$70,5)=0,S631+1,VLOOKUP(A632,Journal!$A$7:$E$70,5))</f>
        <v>46282</v>
      </c>
      <c r="T632" s="125">
        <f>IF(H$2=VLOOKUP(A632,Journal!$A$7:$F$70,6),VLOOKUP(A632,Journal!$A$7:M$70,9),0)</f>
        <v>0</v>
      </c>
      <c r="U632" s="125">
        <f>IF(H$2=VLOOKUP(A632,Journal!$A$7:$G$70,7),VLOOKUP(A632,Journal!$A$7:M$70,9),0)</f>
        <v>0</v>
      </c>
      <c r="V632" s="125">
        <f t="shared" si="68"/>
        <v>40</v>
      </c>
      <c r="X632">
        <f t="shared" si="65"/>
        <v>0</v>
      </c>
      <c r="Y632" s="143">
        <f t="shared" si="64"/>
        <v>-983.63157894739447</v>
      </c>
    </row>
    <row r="633" spans="1:25" x14ac:dyDescent="0.25">
      <c r="A633">
        <f t="shared" si="69"/>
        <v>626</v>
      </c>
      <c r="B633" s="88" t="str">
        <f>IF(OR(B632="Total",B632=""),"",IF(VLOOKUP(A633,Journal!$B$7:$E$84,4)=0,"Total",VLOOKUP(A633,Journal!$B$7:$D$84,3)))</f>
        <v/>
      </c>
      <c r="C633" s="86" t="str">
        <f>IF(B633="","",VLOOKUP(A633,Journal!$B$7:$E$84,4))</f>
        <v/>
      </c>
      <c r="D633" s="114" t="str">
        <f>IF(B633="","",VLOOKUP(A633,Journal!$B$7:$J$84,9))</f>
        <v/>
      </c>
      <c r="E633" s="116"/>
      <c r="F633" s="116"/>
      <c r="G633" s="115"/>
      <c r="H633" s="84" t="str">
        <f>IF(B633="","",VLOOKUP(A633,Journal!$B$7:$L$84,11))</f>
        <v/>
      </c>
      <c r="I633" s="84" t="str">
        <f>IF(B633="","",VLOOKUP(A633,Journal!$B$7:$M$84,12))</f>
        <v/>
      </c>
      <c r="J633" s="105">
        <f>IF(B633="Total",SUM(J$8:J632)+0.0001,IF(OR(B633="",I$2=I633),0,VLOOKUP(A633,Journal!$B$7:M$84,8)))</f>
        <v>0</v>
      </c>
      <c r="K633" s="102">
        <f>IF(B633="Total",SUM(K$8:K632)+0.0001,IF(OR(B633="",J633&lt;&gt;0),0,VLOOKUP(A633,Journal!$B$7:M$84,8)))</f>
        <v>0</v>
      </c>
      <c r="L633" s="87">
        <f t="shared" si="63"/>
        <v>0</v>
      </c>
      <c r="P633">
        <f t="shared" si="66"/>
        <v>1.0000000000000001E-5</v>
      </c>
      <c r="R633" s="15">
        <f t="shared" si="67"/>
        <v>626</v>
      </c>
      <c r="S633" s="126">
        <f>IF(VLOOKUP(A633,Journal!$A$7:$E$70,5)=0,S632+1,VLOOKUP(A633,Journal!$A$7:$E$70,5))</f>
        <v>46283</v>
      </c>
      <c r="T633" s="125">
        <f>IF(H$2=VLOOKUP(A633,Journal!$A$7:$F$70,6),VLOOKUP(A633,Journal!$A$7:M$70,9),0)</f>
        <v>0</v>
      </c>
      <c r="U633" s="125">
        <f>IF(H$2=VLOOKUP(A633,Journal!$A$7:$G$70,7),VLOOKUP(A633,Journal!$A$7:M$70,9),0)</f>
        <v>0</v>
      </c>
      <c r="V633" s="125">
        <f t="shared" si="68"/>
        <v>40</v>
      </c>
      <c r="X633">
        <f t="shared" si="65"/>
        <v>0</v>
      </c>
      <c r="Y633" s="143">
        <f t="shared" si="64"/>
        <v>-983.60526315792083</v>
      </c>
    </row>
    <row r="634" spans="1:25" x14ac:dyDescent="0.25">
      <c r="A634">
        <f t="shared" si="69"/>
        <v>627</v>
      </c>
      <c r="B634" s="88" t="str">
        <f>IF(OR(B633="Total",B633=""),"",IF(VLOOKUP(A634,Journal!$B$7:$E$84,4)=0,"Total",VLOOKUP(A634,Journal!$B$7:$D$84,3)))</f>
        <v/>
      </c>
      <c r="C634" s="86" t="str">
        <f>IF(B634="","",VLOOKUP(A634,Journal!$B$7:$E$84,4))</f>
        <v/>
      </c>
      <c r="D634" s="114" t="str">
        <f>IF(B634="","",VLOOKUP(A634,Journal!$B$7:$J$84,9))</f>
        <v/>
      </c>
      <c r="E634" s="116"/>
      <c r="F634" s="116"/>
      <c r="G634" s="115"/>
      <c r="H634" s="84" t="str">
        <f>IF(B634="","",VLOOKUP(A634,Journal!$B$7:$L$84,11))</f>
        <v/>
      </c>
      <c r="I634" s="84" t="str">
        <f>IF(B634="","",VLOOKUP(A634,Journal!$B$7:$M$84,12))</f>
        <v/>
      </c>
      <c r="J634" s="105">
        <f>IF(B634="Total",SUM(J$8:J633)+0.0001,IF(OR(B634="",I$2=I634),0,VLOOKUP(A634,Journal!$B$7:M$84,8)))</f>
        <v>0</v>
      </c>
      <c r="K634" s="102">
        <f>IF(B634="Total",SUM(K$8:K633)+0.0001,IF(OR(B634="",J634&lt;&gt;0),0,VLOOKUP(A634,Journal!$B$7:M$84,8)))</f>
        <v>0</v>
      </c>
      <c r="L634" s="87">
        <f t="shared" si="63"/>
        <v>0</v>
      </c>
      <c r="P634">
        <f t="shared" si="66"/>
        <v>1.0000000000000001E-5</v>
      </c>
      <c r="R634" s="15">
        <f t="shared" si="67"/>
        <v>627</v>
      </c>
      <c r="S634" s="126">
        <f>IF(VLOOKUP(A634,Journal!$A$7:$E$70,5)=0,S633+1,VLOOKUP(A634,Journal!$A$7:$E$70,5))</f>
        <v>46284</v>
      </c>
      <c r="T634" s="125">
        <f>IF(H$2=VLOOKUP(A634,Journal!$A$7:$F$70,6),VLOOKUP(A634,Journal!$A$7:M$70,9),0)</f>
        <v>0</v>
      </c>
      <c r="U634" s="125">
        <f>IF(H$2=VLOOKUP(A634,Journal!$A$7:$G$70,7),VLOOKUP(A634,Journal!$A$7:M$70,9),0)</f>
        <v>0</v>
      </c>
      <c r="V634" s="125">
        <f t="shared" si="68"/>
        <v>40</v>
      </c>
      <c r="X634">
        <f t="shared" si="65"/>
        <v>0</v>
      </c>
      <c r="Y634" s="143">
        <f t="shared" si="64"/>
        <v>-983.57894736844719</v>
      </c>
    </row>
    <row r="635" spans="1:25" x14ac:dyDescent="0.25">
      <c r="A635">
        <f t="shared" si="69"/>
        <v>628</v>
      </c>
      <c r="B635" s="88" t="str">
        <f>IF(OR(B634="Total",B634=""),"",IF(VLOOKUP(A635,Journal!$B$7:$E$84,4)=0,"Total",VLOOKUP(A635,Journal!$B$7:$D$84,3)))</f>
        <v/>
      </c>
      <c r="C635" s="86" t="str">
        <f>IF(B635="","",VLOOKUP(A635,Journal!$B$7:$E$84,4))</f>
        <v/>
      </c>
      <c r="D635" s="114" t="str">
        <f>IF(B635="","",VLOOKUP(A635,Journal!$B$7:$J$84,9))</f>
        <v/>
      </c>
      <c r="E635" s="116"/>
      <c r="F635" s="116"/>
      <c r="G635" s="115"/>
      <c r="H635" s="84" t="str">
        <f>IF(B635="","",VLOOKUP(A635,Journal!$B$7:$L$84,11))</f>
        <v/>
      </c>
      <c r="I635" s="84" t="str">
        <f>IF(B635="","",VLOOKUP(A635,Journal!$B$7:$M$84,12))</f>
        <v/>
      </c>
      <c r="J635" s="105">
        <f>IF(B635="Total",SUM(J$8:J634)+0.0001,IF(OR(B635="",I$2=I635),0,VLOOKUP(A635,Journal!$B$7:M$84,8)))</f>
        <v>0</v>
      </c>
      <c r="K635" s="102">
        <f>IF(B635="Total",SUM(K$8:K634)+0.0001,IF(OR(B635="",J635&lt;&gt;0),0,VLOOKUP(A635,Journal!$B$7:M$84,8)))</f>
        <v>0</v>
      </c>
      <c r="L635" s="87">
        <f t="shared" si="63"/>
        <v>0</v>
      </c>
      <c r="P635">
        <f t="shared" si="66"/>
        <v>1.0000000000000001E-5</v>
      </c>
      <c r="R635" s="15">
        <f t="shared" si="67"/>
        <v>628</v>
      </c>
      <c r="S635" s="126">
        <f>IF(VLOOKUP(A635,Journal!$A$7:$E$70,5)=0,S634+1,VLOOKUP(A635,Journal!$A$7:$E$70,5))</f>
        <v>46285</v>
      </c>
      <c r="T635" s="125">
        <f>IF(H$2=VLOOKUP(A635,Journal!$A$7:$F$70,6),VLOOKUP(A635,Journal!$A$7:M$70,9),0)</f>
        <v>0</v>
      </c>
      <c r="U635" s="125">
        <f>IF(H$2=VLOOKUP(A635,Journal!$A$7:$G$70,7),VLOOKUP(A635,Journal!$A$7:M$70,9),0)</f>
        <v>0</v>
      </c>
      <c r="V635" s="125">
        <f t="shared" si="68"/>
        <v>40</v>
      </c>
      <c r="X635">
        <f t="shared" si="65"/>
        <v>0</v>
      </c>
      <c r="Y635" s="143">
        <f t="shared" si="64"/>
        <v>-983.55263157897355</v>
      </c>
    </row>
    <row r="636" spans="1:25" x14ac:dyDescent="0.25">
      <c r="A636">
        <f t="shared" si="69"/>
        <v>629</v>
      </c>
      <c r="B636" s="88" t="str">
        <f>IF(OR(B635="Total",B635=""),"",IF(VLOOKUP(A636,Journal!$B$7:$E$84,4)=0,"Total",VLOOKUP(A636,Journal!$B$7:$D$84,3)))</f>
        <v/>
      </c>
      <c r="C636" s="86" t="str">
        <f>IF(B636="","",VLOOKUP(A636,Journal!$B$7:$E$84,4))</f>
        <v/>
      </c>
      <c r="D636" s="114" t="str">
        <f>IF(B636="","",VLOOKUP(A636,Journal!$B$7:$J$84,9))</f>
        <v/>
      </c>
      <c r="E636" s="116"/>
      <c r="F636" s="116"/>
      <c r="G636" s="115"/>
      <c r="H636" s="84" t="str">
        <f>IF(B636="","",VLOOKUP(A636,Journal!$B$7:$L$84,11))</f>
        <v/>
      </c>
      <c r="I636" s="84" t="str">
        <f>IF(B636="","",VLOOKUP(A636,Journal!$B$7:$M$84,12))</f>
        <v/>
      </c>
      <c r="J636" s="105">
        <f>IF(B636="Total",SUM(J$8:J635)+0.0001,IF(OR(B636="",I$2=I636),0,VLOOKUP(A636,Journal!$B$7:M$84,8)))</f>
        <v>0</v>
      </c>
      <c r="K636" s="102">
        <f>IF(B636="Total",SUM(K$8:K635)+0.0001,IF(OR(B636="",J636&lt;&gt;0),0,VLOOKUP(A636,Journal!$B$7:M$84,8)))</f>
        <v>0</v>
      </c>
      <c r="L636" s="87">
        <f t="shared" si="63"/>
        <v>0</v>
      </c>
      <c r="P636">
        <f t="shared" si="66"/>
        <v>1.0000000000000001E-5</v>
      </c>
      <c r="R636" s="15">
        <f t="shared" si="67"/>
        <v>629</v>
      </c>
      <c r="S636" s="126">
        <f>IF(VLOOKUP(A636,Journal!$A$7:$E$70,5)=0,S635+1,VLOOKUP(A636,Journal!$A$7:$E$70,5))</f>
        <v>46286</v>
      </c>
      <c r="T636" s="125">
        <f>IF(H$2=VLOOKUP(A636,Journal!$A$7:$F$70,6),VLOOKUP(A636,Journal!$A$7:M$70,9),0)</f>
        <v>0</v>
      </c>
      <c r="U636" s="125">
        <f>IF(H$2=VLOOKUP(A636,Journal!$A$7:$G$70,7),VLOOKUP(A636,Journal!$A$7:M$70,9),0)</f>
        <v>0</v>
      </c>
      <c r="V636" s="125">
        <f t="shared" si="68"/>
        <v>40</v>
      </c>
      <c r="X636">
        <f t="shared" si="65"/>
        <v>0</v>
      </c>
      <c r="Y636" s="143">
        <f t="shared" si="64"/>
        <v>-983.5263157894999</v>
      </c>
    </row>
    <row r="637" spans="1:25" x14ac:dyDescent="0.25">
      <c r="A637">
        <f t="shared" si="69"/>
        <v>630</v>
      </c>
      <c r="B637" s="88" t="str">
        <f>IF(OR(B636="Total",B636=""),"",IF(VLOOKUP(A637,Journal!$B$7:$E$84,4)=0,"Total",VLOOKUP(A637,Journal!$B$7:$D$84,3)))</f>
        <v/>
      </c>
      <c r="C637" s="86" t="str">
        <f>IF(B637="","",VLOOKUP(A637,Journal!$B$7:$E$84,4))</f>
        <v/>
      </c>
      <c r="D637" s="114" t="str">
        <f>IF(B637="","",VLOOKUP(A637,Journal!$B$7:$J$84,9))</f>
        <v/>
      </c>
      <c r="E637" s="116"/>
      <c r="F637" s="116"/>
      <c r="G637" s="115"/>
      <c r="H637" s="84" t="str">
        <f>IF(B637="","",VLOOKUP(A637,Journal!$B$7:$L$84,11))</f>
        <v/>
      </c>
      <c r="I637" s="84" t="str">
        <f>IF(B637="","",VLOOKUP(A637,Journal!$B$7:$M$84,12))</f>
        <v/>
      </c>
      <c r="J637" s="105">
        <f>IF(B637="Total",SUM(J$8:J636)+0.0001,IF(OR(B637="",I$2=I637),0,VLOOKUP(A637,Journal!$B$7:M$84,8)))</f>
        <v>0</v>
      </c>
      <c r="K637" s="102">
        <f>IF(B637="Total",SUM(K$8:K636)+0.0001,IF(OR(B637="",J637&lt;&gt;0),0,VLOOKUP(A637,Journal!$B$7:M$84,8)))</f>
        <v>0</v>
      </c>
      <c r="L637" s="87">
        <f t="shared" si="63"/>
        <v>0</v>
      </c>
      <c r="P637">
        <f t="shared" si="66"/>
        <v>1.0000000000000001E-5</v>
      </c>
      <c r="R637" s="15">
        <f t="shared" si="67"/>
        <v>630</v>
      </c>
      <c r="S637" s="126">
        <f>IF(VLOOKUP(A637,Journal!$A$7:$E$70,5)=0,S636+1,VLOOKUP(A637,Journal!$A$7:$E$70,5))</f>
        <v>46287</v>
      </c>
      <c r="T637" s="125">
        <f>IF(H$2=VLOOKUP(A637,Journal!$A$7:$F$70,6),VLOOKUP(A637,Journal!$A$7:M$70,9),0)</f>
        <v>0</v>
      </c>
      <c r="U637" s="125">
        <f>IF(H$2=VLOOKUP(A637,Journal!$A$7:$G$70,7),VLOOKUP(A637,Journal!$A$7:M$70,9),0)</f>
        <v>0</v>
      </c>
      <c r="V637" s="125">
        <f t="shared" si="68"/>
        <v>40</v>
      </c>
      <c r="X637">
        <f t="shared" si="65"/>
        <v>0</v>
      </c>
      <c r="Y637" s="143">
        <f t="shared" si="64"/>
        <v>-983.50000000002626</v>
      </c>
    </row>
    <row r="638" spans="1:25" x14ac:dyDescent="0.25">
      <c r="A638">
        <f t="shared" si="69"/>
        <v>631</v>
      </c>
      <c r="B638" s="88" t="str">
        <f>IF(OR(B637="Total",B637=""),"",IF(VLOOKUP(A638,Journal!$B$7:$E$84,4)=0,"Total",VLOOKUP(A638,Journal!$B$7:$D$84,3)))</f>
        <v/>
      </c>
      <c r="C638" s="86" t="str">
        <f>IF(B638="","",VLOOKUP(A638,Journal!$B$7:$E$84,4))</f>
        <v/>
      </c>
      <c r="D638" s="114" t="str">
        <f>IF(B638="","",VLOOKUP(A638,Journal!$B$7:$J$84,9))</f>
        <v/>
      </c>
      <c r="E638" s="116"/>
      <c r="F638" s="116"/>
      <c r="G638" s="115"/>
      <c r="H638" s="84" t="str">
        <f>IF(B638="","",VLOOKUP(A638,Journal!$B$7:$L$84,11))</f>
        <v/>
      </c>
      <c r="I638" s="84" t="str">
        <f>IF(B638="","",VLOOKUP(A638,Journal!$B$7:$M$84,12))</f>
        <v/>
      </c>
      <c r="J638" s="105">
        <f>IF(B638="Total",SUM(J$8:J637)+0.0001,IF(OR(B638="",I$2=I638),0,VLOOKUP(A638,Journal!$B$7:M$84,8)))</f>
        <v>0</v>
      </c>
      <c r="K638" s="102">
        <f>IF(B638="Total",SUM(K$8:K637)+0.0001,IF(OR(B638="",J638&lt;&gt;0),0,VLOOKUP(A638,Journal!$B$7:M$84,8)))</f>
        <v>0</v>
      </c>
      <c r="L638" s="87">
        <f t="shared" si="63"/>
        <v>0</v>
      </c>
      <c r="P638">
        <f t="shared" si="66"/>
        <v>1.0000000000000001E-5</v>
      </c>
      <c r="R638" s="15">
        <f t="shared" si="67"/>
        <v>631</v>
      </c>
      <c r="S638" s="126">
        <f>IF(VLOOKUP(A638,Journal!$A$7:$E$70,5)=0,S637+1,VLOOKUP(A638,Journal!$A$7:$E$70,5))</f>
        <v>46288</v>
      </c>
      <c r="T638" s="125">
        <f>IF(H$2=VLOOKUP(A638,Journal!$A$7:$F$70,6),VLOOKUP(A638,Journal!$A$7:M$70,9),0)</f>
        <v>0</v>
      </c>
      <c r="U638" s="125">
        <f>IF(H$2=VLOOKUP(A638,Journal!$A$7:$G$70,7),VLOOKUP(A638,Journal!$A$7:M$70,9),0)</f>
        <v>0</v>
      </c>
      <c r="V638" s="125">
        <f t="shared" si="68"/>
        <v>40</v>
      </c>
      <c r="X638">
        <f t="shared" si="65"/>
        <v>0</v>
      </c>
      <c r="Y638" s="143">
        <f t="shared" si="64"/>
        <v>-983.47368421055262</v>
      </c>
    </row>
    <row r="639" spans="1:25" x14ac:dyDescent="0.25">
      <c r="A639">
        <f t="shared" si="69"/>
        <v>632</v>
      </c>
      <c r="B639" s="88" t="str">
        <f>IF(OR(B638="Total",B638=""),"",IF(VLOOKUP(A639,Journal!$B$7:$E$84,4)=0,"Total",VLOOKUP(A639,Journal!$B$7:$D$84,3)))</f>
        <v/>
      </c>
      <c r="C639" s="86" t="str">
        <f>IF(B639="","",VLOOKUP(A639,Journal!$B$7:$E$84,4))</f>
        <v/>
      </c>
      <c r="D639" s="114" t="str">
        <f>IF(B639="","",VLOOKUP(A639,Journal!$B$7:$J$84,9))</f>
        <v/>
      </c>
      <c r="E639" s="116"/>
      <c r="F639" s="116"/>
      <c r="G639" s="115"/>
      <c r="H639" s="84" t="str">
        <f>IF(B639="","",VLOOKUP(A639,Journal!$B$7:$L$84,11))</f>
        <v/>
      </c>
      <c r="I639" s="84" t="str">
        <f>IF(B639="","",VLOOKUP(A639,Journal!$B$7:$M$84,12))</f>
        <v/>
      </c>
      <c r="J639" s="105">
        <f>IF(B639="Total",SUM(J$8:J638)+0.0001,IF(OR(B639="",I$2=I639),0,VLOOKUP(A639,Journal!$B$7:M$84,8)))</f>
        <v>0</v>
      </c>
      <c r="K639" s="102">
        <f>IF(B639="Total",SUM(K$8:K638)+0.0001,IF(OR(B639="",J639&lt;&gt;0),0,VLOOKUP(A639,Journal!$B$7:M$84,8)))</f>
        <v>0</v>
      </c>
      <c r="L639" s="87">
        <f t="shared" si="63"/>
        <v>0</v>
      </c>
      <c r="P639">
        <f t="shared" si="66"/>
        <v>1.0000000000000001E-5</v>
      </c>
      <c r="R639" s="15">
        <f t="shared" si="67"/>
        <v>632</v>
      </c>
      <c r="S639" s="126">
        <f>IF(VLOOKUP(A639,Journal!$A$7:$E$70,5)=0,S638+1,VLOOKUP(A639,Journal!$A$7:$E$70,5))</f>
        <v>46289</v>
      </c>
      <c r="T639" s="125">
        <f>IF(H$2=VLOOKUP(A639,Journal!$A$7:$F$70,6),VLOOKUP(A639,Journal!$A$7:M$70,9),0)</f>
        <v>0</v>
      </c>
      <c r="U639" s="125">
        <f>IF(H$2=VLOOKUP(A639,Journal!$A$7:$G$70,7),VLOOKUP(A639,Journal!$A$7:M$70,9),0)</f>
        <v>0</v>
      </c>
      <c r="V639" s="125">
        <f t="shared" si="68"/>
        <v>40</v>
      </c>
      <c r="X639">
        <f t="shared" si="65"/>
        <v>0</v>
      </c>
      <c r="Y639" s="143">
        <f t="shared" si="64"/>
        <v>-983.44736842107898</v>
      </c>
    </row>
    <row r="640" spans="1:25" x14ac:dyDescent="0.25">
      <c r="A640">
        <f t="shared" si="69"/>
        <v>633</v>
      </c>
      <c r="B640" s="88" t="str">
        <f>IF(OR(B639="Total",B639=""),"",IF(VLOOKUP(A640,Journal!$B$7:$E$84,4)=0,"Total",VLOOKUP(A640,Journal!$B$7:$D$84,3)))</f>
        <v/>
      </c>
      <c r="C640" s="86" t="str">
        <f>IF(B640="","",VLOOKUP(A640,Journal!$B$7:$E$84,4))</f>
        <v/>
      </c>
      <c r="D640" s="114" t="str">
        <f>IF(B640="","",VLOOKUP(A640,Journal!$B$7:$J$84,9))</f>
        <v/>
      </c>
      <c r="E640" s="116"/>
      <c r="F640" s="116"/>
      <c r="G640" s="115"/>
      <c r="H640" s="84" t="str">
        <f>IF(B640="","",VLOOKUP(A640,Journal!$B$7:$L$84,11))</f>
        <v/>
      </c>
      <c r="I640" s="84" t="str">
        <f>IF(B640="","",VLOOKUP(A640,Journal!$B$7:$M$84,12))</f>
        <v/>
      </c>
      <c r="J640" s="105">
        <f>IF(B640="Total",SUM(J$8:J639)+0.0001,IF(OR(B640="",I$2=I640),0,VLOOKUP(A640,Journal!$B$7:M$84,8)))</f>
        <v>0</v>
      </c>
      <c r="K640" s="102">
        <f>IF(B640="Total",SUM(K$8:K639)+0.0001,IF(OR(B640="",J640&lt;&gt;0),0,VLOOKUP(A640,Journal!$B$7:M$84,8)))</f>
        <v>0</v>
      </c>
      <c r="L640" s="87">
        <f t="shared" si="63"/>
        <v>0</v>
      </c>
      <c r="P640">
        <f t="shared" si="66"/>
        <v>1.0000000000000001E-5</v>
      </c>
      <c r="R640" s="15">
        <f t="shared" si="67"/>
        <v>633</v>
      </c>
      <c r="S640" s="126">
        <f>IF(VLOOKUP(A640,Journal!$A$7:$E$70,5)=0,S639+1,VLOOKUP(A640,Journal!$A$7:$E$70,5))</f>
        <v>46290</v>
      </c>
      <c r="T640" s="125">
        <f>IF(H$2=VLOOKUP(A640,Journal!$A$7:$F$70,6),VLOOKUP(A640,Journal!$A$7:M$70,9),0)</f>
        <v>0</v>
      </c>
      <c r="U640" s="125">
        <f>IF(H$2=VLOOKUP(A640,Journal!$A$7:$G$70,7),VLOOKUP(A640,Journal!$A$7:M$70,9),0)</f>
        <v>0</v>
      </c>
      <c r="V640" s="125">
        <f t="shared" si="68"/>
        <v>40</v>
      </c>
      <c r="X640">
        <f t="shared" si="65"/>
        <v>0</v>
      </c>
      <c r="Y640" s="143">
        <f t="shared" si="64"/>
        <v>-983.42105263160533</v>
      </c>
    </row>
    <row r="641" spans="1:25" x14ac:dyDescent="0.25">
      <c r="A641">
        <f t="shared" si="69"/>
        <v>634</v>
      </c>
      <c r="B641" s="88" t="str">
        <f>IF(OR(B640="Total",B640=""),"",IF(VLOOKUP(A641,Journal!$B$7:$E$84,4)=0,"Total",VLOOKUP(A641,Journal!$B$7:$D$84,3)))</f>
        <v/>
      </c>
      <c r="C641" s="86" t="str">
        <f>IF(B641="","",VLOOKUP(A641,Journal!$B$7:$E$84,4))</f>
        <v/>
      </c>
      <c r="D641" s="114" t="str">
        <f>IF(B641="","",VLOOKUP(A641,Journal!$B$7:$J$84,9))</f>
        <v/>
      </c>
      <c r="E641" s="116"/>
      <c r="F641" s="116"/>
      <c r="G641" s="115"/>
      <c r="H641" s="84" t="str">
        <f>IF(B641="","",VLOOKUP(A641,Journal!$B$7:$L$84,11))</f>
        <v/>
      </c>
      <c r="I641" s="84" t="str">
        <f>IF(B641="","",VLOOKUP(A641,Journal!$B$7:$M$84,12))</f>
        <v/>
      </c>
      <c r="J641" s="105">
        <f>IF(B641="Total",SUM(J$8:J640)+0.0001,IF(OR(B641="",I$2=I641),0,VLOOKUP(A641,Journal!$B$7:M$84,8)))</f>
        <v>0</v>
      </c>
      <c r="K641" s="102">
        <f>IF(B641="Total",SUM(K$8:K640)+0.0001,IF(OR(B641="",J641&lt;&gt;0),0,VLOOKUP(A641,Journal!$B$7:M$84,8)))</f>
        <v>0</v>
      </c>
      <c r="L641" s="87">
        <f t="shared" si="63"/>
        <v>0</v>
      </c>
      <c r="P641">
        <f t="shared" si="66"/>
        <v>1.0000000000000001E-5</v>
      </c>
      <c r="R641" s="15">
        <f t="shared" si="67"/>
        <v>634</v>
      </c>
      <c r="S641" s="126">
        <f>IF(VLOOKUP(A641,Journal!$A$7:$E$70,5)=0,S640+1,VLOOKUP(A641,Journal!$A$7:$E$70,5))</f>
        <v>46291</v>
      </c>
      <c r="T641" s="125">
        <f>IF(H$2=VLOOKUP(A641,Journal!$A$7:$F$70,6),VLOOKUP(A641,Journal!$A$7:M$70,9),0)</f>
        <v>0</v>
      </c>
      <c r="U641" s="125">
        <f>IF(H$2=VLOOKUP(A641,Journal!$A$7:$G$70,7),VLOOKUP(A641,Journal!$A$7:M$70,9),0)</f>
        <v>0</v>
      </c>
      <c r="V641" s="125">
        <f t="shared" si="68"/>
        <v>40</v>
      </c>
      <c r="X641">
        <f t="shared" si="65"/>
        <v>0</v>
      </c>
      <c r="Y641" s="143">
        <f t="shared" si="64"/>
        <v>-983.39473684213169</v>
      </c>
    </row>
    <row r="642" spans="1:25" x14ac:dyDescent="0.25">
      <c r="A642">
        <f t="shared" si="69"/>
        <v>635</v>
      </c>
      <c r="B642" s="88" t="str">
        <f>IF(OR(B641="Total",B641=""),"",IF(VLOOKUP(A642,Journal!$B$7:$E$84,4)=0,"Total",VLOOKUP(A642,Journal!$B$7:$D$84,3)))</f>
        <v/>
      </c>
      <c r="C642" s="86" t="str">
        <f>IF(B642="","",VLOOKUP(A642,Journal!$B$7:$E$84,4))</f>
        <v/>
      </c>
      <c r="D642" s="114" t="str">
        <f>IF(B642="","",VLOOKUP(A642,Journal!$B$7:$J$84,9))</f>
        <v/>
      </c>
      <c r="E642" s="116"/>
      <c r="F642" s="116"/>
      <c r="G642" s="115"/>
      <c r="H642" s="84" t="str">
        <f>IF(B642="","",VLOOKUP(A642,Journal!$B$7:$L$84,11))</f>
        <v/>
      </c>
      <c r="I642" s="84" t="str">
        <f>IF(B642="","",VLOOKUP(A642,Journal!$B$7:$M$84,12))</f>
        <v/>
      </c>
      <c r="J642" s="105">
        <f>IF(B642="Total",SUM(J$8:J641)+0.0001,IF(OR(B642="",I$2=I642),0,VLOOKUP(A642,Journal!$B$7:M$84,8)))</f>
        <v>0</v>
      </c>
      <c r="K642" s="102">
        <f>IF(B642="Total",SUM(K$8:K641)+0.0001,IF(OR(B642="",J642&lt;&gt;0),0,VLOOKUP(A642,Journal!$B$7:M$84,8)))</f>
        <v>0</v>
      </c>
      <c r="L642" s="87">
        <f t="shared" si="63"/>
        <v>0</v>
      </c>
      <c r="P642">
        <f t="shared" si="66"/>
        <v>1.0000000000000001E-5</v>
      </c>
      <c r="R642" s="15">
        <f t="shared" si="67"/>
        <v>635</v>
      </c>
      <c r="S642" s="126">
        <f>IF(VLOOKUP(A642,Journal!$A$7:$E$70,5)=0,S641+1,VLOOKUP(A642,Journal!$A$7:$E$70,5))</f>
        <v>46292</v>
      </c>
      <c r="T642" s="125">
        <f>IF(H$2=VLOOKUP(A642,Journal!$A$7:$F$70,6),VLOOKUP(A642,Journal!$A$7:M$70,9),0)</f>
        <v>0</v>
      </c>
      <c r="U642" s="125">
        <f>IF(H$2=VLOOKUP(A642,Journal!$A$7:$G$70,7),VLOOKUP(A642,Journal!$A$7:M$70,9),0)</f>
        <v>0</v>
      </c>
      <c r="V642" s="125">
        <f t="shared" si="68"/>
        <v>40</v>
      </c>
      <c r="X642">
        <f t="shared" si="65"/>
        <v>0</v>
      </c>
      <c r="Y642" s="143">
        <f t="shared" si="64"/>
        <v>-983.36842105265805</v>
      </c>
    </row>
    <row r="643" spans="1:25" x14ac:dyDescent="0.25">
      <c r="A643">
        <f t="shared" si="69"/>
        <v>636</v>
      </c>
      <c r="B643" s="88" t="str">
        <f>IF(OR(B642="Total",B642=""),"",IF(VLOOKUP(A643,Journal!$B$7:$E$84,4)=0,"Total",VLOOKUP(A643,Journal!$B$7:$D$84,3)))</f>
        <v/>
      </c>
      <c r="C643" s="86" t="str">
        <f>IF(B643="","",VLOOKUP(A643,Journal!$B$7:$E$84,4))</f>
        <v/>
      </c>
      <c r="D643" s="114" t="str">
        <f>IF(B643="","",VLOOKUP(A643,Journal!$B$7:$J$84,9))</f>
        <v/>
      </c>
      <c r="E643" s="116"/>
      <c r="F643" s="116"/>
      <c r="G643" s="115"/>
      <c r="H643" s="84" t="str">
        <f>IF(B643="","",VLOOKUP(A643,Journal!$B$7:$L$84,11))</f>
        <v/>
      </c>
      <c r="I643" s="84" t="str">
        <f>IF(B643="","",VLOOKUP(A643,Journal!$B$7:$M$84,12))</f>
        <v/>
      </c>
      <c r="J643" s="105">
        <f>IF(B643="Total",SUM(J$8:J642)+0.0001,IF(OR(B643="",I$2=I643),0,VLOOKUP(A643,Journal!$B$7:M$84,8)))</f>
        <v>0</v>
      </c>
      <c r="K643" s="102">
        <f>IF(B643="Total",SUM(K$8:K642)+0.0001,IF(OR(B643="",J643&lt;&gt;0),0,VLOOKUP(A643,Journal!$B$7:M$84,8)))</f>
        <v>0</v>
      </c>
      <c r="L643" s="87">
        <f t="shared" si="63"/>
        <v>0</v>
      </c>
      <c r="P643">
        <f t="shared" si="66"/>
        <v>1.0000000000000001E-5</v>
      </c>
      <c r="R643" s="15">
        <f t="shared" si="67"/>
        <v>636</v>
      </c>
      <c r="S643" s="126">
        <f>IF(VLOOKUP(A643,Journal!$A$7:$E$70,5)=0,S642+1,VLOOKUP(A643,Journal!$A$7:$E$70,5))</f>
        <v>46293</v>
      </c>
      <c r="T643" s="125">
        <f>IF(H$2=VLOOKUP(A643,Journal!$A$7:$F$70,6),VLOOKUP(A643,Journal!$A$7:M$70,9),0)</f>
        <v>0</v>
      </c>
      <c r="U643" s="125">
        <f>IF(H$2=VLOOKUP(A643,Journal!$A$7:$G$70,7),VLOOKUP(A643,Journal!$A$7:M$70,9),0)</f>
        <v>0</v>
      </c>
      <c r="V643" s="125">
        <f t="shared" si="68"/>
        <v>40</v>
      </c>
      <c r="X643">
        <f t="shared" si="65"/>
        <v>0</v>
      </c>
      <c r="Y643" s="143">
        <f t="shared" si="64"/>
        <v>-983.34210526318441</v>
      </c>
    </row>
    <row r="644" spans="1:25" x14ac:dyDescent="0.25">
      <c r="A644">
        <f t="shared" si="69"/>
        <v>637</v>
      </c>
      <c r="B644" s="88" t="str">
        <f>IF(OR(B643="Total",B643=""),"",IF(VLOOKUP(A644,Journal!$B$7:$E$84,4)=0,"Total",VLOOKUP(A644,Journal!$B$7:$D$84,3)))</f>
        <v/>
      </c>
      <c r="C644" s="86" t="str">
        <f>IF(B644="","",VLOOKUP(A644,Journal!$B$7:$E$84,4))</f>
        <v/>
      </c>
      <c r="D644" s="114" t="str">
        <f>IF(B644="","",VLOOKUP(A644,Journal!$B$7:$J$84,9))</f>
        <v/>
      </c>
      <c r="E644" s="116"/>
      <c r="F644" s="116"/>
      <c r="G644" s="115"/>
      <c r="H644" s="84" t="str">
        <f>IF(B644="","",VLOOKUP(A644,Journal!$B$7:$L$84,11))</f>
        <v/>
      </c>
      <c r="I644" s="84" t="str">
        <f>IF(B644="","",VLOOKUP(A644,Journal!$B$7:$M$84,12))</f>
        <v/>
      </c>
      <c r="J644" s="105">
        <f>IF(B644="Total",SUM(J$8:J643)+0.0001,IF(OR(B644="",I$2=I644),0,VLOOKUP(A644,Journal!$B$7:M$84,8)))</f>
        <v>0</v>
      </c>
      <c r="K644" s="102">
        <f>IF(B644="Total",SUM(K$8:K643)+0.0001,IF(OR(B644="",J644&lt;&gt;0),0,VLOOKUP(A644,Journal!$B$7:M$84,8)))</f>
        <v>0</v>
      </c>
      <c r="L644" s="87">
        <f t="shared" si="63"/>
        <v>0</v>
      </c>
      <c r="P644">
        <f t="shared" si="66"/>
        <v>1.0000000000000001E-5</v>
      </c>
      <c r="R644" s="15">
        <f t="shared" si="67"/>
        <v>637</v>
      </c>
      <c r="S644" s="126">
        <f>IF(VLOOKUP(A644,Journal!$A$7:$E$70,5)=0,S643+1,VLOOKUP(A644,Journal!$A$7:$E$70,5))</f>
        <v>46294</v>
      </c>
      <c r="T644" s="125">
        <f>IF(H$2=VLOOKUP(A644,Journal!$A$7:$F$70,6),VLOOKUP(A644,Journal!$A$7:M$70,9),0)</f>
        <v>0</v>
      </c>
      <c r="U644" s="125">
        <f>IF(H$2=VLOOKUP(A644,Journal!$A$7:$G$70,7),VLOOKUP(A644,Journal!$A$7:M$70,9),0)</f>
        <v>0</v>
      </c>
      <c r="V644" s="125">
        <f t="shared" si="68"/>
        <v>40</v>
      </c>
      <c r="X644">
        <f t="shared" si="65"/>
        <v>0</v>
      </c>
      <c r="Y644" s="143">
        <f t="shared" si="64"/>
        <v>-983.31578947371077</v>
      </c>
    </row>
    <row r="645" spans="1:25" x14ac:dyDescent="0.25">
      <c r="A645">
        <f t="shared" si="69"/>
        <v>638</v>
      </c>
      <c r="B645" s="88" t="str">
        <f>IF(OR(B644="Total",B644=""),"",IF(VLOOKUP(A645,Journal!$B$7:$E$84,4)=0,"Total",VLOOKUP(A645,Journal!$B$7:$D$84,3)))</f>
        <v/>
      </c>
      <c r="C645" s="86" t="str">
        <f>IF(B645="","",VLOOKUP(A645,Journal!$B$7:$E$84,4))</f>
        <v/>
      </c>
      <c r="D645" s="114" t="str">
        <f>IF(B645="","",VLOOKUP(A645,Journal!$B$7:$J$84,9))</f>
        <v/>
      </c>
      <c r="E645" s="116"/>
      <c r="F645" s="116"/>
      <c r="G645" s="115"/>
      <c r="H645" s="84" t="str">
        <f>IF(B645="","",VLOOKUP(A645,Journal!$B$7:$L$84,11))</f>
        <v/>
      </c>
      <c r="I645" s="84" t="str">
        <f>IF(B645="","",VLOOKUP(A645,Journal!$B$7:$M$84,12))</f>
        <v/>
      </c>
      <c r="J645" s="105">
        <f>IF(B645="Total",SUM(J$8:J644)+0.0001,IF(OR(B645="",I$2=I645),0,VLOOKUP(A645,Journal!$B$7:M$84,8)))</f>
        <v>0</v>
      </c>
      <c r="K645" s="102">
        <f>IF(B645="Total",SUM(K$8:K644)+0.0001,IF(OR(B645="",J645&lt;&gt;0),0,VLOOKUP(A645,Journal!$B$7:M$84,8)))</f>
        <v>0</v>
      </c>
      <c r="L645" s="87">
        <f t="shared" si="63"/>
        <v>0</v>
      </c>
      <c r="P645">
        <f t="shared" si="66"/>
        <v>1.0000000000000001E-5</v>
      </c>
      <c r="R645" s="15">
        <f t="shared" si="67"/>
        <v>638</v>
      </c>
      <c r="S645" s="126">
        <f>IF(VLOOKUP(A645,Journal!$A$7:$E$70,5)=0,S644+1,VLOOKUP(A645,Journal!$A$7:$E$70,5))</f>
        <v>46295</v>
      </c>
      <c r="T645" s="125">
        <f>IF(H$2=VLOOKUP(A645,Journal!$A$7:$F$70,6),VLOOKUP(A645,Journal!$A$7:M$70,9),0)</f>
        <v>0</v>
      </c>
      <c r="U645" s="125">
        <f>IF(H$2=VLOOKUP(A645,Journal!$A$7:$G$70,7),VLOOKUP(A645,Journal!$A$7:M$70,9),0)</f>
        <v>0</v>
      </c>
      <c r="V645" s="125">
        <f t="shared" si="68"/>
        <v>40</v>
      </c>
      <c r="X645">
        <f t="shared" si="65"/>
        <v>0</v>
      </c>
      <c r="Y645" s="143">
        <f t="shared" si="64"/>
        <v>-983.28947368423712</v>
      </c>
    </row>
    <row r="646" spans="1:25" x14ac:dyDescent="0.25">
      <c r="A646">
        <f t="shared" si="69"/>
        <v>639</v>
      </c>
      <c r="B646" s="88" t="str">
        <f>IF(OR(B645="Total",B645=""),"",IF(VLOOKUP(A646,Journal!$B$7:$E$84,4)=0,"Total",VLOOKUP(A646,Journal!$B$7:$D$84,3)))</f>
        <v/>
      </c>
      <c r="C646" s="86" t="str">
        <f>IF(B646="","",VLOOKUP(A646,Journal!$B$7:$E$84,4))</f>
        <v/>
      </c>
      <c r="D646" s="114" t="str">
        <f>IF(B646="","",VLOOKUP(A646,Journal!$B$7:$J$84,9))</f>
        <v/>
      </c>
      <c r="E646" s="116"/>
      <c r="F646" s="116"/>
      <c r="G646" s="115"/>
      <c r="H646" s="84" t="str">
        <f>IF(B646="","",VLOOKUP(A646,Journal!$B$7:$L$84,11))</f>
        <v/>
      </c>
      <c r="I646" s="84" t="str">
        <f>IF(B646="","",VLOOKUP(A646,Journal!$B$7:$M$84,12))</f>
        <v/>
      </c>
      <c r="J646" s="105">
        <f>IF(B646="Total",SUM(J$8:J645)+0.0001,IF(OR(B646="",I$2=I646),0,VLOOKUP(A646,Journal!$B$7:M$84,8)))</f>
        <v>0</v>
      </c>
      <c r="K646" s="102">
        <f>IF(B646="Total",SUM(K$8:K645)+0.0001,IF(OR(B646="",J646&lt;&gt;0),0,VLOOKUP(A646,Journal!$B$7:M$84,8)))</f>
        <v>0</v>
      </c>
      <c r="L646" s="87">
        <f t="shared" si="63"/>
        <v>0</v>
      </c>
      <c r="P646">
        <f t="shared" si="66"/>
        <v>1.0000000000000001E-5</v>
      </c>
      <c r="R646" s="15">
        <f t="shared" si="67"/>
        <v>639</v>
      </c>
      <c r="S646" s="126">
        <f>IF(VLOOKUP(A646,Journal!$A$7:$E$70,5)=0,S645+1,VLOOKUP(A646,Journal!$A$7:$E$70,5))</f>
        <v>46296</v>
      </c>
      <c r="T646" s="125">
        <f>IF(H$2=VLOOKUP(A646,Journal!$A$7:$F$70,6),VLOOKUP(A646,Journal!$A$7:M$70,9),0)</f>
        <v>0</v>
      </c>
      <c r="U646" s="125">
        <f>IF(H$2=VLOOKUP(A646,Journal!$A$7:$G$70,7),VLOOKUP(A646,Journal!$A$7:M$70,9),0)</f>
        <v>0</v>
      </c>
      <c r="V646" s="125">
        <f t="shared" si="68"/>
        <v>40</v>
      </c>
      <c r="X646">
        <f t="shared" si="65"/>
        <v>0</v>
      </c>
      <c r="Y646" s="143">
        <f t="shared" si="64"/>
        <v>-983.26315789476348</v>
      </c>
    </row>
    <row r="647" spans="1:25" x14ac:dyDescent="0.25">
      <c r="A647">
        <f t="shared" si="69"/>
        <v>640</v>
      </c>
      <c r="B647" s="88" t="str">
        <f>IF(OR(B646="Total",B646=""),"",IF(VLOOKUP(A647,Journal!$B$7:$E$84,4)=0,"Total",VLOOKUP(A647,Journal!$B$7:$D$84,3)))</f>
        <v/>
      </c>
      <c r="C647" s="86" t="str">
        <f>IF(B647="","",VLOOKUP(A647,Journal!$B$7:$E$84,4))</f>
        <v/>
      </c>
      <c r="D647" s="114" t="str">
        <f>IF(B647="","",VLOOKUP(A647,Journal!$B$7:$J$84,9))</f>
        <v/>
      </c>
      <c r="E647" s="116"/>
      <c r="F647" s="116"/>
      <c r="G647" s="115"/>
      <c r="H647" s="84" t="str">
        <f>IF(B647="","",VLOOKUP(A647,Journal!$B$7:$L$84,11))</f>
        <v/>
      </c>
      <c r="I647" s="84" t="str">
        <f>IF(B647="","",VLOOKUP(A647,Journal!$B$7:$M$84,12))</f>
        <v/>
      </c>
      <c r="J647" s="105">
        <f>IF(B647="Total",SUM(J$8:J646)+0.0001,IF(OR(B647="",I$2=I647),0,VLOOKUP(A647,Journal!$B$7:M$84,8)))</f>
        <v>0</v>
      </c>
      <c r="K647" s="102">
        <f>IF(B647="Total",SUM(K$8:K646)+0.0001,IF(OR(B647="",J647&lt;&gt;0),0,VLOOKUP(A647,Journal!$B$7:M$84,8)))</f>
        <v>0</v>
      </c>
      <c r="L647" s="87">
        <f t="shared" si="63"/>
        <v>0</v>
      </c>
      <c r="P647">
        <f t="shared" si="66"/>
        <v>1.0000000000000001E-5</v>
      </c>
      <c r="R647" s="15">
        <f t="shared" si="67"/>
        <v>640</v>
      </c>
      <c r="S647" s="126">
        <f>IF(VLOOKUP(A647,Journal!$A$7:$E$70,5)=0,S646+1,VLOOKUP(A647,Journal!$A$7:$E$70,5))</f>
        <v>46297</v>
      </c>
      <c r="T647" s="125">
        <f>IF(H$2=VLOOKUP(A647,Journal!$A$7:$F$70,6),VLOOKUP(A647,Journal!$A$7:M$70,9),0)</f>
        <v>0</v>
      </c>
      <c r="U647" s="125">
        <f>IF(H$2=VLOOKUP(A647,Journal!$A$7:$G$70,7),VLOOKUP(A647,Journal!$A$7:M$70,9),0)</f>
        <v>0</v>
      </c>
      <c r="V647" s="125">
        <f t="shared" si="68"/>
        <v>40</v>
      </c>
      <c r="X647">
        <f t="shared" si="65"/>
        <v>0</v>
      </c>
      <c r="Y647" s="143">
        <f t="shared" si="64"/>
        <v>-983.23684210528984</v>
      </c>
    </row>
    <row r="648" spans="1:25" x14ac:dyDescent="0.25">
      <c r="A648">
        <f t="shared" si="69"/>
        <v>641</v>
      </c>
      <c r="B648" s="88" t="str">
        <f>IF(OR(B647="Total",B647=""),"",IF(VLOOKUP(A648,Journal!$B$7:$E$84,4)=0,"Total",VLOOKUP(A648,Journal!$B$7:$D$84,3)))</f>
        <v/>
      </c>
      <c r="C648" s="86" t="str">
        <f>IF(B648="","",VLOOKUP(A648,Journal!$B$7:$E$84,4))</f>
        <v/>
      </c>
      <c r="D648" s="114" t="str">
        <f>IF(B648="","",VLOOKUP(A648,Journal!$B$7:$J$84,9))</f>
        <v/>
      </c>
      <c r="E648" s="116"/>
      <c r="F648" s="116"/>
      <c r="G648" s="115"/>
      <c r="H648" s="84" t="str">
        <f>IF(B648="","",VLOOKUP(A648,Journal!$B$7:$L$84,11))</f>
        <v/>
      </c>
      <c r="I648" s="84" t="str">
        <f>IF(B648="","",VLOOKUP(A648,Journal!$B$7:$M$84,12))</f>
        <v/>
      </c>
      <c r="J648" s="105">
        <f>IF(B648="Total",SUM(J$8:J647)+0.0001,IF(OR(B648="",I$2=I648),0,VLOOKUP(A648,Journal!$B$7:M$84,8)))</f>
        <v>0</v>
      </c>
      <c r="K648" s="102">
        <f>IF(B648="Total",SUM(K$8:K647)+0.0001,IF(OR(B648="",J648&lt;&gt;0),0,VLOOKUP(A648,Journal!$B$7:M$84,8)))</f>
        <v>0</v>
      </c>
      <c r="L648" s="87">
        <f t="shared" ref="L648:L711" si="70">IF(B648="Total",L647,IF(B648="",0,IF($M$1=1,L647+J648-K648,L647-J648+K648)))</f>
        <v>0</v>
      </c>
      <c r="P648">
        <f t="shared" si="66"/>
        <v>1.0000000000000001E-5</v>
      </c>
      <c r="R648" s="15">
        <f t="shared" si="67"/>
        <v>641</v>
      </c>
      <c r="S648" s="126">
        <f>IF(VLOOKUP(A648,Journal!$A$7:$E$70,5)=0,S647+1,VLOOKUP(A648,Journal!$A$7:$E$70,5))</f>
        <v>46298</v>
      </c>
      <c r="T648" s="125">
        <f>IF(H$2=VLOOKUP(A648,Journal!$A$7:$F$70,6),VLOOKUP(A648,Journal!$A$7:M$70,9),0)</f>
        <v>0</v>
      </c>
      <c r="U648" s="125">
        <f>IF(H$2=VLOOKUP(A648,Journal!$A$7:$G$70,7),VLOOKUP(A648,Journal!$A$7:M$70,9),0)</f>
        <v>0</v>
      </c>
      <c r="V648" s="125">
        <f t="shared" si="68"/>
        <v>40</v>
      </c>
      <c r="X648">
        <f t="shared" si="65"/>
        <v>0</v>
      </c>
      <c r="Y648" s="143">
        <f t="shared" ref="Y648:Y711" si="71">IF(B647="Total",-1000,Y647+Y$4)</f>
        <v>-983.2105263158162</v>
      </c>
    </row>
    <row r="649" spans="1:25" x14ac:dyDescent="0.25">
      <c r="A649">
        <f t="shared" si="69"/>
        <v>642</v>
      </c>
      <c r="B649" s="88" t="str">
        <f>IF(OR(B648="Total",B648=""),"",IF(VLOOKUP(A649,Journal!$B$7:$E$84,4)=0,"Total",VLOOKUP(A649,Journal!$B$7:$D$84,3)))</f>
        <v/>
      </c>
      <c r="C649" s="86" t="str">
        <f>IF(B649="","",VLOOKUP(A649,Journal!$B$7:$E$84,4))</f>
        <v/>
      </c>
      <c r="D649" s="114" t="str">
        <f>IF(B649="","",VLOOKUP(A649,Journal!$B$7:$J$84,9))</f>
        <v/>
      </c>
      <c r="E649" s="116"/>
      <c r="F649" s="116"/>
      <c r="G649" s="115"/>
      <c r="H649" s="84" t="str">
        <f>IF(B649="","",VLOOKUP(A649,Journal!$B$7:$L$84,11))</f>
        <v/>
      </c>
      <c r="I649" s="84" t="str">
        <f>IF(B649="","",VLOOKUP(A649,Journal!$B$7:$M$84,12))</f>
        <v/>
      </c>
      <c r="J649" s="105">
        <f>IF(B649="Total",SUM(J$8:J648)+0.0001,IF(OR(B649="",I$2=I649),0,VLOOKUP(A649,Journal!$B$7:M$84,8)))</f>
        <v>0</v>
      </c>
      <c r="K649" s="102">
        <f>IF(B649="Total",SUM(K$8:K648)+0.0001,IF(OR(B649="",J649&lt;&gt;0),0,VLOOKUP(A649,Journal!$B$7:M$84,8)))</f>
        <v>0</v>
      </c>
      <c r="L649" s="87">
        <f t="shared" si="70"/>
        <v>0</v>
      </c>
      <c r="P649">
        <f t="shared" si="66"/>
        <v>1.0000000000000001E-5</v>
      </c>
      <c r="R649" s="15">
        <f t="shared" si="67"/>
        <v>642</v>
      </c>
      <c r="S649" s="126">
        <f>IF(VLOOKUP(A649,Journal!$A$7:$E$70,5)=0,S648+1,VLOOKUP(A649,Journal!$A$7:$E$70,5))</f>
        <v>46299</v>
      </c>
      <c r="T649" s="125">
        <f>IF(H$2=VLOOKUP(A649,Journal!$A$7:$F$70,6),VLOOKUP(A649,Journal!$A$7:M$70,9),0)</f>
        <v>0</v>
      </c>
      <c r="U649" s="125">
        <f>IF(H$2=VLOOKUP(A649,Journal!$A$7:$G$70,7),VLOOKUP(A649,Journal!$A$7:M$70,9),0)</f>
        <v>0</v>
      </c>
      <c r="V649" s="125">
        <f t="shared" si="68"/>
        <v>40</v>
      </c>
      <c r="X649">
        <f t="shared" ref="X649:X712" si="72">IF(J$2&gt;S649,1,0)</f>
        <v>0</v>
      </c>
      <c r="Y649" s="143">
        <f t="shared" si="71"/>
        <v>-983.18421052634255</v>
      </c>
    </row>
    <row r="650" spans="1:25" x14ac:dyDescent="0.25">
      <c r="A650">
        <f t="shared" si="69"/>
        <v>643</v>
      </c>
      <c r="B650" s="88" t="str">
        <f>IF(OR(B649="Total",B649=""),"",IF(VLOOKUP(A650,Journal!$B$7:$E$84,4)=0,"Total",VLOOKUP(A650,Journal!$B$7:$D$84,3)))</f>
        <v/>
      </c>
      <c r="C650" s="86" t="str">
        <f>IF(B650="","",VLOOKUP(A650,Journal!$B$7:$E$84,4))</f>
        <v/>
      </c>
      <c r="D650" s="114" t="str">
        <f>IF(B650="","",VLOOKUP(A650,Journal!$B$7:$J$84,9))</f>
        <v/>
      </c>
      <c r="E650" s="116"/>
      <c r="F650" s="116"/>
      <c r="G650" s="115"/>
      <c r="H650" s="84" t="str">
        <f>IF(B650="","",VLOOKUP(A650,Journal!$B$7:$L$84,11))</f>
        <v/>
      </c>
      <c r="I650" s="84" t="str">
        <f>IF(B650="","",VLOOKUP(A650,Journal!$B$7:$M$84,12))</f>
        <v/>
      </c>
      <c r="J650" s="105">
        <f>IF(B650="Total",SUM(J$8:J649)+0.0001,IF(OR(B650="",I$2=I650),0,VLOOKUP(A650,Journal!$B$7:M$84,8)))</f>
        <v>0</v>
      </c>
      <c r="K650" s="102">
        <f>IF(B650="Total",SUM(K$8:K649)+0.0001,IF(OR(B650="",J650&lt;&gt;0),0,VLOOKUP(A650,Journal!$B$7:M$84,8)))</f>
        <v>0</v>
      </c>
      <c r="L650" s="87">
        <f t="shared" si="70"/>
        <v>0</v>
      </c>
      <c r="P650">
        <f t="shared" ref="P650:P713" si="73">IF(L649=L650,L649+0.00001,L650)</f>
        <v>1.0000000000000001E-5</v>
      </c>
      <c r="R650" s="15">
        <f t="shared" ref="R650:R713" si="74">R649+1</f>
        <v>643</v>
      </c>
      <c r="S650" s="126">
        <f>IF(VLOOKUP(A650,Journal!$A$7:$E$70,5)=0,S649+1,VLOOKUP(A650,Journal!$A$7:$E$70,5))</f>
        <v>46300</v>
      </c>
      <c r="T650" s="125">
        <f>IF(H$2=VLOOKUP(A650,Journal!$A$7:$F$70,6),VLOOKUP(A650,Journal!$A$7:M$70,9),0)</f>
        <v>0</v>
      </c>
      <c r="U650" s="125">
        <f>IF(H$2=VLOOKUP(A650,Journal!$A$7:$G$70,7),VLOOKUP(A650,Journal!$A$7:M$70,9),0)</f>
        <v>0</v>
      </c>
      <c r="V650" s="125">
        <f t="shared" ref="V650:V713" si="75">IF($M$1=1,V649+T650-U650,V649-T650+U650)</f>
        <v>40</v>
      </c>
      <c r="X650">
        <f t="shared" si="72"/>
        <v>0</v>
      </c>
      <c r="Y650" s="143">
        <f t="shared" si="71"/>
        <v>-983.15789473686891</v>
      </c>
    </row>
    <row r="651" spans="1:25" x14ac:dyDescent="0.25">
      <c r="A651">
        <f t="shared" ref="A651:A714" si="76">A650+1</f>
        <v>644</v>
      </c>
      <c r="B651" s="88" t="str">
        <f>IF(OR(B650="Total",B650=""),"",IF(VLOOKUP(A651,Journal!$B$7:$E$84,4)=0,"Total",VLOOKUP(A651,Journal!$B$7:$D$84,3)))</f>
        <v/>
      </c>
      <c r="C651" s="86" t="str">
        <f>IF(B651="","",VLOOKUP(A651,Journal!$B$7:$E$84,4))</f>
        <v/>
      </c>
      <c r="D651" s="114" t="str">
        <f>IF(B651="","",VLOOKUP(A651,Journal!$B$7:$J$84,9))</f>
        <v/>
      </c>
      <c r="E651" s="116"/>
      <c r="F651" s="116"/>
      <c r="G651" s="115"/>
      <c r="H651" s="84" t="str">
        <f>IF(B651="","",VLOOKUP(A651,Journal!$B$7:$L$84,11))</f>
        <v/>
      </c>
      <c r="I651" s="84" t="str">
        <f>IF(B651="","",VLOOKUP(A651,Journal!$B$7:$M$84,12))</f>
        <v/>
      </c>
      <c r="J651" s="105">
        <f>IF(B651="Total",SUM(J$8:J650)+0.0001,IF(OR(B651="",I$2=I651),0,VLOOKUP(A651,Journal!$B$7:M$84,8)))</f>
        <v>0</v>
      </c>
      <c r="K651" s="102">
        <f>IF(B651="Total",SUM(K$8:K650)+0.0001,IF(OR(B651="",J651&lt;&gt;0),0,VLOOKUP(A651,Journal!$B$7:M$84,8)))</f>
        <v>0</v>
      </c>
      <c r="L651" s="87">
        <f t="shared" si="70"/>
        <v>0</v>
      </c>
      <c r="P651">
        <f t="shared" si="73"/>
        <v>1.0000000000000001E-5</v>
      </c>
      <c r="R651" s="15">
        <f t="shared" si="74"/>
        <v>644</v>
      </c>
      <c r="S651" s="126">
        <f>IF(VLOOKUP(A651,Journal!$A$7:$E$70,5)=0,S650+1,VLOOKUP(A651,Journal!$A$7:$E$70,5))</f>
        <v>46301</v>
      </c>
      <c r="T651" s="125">
        <f>IF(H$2=VLOOKUP(A651,Journal!$A$7:$F$70,6),VLOOKUP(A651,Journal!$A$7:M$70,9),0)</f>
        <v>0</v>
      </c>
      <c r="U651" s="125">
        <f>IF(H$2=VLOOKUP(A651,Journal!$A$7:$G$70,7),VLOOKUP(A651,Journal!$A$7:M$70,9),0)</f>
        <v>0</v>
      </c>
      <c r="V651" s="125">
        <f t="shared" si="75"/>
        <v>40</v>
      </c>
      <c r="X651">
        <f t="shared" si="72"/>
        <v>0</v>
      </c>
      <c r="Y651" s="143">
        <f t="shared" si="71"/>
        <v>-983.13157894739527</v>
      </c>
    </row>
    <row r="652" spans="1:25" x14ac:dyDescent="0.25">
      <c r="A652">
        <f t="shared" si="76"/>
        <v>645</v>
      </c>
      <c r="B652" s="88" t="str">
        <f>IF(OR(B651="Total",B651=""),"",IF(VLOOKUP(A652,Journal!$B$7:$E$84,4)=0,"Total",VLOOKUP(A652,Journal!$B$7:$D$84,3)))</f>
        <v/>
      </c>
      <c r="C652" s="86" t="str">
        <f>IF(B652="","",VLOOKUP(A652,Journal!$B$7:$E$84,4))</f>
        <v/>
      </c>
      <c r="D652" s="114" t="str">
        <f>IF(B652="","",VLOOKUP(A652,Journal!$B$7:$J$84,9))</f>
        <v/>
      </c>
      <c r="E652" s="116"/>
      <c r="F652" s="116"/>
      <c r="G652" s="115"/>
      <c r="H652" s="84" t="str">
        <f>IF(B652="","",VLOOKUP(A652,Journal!$B$7:$L$84,11))</f>
        <v/>
      </c>
      <c r="I652" s="84" t="str">
        <f>IF(B652="","",VLOOKUP(A652,Journal!$B$7:$M$84,12))</f>
        <v/>
      </c>
      <c r="J652" s="105">
        <f>IF(B652="Total",SUM(J$8:J651)+0.0001,IF(OR(B652="",I$2=I652),0,VLOOKUP(A652,Journal!$B$7:M$84,8)))</f>
        <v>0</v>
      </c>
      <c r="K652" s="102">
        <f>IF(B652="Total",SUM(K$8:K651)+0.0001,IF(OR(B652="",J652&lt;&gt;0),0,VLOOKUP(A652,Journal!$B$7:M$84,8)))</f>
        <v>0</v>
      </c>
      <c r="L652" s="87">
        <f t="shared" si="70"/>
        <v>0</v>
      </c>
      <c r="P652">
        <f t="shared" si="73"/>
        <v>1.0000000000000001E-5</v>
      </c>
      <c r="R652" s="15">
        <f t="shared" si="74"/>
        <v>645</v>
      </c>
      <c r="S652" s="126">
        <f>IF(VLOOKUP(A652,Journal!$A$7:$E$70,5)=0,S651+1,VLOOKUP(A652,Journal!$A$7:$E$70,5))</f>
        <v>46302</v>
      </c>
      <c r="T652" s="125">
        <f>IF(H$2=VLOOKUP(A652,Journal!$A$7:$F$70,6),VLOOKUP(A652,Journal!$A$7:M$70,9),0)</f>
        <v>0</v>
      </c>
      <c r="U652" s="125">
        <f>IF(H$2=VLOOKUP(A652,Journal!$A$7:$G$70,7),VLOOKUP(A652,Journal!$A$7:M$70,9),0)</f>
        <v>0</v>
      </c>
      <c r="V652" s="125">
        <f t="shared" si="75"/>
        <v>40</v>
      </c>
      <c r="X652">
        <f t="shared" si="72"/>
        <v>0</v>
      </c>
      <c r="Y652" s="143">
        <f t="shared" si="71"/>
        <v>-983.10526315792163</v>
      </c>
    </row>
    <row r="653" spans="1:25" x14ac:dyDescent="0.25">
      <c r="A653">
        <f t="shared" si="76"/>
        <v>646</v>
      </c>
      <c r="B653" s="88" t="str">
        <f>IF(OR(B652="Total",B652=""),"",IF(VLOOKUP(A653,Journal!$B$7:$E$84,4)=0,"Total",VLOOKUP(A653,Journal!$B$7:$D$84,3)))</f>
        <v/>
      </c>
      <c r="C653" s="86" t="str">
        <f>IF(B653="","",VLOOKUP(A653,Journal!$B$7:$E$84,4))</f>
        <v/>
      </c>
      <c r="D653" s="114" t="str">
        <f>IF(B653="","",VLOOKUP(A653,Journal!$B$7:$J$84,9))</f>
        <v/>
      </c>
      <c r="E653" s="116"/>
      <c r="F653" s="116"/>
      <c r="G653" s="115"/>
      <c r="H653" s="84" t="str">
        <f>IF(B653="","",VLOOKUP(A653,Journal!$B$7:$L$84,11))</f>
        <v/>
      </c>
      <c r="I653" s="84" t="str">
        <f>IF(B653="","",VLOOKUP(A653,Journal!$B$7:$M$84,12))</f>
        <v/>
      </c>
      <c r="J653" s="105">
        <f>IF(B653="Total",SUM(J$8:J652)+0.0001,IF(OR(B653="",I$2=I653),0,VLOOKUP(A653,Journal!$B$7:M$84,8)))</f>
        <v>0</v>
      </c>
      <c r="K653" s="102">
        <f>IF(B653="Total",SUM(K$8:K652)+0.0001,IF(OR(B653="",J653&lt;&gt;0),0,VLOOKUP(A653,Journal!$B$7:M$84,8)))</f>
        <v>0</v>
      </c>
      <c r="L653" s="87">
        <f t="shared" si="70"/>
        <v>0</v>
      </c>
      <c r="P653">
        <f t="shared" si="73"/>
        <v>1.0000000000000001E-5</v>
      </c>
      <c r="R653" s="15">
        <f t="shared" si="74"/>
        <v>646</v>
      </c>
      <c r="S653" s="126">
        <f>IF(VLOOKUP(A653,Journal!$A$7:$E$70,5)=0,S652+1,VLOOKUP(A653,Journal!$A$7:$E$70,5))</f>
        <v>46303</v>
      </c>
      <c r="T653" s="125">
        <f>IF(H$2=VLOOKUP(A653,Journal!$A$7:$F$70,6),VLOOKUP(A653,Journal!$A$7:M$70,9),0)</f>
        <v>0</v>
      </c>
      <c r="U653" s="125">
        <f>IF(H$2=VLOOKUP(A653,Journal!$A$7:$G$70,7),VLOOKUP(A653,Journal!$A$7:M$70,9),0)</f>
        <v>0</v>
      </c>
      <c r="V653" s="125">
        <f t="shared" si="75"/>
        <v>40</v>
      </c>
      <c r="X653">
        <f t="shared" si="72"/>
        <v>0</v>
      </c>
      <c r="Y653" s="143">
        <f t="shared" si="71"/>
        <v>-983.07894736844798</v>
      </c>
    </row>
    <row r="654" spans="1:25" x14ac:dyDescent="0.25">
      <c r="A654">
        <f t="shared" si="76"/>
        <v>647</v>
      </c>
      <c r="B654" s="88" t="str">
        <f>IF(OR(B653="Total",B653=""),"",IF(VLOOKUP(A654,Journal!$B$7:$E$84,4)=0,"Total",VLOOKUP(A654,Journal!$B$7:$D$84,3)))</f>
        <v/>
      </c>
      <c r="C654" s="86" t="str">
        <f>IF(B654="","",VLOOKUP(A654,Journal!$B$7:$E$84,4))</f>
        <v/>
      </c>
      <c r="D654" s="114" t="str">
        <f>IF(B654="","",VLOOKUP(A654,Journal!$B$7:$J$84,9))</f>
        <v/>
      </c>
      <c r="E654" s="116"/>
      <c r="F654" s="116"/>
      <c r="G654" s="115"/>
      <c r="H654" s="84" t="str">
        <f>IF(B654="","",VLOOKUP(A654,Journal!$B$7:$L$84,11))</f>
        <v/>
      </c>
      <c r="I654" s="84" t="str">
        <f>IF(B654="","",VLOOKUP(A654,Journal!$B$7:$M$84,12))</f>
        <v/>
      </c>
      <c r="J654" s="105">
        <f>IF(B654="Total",SUM(J$8:J653)+0.0001,IF(OR(B654="",I$2=I654),0,VLOOKUP(A654,Journal!$B$7:M$84,8)))</f>
        <v>0</v>
      </c>
      <c r="K654" s="102">
        <f>IF(B654="Total",SUM(K$8:K653)+0.0001,IF(OR(B654="",J654&lt;&gt;0),0,VLOOKUP(A654,Journal!$B$7:M$84,8)))</f>
        <v>0</v>
      </c>
      <c r="L654" s="87">
        <f t="shared" si="70"/>
        <v>0</v>
      </c>
      <c r="P654">
        <f t="shared" si="73"/>
        <v>1.0000000000000001E-5</v>
      </c>
      <c r="R654" s="15">
        <f t="shared" si="74"/>
        <v>647</v>
      </c>
      <c r="S654" s="126">
        <f>IF(VLOOKUP(A654,Journal!$A$7:$E$70,5)=0,S653+1,VLOOKUP(A654,Journal!$A$7:$E$70,5))</f>
        <v>46304</v>
      </c>
      <c r="T654" s="125">
        <f>IF(H$2=VLOOKUP(A654,Journal!$A$7:$F$70,6),VLOOKUP(A654,Journal!$A$7:M$70,9),0)</f>
        <v>0</v>
      </c>
      <c r="U654" s="125">
        <f>IF(H$2=VLOOKUP(A654,Journal!$A$7:$G$70,7),VLOOKUP(A654,Journal!$A$7:M$70,9),0)</f>
        <v>0</v>
      </c>
      <c r="V654" s="125">
        <f t="shared" si="75"/>
        <v>40</v>
      </c>
      <c r="X654">
        <f t="shared" si="72"/>
        <v>0</v>
      </c>
      <c r="Y654" s="143">
        <f t="shared" si="71"/>
        <v>-983.05263157897434</v>
      </c>
    </row>
    <row r="655" spans="1:25" x14ac:dyDescent="0.25">
      <c r="A655">
        <f t="shared" si="76"/>
        <v>648</v>
      </c>
      <c r="B655" s="88" t="str">
        <f>IF(OR(B654="Total",B654=""),"",IF(VLOOKUP(A655,Journal!$B$7:$E$84,4)=0,"Total",VLOOKUP(A655,Journal!$B$7:$D$84,3)))</f>
        <v/>
      </c>
      <c r="C655" s="86" t="str">
        <f>IF(B655="","",VLOOKUP(A655,Journal!$B$7:$E$84,4))</f>
        <v/>
      </c>
      <c r="D655" s="114" t="str">
        <f>IF(B655="","",VLOOKUP(A655,Journal!$B$7:$J$84,9))</f>
        <v/>
      </c>
      <c r="E655" s="116"/>
      <c r="F655" s="116"/>
      <c r="G655" s="115"/>
      <c r="H655" s="84" t="str">
        <f>IF(B655="","",VLOOKUP(A655,Journal!$B$7:$L$84,11))</f>
        <v/>
      </c>
      <c r="I655" s="84" t="str">
        <f>IF(B655="","",VLOOKUP(A655,Journal!$B$7:$M$84,12))</f>
        <v/>
      </c>
      <c r="J655" s="105">
        <f>IF(B655="Total",SUM(J$8:J654)+0.0001,IF(OR(B655="",I$2=I655),0,VLOOKUP(A655,Journal!$B$7:M$84,8)))</f>
        <v>0</v>
      </c>
      <c r="K655" s="102">
        <f>IF(B655="Total",SUM(K$8:K654)+0.0001,IF(OR(B655="",J655&lt;&gt;0),0,VLOOKUP(A655,Journal!$B$7:M$84,8)))</f>
        <v>0</v>
      </c>
      <c r="L655" s="87">
        <f t="shared" si="70"/>
        <v>0</v>
      </c>
      <c r="P655">
        <f t="shared" si="73"/>
        <v>1.0000000000000001E-5</v>
      </c>
      <c r="R655" s="15">
        <f t="shared" si="74"/>
        <v>648</v>
      </c>
      <c r="S655" s="126">
        <f>IF(VLOOKUP(A655,Journal!$A$7:$E$70,5)=0,S654+1,VLOOKUP(A655,Journal!$A$7:$E$70,5))</f>
        <v>46305</v>
      </c>
      <c r="T655" s="125">
        <f>IF(H$2=VLOOKUP(A655,Journal!$A$7:$F$70,6),VLOOKUP(A655,Journal!$A$7:M$70,9),0)</f>
        <v>0</v>
      </c>
      <c r="U655" s="125">
        <f>IF(H$2=VLOOKUP(A655,Journal!$A$7:$G$70,7),VLOOKUP(A655,Journal!$A$7:M$70,9),0)</f>
        <v>0</v>
      </c>
      <c r="V655" s="125">
        <f t="shared" si="75"/>
        <v>40</v>
      </c>
      <c r="X655">
        <f t="shared" si="72"/>
        <v>0</v>
      </c>
      <c r="Y655" s="143">
        <f t="shared" si="71"/>
        <v>-983.0263157895007</v>
      </c>
    </row>
    <row r="656" spans="1:25" x14ac:dyDescent="0.25">
      <c r="A656">
        <f t="shared" si="76"/>
        <v>649</v>
      </c>
      <c r="B656" s="88" t="str">
        <f>IF(OR(B655="Total",B655=""),"",IF(VLOOKUP(A656,Journal!$B$7:$E$84,4)=0,"Total",VLOOKUP(A656,Journal!$B$7:$D$84,3)))</f>
        <v/>
      </c>
      <c r="C656" s="86" t="str">
        <f>IF(B656="","",VLOOKUP(A656,Journal!$B$7:$E$84,4))</f>
        <v/>
      </c>
      <c r="D656" s="114" t="str">
        <f>IF(B656="","",VLOOKUP(A656,Journal!$B$7:$J$84,9))</f>
        <v/>
      </c>
      <c r="E656" s="116"/>
      <c r="F656" s="116"/>
      <c r="G656" s="115"/>
      <c r="H656" s="84" t="str">
        <f>IF(B656="","",VLOOKUP(A656,Journal!$B$7:$L$84,11))</f>
        <v/>
      </c>
      <c r="I656" s="84" t="str">
        <f>IF(B656="","",VLOOKUP(A656,Journal!$B$7:$M$84,12))</f>
        <v/>
      </c>
      <c r="J656" s="105">
        <f>IF(B656="Total",SUM(J$8:J655)+0.0001,IF(OR(B656="",I$2=I656),0,VLOOKUP(A656,Journal!$B$7:M$84,8)))</f>
        <v>0</v>
      </c>
      <c r="K656" s="102">
        <f>IF(B656="Total",SUM(K$8:K655)+0.0001,IF(OR(B656="",J656&lt;&gt;0),0,VLOOKUP(A656,Journal!$B$7:M$84,8)))</f>
        <v>0</v>
      </c>
      <c r="L656" s="87">
        <f t="shared" si="70"/>
        <v>0</v>
      </c>
      <c r="P656">
        <f t="shared" si="73"/>
        <v>1.0000000000000001E-5</v>
      </c>
      <c r="R656" s="15">
        <f t="shared" si="74"/>
        <v>649</v>
      </c>
      <c r="S656" s="126">
        <f>IF(VLOOKUP(A656,Journal!$A$7:$E$70,5)=0,S655+1,VLOOKUP(A656,Journal!$A$7:$E$70,5))</f>
        <v>46306</v>
      </c>
      <c r="T656" s="125">
        <f>IF(H$2=VLOOKUP(A656,Journal!$A$7:$F$70,6),VLOOKUP(A656,Journal!$A$7:M$70,9),0)</f>
        <v>0</v>
      </c>
      <c r="U656" s="125">
        <f>IF(H$2=VLOOKUP(A656,Journal!$A$7:$G$70,7),VLOOKUP(A656,Journal!$A$7:M$70,9),0)</f>
        <v>0</v>
      </c>
      <c r="V656" s="125">
        <f t="shared" si="75"/>
        <v>40</v>
      </c>
      <c r="X656">
        <f t="shared" si="72"/>
        <v>0</v>
      </c>
      <c r="Y656" s="143">
        <f t="shared" si="71"/>
        <v>-983.00000000002706</v>
      </c>
    </row>
    <row r="657" spans="1:25" x14ac:dyDescent="0.25">
      <c r="A657">
        <f t="shared" si="76"/>
        <v>650</v>
      </c>
      <c r="B657" s="88" t="str">
        <f>IF(OR(B656="Total",B656=""),"",IF(VLOOKUP(A657,Journal!$B$7:$E$84,4)=0,"Total",VLOOKUP(A657,Journal!$B$7:$D$84,3)))</f>
        <v/>
      </c>
      <c r="C657" s="86" t="str">
        <f>IF(B657="","",VLOOKUP(A657,Journal!$B$7:$E$84,4))</f>
        <v/>
      </c>
      <c r="D657" s="114" t="str">
        <f>IF(B657="","",VLOOKUP(A657,Journal!$B$7:$J$84,9))</f>
        <v/>
      </c>
      <c r="E657" s="116"/>
      <c r="F657" s="116"/>
      <c r="G657" s="115"/>
      <c r="H657" s="84" t="str">
        <f>IF(B657="","",VLOOKUP(A657,Journal!$B$7:$L$84,11))</f>
        <v/>
      </c>
      <c r="I657" s="84" t="str">
        <f>IF(B657="","",VLOOKUP(A657,Journal!$B$7:$M$84,12))</f>
        <v/>
      </c>
      <c r="J657" s="105">
        <f>IF(B657="Total",SUM(J$8:J656)+0.0001,IF(OR(B657="",I$2=I657),0,VLOOKUP(A657,Journal!$B$7:M$84,8)))</f>
        <v>0</v>
      </c>
      <c r="K657" s="102">
        <f>IF(B657="Total",SUM(K$8:K656)+0.0001,IF(OR(B657="",J657&lt;&gt;0),0,VLOOKUP(A657,Journal!$B$7:M$84,8)))</f>
        <v>0</v>
      </c>
      <c r="L657" s="87">
        <f t="shared" si="70"/>
        <v>0</v>
      </c>
      <c r="P657">
        <f t="shared" si="73"/>
        <v>1.0000000000000001E-5</v>
      </c>
      <c r="R657" s="15">
        <f t="shared" si="74"/>
        <v>650</v>
      </c>
      <c r="S657" s="126">
        <f>IF(VLOOKUP(A657,Journal!$A$7:$E$70,5)=0,S656+1,VLOOKUP(A657,Journal!$A$7:$E$70,5))</f>
        <v>46307</v>
      </c>
      <c r="T657" s="125">
        <f>IF(H$2=VLOOKUP(A657,Journal!$A$7:$F$70,6),VLOOKUP(A657,Journal!$A$7:M$70,9),0)</f>
        <v>0</v>
      </c>
      <c r="U657" s="125">
        <f>IF(H$2=VLOOKUP(A657,Journal!$A$7:$G$70,7),VLOOKUP(A657,Journal!$A$7:M$70,9),0)</f>
        <v>0</v>
      </c>
      <c r="V657" s="125">
        <f t="shared" si="75"/>
        <v>40</v>
      </c>
      <c r="X657">
        <f t="shared" si="72"/>
        <v>0</v>
      </c>
      <c r="Y657" s="143">
        <f t="shared" si="71"/>
        <v>-982.97368421055342</v>
      </c>
    </row>
    <row r="658" spans="1:25" x14ac:dyDescent="0.25">
      <c r="A658">
        <f t="shared" si="76"/>
        <v>651</v>
      </c>
      <c r="B658" s="88" t="str">
        <f>IF(OR(B657="Total",B657=""),"",IF(VLOOKUP(A658,Journal!$B$7:$E$84,4)=0,"Total",VLOOKUP(A658,Journal!$B$7:$D$84,3)))</f>
        <v/>
      </c>
      <c r="C658" s="86" t="str">
        <f>IF(B658="","",VLOOKUP(A658,Journal!$B$7:$E$84,4))</f>
        <v/>
      </c>
      <c r="D658" s="114" t="str">
        <f>IF(B658="","",VLOOKUP(A658,Journal!$B$7:$J$84,9))</f>
        <v/>
      </c>
      <c r="E658" s="116"/>
      <c r="F658" s="116"/>
      <c r="G658" s="115"/>
      <c r="H658" s="84" t="str">
        <f>IF(B658="","",VLOOKUP(A658,Journal!$B$7:$L$84,11))</f>
        <v/>
      </c>
      <c r="I658" s="84" t="str">
        <f>IF(B658="","",VLOOKUP(A658,Journal!$B$7:$M$84,12))</f>
        <v/>
      </c>
      <c r="J658" s="105">
        <f>IF(B658="Total",SUM(J$8:J657)+0.0001,IF(OR(B658="",I$2=I658),0,VLOOKUP(A658,Journal!$B$7:M$84,8)))</f>
        <v>0</v>
      </c>
      <c r="K658" s="102">
        <f>IF(B658="Total",SUM(K$8:K657)+0.0001,IF(OR(B658="",J658&lt;&gt;0),0,VLOOKUP(A658,Journal!$B$7:M$84,8)))</f>
        <v>0</v>
      </c>
      <c r="L658" s="87">
        <f t="shared" si="70"/>
        <v>0</v>
      </c>
      <c r="P658">
        <f t="shared" si="73"/>
        <v>1.0000000000000001E-5</v>
      </c>
      <c r="R658" s="15">
        <f t="shared" si="74"/>
        <v>651</v>
      </c>
      <c r="S658" s="126">
        <f>IF(VLOOKUP(A658,Journal!$A$7:$E$70,5)=0,S657+1,VLOOKUP(A658,Journal!$A$7:$E$70,5))</f>
        <v>46308</v>
      </c>
      <c r="T658" s="125">
        <f>IF(H$2=VLOOKUP(A658,Journal!$A$7:$F$70,6),VLOOKUP(A658,Journal!$A$7:M$70,9),0)</f>
        <v>0</v>
      </c>
      <c r="U658" s="125">
        <f>IF(H$2=VLOOKUP(A658,Journal!$A$7:$G$70,7),VLOOKUP(A658,Journal!$A$7:M$70,9),0)</f>
        <v>0</v>
      </c>
      <c r="V658" s="125">
        <f t="shared" si="75"/>
        <v>40</v>
      </c>
      <c r="X658">
        <f t="shared" si="72"/>
        <v>0</v>
      </c>
      <c r="Y658" s="143">
        <f t="shared" si="71"/>
        <v>-982.94736842107977</v>
      </c>
    </row>
    <row r="659" spans="1:25" x14ac:dyDescent="0.25">
      <c r="A659">
        <f t="shared" si="76"/>
        <v>652</v>
      </c>
      <c r="B659" s="88" t="str">
        <f>IF(OR(B658="Total",B658=""),"",IF(VLOOKUP(A659,Journal!$B$7:$E$84,4)=0,"Total",VLOOKUP(A659,Journal!$B$7:$D$84,3)))</f>
        <v/>
      </c>
      <c r="C659" s="86" t="str">
        <f>IF(B659="","",VLOOKUP(A659,Journal!$B$7:$E$84,4))</f>
        <v/>
      </c>
      <c r="D659" s="114" t="str">
        <f>IF(B659="","",VLOOKUP(A659,Journal!$B$7:$J$84,9))</f>
        <v/>
      </c>
      <c r="E659" s="116"/>
      <c r="F659" s="116"/>
      <c r="G659" s="115"/>
      <c r="H659" s="84" t="str">
        <f>IF(B659="","",VLOOKUP(A659,Journal!$B$7:$L$84,11))</f>
        <v/>
      </c>
      <c r="I659" s="84" t="str">
        <f>IF(B659="","",VLOOKUP(A659,Journal!$B$7:$M$84,12))</f>
        <v/>
      </c>
      <c r="J659" s="105">
        <f>IF(B659="Total",SUM(J$8:J658)+0.0001,IF(OR(B659="",I$2=I659),0,VLOOKUP(A659,Journal!$B$7:M$84,8)))</f>
        <v>0</v>
      </c>
      <c r="K659" s="102">
        <f>IF(B659="Total",SUM(K$8:K658)+0.0001,IF(OR(B659="",J659&lt;&gt;0),0,VLOOKUP(A659,Journal!$B$7:M$84,8)))</f>
        <v>0</v>
      </c>
      <c r="L659" s="87">
        <f t="shared" si="70"/>
        <v>0</v>
      </c>
      <c r="P659">
        <f t="shared" si="73"/>
        <v>1.0000000000000001E-5</v>
      </c>
      <c r="R659" s="15">
        <f t="shared" si="74"/>
        <v>652</v>
      </c>
      <c r="S659" s="126">
        <f>IF(VLOOKUP(A659,Journal!$A$7:$E$70,5)=0,S658+1,VLOOKUP(A659,Journal!$A$7:$E$70,5))</f>
        <v>46309</v>
      </c>
      <c r="T659" s="125">
        <f>IF(H$2=VLOOKUP(A659,Journal!$A$7:$F$70,6),VLOOKUP(A659,Journal!$A$7:M$70,9),0)</f>
        <v>0</v>
      </c>
      <c r="U659" s="125">
        <f>IF(H$2=VLOOKUP(A659,Journal!$A$7:$G$70,7),VLOOKUP(A659,Journal!$A$7:M$70,9),0)</f>
        <v>0</v>
      </c>
      <c r="V659" s="125">
        <f t="shared" si="75"/>
        <v>40</v>
      </c>
      <c r="X659">
        <f t="shared" si="72"/>
        <v>0</v>
      </c>
      <c r="Y659" s="143">
        <f t="shared" si="71"/>
        <v>-982.92105263160613</v>
      </c>
    </row>
    <row r="660" spans="1:25" x14ac:dyDescent="0.25">
      <c r="A660">
        <f t="shared" si="76"/>
        <v>653</v>
      </c>
      <c r="B660" s="88" t="str">
        <f>IF(OR(B659="Total",B659=""),"",IF(VLOOKUP(A660,Journal!$B$7:$E$84,4)=0,"Total",VLOOKUP(A660,Journal!$B$7:$D$84,3)))</f>
        <v/>
      </c>
      <c r="C660" s="86" t="str">
        <f>IF(B660="","",VLOOKUP(A660,Journal!$B$7:$E$84,4))</f>
        <v/>
      </c>
      <c r="D660" s="114" t="str">
        <f>IF(B660="","",VLOOKUP(A660,Journal!$B$7:$J$84,9))</f>
        <v/>
      </c>
      <c r="E660" s="116"/>
      <c r="F660" s="116"/>
      <c r="G660" s="115"/>
      <c r="H660" s="84" t="str">
        <f>IF(B660="","",VLOOKUP(A660,Journal!$B$7:$L$84,11))</f>
        <v/>
      </c>
      <c r="I660" s="84" t="str">
        <f>IF(B660="","",VLOOKUP(A660,Journal!$B$7:$M$84,12))</f>
        <v/>
      </c>
      <c r="J660" s="105">
        <f>IF(B660="Total",SUM(J$8:J659)+0.0001,IF(OR(B660="",I$2=I660),0,VLOOKUP(A660,Journal!$B$7:M$84,8)))</f>
        <v>0</v>
      </c>
      <c r="K660" s="102">
        <f>IF(B660="Total",SUM(K$8:K659)+0.0001,IF(OR(B660="",J660&lt;&gt;0),0,VLOOKUP(A660,Journal!$B$7:M$84,8)))</f>
        <v>0</v>
      </c>
      <c r="L660" s="87">
        <f t="shared" si="70"/>
        <v>0</v>
      </c>
      <c r="P660">
        <f t="shared" si="73"/>
        <v>1.0000000000000001E-5</v>
      </c>
      <c r="R660" s="15">
        <f t="shared" si="74"/>
        <v>653</v>
      </c>
      <c r="S660" s="126">
        <f>IF(VLOOKUP(A660,Journal!$A$7:$E$70,5)=0,S659+1,VLOOKUP(A660,Journal!$A$7:$E$70,5))</f>
        <v>46310</v>
      </c>
      <c r="T660" s="125">
        <f>IF(H$2=VLOOKUP(A660,Journal!$A$7:$F$70,6),VLOOKUP(A660,Journal!$A$7:M$70,9),0)</f>
        <v>0</v>
      </c>
      <c r="U660" s="125">
        <f>IF(H$2=VLOOKUP(A660,Journal!$A$7:$G$70,7),VLOOKUP(A660,Journal!$A$7:M$70,9),0)</f>
        <v>0</v>
      </c>
      <c r="V660" s="125">
        <f t="shared" si="75"/>
        <v>40</v>
      </c>
      <c r="X660">
        <f t="shared" si="72"/>
        <v>0</v>
      </c>
      <c r="Y660" s="143">
        <f t="shared" si="71"/>
        <v>-982.89473684213249</v>
      </c>
    </row>
    <row r="661" spans="1:25" x14ac:dyDescent="0.25">
      <c r="A661">
        <f t="shared" si="76"/>
        <v>654</v>
      </c>
      <c r="B661" s="88" t="str">
        <f>IF(OR(B660="Total",B660=""),"",IF(VLOOKUP(A661,Journal!$B$7:$E$84,4)=0,"Total",VLOOKUP(A661,Journal!$B$7:$D$84,3)))</f>
        <v/>
      </c>
      <c r="C661" s="86" t="str">
        <f>IF(B661="","",VLOOKUP(A661,Journal!$B$7:$E$84,4))</f>
        <v/>
      </c>
      <c r="D661" s="114" t="str">
        <f>IF(B661="","",VLOOKUP(A661,Journal!$B$7:$J$84,9))</f>
        <v/>
      </c>
      <c r="E661" s="116"/>
      <c r="F661" s="116"/>
      <c r="G661" s="115"/>
      <c r="H661" s="84" t="str">
        <f>IF(B661="","",VLOOKUP(A661,Journal!$B$7:$L$84,11))</f>
        <v/>
      </c>
      <c r="I661" s="84" t="str">
        <f>IF(B661="","",VLOOKUP(A661,Journal!$B$7:$M$84,12))</f>
        <v/>
      </c>
      <c r="J661" s="105">
        <f>IF(B661="Total",SUM(J$8:J660)+0.0001,IF(OR(B661="",I$2=I661),0,VLOOKUP(A661,Journal!$B$7:M$84,8)))</f>
        <v>0</v>
      </c>
      <c r="K661" s="102">
        <f>IF(B661="Total",SUM(K$8:K660)+0.0001,IF(OR(B661="",J661&lt;&gt;0),0,VLOOKUP(A661,Journal!$B$7:M$84,8)))</f>
        <v>0</v>
      </c>
      <c r="L661" s="87">
        <f t="shared" si="70"/>
        <v>0</v>
      </c>
      <c r="P661">
        <f t="shared" si="73"/>
        <v>1.0000000000000001E-5</v>
      </c>
      <c r="R661" s="15">
        <f t="shared" si="74"/>
        <v>654</v>
      </c>
      <c r="S661" s="126">
        <f>IF(VLOOKUP(A661,Journal!$A$7:$E$70,5)=0,S660+1,VLOOKUP(A661,Journal!$A$7:$E$70,5))</f>
        <v>46311</v>
      </c>
      <c r="T661" s="125">
        <f>IF(H$2=VLOOKUP(A661,Journal!$A$7:$F$70,6),VLOOKUP(A661,Journal!$A$7:M$70,9),0)</f>
        <v>0</v>
      </c>
      <c r="U661" s="125">
        <f>IF(H$2=VLOOKUP(A661,Journal!$A$7:$G$70,7),VLOOKUP(A661,Journal!$A$7:M$70,9),0)</f>
        <v>0</v>
      </c>
      <c r="V661" s="125">
        <f t="shared" si="75"/>
        <v>40</v>
      </c>
      <c r="X661">
        <f t="shared" si="72"/>
        <v>0</v>
      </c>
      <c r="Y661" s="143">
        <f t="shared" si="71"/>
        <v>-982.86842105265885</v>
      </c>
    </row>
    <row r="662" spans="1:25" x14ac:dyDescent="0.25">
      <c r="A662">
        <f t="shared" si="76"/>
        <v>655</v>
      </c>
      <c r="B662" s="88" t="str">
        <f>IF(OR(B661="Total",B661=""),"",IF(VLOOKUP(A662,Journal!$B$7:$E$84,4)=0,"Total",VLOOKUP(A662,Journal!$B$7:$D$84,3)))</f>
        <v/>
      </c>
      <c r="C662" s="86" t="str">
        <f>IF(B662="","",VLOOKUP(A662,Journal!$B$7:$E$84,4))</f>
        <v/>
      </c>
      <c r="D662" s="114" t="str">
        <f>IF(B662="","",VLOOKUP(A662,Journal!$B$7:$J$84,9))</f>
        <v/>
      </c>
      <c r="E662" s="116"/>
      <c r="F662" s="116"/>
      <c r="G662" s="115"/>
      <c r="H662" s="84" t="str">
        <f>IF(B662="","",VLOOKUP(A662,Journal!$B$7:$L$84,11))</f>
        <v/>
      </c>
      <c r="I662" s="84" t="str">
        <f>IF(B662="","",VLOOKUP(A662,Journal!$B$7:$M$84,12))</f>
        <v/>
      </c>
      <c r="J662" s="105">
        <f>IF(B662="Total",SUM(J$8:J661)+0.0001,IF(OR(B662="",I$2=I662),0,VLOOKUP(A662,Journal!$B$7:M$84,8)))</f>
        <v>0</v>
      </c>
      <c r="K662" s="102">
        <f>IF(B662="Total",SUM(K$8:K661)+0.0001,IF(OR(B662="",J662&lt;&gt;0),0,VLOOKUP(A662,Journal!$B$7:M$84,8)))</f>
        <v>0</v>
      </c>
      <c r="L662" s="87">
        <f t="shared" si="70"/>
        <v>0</v>
      </c>
      <c r="P662">
        <f t="shared" si="73"/>
        <v>1.0000000000000001E-5</v>
      </c>
      <c r="R662" s="15">
        <f t="shared" si="74"/>
        <v>655</v>
      </c>
      <c r="S662" s="126">
        <f>IF(VLOOKUP(A662,Journal!$A$7:$E$70,5)=0,S661+1,VLOOKUP(A662,Journal!$A$7:$E$70,5))</f>
        <v>46312</v>
      </c>
      <c r="T662" s="125">
        <f>IF(H$2=VLOOKUP(A662,Journal!$A$7:$F$70,6),VLOOKUP(A662,Journal!$A$7:M$70,9),0)</f>
        <v>0</v>
      </c>
      <c r="U662" s="125">
        <f>IF(H$2=VLOOKUP(A662,Journal!$A$7:$G$70,7),VLOOKUP(A662,Journal!$A$7:M$70,9),0)</f>
        <v>0</v>
      </c>
      <c r="V662" s="125">
        <f t="shared" si="75"/>
        <v>40</v>
      </c>
      <c r="X662">
        <f t="shared" si="72"/>
        <v>0</v>
      </c>
      <c r="Y662" s="143">
        <f t="shared" si="71"/>
        <v>-982.8421052631852</v>
      </c>
    </row>
    <row r="663" spans="1:25" x14ac:dyDescent="0.25">
      <c r="A663">
        <f t="shared" si="76"/>
        <v>656</v>
      </c>
      <c r="B663" s="88" t="str">
        <f>IF(OR(B662="Total",B662=""),"",IF(VLOOKUP(A663,Journal!$B$7:$E$84,4)=0,"Total",VLOOKUP(A663,Journal!$B$7:$D$84,3)))</f>
        <v/>
      </c>
      <c r="C663" s="86" t="str">
        <f>IF(B663="","",VLOOKUP(A663,Journal!$B$7:$E$84,4))</f>
        <v/>
      </c>
      <c r="D663" s="114" t="str">
        <f>IF(B663="","",VLOOKUP(A663,Journal!$B$7:$J$84,9))</f>
        <v/>
      </c>
      <c r="E663" s="116"/>
      <c r="F663" s="116"/>
      <c r="G663" s="115"/>
      <c r="H663" s="84" t="str">
        <f>IF(B663="","",VLOOKUP(A663,Journal!$B$7:$L$84,11))</f>
        <v/>
      </c>
      <c r="I663" s="84" t="str">
        <f>IF(B663="","",VLOOKUP(A663,Journal!$B$7:$M$84,12))</f>
        <v/>
      </c>
      <c r="J663" s="105">
        <f>IF(B663="Total",SUM(J$8:J662)+0.0001,IF(OR(B663="",I$2=I663),0,VLOOKUP(A663,Journal!$B$7:M$84,8)))</f>
        <v>0</v>
      </c>
      <c r="K663" s="102">
        <f>IF(B663="Total",SUM(K$8:K662)+0.0001,IF(OR(B663="",J663&lt;&gt;0),0,VLOOKUP(A663,Journal!$B$7:M$84,8)))</f>
        <v>0</v>
      </c>
      <c r="L663" s="87">
        <f t="shared" si="70"/>
        <v>0</v>
      </c>
      <c r="P663">
        <f t="shared" si="73"/>
        <v>1.0000000000000001E-5</v>
      </c>
      <c r="R663" s="15">
        <f t="shared" si="74"/>
        <v>656</v>
      </c>
      <c r="S663" s="126">
        <f>IF(VLOOKUP(A663,Journal!$A$7:$E$70,5)=0,S662+1,VLOOKUP(A663,Journal!$A$7:$E$70,5))</f>
        <v>46313</v>
      </c>
      <c r="T663" s="125">
        <f>IF(H$2=VLOOKUP(A663,Journal!$A$7:$F$70,6),VLOOKUP(A663,Journal!$A$7:M$70,9),0)</f>
        <v>0</v>
      </c>
      <c r="U663" s="125">
        <f>IF(H$2=VLOOKUP(A663,Journal!$A$7:$G$70,7),VLOOKUP(A663,Journal!$A$7:M$70,9),0)</f>
        <v>0</v>
      </c>
      <c r="V663" s="125">
        <f t="shared" si="75"/>
        <v>40</v>
      </c>
      <c r="X663">
        <f t="shared" si="72"/>
        <v>0</v>
      </c>
      <c r="Y663" s="143">
        <f t="shared" si="71"/>
        <v>-982.81578947371156</v>
      </c>
    </row>
    <row r="664" spans="1:25" x14ac:dyDescent="0.25">
      <c r="A664">
        <f t="shared" si="76"/>
        <v>657</v>
      </c>
      <c r="B664" s="88" t="str">
        <f>IF(OR(B663="Total",B663=""),"",IF(VLOOKUP(A664,Journal!$B$7:$E$84,4)=0,"Total",VLOOKUP(A664,Journal!$B$7:$D$84,3)))</f>
        <v/>
      </c>
      <c r="C664" s="86" t="str">
        <f>IF(B664="","",VLOOKUP(A664,Journal!$B$7:$E$84,4))</f>
        <v/>
      </c>
      <c r="D664" s="114" t="str">
        <f>IF(B664="","",VLOOKUP(A664,Journal!$B$7:$J$84,9))</f>
        <v/>
      </c>
      <c r="E664" s="116"/>
      <c r="F664" s="116"/>
      <c r="G664" s="115"/>
      <c r="H664" s="84" t="str">
        <f>IF(B664="","",VLOOKUP(A664,Journal!$B$7:$L$84,11))</f>
        <v/>
      </c>
      <c r="I664" s="84" t="str">
        <f>IF(B664="","",VLOOKUP(A664,Journal!$B$7:$M$84,12))</f>
        <v/>
      </c>
      <c r="J664" s="105">
        <f>IF(B664="Total",SUM(J$8:J663)+0.0001,IF(OR(B664="",I$2=I664),0,VLOOKUP(A664,Journal!$B$7:M$84,8)))</f>
        <v>0</v>
      </c>
      <c r="K664" s="102">
        <f>IF(B664="Total",SUM(K$8:K663)+0.0001,IF(OR(B664="",J664&lt;&gt;0),0,VLOOKUP(A664,Journal!$B$7:M$84,8)))</f>
        <v>0</v>
      </c>
      <c r="L664" s="87">
        <f t="shared" si="70"/>
        <v>0</v>
      </c>
      <c r="P664">
        <f t="shared" si="73"/>
        <v>1.0000000000000001E-5</v>
      </c>
      <c r="R664" s="15">
        <f t="shared" si="74"/>
        <v>657</v>
      </c>
      <c r="S664" s="126">
        <f>IF(VLOOKUP(A664,Journal!$A$7:$E$70,5)=0,S663+1,VLOOKUP(A664,Journal!$A$7:$E$70,5))</f>
        <v>46314</v>
      </c>
      <c r="T664" s="125">
        <f>IF(H$2=VLOOKUP(A664,Journal!$A$7:$F$70,6),VLOOKUP(A664,Journal!$A$7:M$70,9),0)</f>
        <v>0</v>
      </c>
      <c r="U664" s="125">
        <f>IF(H$2=VLOOKUP(A664,Journal!$A$7:$G$70,7),VLOOKUP(A664,Journal!$A$7:M$70,9),0)</f>
        <v>0</v>
      </c>
      <c r="V664" s="125">
        <f t="shared" si="75"/>
        <v>40</v>
      </c>
      <c r="X664">
        <f t="shared" si="72"/>
        <v>0</v>
      </c>
      <c r="Y664" s="143">
        <f t="shared" si="71"/>
        <v>-982.78947368423792</v>
      </c>
    </row>
    <row r="665" spans="1:25" x14ac:dyDescent="0.25">
      <c r="A665">
        <f t="shared" si="76"/>
        <v>658</v>
      </c>
      <c r="B665" s="88" t="str">
        <f>IF(OR(B664="Total",B664=""),"",IF(VLOOKUP(A665,Journal!$B$7:$E$84,4)=0,"Total",VLOOKUP(A665,Journal!$B$7:$D$84,3)))</f>
        <v/>
      </c>
      <c r="C665" s="86" t="str">
        <f>IF(B665="","",VLOOKUP(A665,Journal!$B$7:$E$84,4))</f>
        <v/>
      </c>
      <c r="D665" s="114" t="str">
        <f>IF(B665="","",VLOOKUP(A665,Journal!$B$7:$J$84,9))</f>
        <v/>
      </c>
      <c r="E665" s="116"/>
      <c r="F665" s="116"/>
      <c r="G665" s="115"/>
      <c r="H665" s="84" t="str">
        <f>IF(B665="","",VLOOKUP(A665,Journal!$B$7:$L$84,11))</f>
        <v/>
      </c>
      <c r="I665" s="84" t="str">
        <f>IF(B665="","",VLOOKUP(A665,Journal!$B$7:$M$84,12))</f>
        <v/>
      </c>
      <c r="J665" s="105">
        <f>IF(B665="Total",SUM(J$8:J664)+0.0001,IF(OR(B665="",I$2=I665),0,VLOOKUP(A665,Journal!$B$7:M$84,8)))</f>
        <v>0</v>
      </c>
      <c r="K665" s="102">
        <f>IF(B665="Total",SUM(K$8:K664)+0.0001,IF(OR(B665="",J665&lt;&gt;0),0,VLOOKUP(A665,Journal!$B$7:M$84,8)))</f>
        <v>0</v>
      </c>
      <c r="L665" s="87">
        <f t="shared" si="70"/>
        <v>0</v>
      </c>
      <c r="P665">
        <f t="shared" si="73"/>
        <v>1.0000000000000001E-5</v>
      </c>
      <c r="R665" s="15">
        <f t="shared" si="74"/>
        <v>658</v>
      </c>
      <c r="S665" s="126">
        <f>IF(VLOOKUP(A665,Journal!$A$7:$E$70,5)=0,S664+1,VLOOKUP(A665,Journal!$A$7:$E$70,5))</f>
        <v>46315</v>
      </c>
      <c r="T665" s="125">
        <f>IF(H$2=VLOOKUP(A665,Journal!$A$7:$F$70,6),VLOOKUP(A665,Journal!$A$7:M$70,9),0)</f>
        <v>0</v>
      </c>
      <c r="U665" s="125">
        <f>IF(H$2=VLOOKUP(A665,Journal!$A$7:$G$70,7),VLOOKUP(A665,Journal!$A$7:M$70,9),0)</f>
        <v>0</v>
      </c>
      <c r="V665" s="125">
        <f t="shared" si="75"/>
        <v>40</v>
      </c>
      <c r="X665">
        <f t="shared" si="72"/>
        <v>0</v>
      </c>
      <c r="Y665" s="143">
        <f t="shared" si="71"/>
        <v>-982.76315789476428</v>
      </c>
    </row>
    <row r="666" spans="1:25" x14ac:dyDescent="0.25">
      <c r="A666">
        <f t="shared" si="76"/>
        <v>659</v>
      </c>
      <c r="B666" s="88" t="str">
        <f>IF(OR(B665="Total",B665=""),"",IF(VLOOKUP(A666,Journal!$B$7:$E$84,4)=0,"Total",VLOOKUP(A666,Journal!$B$7:$D$84,3)))</f>
        <v/>
      </c>
      <c r="C666" s="86" t="str">
        <f>IF(B666="","",VLOOKUP(A666,Journal!$B$7:$E$84,4))</f>
        <v/>
      </c>
      <c r="D666" s="114" t="str">
        <f>IF(B666="","",VLOOKUP(A666,Journal!$B$7:$J$84,9))</f>
        <v/>
      </c>
      <c r="E666" s="116"/>
      <c r="F666" s="116"/>
      <c r="G666" s="115"/>
      <c r="H666" s="84" t="str">
        <f>IF(B666="","",VLOOKUP(A666,Journal!$B$7:$L$84,11))</f>
        <v/>
      </c>
      <c r="I666" s="84" t="str">
        <f>IF(B666="","",VLOOKUP(A666,Journal!$B$7:$M$84,12))</f>
        <v/>
      </c>
      <c r="J666" s="105">
        <f>IF(B666="Total",SUM(J$8:J665)+0.0001,IF(OR(B666="",I$2=I666),0,VLOOKUP(A666,Journal!$B$7:M$84,8)))</f>
        <v>0</v>
      </c>
      <c r="K666" s="102">
        <f>IF(B666="Total",SUM(K$8:K665)+0.0001,IF(OR(B666="",J666&lt;&gt;0),0,VLOOKUP(A666,Journal!$B$7:M$84,8)))</f>
        <v>0</v>
      </c>
      <c r="L666" s="87">
        <f t="shared" si="70"/>
        <v>0</v>
      </c>
      <c r="P666">
        <f t="shared" si="73"/>
        <v>1.0000000000000001E-5</v>
      </c>
      <c r="R666" s="15">
        <f t="shared" si="74"/>
        <v>659</v>
      </c>
      <c r="S666" s="126">
        <f>IF(VLOOKUP(A666,Journal!$A$7:$E$70,5)=0,S665+1,VLOOKUP(A666,Journal!$A$7:$E$70,5))</f>
        <v>46316</v>
      </c>
      <c r="T666" s="125">
        <f>IF(H$2=VLOOKUP(A666,Journal!$A$7:$F$70,6),VLOOKUP(A666,Journal!$A$7:M$70,9),0)</f>
        <v>0</v>
      </c>
      <c r="U666" s="125">
        <f>IF(H$2=VLOOKUP(A666,Journal!$A$7:$G$70,7),VLOOKUP(A666,Journal!$A$7:M$70,9),0)</f>
        <v>0</v>
      </c>
      <c r="V666" s="125">
        <f t="shared" si="75"/>
        <v>40</v>
      </c>
      <c r="X666">
        <f t="shared" si="72"/>
        <v>0</v>
      </c>
      <c r="Y666" s="143">
        <f t="shared" si="71"/>
        <v>-982.73684210529063</v>
      </c>
    </row>
    <row r="667" spans="1:25" x14ac:dyDescent="0.25">
      <c r="A667">
        <f t="shared" si="76"/>
        <v>660</v>
      </c>
      <c r="B667" s="88" t="str">
        <f>IF(OR(B666="Total",B666=""),"",IF(VLOOKUP(A667,Journal!$B$7:$E$84,4)=0,"Total",VLOOKUP(A667,Journal!$B$7:$D$84,3)))</f>
        <v/>
      </c>
      <c r="C667" s="86" t="str">
        <f>IF(B667="","",VLOOKUP(A667,Journal!$B$7:$E$84,4))</f>
        <v/>
      </c>
      <c r="D667" s="114" t="str">
        <f>IF(B667="","",VLOOKUP(A667,Journal!$B$7:$J$84,9))</f>
        <v/>
      </c>
      <c r="E667" s="116"/>
      <c r="F667" s="116"/>
      <c r="G667" s="115"/>
      <c r="H667" s="84" t="str">
        <f>IF(B667="","",VLOOKUP(A667,Journal!$B$7:$L$84,11))</f>
        <v/>
      </c>
      <c r="I667" s="84" t="str">
        <f>IF(B667="","",VLOOKUP(A667,Journal!$B$7:$M$84,12))</f>
        <v/>
      </c>
      <c r="J667" s="105">
        <f>IF(B667="Total",SUM(J$8:J666)+0.0001,IF(OR(B667="",I$2=I667),0,VLOOKUP(A667,Journal!$B$7:M$84,8)))</f>
        <v>0</v>
      </c>
      <c r="K667" s="102">
        <f>IF(B667="Total",SUM(K$8:K666)+0.0001,IF(OR(B667="",J667&lt;&gt;0),0,VLOOKUP(A667,Journal!$B$7:M$84,8)))</f>
        <v>0</v>
      </c>
      <c r="L667" s="87">
        <f t="shared" si="70"/>
        <v>0</v>
      </c>
      <c r="P667">
        <f t="shared" si="73"/>
        <v>1.0000000000000001E-5</v>
      </c>
      <c r="R667" s="15">
        <f t="shared" si="74"/>
        <v>660</v>
      </c>
      <c r="S667" s="126">
        <f>IF(VLOOKUP(A667,Journal!$A$7:$E$70,5)=0,S666+1,VLOOKUP(A667,Journal!$A$7:$E$70,5))</f>
        <v>46317</v>
      </c>
      <c r="T667" s="125">
        <f>IF(H$2=VLOOKUP(A667,Journal!$A$7:$F$70,6),VLOOKUP(A667,Journal!$A$7:M$70,9),0)</f>
        <v>0</v>
      </c>
      <c r="U667" s="125">
        <f>IF(H$2=VLOOKUP(A667,Journal!$A$7:$G$70,7),VLOOKUP(A667,Journal!$A$7:M$70,9),0)</f>
        <v>0</v>
      </c>
      <c r="V667" s="125">
        <f t="shared" si="75"/>
        <v>40</v>
      </c>
      <c r="X667">
        <f t="shared" si="72"/>
        <v>0</v>
      </c>
      <c r="Y667" s="143">
        <f t="shared" si="71"/>
        <v>-982.71052631581699</v>
      </c>
    </row>
    <row r="668" spans="1:25" x14ac:dyDescent="0.25">
      <c r="A668">
        <f t="shared" si="76"/>
        <v>661</v>
      </c>
      <c r="B668" s="88" t="str">
        <f>IF(OR(B667="Total",B667=""),"",IF(VLOOKUP(A668,Journal!$B$7:$E$84,4)=0,"Total",VLOOKUP(A668,Journal!$B$7:$D$84,3)))</f>
        <v/>
      </c>
      <c r="C668" s="86" t="str">
        <f>IF(B668="","",VLOOKUP(A668,Journal!$B$7:$E$84,4))</f>
        <v/>
      </c>
      <c r="D668" s="114" t="str">
        <f>IF(B668="","",VLOOKUP(A668,Journal!$B$7:$J$84,9))</f>
        <v/>
      </c>
      <c r="E668" s="116"/>
      <c r="F668" s="116"/>
      <c r="G668" s="115"/>
      <c r="H668" s="84" t="str">
        <f>IF(B668="","",VLOOKUP(A668,Journal!$B$7:$L$84,11))</f>
        <v/>
      </c>
      <c r="I668" s="84" t="str">
        <f>IF(B668="","",VLOOKUP(A668,Journal!$B$7:$M$84,12))</f>
        <v/>
      </c>
      <c r="J668" s="105">
        <f>IF(B668="Total",SUM(J$8:J667)+0.0001,IF(OR(B668="",I$2=I668),0,VLOOKUP(A668,Journal!$B$7:M$84,8)))</f>
        <v>0</v>
      </c>
      <c r="K668" s="102">
        <f>IF(B668="Total",SUM(K$8:K667)+0.0001,IF(OR(B668="",J668&lt;&gt;0),0,VLOOKUP(A668,Journal!$B$7:M$84,8)))</f>
        <v>0</v>
      </c>
      <c r="L668" s="87">
        <f t="shared" si="70"/>
        <v>0</v>
      </c>
      <c r="P668">
        <f t="shared" si="73"/>
        <v>1.0000000000000001E-5</v>
      </c>
      <c r="R668" s="15">
        <f t="shared" si="74"/>
        <v>661</v>
      </c>
      <c r="S668" s="126">
        <f>IF(VLOOKUP(A668,Journal!$A$7:$E$70,5)=0,S667+1,VLOOKUP(A668,Journal!$A$7:$E$70,5))</f>
        <v>46318</v>
      </c>
      <c r="T668" s="125">
        <f>IF(H$2=VLOOKUP(A668,Journal!$A$7:$F$70,6),VLOOKUP(A668,Journal!$A$7:M$70,9),0)</f>
        <v>0</v>
      </c>
      <c r="U668" s="125">
        <f>IF(H$2=VLOOKUP(A668,Journal!$A$7:$G$70,7),VLOOKUP(A668,Journal!$A$7:M$70,9),0)</f>
        <v>0</v>
      </c>
      <c r="V668" s="125">
        <f t="shared" si="75"/>
        <v>40</v>
      </c>
      <c r="X668">
        <f t="shared" si="72"/>
        <v>0</v>
      </c>
      <c r="Y668" s="143">
        <f t="shared" si="71"/>
        <v>-982.68421052634335</v>
      </c>
    </row>
    <row r="669" spans="1:25" x14ac:dyDescent="0.25">
      <c r="A669">
        <f t="shared" si="76"/>
        <v>662</v>
      </c>
      <c r="B669" s="88" t="str">
        <f>IF(OR(B668="Total",B668=""),"",IF(VLOOKUP(A669,Journal!$B$7:$E$84,4)=0,"Total",VLOOKUP(A669,Journal!$B$7:$D$84,3)))</f>
        <v/>
      </c>
      <c r="C669" s="86" t="str">
        <f>IF(B669="","",VLOOKUP(A669,Journal!$B$7:$E$84,4))</f>
        <v/>
      </c>
      <c r="D669" s="114" t="str">
        <f>IF(B669="","",VLOOKUP(A669,Journal!$B$7:$J$84,9))</f>
        <v/>
      </c>
      <c r="E669" s="116"/>
      <c r="F669" s="116"/>
      <c r="G669" s="115"/>
      <c r="H669" s="84" t="str">
        <f>IF(B669="","",VLOOKUP(A669,Journal!$B$7:$L$84,11))</f>
        <v/>
      </c>
      <c r="I669" s="84" t="str">
        <f>IF(B669="","",VLOOKUP(A669,Journal!$B$7:$M$84,12))</f>
        <v/>
      </c>
      <c r="J669" s="105">
        <f>IF(B669="Total",SUM(J$8:J668)+0.0001,IF(OR(B669="",I$2=I669),0,VLOOKUP(A669,Journal!$B$7:M$84,8)))</f>
        <v>0</v>
      </c>
      <c r="K669" s="102">
        <f>IF(B669="Total",SUM(K$8:K668)+0.0001,IF(OR(B669="",J669&lt;&gt;0),0,VLOOKUP(A669,Journal!$B$7:M$84,8)))</f>
        <v>0</v>
      </c>
      <c r="L669" s="87">
        <f t="shared" si="70"/>
        <v>0</v>
      </c>
      <c r="P669">
        <f t="shared" si="73"/>
        <v>1.0000000000000001E-5</v>
      </c>
      <c r="R669" s="15">
        <f t="shared" si="74"/>
        <v>662</v>
      </c>
      <c r="S669" s="126">
        <f>IF(VLOOKUP(A669,Journal!$A$7:$E$70,5)=0,S668+1,VLOOKUP(A669,Journal!$A$7:$E$70,5))</f>
        <v>46319</v>
      </c>
      <c r="T669" s="125">
        <f>IF(H$2=VLOOKUP(A669,Journal!$A$7:$F$70,6),VLOOKUP(A669,Journal!$A$7:M$70,9),0)</f>
        <v>0</v>
      </c>
      <c r="U669" s="125">
        <f>IF(H$2=VLOOKUP(A669,Journal!$A$7:$G$70,7),VLOOKUP(A669,Journal!$A$7:M$70,9),0)</f>
        <v>0</v>
      </c>
      <c r="V669" s="125">
        <f t="shared" si="75"/>
        <v>40</v>
      </c>
      <c r="X669">
        <f t="shared" si="72"/>
        <v>0</v>
      </c>
      <c r="Y669" s="143">
        <f t="shared" si="71"/>
        <v>-982.65789473686971</v>
      </c>
    </row>
    <row r="670" spans="1:25" x14ac:dyDescent="0.25">
      <c r="A670">
        <f t="shared" si="76"/>
        <v>663</v>
      </c>
      <c r="B670" s="88" t="str">
        <f>IF(OR(B669="Total",B669=""),"",IF(VLOOKUP(A670,Journal!$B$7:$E$84,4)=0,"Total",VLOOKUP(A670,Journal!$B$7:$D$84,3)))</f>
        <v/>
      </c>
      <c r="C670" s="86" t="str">
        <f>IF(B670="","",VLOOKUP(A670,Journal!$B$7:$E$84,4))</f>
        <v/>
      </c>
      <c r="D670" s="114" t="str">
        <f>IF(B670="","",VLOOKUP(A670,Journal!$B$7:$J$84,9))</f>
        <v/>
      </c>
      <c r="E670" s="116"/>
      <c r="F670" s="116"/>
      <c r="G670" s="115"/>
      <c r="H670" s="84" t="str">
        <f>IF(B670="","",VLOOKUP(A670,Journal!$B$7:$L$84,11))</f>
        <v/>
      </c>
      <c r="I670" s="84" t="str">
        <f>IF(B670="","",VLOOKUP(A670,Journal!$B$7:$M$84,12))</f>
        <v/>
      </c>
      <c r="J670" s="105">
        <f>IF(B670="Total",SUM(J$8:J669)+0.0001,IF(OR(B670="",I$2=I670),0,VLOOKUP(A670,Journal!$B$7:M$84,8)))</f>
        <v>0</v>
      </c>
      <c r="K670" s="102">
        <f>IF(B670="Total",SUM(K$8:K669)+0.0001,IF(OR(B670="",J670&lt;&gt;0),0,VLOOKUP(A670,Journal!$B$7:M$84,8)))</f>
        <v>0</v>
      </c>
      <c r="L670" s="87">
        <f t="shared" si="70"/>
        <v>0</v>
      </c>
      <c r="P670">
        <f t="shared" si="73"/>
        <v>1.0000000000000001E-5</v>
      </c>
      <c r="R670" s="15">
        <f t="shared" si="74"/>
        <v>663</v>
      </c>
      <c r="S670" s="126">
        <f>IF(VLOOKUP(A670,Journal!$A$7:$E$70,5)=0,S669+1,VLOOKUP(A670,Journal!$A$7:$E$70,5))</f>
        <v>46320</v>
      </c>
      <c r="T670" s="125">
        <f>IF(H$2=VLOOKUP(A670,Journal!$A$7:$F$70,6),VLOOKUP(A670,Journal!$A$7:M$70,9),0)</f>
        <v>0</v>
      </c>
      <c r="U670" s="125">
        <f>IF(H$2=VLOOKUP(A670,Journal!$A$7:$G$70,7),VLOOKUP(A670,Journal!$A$7:M$70,9),0)</f>
        <v>0</v>
      </c>
      <c r="V670" s="125">
        <f t="shared" si="75"/>
        <v>40</v>
      </c>
      <c r="X670">
        <f t="shared" si="72"/>
        <v>0</v>
      </c>
      <c r="Y670" s="143">
        <f t="shared" si="71"/>
        <v>-982.63157894739606</v>
      </c>
    </row>
    <row r="671" spans="1:25" x14ac:dyDescent="0.25">
      <c r="A671">
        <f t="shared" si="76"/>
        <v>664</v>
      </c>
      <c r="B671" s="88" t="str">
        <f>IF(OR(B670="Total",B670=""),"",IF(VLOOKUP(A671,Journal!$B$7:$E$84,4)=0,"Total",VLOOKUP(A671,Journal!$B$7:$D$84,3)))</f>
        <v/>
      </c>
      <c r="C671" s="86" t="str">
        <f>IF(B671="","",VLOOKUP(A671,Journal!$B$7:$E$84,4))</f>
        <v/>
      </c>
      <c r="D671" s="114" t="str">
        <f>IF(B671="","",VLOOKUP(A671,Journal!$B$7:$J$84,9))</f>
        <v/>
      </c>
      <c r="E671" s="116"/>
      <c r="F671" s="116"/>
      <c r="G671" s="115"/>
      <c r="H671" s="84" t="str">
        <f>IF(B671="","",VLOOKUP(A671,Journal!$B$7:$L$84,11))</f>
        <v/>
      </c>
      <c r="I671" s="84" t="str">
        <f>IF(B671="","",VLOOKUP(A671,Journal!$B$7:$M$84,12))</f>
        <v/>
      </c>
      <c r="J671" s="105">
        <f>IF(B671="Total",SUM(J$8:J670)+0.0001,IF(OR(B671="",I$2=I671),0,VLOOKUP(A671,Journal!$B$7:M$84,8)))</f>
        <v>0</v>
      </c>
      <c r="K671" s="102">
        <f>IF(B671="Total",SUM(K$8:K670)+0.0001,IF(OR(B671="",J671&lt;&gt;0),0,VLOOKUP(A671,Journal!$B$7:M$84,8)))</f>
        <v>0</v>
      </c>
      <c r="L671" s="87">
        <f t="shared" si="70"/>
        <v>0</v>
      </c>
      <c r="P671">
        <f t="shared" si="73"/>
        <v>1.0000000000000001E-5</v>
      </c>
      <c r="R671" s="15">
        <f t="shared" si="74"/>
        <v>664</v>
      </c>
      <c r="S671" s="126">
        <f>IF(VLOOKUP(A671,Journal!$A$7:$E$70,5)=0,S670+1,VLOOKUP(A671,Journal!$A$7:$E$70,5))</f>
        <v>46321</v>
      </c>
      <c r="T671" s="125">
        <f>IF(H$2=VLOOKUP(A671,Journal!$A$7:$F$70,6),VLOOKUP(A671,Journal!$A$7:M$70,9),0)</f>
        <v>0</v>
      </c>
      <c r="U671" s="125">
        <f>IF(H$2=VLOOKUP(A671,Journal!$A$7:$G$70,7),VLOOKUP(A671,Journal!$A$7:M$70,9),0)</f>
        <v>0</v>
      </c>
      <c r="V671" s="125">
        <f t="shared" si="75"/>
        <v>40</v>
      </c>
      <c r="X671">
        <f t="shared" si="72"/>
        <v>0</v>
      </c>
      <c r="Y671" s="143">
        <f t="shared" si="71"/>
        <v>-982.60526315792242</v>
      </c>
    </row>
    <row r="672" spans="1:25" x14ac:dyDescent="0.25">
      <c r="A672">
        <f t="shared" si="76"/>
        <v>665</v>
      </c>
      <c r="B672" s="88" t="str">
        <f>IF(OR(B671="Total",B671=""),"",IF(VLOOKUP(A672,Journal!$B$7:$E$84,4)=0,"Total",VLOOKUP(A672,Journal!$B$7:$D$84,3)))</f>
        <v/>
      </c>
      <c r="C672" s="86" t="str">
        <f>IF(B672="","",VLOOKUP(A672,Journal!$B$7:$E$84,4))</f>
        <v/>
      </c>
      <c r="D672" s="114" t="str">
        <f>IF(B672="","",VLOOKUP(A672,Journal!$B$7:$J$84,9))</f>
        <v/>
      </c>
      <c r="E672" s="116"/>
      <c r="F672" s="116"/>
      <c r="G672" s="115"/>
      <c r="H672" s="84" t="str">
        <f>IF(B672="","",VLOOKUP(A672,Journal!$B$7:$L$84,11))</f>
        <v/>
      </c>
      <c r="I672" s="84" t="str">
        <f>IF(B672="","",VLOOKUP(A672,Journal!$B$7:$M$84,12))</f>
        <v/>
      </c>
      <c r="J672" s="105">
        <f>IF(B672="Total",SUM(J$8:J671)+0.0001,IF(OR(B672="",I$2=I672),0,VLOOKUP(A672,Journal!$B$7:M$84,8)))</f>
        <v>0</v>
      </c>
      <c r="K672" s="102">
        <f>IF(B672="Total",SUM(K$8:K671)+0.0001,IF(OR(B672="",J672&lt;&gt;0),0,VLOOKUP(A672,Journal!$B$7:M$84,8)))</f>
        <v>0</v>
      </c>
      <c r="L672" s="87">
        <f t="shared" si="70"/>
        <v>0</v>
      </c>
      <c r="P672">
        <f t="shared" si="73"/>
        <v>1.0000000000000001E-5</v>
      </c>
      <c r="R672" s="15">
        <f t="shared" si="74"/>
        <v>665</v>
      </c>
      <c r="S672" s="126">
        <f>IF(VLOOKUP(A672,Journal!$A$7:$E$70,5)=0,S671+1,VLOOKUP(A672,Journal!$A$7:$E$70,5))</f>
        <v>46322</v>
      </c>
      <c r="T672" s="125">
        <f>IF(H$2=VLOOKUP(A672,Journal!$A$7:$F$70,6),VLOOKUP(A672,Journal!$A$7:M$70,9),0)</f>
        <v>0</v>
      </c>
      <c r="U672" s="125">
        <f>IF(H$2=VLOOKUP(A672,Journal!$A$7:$G$70,7),VLOOKUP(A672,Journal!$A$7:M$70,9),0)</f>
        <v>0</v>
      </c>
      <c r="V672" s="125">
        <f t="shared" si="75"/>
        <v>40</v>
      </c>
      <c r="X672">
        <f t="shared" si="72"/>
        <v>0</v>
      </c>
      <c r="Y672" s="143">
        <f t="shared" si="71"/>
        <v>-982.57894736844878</v>
      </c>
    </row>
    <row r="673" spans="1:25" x14ac:dyDescent="0.25">
      <c r="A673">
        <f t="shared" si="76"/>
        <v>666</v>
      </c>
      <c r="B673" s="88" t="str">
        <f>IF(OR(B672="Total",B672=""),"",IF(VLOOKUP(A673,Journal!$B$7:$E$84,4)=0,"Total",VLOOKUP(A673,Journal!$B$7:$D$84,3)))</f>
        <v/>
      </c>
      <c r="C673" s="86" t="str">
        <f>IF(B673="","",VLOOKUP(A673,Journal!$B$7:$E$84,4))</f>
        <v/>
      </c>
      <c r="D673" s="114" t="str">
        <f>IF(B673="","",VLOOKUP(A673,Journal!$B$7:$J$84,9))</f>
        <v/>
      </c>
      <c r="E673" s="116"/>
      <c r="F673" s="116"/>
      <c r="G673" s="115"/>
      <c r="H673" s="84" t="str">
        <f>IF(B673="","",VLOOKUP(A673,Journal!$B$7:$L$84,11))</f>
        <v/>
      </c>
      <c r="I673" s="84" t="str">
        <f>IF(B673="","",VLOOKUP(A673,Journal!$B$7:$M$84,12))</f>
        <v/>
      </c>
      <c r="J673" s="105">
        <f>IF(B673="Total",SUM(J$8:J672)+0.0001,IF(OR(B673="",I$2=I673),0,VLOOKUP(A673,Journal!$B$7:M$84,8)))</f>
        <v>0</v>
      </c>
      <c r="K673" s="102">
        <f>IF(B673="Total",SUM(K$8:K672)+0.0001,IF(OR(B673="",J673&lt;&gt;0),0,VLOOKUP(A673,Journal!$B$7:M$84,8)))</f>
        <v>0</v>
      </c>
      <c r="L673" s="87">
        <f t="shared" si="70"/>
        <v>0</v>
      </c>
      <c r="P673">
        <f t="shared" si="73"/>
        <v>1.0000000000000001E-5</v>
      </c>
      <c r="R673" s="15">
        <f t="shared" si="74"/>
        <v>666</v>
      </c>
      <c r="S673" s="126">
        <f>IF(VLOOKUP(A673,Journal!$A$7:$E$70,5)=0,S672+1,VLOOKUP(A673,Journal!$A$7:$E$70,5))</f>
        <v>46323</v>
      </c>
      <c r="T673" s="125">
        <f>IF(H$2=VLOOKUP(A673,Journal!$A$7:$F$70,6),VLOOKUP(A673,Journal!$A$7:M$70,9),0)</f>
        <v>0</v>
      </c>
      <c r="U673" s="125">
        <f>IF(H$2=VLOOKUP(A673,Journal!$A$7:$G$70,7),VLOOKUP(A673,Journal!$A$7:M$70,9),0)</f>
        <v>0</v>
      </c>
      <c r="V673" s="125">
        <f t="shared" si="75"/>
        <v>40</v>
      </c>
      <c r="X673">
        <f t="shared" si="72"/>
        <v>0</v>
      </c>
      <c r="Y673" s="143">
        <f t="shared" si="71"/>
        <v>-982.55263157897514</v>
      </c>
    </row>
    <row r="674" spans="1:25" x14ac:dyDescent="0.25">
      <c r="A674">
        <f t="shared" si="76"/>
        <v>667</v>
      </c>
      <c r="B674" s="88" t="str">
        <f>IF(OR(B673="Total",B673=""),"",IF(VLOOKUP(A674,Journal!$B$7:$E$84,4)=0,"Total",VLOOKUP(A674,Journal!$B$7:$D$84,3)))</f>
        <v/>
      </c>
      <c r="C674" s="86" t="str">
        <f>IF(B674="","",VLOOKUP(A674,Journal!$B$7:$E$84,4))</f>
        <v/>
      </c>
      <c r="D674" s="114" t="str">
        <f>IF(B674="","",VLOOKUP(A674,Journal!$B$7:$J$84,9))</f>
        <v/>
      </c>
      <c r="E674" s="116"/>
      <c r="F674" s="116"/>
      <c r="G674" s="115"/>
      <c r="H674" s="84" t="str">
        <f>IF(B674="","",VLOOKUP(A674,Journal!$B$7:$L$84,11))</f>
        <v/>
      </c>
      <c r="I674" s="84" t="str">
        <f>IF(B674="","",VLOOKUP(A674,Journal!$B$7:$M$84,12))</f>
        <v/>
      </c>
      <c r="J674" s="105">
        <f>IF(B674="Total",SUM(J$8:J673)+0.0001,IF(OR(B674="",I$2=I674),0,VLOOKUP(A674,Journal!$B$7:M$84,8)))</f>
        <v>0</v>
      </c>
      <c r="K674" s="102">
        <f>IF(B674="Total",SUM(K$8:K673)+0.0001,IF(OR(B674="",J674&lt;&gt;0),0,VLOOKUP(A674,Journal!$B$7:M$84,8)))</f>
        <v>0</v>
      </c>
      <c r="L674" s="87">
        <f t="shared" si="70"/>
        <v>0</v>
      </c>
      <c r="P674">
        <f t="shared" si="73"/>
        <v>1.0000000000000001E-5</v>
      </c>
      <c r="R674" s="15">
        <f t="shared" si="74"/>
        <v>667</v>
      </c>
      <c r="S674" s="126">
        <f>IF(VLOOKUP(A674,Journal!$A$7:$E$70,5)=0,S673+1,VLOOKUP(A674,Journal!$A$7:$E$70,5))</f>
        <v>46324</v>
      </c>
      <c r="T674" s="125">
        <f>IF(H$2=VLOOKUP(A674,Journal!$A$7:$F$70,6),VLOOKUP(A674,Journal!$A$7:M$70,9),0)</f>
        <v>0</v>
      </c>
      <c r="U674" s="125">
        <f>IF(H$2=VLOOKUP(A674,Journal!$A$7:$G$70,7),VLOOKUP(A674,Journal!$A$7:M$70,9),0)</f>
        <v>0</v>
      </c>
      <c r="V674" s="125">
        <f t="shared" si="75"/>
        <v>40</v>
      </c>
      <c r="X674">
        <f t="shared" si="72"/>
        <v>0</v>
      </c>
      <c r="Y674" s="143">
        <f t="shared" si="71"/>
        <v>-982.5263157895015</v>
      </c>
    </row>
    <row r="675" spans="1:25" x14ac:dyDescent="0.25">
      <c r="A675">
        <f t="shared" si="76"/>
        <v>668</v>
      </c>
      <c r="B675" s="88" t="str">
        <f>IF(OR(B674="Total",B674=""),"",IF(VLOOKUP(A675,Journal!$B$7:$E$84,4)=0,"Total",VLOOKUP(A675,Journal!$B$7:$D$84,3)))</f>
        <v/>
      </c>
      <c r="C675" s="86" t="str">
        <f>IF(B675="","",VLOOKUP(A675,Journal!$B$7:$E$84,4))</f>
        <v/>
      </c>
      <c r="D675" s="114" t="str">
        <f>IF(B675="","",VLOOKUP(A675,Journal!$B$7:$J$84,9))</f>
        <v/>
      </c>
      <c r="E675" s="116"/>
      <c r="F675" s="116"/>
      <c r="G675" s="115"/>
      <c r="H675" s="84" t="str">
        <f>IF(B675="","",VLOOKUP(A675,Journal!$B$7:$L$84,11))</f>
        <v/>
      </c>
      <c r="I675" s="84" t="str">
        <f>IF(B675="","",VLOOKUP(A675,Journal!$B$7:$M$84,12))</f>
        <v/>
      </c>
      <c r="J675" s="105">
        <f>IF(B675="Total",SUM(J$8:J674)+0.0001,IF(OR(B675="",I$2=I675),0,VLOOKUP(A675,Journal!$B$7:M$84,8)))</f>
        <v>0</v>
      </c>
      <c r="K675" s="102">
        <f>IF(B675="Total",SUM(K$8:K674)+0.0001,IF(OR(B675="",J675&lt;&gt;0),0,VLOOKUP(A675,Journal!$B$7:M$84,8)))</f>
        <v>0</v>
      </c>
      <c r="L675" s="87">
        <f t="shared" si="70"/>
        <v>0</v>
      </c>
      <c r="P675">
        <f t="shared" si="73"/>
        <v>1.0000000000000001E-5</v>
      </c>
      <c r="R675" s="15">
        <f t="shared" si="74"/>
        <v>668</v>
      </c>
      <c r="S675" s="126">
        <f>IF(VLOOKUP(A675,Journal!$A$7:$E$70,5)=0,S674+1,VLOOKUP(A675,Journal!$A$7:$E$70,5))</f>
        <v>46325</v>
      </c>
      <c r="T675" s="125">
        <f>IF(H$2=VLOOKUP(A675,Journal!$A$7:$F$70,6),VLOOKUP(A675,Journal!$A$7:M$70,9),0)</f>
        <v>0</v>
      </c>
      <c r="U675" s="125">
        <f>IF(H$2=VLOOKUP(A675,Journal!$A$7:$G$70,7),VLOOKUP(A675,Journal!$A$7:M$70,9),0)</f>
        <v>0</v>
      </c>
      <c r="V675" s="125">
        <f t="shared" si="75"/>
        <v>40</v>
      </c>
      <c r="X675">
        <f t="shared" si="72"/>
        <v>0</v>
      </c>
      <c r="Y675" s="143">
        <f t="shared" si="71"/>
        <v>-982.50000000002785</v>
      </c>
    </row>
    <row r="676" spans="1:25" x14ac:dyDescent="0.25">
      <c r="A676">
        <f t="shared" si="76"/>
        <v>669</v>
      </c>
      <c r="B676" s="88" t="str">
        <f>IF(OR(B675="Total",B675=""),"",IF(VLOOKUP(A676,Journal!$B$7:$E$84,4)=0,"Total",VLOOKUP(A676,Journal!$B$7:$D$84,3)))</f>
        <v/>
      </c>
      <c r="C676" s="86" t="str">
        <f>IF(B676="","",VLOOKUP(A676,Journal!$B$7:$E$84,4))</f>
        <v/>
      </c>
      <c r="D676" s="114" t="str">
        <f>IF(B676="","",VLOOKUP(A676,Journal!$B$7:$J$84,9))</f>
        <v/>
      </c>
      <c r="E676" s="116"/>
      <c r="F676" s="116"/>
      <c r="G676" s="115"/>
      <c r="H676" s="84" t="str">
        <f>IF(B676="","",VLOOKUP(A676,Journal!$B$7:$L$84,11))</f>
        <v/>
      </c>
      <c r="I676" s="84" t="str">
        <f>IF(B676="","",VLOOKUP(A676,Journal!$B$7:$M$84,12))</f>
        <v/>
      </c>
      <c r="J676" s="105">
        <f>IF(B676="Total",SUM(J$8:J675)+0.0001,IF(OR(B676="",I$2=I676),0,VLOOKUP(A676,Journal!$B$7:M$84,8)))</f>
        <v>0</v>
      </c>
      <c r="K676" s="102">
        <f>IF(B676="Total",SUM(K$8:K675)+0.0001,IF(OR(B676="",J676&lt;&gt;0),0,VLOOKUP(A676,Journal!$B$7:M$84,8)))</f>
        <v>0</v>
      </c>
      <c r="L676" s="87">
        <f t="shared" si="70"/>
        <v>0</v>
      </c>
      <c r="P676">
        <f t="shared" si="73"/>
        <v>1.0000000000000001E-5</v>
      </c>
      <c r="R676" s="15">
        <f t="shared" si="74"/>
        <v>669</v>
      </c>
      <c r="S676" s="126">
        <f>IF(VLOOKUP(A676,Journal!$A$7:$E$70,5)=0,S675+1,VLOOKUP(A676,Journal!$A$7:$E$70,5))</f>
        <v>46326</v>
      </c>
      <c r="T676" s="125">
        <f>IF(H$2=VLOOKUP(A676,Journal!$A$7:$F$70,6),VLOOKUP(A676,Journal!$A$7:M$70,9),0)</f>
        <v>0</v>
      </c>
      <c r="U676" s="125">
        <f>IF(H$2=VLOOKUP(A676,Journal!$A$7:$G$70,7),VLOOKUP(A676,Journal!$A$7:M$70,9),0)</f>
        <v>0</v>
      </c>
      <c r="V676" s="125">
        <f t="shared" si="75"/>
        <v>40</v>
      </c>
      <c r="X676">
        <f t="shared" si="72"/>
        <v>0</v>
      </c>
      <c r="Y676" s="143">
        <f t="shared" si="71"/>
        <v>-982.47368421055421</v>
      </c>
    </row>
    <row r="677" spans="1:25" x14ac:dyDescent="0.25">
      <c r="A677">
        <f t="shared" si="76"/>
        <v>670</v>
      </c>
      <c r="B677" s="88" t="str">
        <f>IF(OR(B676="Total",B676=""),"",IF(VLOOKUP(A677,Journal!$B$7:$E$84,4)=0,"Total",VLOOKUP(A677,Journal!$B$7:$D$84,3)))</f>
        <v/>
      </c>
      <c r="C677" s="86" t="str">
        <f>IF(B677="","",VLOOKUP(A677,Journal!$B$7:$E$84,4))</f>
        <v/>
      </c>
      <c r="D677" s="114" t="str">
        <f>IF(B677="","",VLOOKUP(A677,Journal!$B$7:$J$84,9))</f>
        <v/>
      </c>
      <c r="E677" s="116"/>
      <c r="F677" s="116"/>
      <c r="G677" s="115"/>
      <c r="H677" s="84" t="str">
        <f>IF(B677="","",VLOOKUP(A677,Journal!$B$7:$L$84,11))</f>
        <v/>
      </c>
      <c r="I677" s="84" t="str">
        <f>IF(B677="","",VLOOKUP(A677,Journal!$B$7:$M$84,12))</f>
        <v/>
      </c>
      <c r="J677" s="105">
        <f>IF(B677="Total",SUM(J$8:J676)+0.0001,IF(OR(B677="",I$2=I677),0,VLOOKUP(A677,Journal!$B$7:M$84,8)))</f>
        <v>0</v>
      </c>
      <c r="K677" s="102">
        <f>IF(B677="Total",SUM(K$8:K676)+0.0001,IF(OR(B677="",J677&lt;&gt;0),0,VLOOKUP(A677,Journal!$B$7:M$84,8)))</f>
        <v>0</v>
      </c>
      <c r="L677" s="87">
        <f t="shared" si="70"/>
        <v>0</v>
      </c>
      <c r="P677">
        <f t="shared" si="73"/>
        <v>1.0000000000000001E-5</v>
      </c>
      <c r="R677" s="15">
        <f t="shared" si="74"/>
        <v>670</v>
      </c>
      <c r="S677" s="126">
        <f>IF(VLOOKUP(A677,Journal!$A$7:$E$70,5)=0,S676+1,VLOOKUP(A677,Journal!$A$7:$E$70,5))</f>
        <v>46327</v>
      </c>
      <c r="T677" s="125">
        <f>IF(H$2=VLOOKUP(A677,Journal!$A$7:$F$70,6),VLOOKUP(A677,Journal!$A$7:M$70,9),0)</f>
        <v>0</v>
      </c>
      <c r="U677" s="125">
        <f>IF(H$2=VLOOKUP(A677,Journal!$A$7:$G$70,7),VLOOKUP(A677,Journal!$A$7:M$70,9),0)</f>
        <v>0</v>
      </c>
      <c r="V677" s="125">
        <f t="shared" si="75"/>
        <v>40</v>
      </c>
      <c r="X677">
        <f t="shared" si="72"/>
        <v>0</v>
      </c>
      <c r="Y677" s="143">
        <f t="shared" si="71"/>
        <v>-982.44736842108057</v>
      </c>
    </row>
    <row r="678" spans="1:25" x14ac:dyDescent="0.25">
      <c r="A678">
        <f t="shared" si="76"/>
        <v>671</v>
      </c>
      <c r="B678" s="88" t="str">
        <f>IF(OR(B677="Total",B677=""),"",IF(VLOOKUP(A678,Journal!$B$7:$E$84,4)=0,"Total",VLOOKUP(A678,Journal!$B$7:$D$84,3)))</f>
        <v/>
      </c>
      <c r="C678" s="86" t="str">
        <f>IF(B678="","",VLOOKUP(A678,Journal!$B$7:$E$84,4))</f>
        <v/>
      </c>
      <c r="D678" s="114" t="str">
        <f>IF(B678="","",VLOOKUP(A678,Journal!$B$7:$J$84,9))</f>
        <v/>
      </c>
      <c r="E678" s="116"/>
      <c r="F678" s="116"/>
      <c r="G678" s="115"/>
      <c r="H678" s="84" t="str">
        <f>IF(B678="","",VLOOKUP(A678,Journal!$B$7:$L$84,11))</f>
        <v/>
      </c>
      <c r="I678" s="84" t="str">
        <f>IF(B678="","",VLOOKUP(A678,Journal!$B$7:$M$84,12))</f>
        <v/>
      </c>
      <c r="J678" s="105">
        <f>IF(B678="Total",SUM(J$8:J677)+0.0001,IF(OR(B678="",I$2=I678),0,VLOOKUP(A678,Journal!$B$7:M$84,8)))</f>
        <v>0</v>
      </c>
      <c r="K678" s="102">
        <f>IF(B678="Total",SUM(K$8:K677)+0.0001,IF(OR(B678="",J678&lt;&gt;0),0,VLOOKUP(A678,Journal!$B$7:M$84,8)))</f>
        <v>0</v>
      </c>
      <c r="L678" s="87">
        <f t="shared" si="70"/>
        <v>0</v>
      </c>
      <c r="P678">
        <f t="shared" si="73"/>
        <v>1.0000000000000001E-5</v>
      </c>
      <c r="R678" s="15">
        <f t="shared" si="74"/>
        <v>671</v>
      </c>
      <c r="S678" s="126">
        <f>IF(VLOOKUP(A678,Journal!$A$7:$E$70,5)=0,S677+1,VLOOKUP(A678,Journal!$A$7:$E$70,5))</f>
        <v>46328</v>
      </c>
      <c r="T678" s="125">
        <f>IF(H$2=VLOOKUP(A678,Journal!$A$7:$F$70,6),VLOOKUP(A678,Journal!$A$7:M$70,9),0)</f>
        <v>0</v>
      </c>
      <c r="U678" s="125">
        <f>IF(H$2=VLOOKUP(A678,Journal!$A$7:$G$70,7),VLOOKUP(A678,Journal!$A$7:M$70,9),0)</f>
        <v>0</v>
      </c>
      <c r="V678" s="125">
        <f t="shared" si="75"/>
        <v>40</v>
      </c>
      <c r="X678">
        <f t="shared" si="72"/>
        <v>0</v>
      </c>
      <c r="Y678" s="143">
        <f t="shared" si="71"/>
        <v>-982.42105263160693</v>
      </c>
    </row>
    <row r="679" spans="1:25" x14ac:dyDescent="0.25">
      <c r="A679">
        <f t="shared" si="76"/>
        <v>672</v>
      </c>
      <c r="B679" s="88" t="str">
        <f>IF(OR(B678="Total",B678=""),"",IF(VLOOKUP(A679,Journal!$B$7:$E$84,4)=0,"Total",VLOOKUP(A679,Journal!$B$7:$D$84,3)))</f>
        <v/>
      </c>
      <c r="C679" s="86" t="str">
        <f>IF(B679="","",VLOOKUP(A679,Journal!$B$7:$E$84,4))</f>
        <v/>
      </c>
      <c r="D679" s="114" t="str">
        <f>IF(B679="","",VLOOKUP(A679,Journal!$B$7:$J$84,9))</f>
        <v/>
      </c>
      <c r="E679" s="116"/>
      <c r="F679" s="116"/>
      <c r="G679" s="115"/>
      <c r="H679" s="84" t="str">
        <f>IF(B679="","",VLOOKUP(A679,Journal!$B$7:$L$84,11))</f>
        <v/>
      </c>
      <c r="I679" s="84" t="str">
        <f>IF(B679="","",VLOOKUP(A679,Journal!$B$7:$M$84,12))</f>
        <v/>
      </c>
      <c r="J679" s="105">
        <f>IF(B679="Total",SUM(J$8:J678)+0.0001,IF(OR(B679="",I$2=I679),0,VLOOKUP(A679,Journal!$B$7:M$84,8)))</f>
        <v>0</v>
      </c>
      <c r="K679" s="102">
        <f>IF(B679="Total",SUM(K$8:K678)+0.0001,IF(OR(B679="",J679&lt;&gt;0),0,VLOOKUP(A679,Journal!$B$7:M$84,8)))</f>
        <v>0</v>
      </c>
      <c r="L679" s="87">
        <f t="shared" si="70"/>
        <v>0</v>
      </c>
      <c r="P679">
        <f t="shared" si="73"/>
        <v>1.0000000000000001E-5</v>
      </c>
      <c r="R679" s="15">
        <f t="shared" si="74"/>
        <v>672</v>
      </c>
      <c r="S679" s="126">
        <f>IF(VLOOKUP(A679,Journal!$A$7:$E$70,5)=0,S678+1,VLOOKUP(A679,Journal!$A$7:$E$70,5))</f>
        <v>46329</v>
      </c>
      <c r="T679" s="125">
        <f>IF(H$2=VLOOKUP(A679,Journal!$A$7:$F$70,6),VLOOKUP(A679,Journal!$A$7:M$70,9),0)</f>
        <v>0</v>
      </c>
      <c r="U679" s="125">
        <f>IF(H$2=VLOOKUP(A679,Journal!$A$7:$G$70,7),VLOOKUP(A679,Journal!$A$7:M$70,9),0)</f>
        <v>0</v>
      </c>
      <c r="V679" s="125">
        <f t="shared" si="75"/>
        <v>40</v>
      </c>
      <c r="X679">
        <f t="shared" si="72"/>
        <v>0</v>
      </c>
      <c r="Y679" s="143">
        <f t="shared" si="71"/>
        <v>-982.39473684213328</v>
      </c>
    </row>
    <row r="680" spans="1:25" x14ac:dyDescent="0.25">
      <c r="A680">
        <f t="shared" si="76"/>
        <v>673</v>
      </c>
      <c r="B680" s="88" t="str">
        <f>IF(OR(B679="Total",B679=""),"",IF(VLOOKUP(A680,Journal!$B$7:$E$84,4)=0,"Total",VLOOKUP(A680,Journal!$B$7:$D$84,3)))</f>
        <v/>
      </c>
      <c r="C680" s="86" t="str">
        <f>IF(B680="","",VLOOKUP(A680,Journal!$B$7:$E$84,4))</f>
        <v/>
      </c>
      <c r="D680" s="114" t="str">
        <f>IF(B680="","",VLOOKUP(A680,Journal!$B$7:$J$84,9))</f>
        <v/>
      </c>
      <c r="E680" s="116"/>
      <c r="F680" s="116"/>
      <c r="G680" s="115"/>
      <c r="H680" s="84" t="str">
        <f>IF(B680="","",VLOOKUP(A680,Journal!$B$7:$L$84,11))</f>
        <v/>
      </c>
      <c r="I680" s="84" t="str">
        <f>IF(B680="","",VLOOKUP(A680,Journal!$B$7:$M$84,12))</f>
        <v/>
      </c>
      <c r="J680" s="105">
        <f>IF(B680="Total",SUM(J$8:J679)+0.0001,IF(OR(B680="",I$2=I680),0,VLOOKUP(A680,Journal!$B$7:M$84,8)))</f>
        <v>0</v>
      </c>
      <c r="K680" s="102">
        <f>IF(B680="Total",SUM(K$8:K679)+0.0001,IF(OR(B680="",J680&lt;&gt;0),0,VLOOKUP(A680,Journal!$B$7:M$84,8)))</f>
        <v>0</v>
      </c>
      <c r="L680" s="87">
        <f t="shared" si="70"/>
        <v>0</v>
      </c>
      <c r="P680">
        <f t="shared" si="73"/>
        <v>1.0000000000000001E-5</v>
      </c>
      <c r="R680" s="15">
        <f t="shared" si="74"/>
        <v>673</v>
      </c>
      <c r="S680" s="126">
        <f>IF(VLOOKUP(A680,Journal!$A$7:$E$70,5)=0,S679+1,VLOOKUP(A680,Journal!$A$7:$E$70,5))</f>
        <v>46330</v>
      </c>
      <c r="T680" s="125">
        <f>IF(H$2=VLOOKUP(A680,Journal!$A$7:$F$70,6),VLOOKUP(A680,Journal!$A$7:M$70,9),0)</f>
        <v>0</v>
      </c>
      <c r="U680" s="125">
        <f>IF(H$2=VLOOKUP(A680,Journal!$A$7:$G$70,7),VLOOKUP(A680,Journal!$A$7:M$70,9),0)</f>
        <v>0</v>
      </c>
      <c r="V680" s="125">
        <f t="shared" si="75"/>
        <v>40</v>
      </c>
      <c r="X680">
        <f t="shared" si="72"/>
        <v>0</v>
      </c>
      <c r="Y680" s="143">
        <f t="shared" si="71"/>
        <v>-982.36842105265964</v>
      </c>
    </row>
    <row r="681" spans="1:25" x14ac:dyDescent="0.25">
      <c r="A681">
        <f t="shared" si="76"/>
        <v>674</v>
      </c>
      <c r="B681" s="88" t="str">
        <f>IF(OR(B680="Total",B680=""),"",IF(VLOOKUP(A681,Journal!$B$7:$E$84,4)=0,"Total",VLOOKUP(A681,Journal!$B$7:$D$84,3)))</f>
        <v/>
      </c>
      <c r="C681" s="86" t="str">
        <f>IF(B681="","",VLOOKUP(A681,Journal!$B$7:$E$84,4))</f>
        <v/>
      </c>
      <c r="D681" s="114" t="str">
        <f>IF(B681="","",VLOOKUP(A681,Journal!$B$7:$J$84,9))</f>
        <v/>
      </c>
      <c r="E681" s="116"/>
      <c r="F681" s="116"/>
      <c r="G681" s="115"/>
      <c r="H681" s="84" t="str">
        <f>IF(B681="","",VLOOKUP(A681,Journal!$B$7:$L$84,11))</f>
        <v/>
      </c>
      <c r="I681" s="84" t="str">
        <f>IF(B681="","",VLOOKUP(A681,Journal!$B$7:$M$84,12))</f>
        <v/>
      </c>
      <c r="J681" s="105">
        <f>IF(B681="Total",SUM(J$8:J680)+0.0001,IF(OR(B681="",I$2=I681),0,VLOOKUP(A681,Journal!$B$7:M$84,8)))</f>
        <v>0</v>
      </c>
      <c r="K681" s="102">
        <f>IF(B681="Total",SUM(K$8:K680)+0.0001,IF(OR(B681="",J681&lt;&gt;0),0,VLOOKUP(A681,Journal!$B$7:M$84,8)))</f>
        <v>0</v>
      </c>
      <c r="L681" s="87">
        <f t="shared" si="70"/>
        <v>0</v>
      </c>
      <c r="P681">
        <f t="shared" si="73"/>
        <v>1.0000000000000001E-5</v>
      </c>
      <c r="R681" s="15">
        <f t="shared" si="74"/>
        <v>674</v>
      </c>
      <c r="S681" s="126">
        <f>IF(VLOOKUP(A681,Journal!$A$7:$E$70,5)=0,S680+1,VLOOKUP(A681,Journal!$A$7:$E$70,5))</f>
        <v>46331</v>
      </c>
      <c r="T681" s="125">
        <f>IF(H$2=VLOOKUP(A681,Journal!$A$7:$F$70,6),VLOOKUP(A681,Journal!$A$7:M$70,9),0)</f>
        <v>0</v>
      </c>
      <c r="U681" s="125">
        <f>IF(H$2=VLOOKUP(A681,Journal!$A$7:$G$70,7),VLOOKUP(A681,Journal!$A$7:M$70,9),0)</f>
        <v>0</v>
      </c>
      <c r="V681" s="125">
        <f t="shared" si="75"/>
        <v>40</v>
      </c>
      <c r="X681">
        <f t="shared" si="72"/>
        <v>0</v>
      </c>
      <c r="Y681" s="143">
        <f t="shared" si="71"/>
        <v>-982.342105263186</v>
      </c>
    </row>
    <row r="682" spans="1:25" x14ac:dyDescent="0.25">
      <c r="A682">
        <f t="shared" si="76"/>
        <v>675</v>
      </c>
      <c r="B682" s="88" t="str">
        <f>IF(OR(B681="Total",B681=""),"",IF(VLOOKUP(A682,Journal!$B$7:$E$84,4)=0,"Total",VLOOKUP(A682,Journal!$B$7:$D$84,3)))</f>
        <v/>
      </c>
      <c r="C682" s="86" t="str">
        <f>IF(B682="","",VLOOKUP(A682,Journal!$B$7:$E$84,4))</f>
        <v/>
      </c>
      <c r="D682" s="114" t="str">
        <f>IF(B682="","",VLOOKUP(A682,Journal!$B$7:$J$84,9))</f>
        <v/>
      </c>
      <c r="E682" s="116"/>
      <c r="F682" s="116"/>
      <c r="G682" s="115"/>
      <c r="H682" s="84" t="str">
        <f>IF(B682="","",VLOOKUP(A682,Journal!$B$7:$L$84,11))</f>
        <v/>
      </c>
      <c r="I682" s="84" t="str">
        <f>IF(B682="","",VLOOKUP(A682,Journal!$B$7:$M$84,12))</f>
        <v/>
      </c>
      <c r="J682" s="105">
        <f>IF(B682="Total",SUM(J$8:J681)+0.0001,IF(OR(B682="",I$2=I682),0,VLOOKUP(A682,Journal!$B$7:M$84,8)))</f>
        <v>0</v>
      </c>
      <c r="K682" s="102">
        <f>IF(B682="Total",SUM(K$8:K681)+0.0001,IF(OR(B682="",J682&lt;&gt;0),0,VLOOKUP(A682,Journal!$B$7:M$84,8)))</f>
        <v>0</v>
      </c>
      <c r="L682" s="87">
        <f t="shared" si="70"/>
        <v>0</v>
      </c>
      <c r="P682">
        <f t="shared" si="73"/>
        <v>1.0000000000000001E-5</v>
      </c>
      <c r="R682" s="15">
        <f t="shared" si="74"/>
        <v>675</v>
      </c>
      <c r="S682" s="126">
        <f>IF(VLOOKUP(A682,Journal!$A$7:$E$70,5)=0,S681+1,VLOOKUP(A682,Journal!$A$7:$E$70,5))</f>
        <v>46332</v>
      </c>
      <c r="T682" s="125">
        <f>IF(H$2=VLOOKUP(A682,Journal!$A$7:$F$70,6),VLOOKUP(A682,Journal!$A$7:M$70,9),0)</f>
        <v>0</v>
      </c>
      <c r="U682" s="125">
        <f>IF(H$2=VLOOKUP(A682,Journal!$A$7:$G$70,7),VLOOKUP(A682,Journal!$A$7:M$70,9),0)</f>
        <v>0</v>
      </c>
      <c r="V682" s="125">
        <f t="shared" si="75"/>
        <v>40</v>
      </c>
      <c r="X682">
        <f t="shared" si="72"/>
        <v>0</v>
      </c>
      <c r="Y682" s="143">
        <f t="shared" si="71"/>
        <v>-982.31578947371236</v>
      </c>
    </row>
    <row r="683" spans="1:25" x14ac:dyDescent="0.25">
      <c r="A683">
        <f t="shared" si="76"/>
        <v>676</v>
      </c>
      <c r="B683" s="88" t="str">
        <f>IF(OR(B682="Total",B682=""),"",IF(VLOOKUP(A683,Journal!$B$7:$E$84,4)=0,"Total",VLOOKUP(A683,Journal!$B$7:$D$84,3)))</f>
        <v/>
      </c>
      <c r="C683" s="86" t="str">
        <f>IF(B683="","",VLOOKUP(A683,Journal!$B$7:$E$84,4))</f>
        <v/>
      </c>
      <c r="D683" s="114" t="str">
        <f>IF(B683="","",VLOOKUP(A683,Journal!$B$7:$J$84,9))</f>
        <v/>
      </c>
      <c r="E683" s="116"/>
      <c r="F683" s="116"/>
      <c r="G683" s="115"/>
      <c r="H683" s="84" t="str">
        <f>IF(B683="","",VLOOKUP(A683,Journal!$B$7:$L$84,11))</f>
        <v/>
      </c>
      <c r="I683" s="84" t="str">
        <f>IF(B683="","",VLOOKUP(A683,Journal!$B$7:$M$84,12))</f>
        <v/>
      </c>
      <c r="J683" s="105">
        <f>IF(B683="Total",SUM(J$8:J682)+0.0001,IF(OR(B683="",I$2=I683),0,VLOOKUP(A683,Journal!$B$7:M$84,8)))</f>
        <v>0</v>
      </c>
      <c r="K683" s="102">
        <f>IF(B683="Total",SUM(K$8:K682)+0.0001,IF(OR(B683="",J683&lt;&gt;0),0,VLOOKUP(A683,Journal!$B$7:M$84,8)))</f>
        <v>0</v>
      </c>
      <c r="L683" s="87">
        <f t="shared" si="70"/>
        <v>0</v>
      </c>
      <c r="P683">
        <f t="shared" si="73"/>
        <v>1.0000000000000001E-5</v>
      </c>
      <c r="R683" s="15">
        <f t="shared" si="74"/>
        <v>676</v>
      </c>
      <c r="S683" s="126">
        <f>IF(VLOOKUP(A683,Journal!$A$7:$E$70,5)=0,S682+1,VLOOKUP(A683,Journal!$A$7:$E$70,5))</f>
        <v>46333</v>
      </c>
      <c r="T683" s="125">
        <f>IF(H$2=VLOOKUP(A683,Journal!$A$7:$F$70,6),VLOOKUP(A683,Journal!$A$7:M$70,9),0)</f>
        <v>0</v>
      </c>
      <c r="U683" s="125">
        <f>IF(H$2=VLOOKUP(A683,Journal!$A$7:$G$70,7),VLOOKUP(A683,Journal!$A$7:M$70,9),0)</f>
        <v>0</v>
      </c>
      <c r="V683" s="125">
        <f t="shared" si="75"/>
        <v>40</v>
      </c>
      <c r="X683">
        <f t="shared" si="72"/>
        <v>0</v>
      </c>
      <c r="Y683" s="143">
        <f t="shared" si="71"/>
        <v>-982.28947368423871</v>
      </c>
    </row>
    <row r="684" spans="1:25" x14ac:dyDescent="0.25">
      <c r="A684">
        <f t="shared" si="76"/>
        <v>677</v>
      </c>
      <c r="B684" s="88" t="str">
        <f>IF(OR(B683="Total",B683=""),"",IF(VLOOKUP(A684,Journal!$B$7:$E$84,4)=0,"Total",VLOOKUP(A684,Journal!$B$7:$D$84,3)))</f>
        <v/>
      </c>
      <c r="C684" s="86" t="str">
        <f>IF(B684="","",VLOOKUP(A684,Journal!$B$7:$E$84,4))</f>
        <v/>
      </c>
      <c r="D684" s="114" t="str">
        <f>IF(B684="","",VLOOKUP(A684,Journal!$B$7:$J$84,9))</f>
        <v/>
      </c>
      <c r="E684" s="116"/>
      <c r="F684" s="116"/>
      <c r="G684" s="115"/>
      <c r="H684" s="84" t="str">
        <f>IF(B684="","",VLOOKUP(A684,Journal!$B$7:$L$84,11))</f>
        <v/>
      </c>
      <c r="I684" s="84" t="str">
        <f>IF(B684="","",VLOOKUP(A684,Journal!$B$7:$M$84,12))</f>
        <v/>
      </c>
      <c r="J684" s="105">
        <f>IF(B684="Total",SUM(J$8:J683)+0.0001,IF(OR(B684="",I$2=I684),0,VLOOKUP(A684,Journal!$B$7:M$84,8)))</f>
        <v>0</v>
      </c>
      <c r="K684" s="102">
        <f>IF(B684="Total",SUM(K$8:K683)+0.0001,IF(OR(B684="",J684&lt;&gt;0),0,VLOOKUP(A684,Journal!$B$7:M$84,8)))</f>
        <v>0</v>
      </c>
      <c r="L684" s="87">
        <f t="shared" si="70"/>
        <v>0</v>
      </c>
      <c r="P684">
        <f t="shared" si="73"/>
        <v>1.0000000000000001E-5</v>
      </c>
      <c r="R684" s="15">
        <f t="shared" si="74"/>
        <v>677</v>
      </c>
      <c r="S684" s="126">
        <f>IF(VLOOKUP(A684,Journal!$A$7:$E$70,5)=0,S683+1,VLOOKUP(A684,Journal!$A$7:$E$70,5))</f>
        <v>46334</v>
      </c>
      <c r="T684" s="125">
        <f>IF(H$2=VLOOKUP(A684,Journal!$A$7:$F$70,6),VLOOKUP(A684,Journal!$A$7:M$70,9),0)</f>
        <v>0</v>
      </c>
      <c r="U684" s="125">
        <f>IF(H$2=VLOOKUP(A684,Journal!$A$7:$G$70,7),VLOOKUP(A684,Journal!$A$7:M$70,9),0)</f>
        <v>0</v>
      </c>
      <c r="V684" s="125">
        <f t="shared" si="75"/>
        <v>40</v>
      </c>
      <c r="X684">
        <f t="shared" si="72"/>
        <v>0</v>
      </c>
      <c r="Y684" s="143">
        <f t="shared" si="71"/>
        <v>-982.26315789476507</v>
      </c>
    </row>
    <row r="685" spans="1:25" x14ac:dyDescent="0.25">
      <c r="A685">
        <f t="shared" si="76"/>
        <v>678</v>
      </c>
      <c r="B685" s="88" t="str">
        <f>IF(OR(B684="Total",B684=""),"",IF(VLOOKUP(A685,Journal!$B$7:$E$84,4)=0,"Total",VLOOKUP(A685,Journal!$B$7:$D$84,3)))</f>
        <v/>
      </c>
      <c r="C685" s="86" t="str">
        <f>IF(B685="","",VLOOKUP(A685,Journal!$B$7:$E$84,4))</f>
        <v/>
      </c>
      <c r="D685" s="114" t="str">
        <f>IF(B685="","",VLOOKUP(A685,Journal!$B$7:$J$84,9))</f>
        <v/>
      </c>
      <c r="E685" s="116"/>
      <c r="F685" s="116"/>
      <c r="G685" s="115"/>
      <c r="H685" s="84" t="str">
        <f>IF(B685="","",VLOOKUP(A685,Journal!$B$7:$L$84,11))</f>
        <v/>
      </c>
      <c r="I685" s="84" t="str">
        <f>IF(B685="","",VLOOKUP(A685,Journal!$B$7:$M$84,12))</f>
        <v/>
      </c>
      <c r="J685" s="105">
        <f>IF(B685="Total",SUM(J$8:J684)+0.0001,IF(OR(B685="",I$2=I685),0,VLOOKUP(A685,Journal!$B$7:M$84,8)))</f>
        <v>0</v>
      </c>
      <c r="K685" s="102">
        <f>IF(B685="Total",SUM(K$8:K684)+0.0001,IF(OR(B685="",J685&lt;&gt;0),0,VLOOKUP(A685,Journal!$B$7:M$84,8)))</f>
        <v>0</v>
      </c>
      <c r="L685" s="87">
        <f t="shared" si="70"/>
        <v>0</v>
      </c>
      <c r="P685">
        <f t="shared" si="73"/>
        <v>1.0000000000000001E-5</v>
      </c>
      <c r="R685" s="15">
        <f t="shared" si="74"/>
        <v>678</v>
      </c>
      <c r="S685" s="126">
        <f>IF(VLOOKUP(A685,Journal!$A$7:$E$70,5)=0,S684+1,VLOOKUP(A685,Journal!$A$7:$E$70,5))</f>
        <v>46335</v>
      </c>
      <c r="T685" s="125">
        <f>IF(H$2=VLOOKUP(A685,Journal!$A$7:$F$70,6),VLOOKUP(A685,Journal!$A$7:M$70,9),0)</f>
        <v>0</v>
      </c>
      <c r="U685" s="125">
        <f>IF(H$2=VLOOKUP(A685,Journal!$A$7:$G$70,7),VLOOKUP(A685,Journal!$A$7:M$70,9),0)</f>
        <v>0</v>
      </c>
      <c r="V685" s="125">
        <f t="shared" si="75"/>
        <v>40</v>
      </c>
      <c r="X685">
        <f t="shared" si="72"/>
        <v>0</v>
      </c>
      <c r="Y685" s="143">
        <f t="shared" si="71"/>
        <v>-982.23684210529143</v>
      </c>
    </row>
    <row r="686" spans="1:25" x14ac:dyDescent="0.25">
      <c r="A686">
        <f t="shared" si="76"/>
        <v>679</v>
      </c>
      <c r="B686" s="88" t="str">
        <f>IF(OR(B685="Total",B685=""),"",IF(VLOOKUP(A686,Journal!$B$7:$E$84,4)=0,"Total",VLOOKUP(A686,Journal!$B$7:$D$84,3)))</f>
        <v/>
      </c>
      <c r="C686" s="86" t="str">
        <f>IF(B686="","",VLOOKUP(A686,Journal!$B$7:$E$84,4))</f>
        <v/>
      </c>
      <c r="D686" s="114" t="str">
        <f>IF(B686="","",VLOOKUP(A686,Journal!$B$7:$J$84,9))</f>
        <v/>
      </c>
      <c r="E686" s="116"/>
      <c r="F686" s="116"/>
      <c r="G686" s="115"/>
      <c r="H686" s="84" t="str">
        <f>IF(B686="","",VLOOKUP(A686,Journal!$B$7:$L$84,11))</f>
        <v/>
      </c>
      <c r="I686" s="84" t="str">
        <f>IF(B686="","",VLOOKUP(A686,Journal!$B$7:$M$84,12))</f>
        <v/>
      </c>
      <c r="J686" s="105">
        <f>IF(B686="Total",SUM(J$8:J685)+0.0001,IF(OR(B686="",I$2=I686),0,VLOOKUP(A686,Journal!$B$7:M$84,8)))</f>
        <v>0</v>
      </c>
      <c r="K686" s="102">
        <f>IF(B686="Total",SUM(K$8:K685)+0.0001,IF(OR(B686="",J686&lt;&gt;0),0,VLOOKUP(A686,Journal!$B$7:M$84,8)))</f>
        <v>0</v>
      </c>
      <c r="L686" s="87">
        <f t="shared" si="70"/>
        <v>0</v>
      </c>
      <c r="P686">
        <f t="shared" si="73"/>
        <v>1.0000000000000001E-5</v>
      </c>
      <c r="R686" s="15">
        <f t="shared" si="74"/>
        <v>679</v>
      </c>
      <c r="S686" s="126">
        <f>IF(VLOOKUP(A686,Journal!$A$7:$E$70,5)=0,S685+1,VLOOKUP(A686,Journal!$A$7:$E$70,5))</f>
        <v>46336</v>
      </c>
      <c r="T686" s="125">
        <f>IF(H$2=VLOOKUP(A686,Journal!$A$7:$F$70,6),VLOOKUP(A686,Journal!$A$7:M$70,9),0)</f>
        <v>0</v>
      </c>
      <c r="U686" s="125">
        <f>IF(H$2=VLOOKUP(A686,Journal!$A$7:$G$70,7),VLOOKUP(A686,Journal!$A$7:M$70,9),0)</f>
        <v>0</v>
      </c>
      <c r="V686" s="125">
        <f t="shared" si="75"/>
        <v>40</v>
      </c>
      <c r="X686">
        <f t="shared" si="72"/>
        <v>0</v>
      </c>
      <c r="Y686" s="143">
        <f t="shared" si="71"/>
        <v>-982.21052631581779</v>
      </c>
    </row>
    <row r="687" spans="1:25" x14ac:dyDescent="0.25">
      <c r="A687">
        <f t="shared" si="76"/>
        <v>680</v>
      </c>
      <c r="B687" s="88" t="str">
        <f>IF(OR(B686="Total",B686=""),"",IF(VLOOKUP(A687,Journal!$B$7:$E$84,4)=0,"Total",VLOOKUP(A687,Journal!$B$7:$D$84,3)))</f>
        <v/>
      </c>
      <c r="C687" s="86" t="str">
        <f>IF(B687="","",VLOOKUP(A687,Journal!$B$7:$E$84,4))</f>
        <v/>
      </c>
      <c r="D687" s="114" t="str">
        <f>IF(B687="","",VLOOKUP(A687,Journal!$B$7:$J$84,9))</f>
        <v/>
      </c>
      <c r="E687" s="116"/>
      <c r="F687" s="116"/>
      <c r="G687" s="115"/>
      <c r="H687" s="84" t="str">
        <f>IF(B687="","",VLOOKUP(A687,Journal!$B$7:$L$84,11))</f>
        <v/>
      </c>
      <c r="I687" s="84" t="str">
        <f>IF(B687="","",VLOOKUP(A687,Journal!$B$7:$M$84,12))</f>
        <v/>
      </c>
      <c r="J687" s="105">
        <f>IF(B687="Total",SUM(J$8:J686)+0.0001,IF(OR(B687="",I$2=I687),0,VLOOKUP(A687,Journal!$B$7:M$84,8)))</f>
        <v>0</v>
      </c>
      <c r="K687" s="102">
        <f>IF(B687="Total",SUM(K$8:K686)+0.0001,IF(OR(B687="",J687&lt;&gt;0),0,VLOOKUP(A687,Journal!$B$7:M$84,8)))</f>
        <v>0</v>
      </c>
      <c r="L687" s="87">
        <f t="shared" si="70"/>
        <v>0</v>
      </c>
      <c r="P687">
        <f t="shared" si="73"/>
        <v>1.0000000000000001E-5</v>
      </c>
      <c r="R687" s="15">
        <f t="shared" si="74"/>
        <v>680</v>
      </c>
      <c r="S687" s="126">
        <f>IF(VLOOKUP(A687,Journal!$A$7:$E$70,5)=0,S686+1,VLOOKUP(A687,Journal!$A$7:$E$70,5))</f>
        <v>46337</v>
      </c>
      <c r="T687" s="125">
        <f>IF(H$2=VLOOKUP(A687,Journal!$A$7:$F$70,6),VLOOKUP(A687,Journal!$A$7:M$70,9),0)</f>
        <v>0</v>
      </c>
      <c r="U687" s="125">
        <f>IF(H$2=VLOOKUP(A687,Journal!$A$7:$G$70,7),VLOOKUP(A687,Journal!$A$7:M$70,9),0)</f>
        <v>0</v>
      </c>
      <c r="V687" s="125">
        <f t="shared" si="75"/>
        <v>40</v>
      </c>
      <c r="X687">
        <f t="shared" si="72"/>
        <v>0</v>
      </c>
      <c r="Y687" s="143">
        <f t="shared" si="71"/>
        <v>-982.18421052634415</v>
      </c>
    </row>
    <row r="688" spans="1:25" x14ac:dyDescent="0.25">
      <c r="A688">
        <f t="shared" si="76"/>
        <v>681</v>
      </c>
      <c r="B688" s="88" t="str">
        <f>IF(OR(B687="Total",B687=""),"",IF(VLOOKUP(A688,Journal!$B$7:$E$84,4)=0,"Total",VLOOKUP(A688,Journal!$B$7:$D$84,3)))</f>
        <v/>
      </c>
      <c r="C688" s="86" t="str">
        <f>IF(B688="","",VLOOKUP(A688,Journal!$B$7:$E$84,4))</f>
        <v/>
      </c>
      <c r="D688" s="114" t="str">
        <f>IF(B688="","",VLOOKUP(A688,Journal!$B$7:$J$84,9))</f>
        <v/>
      </c>
      <c r="E688" s="116"/>
      <c r="F688" s="116"/>
      <c r="G688" s="115"/>
      <c r="H688" s="84" t="str">
        <f>IF(B688="","",VLOOKUP(A688,Journal!$B$7:$L$84,11))</f>
        <v/>
      </c>
      <c r="I688" s="84" t="str">
        <f>IF(B688="","",VLOOKUP(A688,Journal!$B$7:$M$84,12))</f>
        <v/>
      </c>
      <c r="J688" s="105">
        <f>IF(B688="Total",SUM(J$8:J687)+0.0001,IF(OR(B688="",I$2=I688),0,VLOOKUP(A688,Journal!$B$7:M$84,8)))</f>
        <v>0</v>
      </c>
      <c r="K688" s="102">
        <f>IF(B688="Total",SUM(K$8:K687)+0.0001,IF(OR(B688="",J688&lt;&gt;0),0,VLOOKUP(A688,Journal!$B$7:M$84,8)))</f>
        <v>0</v>
      </c>
      <c r="L688" s="87">
        <f t="shared" si="70"/>
        <v>0</v>
      </c>
      <c r="P688">
        <f t="shared" si="73"/>
        <v>1.0000000000000001E-5</v>
      </c>
      <c r="R688" s="15">
        <f t="shared" si="74"/>
        <v>681</v>
      </c>
      <c r="S688" s="126">
        <f>IF(VLOOKUP(A688,Journal!$A$7:$E$70,5)=0,S687+1,VLOOKUP(A688,Journal!$A$7:$E$70,5))</f>
        <v>46338</v>
      </c>
      <c r="T688" s="125">
        <f>IF(H$2=VLOOKUP(A688,Journal!$A$7:$F$70,6),VLOOKUP(A688,Journal!$A$7:M$70,9),0)</f>
        <v>0</v>
      </c>
      <c r="U688" s="125">
        <f>IF(H$2=VLOOKUP(A688,Journal!$A$7:$G$70,7),VLOOKUP(A688,Journal!$A$7:M$70,9),0)</f>
        <v>0</v>
      </c>
      <c r="V688" s="125">
        <f t="shared" si="75"/>
        <v>40</v>
      </c>
      <c r="X688">
        <f t="shared" si="72"/>
        <v>0</v>
      </c>
      <c r="Y688" s="143">
        <f t="shared" si="71"/>
        <v>-982.1578947368705</v>
      </c>
    </row>
    <row r="689" spans="1:25" x14ac:dyDescent="0.25">
      <c r="A689">
        <f t="shared" si="76"/>
        <v>682</v>
      </c>
      <c r="B689" s="88" t="str">
        <f>IF(OR(B688="Total",B688=""),"",IF(VLOOKUP(A689,Journal!$B$7:$E$84,4)=0,"Total",VLOOKUP(A689,Journal!$B$7:$D$84,3)))</f>
        <v/>
      </c>
      <c r="C689" s="86" t="str">
        <f>IF(B689="","",VLOOKUP(A689,Journal!$B$7:$E$84,4))</f>
        <v/>
      </c>
      <c r="D689" s="114" t="str">
        <f>IF(B689="","",VLOOKUP(A689,Journal!$B$7:$J$84,9))</f>
        <v/>
      </c>
      <c r="E689" s="116"/>
      <c r="F689" s="116"/>
      <c r="G689" s="115"/>
      <c r="H689" s="84" t="str">
        <f>IF(B689="","",VLOOKUP(A689,Journal!$B$7:$L$84,11))</f>
        <v/>
      </c>
      <c r="I689" s="84" t="str">
        <f>IF(B689="","",VLOOKUP(A689,Journal!$B$7:$M$84,12))</f>
        <v/>
      </c>
      <c r="J689" s="105">
        <f>IF(B689="Total",SUM(J$8:J688)+0.0001,IF(OR(B689="",I$2=I689),0,VLOOKUP(A689,Journal!$B$7:M$84,8)))</f>
        <v>0</v>
      </c>
      <c r="K689" s="102">
        <f>IF(B689="Total",SUM(K$8:K688)+0.0001,IF(OR(B689="",J689&lt;&gt;0),0,VLOOKUP(A689,Journal!$B$7:M$84,8)))</f>
        <v>0</v>
      </c>
      <c r="L689" s="87">
        <f t="shared" si="70"/>
        <v>0</v>
      </c>
      <c r="P689">
        <f t="shared" si="73"/>
        <v>1.0000000000000001E-5</v>
      </c>
      <c r="R689" s="15">
        <f t="shared" si="74"/>
        <v>682</v>
      </c>
      <c r="S689" s="126">
        <f>IF(VLOOKUP(A689,Journal!$A$7:$E$70,5)=0,S688+1,VLOOKUP(A689,Journal!$A$7:$E$70,5))</f>
        <v>46339</v>
      </c>
      <c r="T689" s="125">
        <f>IF(H$2=VLOOKUP(A689,Journal!$A$7:$F$70,6),VLOOKUP(A689,Journal!$A$7:M$70,9),0)</f>
        <v>0</v>
      </c>
      <c r="U689" s="125">
        <f>IF(H$2=VLOOKUP(A689,Journal!$A$7:$G$70,7),VLOOKUP(A689,Journal!$A$7:M$70,9),0)</f>
        <v>0</v>
      </c>
      <c r="V689" s="125">
        <f t="shared" si="75"/>
        <v>40</v>
      </c>
      <c r="X689">
        <f t="shared" si="72"/>
        <v>0</v>
      </c>
      <c r="Y689" s="143">
        <f t="shared" si="71"/>
        <v>-982.13157894739686</v>
      </c>
    </row>
    <row r="690" spans="1:25" x14ac:dyDescent="0.25">
      <c r="A690">
        <f t="shared" si="76"/>
        <v>683</v>
      </c>
      <c r="B690" s="88" t="str">
        <f>IF(OR(B689="Total",B689=""),"",IF(VLOOKUP(A690,Journal!$B$7:$E$84,4)=0,"Total",VLOOKUP(A690,Journal!$B$7:$D$84,3)))</f>
        <v/>
      </c>
      <c r="C690" s="86" t="str">
        <f>IF(B690="","",VLOOKUP(A690,Journal!$B$7:$E$84,4))</f>
        <v/>
      </c>
      <c r="D690" s="114" t="str">
        <f>IF(B690="","",VLOOKUP(A690,Journal!$B$7:$J$84,9))</f>
        <v/>
      </c>
      <c r="E690" s="116"/>
      <c r="F690" s="116"/>
      <c r="G690" s="115"/>
      <c r="H690" s="84" t="str">
        <f>IF(B690="","",VLOOKUP(A690,Journal!$B$7:$L$84,11))</f>
        <v/>
      </c>
      <c r="I690" s="84" t="str">
        <f>IF(B690="","",VLOOKUP(A690,Journal!$B$7:$M$84,12))</f>
        <v/>
      </c>
      <c r="J690" s="105">
        <f>IF(B690="Total",SUM(J$8:J689)+0.0001,IF(OR(B690="",I$2=I690),0,VLOOKUP(A690,Journal!$B$7:M$84,8)))</f>
        <v>0</v>
      </c>
      <c r="K690" s="102">
        <f>IF(B690="Total",SUM(K$8:K689)+0.0001,IF(OR(B690="",J690&lt;&gt;0),0,VLOOKUP(A690,Journal!$B$7:M$84,8)))</f>
        <v>0</v>
      </c>
      <c r="L690" s="87">
        <f t="shared" si="70"/>
        <v>0</v>
      </c>
      <c r="P690">
        <f t="shared" si="73"/>
        <v>1.0000000000000001E-5</v>
      </c>
      <c r="R690" s="15">
        <f t="shared" si="74"/>
        <v>683</v>
      </c>
      <c r="S690" s="126">
        <f>IF(VLOOKUP(A690,Journal!$A$7:$E$70,5)=0,S689+1,VLOOKUP(A690,Journal!$A$7:$E$70,5))</f>
        <v>46340</v>
      </c>
      <c r="T690" s="125">
        <f>IF(H$2=VLOOKUP(A690,Journal!$A$7:$F$70,6),VLOOKUP(A690,Journal!$A$7:M$70,9),0)</f>
        <v>0</v>
      </c>
      <c r="U690" s="125">
        <f>IF(H$2=VLOOKUP(A690,Journal!$A$7:$G$70,7),VLOOKUP(A690,Journal!$A$7:M$70,9),0)</f>
        <v>0</v>
      </c>
      <c r="V690" s="125">
        <f t="shared" si="75"/>
        <v>40</v>
      </c>
      <c r="X690">
        <f t="shared" si="72"/>
        <v>0</v>
      </c>
      <c r="Y690" s="143">
        <f t="shared" si="71"/>
        <v>-982.10526315792322</v>
      </c>
    </row>
    <row r="691" spans="1:25" x14ac:dyDescent="0.25">
      <c r="A691">
        <f t="shared" si="76"/>
        <v>684</v>
      </c>
      <c r="B691" s="88" t="str">
        <f>IF(OR(B690="Total",B690=""),"",IF(VLOOKUP(A691,Journal!$B$7:$E$84,4)=0,"Total",VLOOKUP(A691,Journal!$B$7:$D$84,3)))</f>
        <v/>
      </c>
      <c r="C691" s="86" t="str">
        <f>IF(B691="","",VLOOKUP(A691,Journal!$B$7:$E$84,4))</f>
        <v/>
      </c>
      <c r="D691" s="114" t="str">
        <f>IF(B691="","",VLOOKUP(A691,Journal!$B$7:$J$84,9))</f>
        <v/>
      </c>
      <c r="E691" s="116"/>
      <c r="F691" s="116"/>
      <c r="G691" s="115"/>
      <c r="H691" s="84" t="str">
        <f>IF(B691="","",VLOOKUP(A691,Journal!$B$7:$L$84,11))</f>
        <v/>
      </c>
      <c r="I691" s="84" t="str">
        <f>IF(B691="","",VLOOKUP(A691,Journal!$B$7:$M$84,12))</f>
        <v/>
      </c>
      <c r="J691" s="105">
        <f>IF(B691="Total",SUM(J$8:J690)+0.0001,IF(OR(B691="",I$2=I691),0,VLOOKUP(A691,Journal!$B$7:M$84,8)))</f>
        <v>0</v>
      </c>
      <c r="K691" s="102">
        <f>IF(B691="Total",SUM(K$8:K690)+0.0001,IF(OR(B691="",J691&lt;&gt;0),0,VLOOKUP(A691,Journal!$B$7:M$84,8)))</f>
        <v>0</v>
      </c>
      <c r="L691" s="87">
        <f t="shared" si="70"/>
        <v>0</v>
      </c>
      <c r="P691">
        <f t="shared" si="73"/>
        <v>1.0000000000000001E-5</v>
      </c>
      <c r="R691" s="15">
        <f t="shared" si="74"/>
        <v>684</v>
      </c>
      <c r="S691" s="126">
        <f>IF(VLOOKUP(A691,Journal!$A$7:$E$70,5)=0,S690+1,VLOOKUP(A691,Journal!$A$7:$E$70,5))</f>
        <v>46341</v>
      </c>
      <c r="T691" s="125">
        <f>IF(H$2=VLOOKUP(A691,Journal!$A$7:$F$70,6),VLOOKUP(A691,Journal!$A$7:M$70,9),0)</f>
        <v>0</v>
      </c>
      <c r="U691" s="125">
        <f>IF(H$2=VLOOKUP(A691,Journal!$A$7:$G$70,7),VLOOKUP(A691,Journal!$A$7:M$70,9),0)</f>
        <v>0</v>
      </c>
      <c r="V691" s="125">
        <f t="shared" si="75"/>
        <v>40</v>
      </c>
      <c r="X691">
        <f t="shared" si="72"/>
        <v>0</v>
      </c>
      <c r="Y691" s="143">
        <f t="shared" si="71"/>
        <v>-982.07894736844958</v>
      </c>
    </row>
    <row r="692" spans="1:25" x14ac:dyDescent="0.25">
      <c r="A692">
        <f t="shared" si="76"/>
        <v>685</v>
      </c>
      <c r="B692" s="88" t="str">
        <f>IF(OR(B691="Total",B691=""),"",IF(VLOOKUP(A692,Journal!$B$7:$E$84,4)=0,"Total",VLOOKUP(A692,Journal!$B$7:$D$84,3)))</f>
        <v/>
      </c>
      <c r="C692" s="86" t="str">
        <f>IF(B692="","",VLOOKUP(A692,Journal!$B$7:$E$84,4))</f>
        <v/>
      </c>
      <c r="D692" s="114" t="str">
        <f>IF(B692="","",VLOOKUP(A692,Journal!$B$7:$J$84,9))</f>
        <v/>
      </c>
      <c r="E692" s="116"/>
      <c r="F692" s="116"/>
      <c r="G692" s="115"/>
      <c r="H692" s="84" t="str">
        <f>IF(B692="","",VLOOKUP(A692,Journal!$B$7:$L$84,11))</f>
        <v/>
      </c>
      <c r="I692" s="84" t="str">
        <f>IF(B692="","",VLOOKUP(A692,Journal!$B$7:$M$84,12))</f>
        <v/>
      </c>
      <c r="J692" s="105">
        <f>IF(B692="Total",SUM(J$8:J691)+0.0001,IF(OR(B692="",I$2=I692),0,VLOOKUP(A692,Journal!$B$7:M$84,8)))</f>
        <v>0</v>
      </c>
      <c r="K692" s="102">
        <f>IF(B692="Total",SUM(K$8:K691)+0.0001,IF(OR(B692="",J692&lt;&gt;0),0,VLOOKUP(A692,Journal!$B$7:M$84,8)))</f>
        <v>0</v>
      </c>
      <c r="L692" s="87">
        <f t="shared" si="70"/>
        <v>0</v>
      </c>
      <c r="P692">
        <f t="shared" si="73"/>
        <v>1.0000000000000001E-5</v>
      </c>
      <c r="R692" s="15">
        <f t="shared" si="74"/>
        <v>685</v>
      </c>
      <c r="S692" s="126">
        <f>IF(VLOOKUP(A692,Journal!$A$7:$E$70,5)=0,S691+1,VLOOKUP(A692,Journal!$A$7:$E$70,5))</f>
        <v>46342</v>
      </c>
      <c r="T692" s="125">
        <f>IF(H$2=VLOOKUP(A692,Journal!$A$7:$F$70,6),VLOOKUP(A692,Journal!$A$7:M$70,9),0)</f>
        <v>0</v>
      </c>
      <c r="U692" s="125">
        <f>IF(H$2=VLOOKUP(A692,Journal!$A$7:$G$70,7),VLOOKUP(A692,Journal!$A$7:M$70,9),0)</f>
        <v>0</v>
      </c>
      <c r="V692" s="125">
        <f t="shared" si="75"/>
        <v>40</v>
      </c>
      <c r="X692">
        <f t="shared" si="72"/>
        <v>0</v>
      </c>
      <c r="Y692" s="143">
        <f t="shared" si="71"/>
        <v>-982.05263157897593</v>
      </c>
    </row>
    <row r="693" spans="1:25" x14ac:dyDescent="0.25">
      <c r="A693">
        <f t="shared" si="76"/>
        <v>686</v>
      </c>
      <c r="B693" s="88" t="str">
        <f>IF(OR(B692="Total",B692=""),"",IF(VLOOKUP(A693,Journal!$B$7:$E$84,4)=0,"Total",VLOOKUP(A693,Journal!$B$7:$D$84,3)))</f>
        <v/>
      </c>
      <c r="C693" s="86" t="str">
        <f>IF(B693="","",VLOOKUP(A693,Journal!$B$7:$E$84,4))</f>
        <v/>
      </c>
      <c r="D693" s="114" t="str">
        <f>IF(B693="","",VLOOKUP(A693,Journal!$B$7:$J$84,9))</f>
        <v/>
      </c>
      <c r="E693" s="116"/>
      <c r="F693" s="116"/>
      <c r="G693" s="115"/>
      <c r="H693" s="84" t="str">
        <f>IF(B693="","",VLOOKUP(A693,Journal!$B$7:$L$84,11))</f>
        <v/>
      </c>
      <c r="I693" s="84" t="str">
        <f>IF(B693="","",VLOOKUP(A693,Journal!$B$7:$M$84,12))</f>
        <v/>
      </c>
      <c r="J693" s="105">
        <f>IF(B693="Total",SUM(J$8:J692)+0.0001,IF(OR(B693="",I$2=I693),0,VLOOKUP(A693,Journal!$B$7:M$84,8)))</f>
        <v>0</v>
      </c>
      <c r="K693" s="102">
        <f>IF(B693="Total",SUM(K$8:K692)+0.0001,IF(OR(B693="",J693&lt;&gt;0),0,VLOOKUP(A693,Journal!$B$7:M$84,8)))</f>
        <v>0</v>
      </c>
      <c r="L693" s="87">
        <f t="shared" si="70"/>
        <v>0</v>
      </c>
      <c r="P693">
        <f t="shared" si="73"/>
        <v>1.0000000000000001E-5</v>
      </c>
      <c r="R693" s="15">
        <f t="shared" si="74"/>
        <v>686</v>
      </c>
      <c r="S693" s="126">
        <f>IF(VLOOKUP(A693,Journal!$A$7:$E$70,5)=0,S692+1,VLOOKUP(A693,Journal!$A$7:$E$70,5))</f>
        <v>46343</v>
      </c>
      <c r="T693" s="125">
        <f>IF(H$2=VLOOKUP(A693,Journal!$A$7:$F$70,6),VLOOKUP(A693,Journal!$A$7:M$70,9),0)</f>
        <v>0</v>
      </c>
      <c r="U693" s="125">
        <f>IF(H$2=VLOOKUP(A693,Journal!$A$7:$G$70,7),VLOOKUP(A693,Journal!$A$7:M$70,9),0)</f>
        <v>0</v>
      </c>
      <c r="V693" s="125">
        <f t="shared" si="75"/>
        <v>40</v>
      </c>
      <c r="X693">
        <f t="shared" si="72"/>
        <v>0</v>
      </c>
      <c r="Y693" s="143">
        <f t="shared" si="71"/>
        <v>-982.02631578950229</v>
      </c>
    </row>
    <row r="694" spans="1:25" x14ac:dyDescent="0.25">
      <c r="A694">
        <f t="shared" si="76"/>
        <v>687</v>
      </c>
      <c r="B694" s="88" t="str">
        <f>IF(OR(B693="Total",B693=""),"",IF(VLOOKUP(A694,Journal!$B$7:$E$84,4)=0,"Total",VLOOKUP(A694,Journal!$B$7:$D$84,3)))</f>
        <v/>
      </c>
      <c r="C694" s="86" t="str">
        <f>IF(B694="","",VLOOKUP(A694,Journal!$B$7:$E$84,4))</f>
        <v/>
      </c>
      <c r="D694" s="114" t="str">
        <f>IF(B694="","",VLOOKUP(A694,Journal!$B$7:$J$84,9))</f>
        <v/>
      </c>
      <c r="E694" s="116"/>
      <c r="F694" s="116"/>
      <c r="G694" s="115"/>
      <c r="H694" s="84" t="str">
        <f>IF(B694="","",VLOOKUP(A694,Journal!$B$7:$L$84,11))</f>
        <v/>
      </c>
      <c r="I694" s="84" t="str">
        <f>IF(B694="","",VLOOKUP(A694,Journal!$B$7:$M$84,12))</f>
        <v/>
      </c>
      <c r="J694" s="105">
        <f>IF(B694="Total",SUM(J$8:J693)+0.0001,IF(OR(B694="",I$2=I694),0,VLOOKUP(A694,Journal!$B$7:M$84,8)))</f>
        <v>0</v>
      </c>
      <c r="K694" s="102">
        <f>IF(B694="Total",SUM(K$8:K693)+0.0001,IF(OR(B694="",J694&lt;&gt;0),0,VLOOKUP(A694,Journal!$B$7:M$84,8)))</f>
        <v>0</v>
      </c>
      <c r="L694" s="87">
        <f t="shared" si="70"/>
        <v>0</v>
      </c>
      <c r="P694">
        <f t="shared" si="73"/>
        <v>1.0000000000000001E-5</v>
      </c>
      <c r="R694" s="15">
        <f t="shared" si="74"/>
        <v>687</v>
      </c>
      <c r="S694" s="126">
        <f>IF(VLOOKUP(A694,Journal!$A$7:$E$70,5)=0,S693+1,VLOOKUP(A694,Journal!$A$7:$E$70,5))</f>
        <v>46344</v>
      </c>
      <c r="T694" s="125">
        <f>IF(H$2=VLOOKUP(A694,Journal!$A$7:$F$70,6),VLOOKUP(A694,Journal!$A$7:M$70,9),0)</f>
        <v>0</v>
      </c>
      <c r="U694" s="125">
        <f>IF(H$2=VLOOKUP(A694,Journal!$A$7:$G$70,7),VLOOKUP(A694,Journal!$A$7:M$70,9),0)</f>
        <v>0</v>
      </c>
      <c r="V694" s="125">
        <f t="shared" si="75"/>
        <v>40</v>
      </c>
      <c r="X694">
        <f t="shared" si="72"/>
        <v>0</v>
      </c>
      <c r="Y694" s="143">
        <f t="shared" si="71"/>
        <v>-982.00000000002865</v>
      </c>
    </row>
    <row r="695" spans="1:25" x14ac:dyDescent="0.25">
      <c r="A695">
        <f t="shared" si="76"/>
        <v>688</v>
      </c>
      <c r="B695" s="88" t="str">
        <f>IF(OR(B694="Total",B694=""),"",IF(VLOOKUP(A695,Journal!$B$7:$E$84,4)=0,"Total",VLOOKUP(A695,Journal!$B$7:$D$84,3)))</f>
        <v/>
      </c>
      <c r="C695" s="86" t="str">
        <f>IF(B695="","",VLOOKUP(A695,Journal!$B$7:$E$84,4))</f>
        <v/>
      </c>
      <c r="D695" s="114" t="str">
        <f>IF(B695="","",VLOOKUP(A695,Journal!$B$7:$J$84,9))</f>
        <v/>
      </c>
      <c r="E695" s="116"/>
      <c r="F695" s="116"/>
      <c r="G695" s="115"/>
      <c r="H695" s="84" t="str">
        <f>IF(B695="","",VLOOKUP(A695,Journal!$B$7:$L$84,11))</f>
        <v/>
      </c>
      <c r="I695" s="84" t="str">
        <f>IF(B695="","",VLOOKUP(A695,Journal!$B$7:$M$84,12))</f>
        <v/>
      </c>
      <c r="J695" s="105">
        <f>IF(B695="Total",SUM(J$8:J694)+0.0001,IF(OR(B695="",I$2=I695),0,VLOOKUP(A695,Journal!$B$7:M$84,8)))</f>
        <v>0</v>
      </c>
      <c r="K695" s="102">
        <f>IF(B695="Total",SUM(K$8:K694)+0.0001,IF(OR(B695="",J695&lt;&gt;0),0,VLOOKUP(A695,Journal!$B$7:M$84,8)))</f>
        <v>0</v>
      </c>
      <c r="L695" s="87">
        <f t="shared" si="70"/>
        <v>0</v>
      </c>
      <c r="P695">
        <f t="shared" si="73"/>
        <v>1.0000000000000001E-5</v>
      </c>
      <c r="R695" s="15">
        <f t="shared" si="74"/>
        <v>688</v>
      </c>
      <c r="S695" s="126">
        <f>IF(VLOOKUP(A695,Journal!$A$7:$E$70,5)=0,S694+1,VLOOKUP(A695,Journal!$A$7:$E$70,5))</f>
        <v>46345</v>
      </c>
      <c r="T695" s="125">
        <f>IF(H$2=VLOOKUP(A695,Journal!$A$7:$F$70,6),VLOOKUP(A695,Journal!$A$7:M$70,9),0)</f>
        <v>0</v>
      </c>
      <c r="U695" s="125">
        <f>IF(H$2=VLOOKUP(A695,Journal!$A$7:$G$70,7),VLOOKUP(A695,Journal!$A$7:M$70,9),0)</f>
        <v>0</v>
      </c>
      <c r="V695" s="125">
        <f t="shared" si="75"/>
        <v>40</v>
      </c>
      <c r="X695">
        <f t="shared" si="72"/>
        <v>0</v>
      </c>
      <c r="Y695" s="143">
        <f t="shared" si="71"/>
        <v>-981.97368421055501</v>
      </c>
    </row>
    <row r="696" spans="1:25" x14ac:dyDescent="0.25">
      <c r="A696">
        <f t="shared" si="76"/>
        <v>689</v>
      </c>
      <c r="B696" s="88" t="str">
        <f>IF(OR(B695="Total",B695=""),"",IF(VLOOKUP(A696,Journal!$B$7:$E$84,4)=0,"Total",VLOOKUP(A696,Journal!$B$7:$D$84,3)))</f>
        <v/>
      </c>
      <c r="C696" s="86" t="str">
        <f>IF(B696="","",VLOOKUP(A696,Journal!$B$7:$E$84,4))</f>
        <v/>
      </c>
      <c r="D696" s="114" t="str">
        <f>IF(B696="","",VLOOKUP(A696,Journal!$B$7:$J$84,9))</f>
        <v/>
      </c>
      <c r="E696" s="116"/>
      <c r="F696" s="116"/>
      <c r="G696" s="115"/>
      <c r="H696" s="84" t="str">
        <f>IF(B696="","",VLOOKUP(A696,Journal!$B$7:$L$84,11))</f>
        <v/>
      </c>
      <c r="I696" s="84" t="str">
        <f>IF(B696="","",VLOOKUP(A696,Journal!$B$7:$M$84,12))</f>
        <v/>
      </c>
      <c r="J696" s="105">
        <f>IF(B696="Total",SUM(J$8:J695)+0.0001,IF(OR(B696="",I$2=I696),0,VLOOKUP(A696,Journal!$B$7:M$84,8)))</f>
        <v>0</v>
      </c>
      <c r="K696" s="102">
        <f>IF(B696="Total",SUM(K$8:K695)+0.0001,IF(OR(B696="",J696&lt;&gt;0),0,VLOOKUP(A696,Journal!$B$7:M$84,8)))</f>
        <v>0</v>
      </c>
      <c r="L696" s="87">
        <f t="shared" si="70"/>
        <v>0</v>
      </c>
      <c r="P696">
        <f t="shared" si="73"/>
        <v>1.0000000000000001E-5</v>
      </c>
      <c r="R696" s="15">
        <f t="shared" si="74"/>
        <v>689</v>
      </c>
      <c r="S696" s="126">
        <f>IF(VLOOKUP(A696,Journal!$A$7:$E$70,5)=0,S695+1,VLOOKUP(A696,Journal!$A$7:$E$70,5))</f>
        <v>46346</v>
      </c>
      <c r="T696" s="125">
        <f>IF(H$2=VLOOKUP(A696,Journal!$A$7:$F$70,6),VLOOKUP(A696,Journal!$A$7:M$70,9),0)</f>
        <v>0</v>
      </c>
      <c r="U696" s="125">
        <f>IF(H$2=VLOOKUP(A696,Journal!$A$7:$G$70,7),VLOOKUP(A696,Journal!$A$7:M$70,9),0)</f>
        <v>0</v>
      </c>
      <c r="V696" s="125">
        <f t="shared" si="75"/>
        <v>40</v>
      </c>
      <c r="X696">
        <f t="shared" si="72"/>
        <v>0</v>
      </c>
      <c r="Y696" s="143">
        <f t="shared" si="71"/>
        <v>-981.94736842108136</v>
      </c>
    </row>
    <row r="697" spans="1:25" x14ac:dyDescent="0.25">
      <c r="A697">
        <f t="shared" si="76"/>
        <v>690</v>
      </c>
      <c r="B697" s="88" t="str">
        <f>IF(OR(B696="Total",B696=""),"",IF(VLOOKUP(A697,Journal!$B$7:$E$84,4)=0,"Total",VLOOKUP(A697,Journal!$B$7:$D$84,3)))</f>
        <v/>
      </c>
      <c r="C697" s="86" t="str">
        <f>IF(B697="","",VLOOKUP(A697,Journal!$B$7:$E$84,4))</f>
        <v/>
      </c>
      <c r="D697" s="114" t="str">
        <f>IF(B697="","",VLOOKUP(A697,Journal!$B$7:$J$84,9))</f>
        <v/>
      </c>
      <c r="E697" s="116"/>
      <c r="F697" s="116"/>
      <c r="G697" s="115"/>
      <c r="H697" s="84" t="str">
        <f>IF(B697="","",VLOOKUP(A697,Journal!$B$7:$L$84,11))</f>
        <v/>
      </c>
      <c r="I697" s="84" t="str">
        <f>IF(B697="","",VLOOKUP(A697,Journal!$B$7:$M$84,12))</f>
        <v/>
      </c>
      <c r="J697" s="105">
        <f>IF(B697="Total",SUM(J$8:J696)+0.0001,IF(OR(B697="",I$2=I697),0,VLOOKUP(A697,Journal!$B$7:M$84,8)))</f>
        <v>0</v>
      </c>
      <c r="K697" s="102">
        <f>IF(B697="Total",SUM(K$8:K696)+0.0001,IF(OR(B697="",J697&lt;&gt;0),0,VLOOKUP(A697,Journal!$B$7:M$84,8)))</f>
        <v>0</v>
      </c>
      <c r="L697" s="87">
        <f t="shared" si="70"/>
        <v>0</v>
      </c>
      <c r="P697">
        <f t="shared" si="73"/>
        <v>1.0000000000000001E-5</v>
      </c>
      <c r="R697" s="15">
        <f t="shared" si="74"/>
        <v>690</v>
      </c>
      <c r="S697" s="126">
        <f>IF(VLOOKUP(A697,Journal!$A$7:$E$70,5)=0,S696+1,VLOOKUP(A697,Journal!$A$7:$E$70,5))</f>
        <v>46347</v>
      </c>
      <c r="T697" s="125">
        <f>IF(H$2=VLOOKUP(A697,Journal!$A$7:$F$70,6),VLOOKUP(A697,Journal!$A$7:M$70,9),0)</f>
        <v>0</v>
      </c>
      <c r="U697" s="125">
        <f>IF(H$2=VLOOKUP(A697,Journal!$A$7:$G$70,7),VLOOKUP(A697,Journal!$A$7:M$70,9),0)</f>
        <v>0</v>
      </c>
      <c r="V697" s="125">
        <f t="shared" si="75"/>
        <v>40</v>
      </c>
      <c r="X697">
        <f t="shared" si="72"/>
        <v>0</v>
      </c>
      <c r="Y697" s="143">
        <f t="shared" si="71"/>
        <v>-981.92105263160772</v>
      </c>
    </row>
    <row r="698" spans="1:25" x14ac:dyDescent="0.25">
      <c r="A698">
        <f t="shared" si="76"/>
        <v>691</v>
      </c>
      <c r="B698" s="88" t="str">
        <f>IF(OR(B697="Total",B697=""),"",IF(VLOOKUP(A698,Journal!$B$7:$E$84,4)=0,"Total",VLOOKUP(A698,Journal!$B$7:$D$84,3)))</f>
        <v/>
      </c>
      <c r="C698" s="86" t="str">
        <f>IF(B698="","",VLOOKUP(A698,Journal!$B$7:$E$84,4))</f>
        <v/>
      </c>
      <c r="D698" s="114" t="str">
        <f>IF(B698="","",VLOOKUP(A698,Journal!$B$7:$J$84,9))</f>
        <v/>
      </c>
      <c r="E698" s="116"/>
      <c r="F698" s="116"/>
      <c r="G698" s="115"/>
      <c r="H698" s="84" t="str">
        <f>IF(B698="","",VLOOKUP(A698,Journal!$B$7:$L$84,11))</f>
        <v/>
      </c>
      <c r="I698" s="84" t="str">
        <f>IF(B698="","",VLOOKUP(A698,Journal!$B$7:$M$84,12))</f>
        <v/>
      </c>
      <c r="J698" s="105">
        <f>IF(B698="Total",SUM(J$8:J697)+0.0001,IF(OR(B698="",I$2=I698),0,VLOOKUP(A698,Journal!$B$7:M$84,8)))</f>
        <v>0</v>
      </c>
      <c r="K698" s="102">
        <f>IF(B698="Total",SUM(K$8:K697)+0.0001,IF(OR(B698="",J698&lt;&gt;0),0,VLOOKUP(A698,Journal!$B$7:M$84,8)))</f>
        <v>0</v>
      </c>
      <c r="L698" s="87">
        <f t="shared" si="70"/>
        <v>0</v>
      </c>
      <c r="P698">
        <f t="shared" si="73"/>
        <v>1.0000000000000001E-5</v>
      </c>
      <c r="R698" s="15">
        <f t="shared" si="74"/>
        <v>691</v>
      </c>
      <c r="S698" s="126">
        <f>IF(VLOOKUP(A698,Journal!$A$7:$E$70,5)=0,S697+1,VLOOKUP(A698,Journal!$A$7:$E$70,5))</f>
        <v>46348</v>
      </c>
      <c r="T698" s="125">
        <f>IF(H$2=VLOOKUP(A698,Journal!$A$7:$F$70,6),VLOOKUP(A698,Journal!$A$7:M$70,9),0)</f>
        <v>0</v>
      </c>
      <c r="U698" s="125">
        <f>IF(H$2=VLOOKUP(A698,Journal!$A$7:$G$70,7),VLOOKUP(A698,Journal!$A$7:M$70,9),0)</f>
        <v>0</v>
      </c>
      <c r="V698" s="125">
        <f t="shared" si="75"/>
        <v>40</v>
      </c>
      <c r="X698">
        <f t="shared" si="72"/>
        <v>0</v>
      </c>
      <c r="Y698" s="143">
        <f t="shared" si="71"/>
        <v>-981.89473684213408</v>
      </c>
    </row>
    <row r="699" spans="1:25" x14ac:dyDescent="0.25">
      <c r="A699">
        <f t="shared" si="76"/>
        <v>692</v>
      </c>
      <c r="B699" s="88" t="str">
        <f>IF(OR(B698="Total",B698=""),"",IF(VLOOKUP(A699,Journal!$B$7:$E$84,4)=0,"Total",VLOOKUP(A699,Journal!$B$7:$D$84,3)))</f>
        <v/>
      </c>
      <c r="C699" s="86" t="str">
        <f>IF(B699="","",VLOOKUP(A699,Journal!$B$7:$E$84,4))</f>
        <v/>
      </c>
      <c r="D699" s="114" t="str">
        <f>IF(B699="","",VLOOKUP(A699,Journal!$B$7:$J$84,9))</f>
        <v/>
      </c>
      <c r="E699" s="116"/>
      <c r="F699" s="116"/>
      <c r="G699" s="115"/>
      <c r="H699" s="84" t="str">
        <f>IF(B699="","",VLOOKUP(A699,Journal!$B$7:$L$84,11))</f>
        <v/>
      </c>
      <c r="I699" s="84" t="str">
        <f>IF(B699="","",VLOOKUP(A699,Journal!$B$7:$M$84,12))</f>
        <v/>
      </c>
      <c r="J699" s="105">
        <f>IF(B699="Total",SUM(J$8:J698)+0.0001,IF(OR(B699="",I$2=I699),0,VLOOKUP(A699,Journal!$B$7:M$84,8)))</f>
        <v>0</v>
      </c>
      <c r="K699" s="102">
        <f>IF(B699="Total",SUM(K$8:K698)+0.0001,IF(OR(B699="",J699&lt;&gt;0),0,VLOOKUP(A699,Journal!$B$7:M$84,8)))</f>
        <v>0</v>
      </c>
      <c r="L699" s="87">
        <f t="shared" si="70"/>
        <v>0</v>
      </c>
      <c r="P699">
        <f t="shared" si="73"/>
        <v>1.0000000000000001E-5</v>
      </c>
      <c r="R699" s="15">
        <f t="shared" si="74"/>
        <v>692</v>
      </c>
      <c r="S699" s="126">
        <f>IF(VLOOKUP(A699,Journal!$A$7:$E$70,5)=0,S698+1,VLOOKUP(A699,Journal!$A$7:$E$70,5))</f>
        <v>46349</v>
      </c>
      <c r="T699" s="125">
        <f>IF(H$2=VLOOKUP(A699,Journal!$A$7:$F$70,6),VLOOKUP(A699,Journal!$A$7:M$70,9),0)</f>
        <v>0</v>
      </c>
      <c r="U699" s="125">
        <f>IF(H$2=VLOOKUP(A699,Journal!$A$7:$G$70,7),VLOOKUP(A699,Journal!$A$7:M$70,9),0)</f>
        <v>0</v>
      </c>
      <c r="V699" s="125">
        <f t="shared" si="75"/>
        <v>40</v>
      </c>
      <c r="X699">
        <f t="shared" si="72"/>
        <v>0</v>
      </c>
      <c r="Y699" s="143">
        <f t="shared" si="71"/>
        <v>-981.86842105266044</v>
      </c>
    </row>
    <row r="700" spans="1:25" x14ac:dyDescent="0.25">
      <c r="A700">
        <f t="shared" si="76"/>
        <v>693</v>
      </c>
      <c r="B700" s="88" t="str">
        <f>IF(OR(B699="Total",B699=""),"",IF(VLOOKUP(A700,Journal!$B$7:$E$84,4)=0,"Total",VLOOKUP(A700,Journal!$B$7:$D$84,3)))</f>
        <v/>
      </c>
      <c r="C700" s="86" t="str">
        <f>IF(B700="","",VLOOKUP(A700,Journal!$B$7:$E$84,4))</f>
        <v/>
      </c>
      <c r="D700" s="114" t="str">
        <f>IF(B700="","",VLOOKUP(A700,Journal!$B$7:$J$84,9))</f>
        <v/>
      </c>
      <c r="E700" s="116"/>
      <c r="F700" s="116"/>
      <c r="G700" s="115"/>
      <c r="H700" s="84" t="str">
        <f>IF(B700="","",VLOOKUP(A700,Journal!$B$7:$L$84,11))</f>
        <v/>
      </c>
      <c r="I700" s="84" t="str">
        <f>IF(B700="","",VLOOKUP(A700,Journal!$B$7:$M$84,12))</f>
        <v/>
      </c>
      <c r="J700" s="105">
        <f>IF(B700="Total",SUM(J$8:J699)+0.0001,IF(OR(B700="",I$2=I700),0,VLOOKUP(A700,Journal!$B$7:M$84,8)))</f>
        <v>0</v>
      </c>
      <c r="K700" s="102">
        <f>IF(B700="Total",SUM(K$8:K699)+0.0001,IF(OR(B700="",J700&lt;&gt;0),0,VLOOKUP(A700,Journal!$B$7:M$84,8)))</f>
        <v>0</v>
      </c>
      <c r="L700" s="87">
        <f t="shared" si="70"/>
        <v>0</v>
      </c>
      <c r="P700">
        <f t="shared" si="73"/>
        <v>1.0000000000000001E-5</v>
      </c>
      <c r="R700" s="15">
        <f t="shared" si="74"/>
        <v>693</v>
      </c>
      <c r="S700" s="126">
        <f>IF(VLOOKUP(A700,Journal!$A$7:$E$70,5)=0,S699+1,VLOOKUP(A700,Journal!$A$7:$E$70,5))</f>
        <v>46350</v>
      </c>
      <c r="T700" s="125">
        <f>IF(H$2=VLOOKUP(A700,Journal!$A$7:$F$70,6),VLOOKUP(A700,Journal!$A$7:M$70,9),0)</f>
        <v>0</v>
      </c>
      <c r="U700" s="125">
        <f>IF(H$2=VLOOKUP(A700,Journal!$A$7:$G$70,7),VLOOKUP(A700,Journal!$A$7:M$70,9),0)</f>
        <v>0</v>
      </c>
      <c r="V700" s="125">
        <f t="shared" si="75"/>
        <v>40</v>
      </c>
      <c r="X700">
        <f t="shared" si="72"/>
        <v>0</v>
      </c>
      <c r="Y700" s="143">
        <f t="shared" si="71"/>
        <v>-981.8421052631868</v>
      </c>
    </row>
    <row r="701" spans="1:25" x14ac:dyDescent="0.25">
      <c r="A701">
        <f t="shared" si="76"/>
        <v>694</v>
      </c>
      <c r="B701" s="88" t="str">
        <f>IF(OR(B700="Total",B700=""),"",IF(VLOOKUP(A701,Journal!$B$7:$E$84,4)=0,"Total",VLOOKUP(A701,Journal!$B$7:$D$84,3)))</f>
        <v/>
      </c>
      <c r="C701" s="86" t="str">
        <f>IF(B701="","",VLOOKUP(A701,Journal!$B$7:$E$84,4))</f>
        <v/>
      </c>
      <c r="D701" s="114" t="str">
        <f>IF(B701="","",VLOOKUP(A701,Journal!$B$7:$J$84,9))</f>
        <v/>
      </c>
      <c r="E701" s="116"/>
      <c r="F701" s="116"/>
      <c r="G701" s="115"/>
      <c r="H701" s="84" t="str">
        <f>IF(B701="","",VLOOKUP(A701,Journal!$B$7:$L$84,11))</f>
        <v/>
      </c>
      <c r="I701" s="84" t="str">
        <f>IF(B701="","",VLOOKUP(A701,Journal!$B$7:$M$84,12))</f>
        <v/>
      </c>
      <c r="J701" s="105">
        <f>IF(B701="Total",SUM(J$8:J700)+0.0001,IF(OR(B701="",I$2=I701),0,VLOOKUP(A701,Journal!$B$7:M$84,8)))</f>
        <v>0</v>
      </c>
      <c r="K701" s="102">
        <f>IF(B701="Total",SUM(K$8:K700)+0.0001,IF(OR(B701="",J701&lt;&gt;0),0,VLOOKUP(A701,Journal!$B$7:M$84,8)))</f>
        <v>0</v>
      </c>
      <c r="L701" s="87">
        <f t="shared" si="70"/>
        <v>0</v>
      </c>
      <c r="P701">
        <f t="shared" si="73"/>
        <v>1.0000000000000001E-5</v>
      </c>
      <c r="R701" s="15">
        <f t="shared" si="74"/>
        <v>694</v>
      </c>
      <c r="S701" s="126">
        <f>IF(VLOOKUP(A701,Journal!$A$7:$E$70,5)=0,S700+1,VLOOKUP(A701,Journal!$A$7:$E$70,5))</f>
        <v>46351</v>
      </c>
      <c r="T701" s="125">
        <f>IF(H$2=VLOOKUP(A701,Journal!$A$7:$F$70,6),VLOOKUP(A701,Journal!$A$7:M$70,9),0)</f>
        <v>0</v>
      </c>
      <c r="U701" s="125">
        <f>IF(H$2=VLOOKUP(A701,Journal!$A$7:$G$70,7),VLOOKUP(A701,Journal!$A$7:M$70,9),0)</f>
        <v>0</v>
      </c>
      <c r="V701" s="125">
        <f t="shared" si="75"/>
        <v>40</v>
      </c>
      <c r="X701">
        <f t="shared" si="72"/>
        <v>0</v>
      </c>
      <c r="Y701" s="143">
        <f t="shared" si="71"/>
        <v>-981.81578947371315</v>
      </c>
    </row>
    <row r="702" spans="1:25" x14ac:dyDescent="0.25">
      <c r="A702">
        <f t="shared" si="76"/>
        <v>695</v>
      </c>
      <c r="B702" s="88" t="str">
        <f>IF(OR(B701="Total",B701=""),"",IF(VLOOKUP(A702,Journal!$B$7:$E$84,4)=0,"Total",VLOOKUP(A702,Journal!$B$7:$D$84,3)))</f>
        <v/>
      </c>
      <c r="C702" s="86" t="str">
        <f>IF(B702="","",VLOOKUP(A702,Journal!$B$7:$E$84,4))</f>
        <v/>
      </c>
      <c r="D702" s="114" t="str">
        <f>IF(B702="","",VLOOKUP(A702,Journal!$B$7:$J$84,9))</f>
        <v/>
      </c>
      <c r="E702" s="116"/>
      <c r="F702" s="116"/>
      <c r="G702" s="115"/>
      <c r="H702" s="84" t="str">
        <f>IF(B702="","",VLOOKUP(A702,Journal!$B$7:$L$84,11))</f>
        <v/>
      </c>
      <c r="I702" s="84" t="str">
        <f>IF(B702="","",VLOOKUP(A702,Journal!$B$7:$M$84,12))</f>
        <v/>
      </c>
      <c r="J702" s="105">
        <f>IF(B702="Total",SUM(J$8:J701)+0.0001,IF(OR(B702="",I$2=I702),0,VLOOKUP(A702,Journal!$B$7:M$84,8)))</f>
        <v>0</v>
      </c>
      <c r="K702" s="102">
        <f>IF(B702="Total",SUM(K$8:K701)+0.0001,IF(OR(B702="",J702&lt;&gt;0),0,VLOOKUP(A702,Journal!$B$7:M$84,8)))</f>
        <v>0</v>
      </c>
      <c r="L702" s="87">
        <f t="shared" si="70"/>
        <v>0</v>
      </c>
      <c r="P702">
        <f t="shared" si="73"/>
        <v>1.0000000000000001E-5</v>
      </c>
      <c r="R702" s="15">
        <f t="shared" si="74"/>
        <v>695</v>
      </c>
      <c r="S702" s="126">
        <f>IF(VLOOKUP(A702,Journal!$A$7:$E$70,5)=0,S701+1,VLOOKUP(A702,Journal!$A$7:$E$70,5))</f>
        <v>46352</v>
      </c>
      <c r="T702" s="125">
        <f>IF(H$2=VLOOKUP(A702,Journal!$A$7:$F$70,6),VLOOKUP(A702,Journal!$A$7:M$70,9),0)</f>
        <v>0</v>
      </c>
      <c r="U702" s="125">
        <f>IF(H$2=VLOOKUP(A702,Journal!$A$7:$G$70,7),VLOOKUP(A702,Journal!$A$7:M$70,9),0)</f>
        <v>0</v>
      </c>
      <c r="V702" s="125">
        <f t="shared" si="75"/>
        <v>40</v>
      </c>
      <c r="X702">
        <f t="shared" si="72"/>
        <v>0</v>
      </c>
      <c r="Y702" s="143">
        <f t="shared" si="71"/>
        <v>-981.78947368423951</v>
      </c>
    </row>
    <row r="703" spans="1:25" x14ac:dyDescent="0.25">
      <c r="A703">
        <f t="shared" si="76"/>
        <v>696</v>
      </c>
      <c r="B703" s="88" t="str">
        <f>IF(OR(B702="Total",B702=""),"",IF(VLOOKUP(A703,Journal!$B$7:$E$84,4)=0,"Total",VLOOKUP(A703,Journal!$B$7:$D$84,3)))</f>
        <v/>
      </c>
      <c r="C703" s="86" t="str">
        <f>IF(B703="","",VLOOKUP(A703,Journal!$B$7:$E$84,4))</f>
        <v/>
      </c>
      <c r="D703" s="114" t="str">
        <f>IF(B703="","",VLOOKUP(A703,Journal!$B$7:$J$84,9))</f>
        <v/>
      </c>
      <c r="E703" s="116"/>
      <c r="F703" s="116"/>
      <c r="G703" s="115"/>
      <c r="H703" s="84" t="str">
        <f>IF(B703="","",VLOOKUP(A703,Journal!$B$7:$L$84,11))</f>
        <v/>
      </c>
      <c r="I703" s="84" t="str">
        <f>IF(B703="","",VLOOKUP(A703,Journal!$B$7:$M$84,12))</f>
        <v/>
      </c>
      <c r="J703" s="105">
        <f>IF(B703="Total",SUM(J$8:J702)+0.0001,IF(OR(B703="",I$2=I703),0,VLOOKUP(A703,Journal!$B$7:M$84,8)))</f>
        <v>0</v>
      </c>
      <c r="K703" s="102">
        <f>IF(B703="Total",SUM(K$8:K702)+0.0001,IF(OR(B703="",J703&lt;&gt;0),0,VLOOKUP(A703,Journal!$B$7:M$84,8)))</f>
        <v>0</v>
      </c>
      <c r="L703" s="87">
        <f t="shared" si="70"/>
        <v>0</v>
      </c>
      <c r="P703">
        <f t="shared" si="73"/>
        <v>1.0000000000000001E-5</v>
      </c>
      <c r="R703" s="15">
        <f t="shared" si="74"/>
        <v>696</v>
      </c>
      <c r="S703" s="126">
        <f>IF(VLOOKUP(A703,Journal!$A$7:$E$70,5)=0,S702+1,VLOOKUP(A703,Journal!$A$7:$E$70,5))</f>
        <v>46353</v>
      </c>
      <c r="T703" s="125">
        <f>IF(H$2=VLOOKUP(A703,Journal!$A$7:$F$70,6),VLOOKUP(A703,Journal!$A$7:M$70,9),0)</f>
        <v>0</v>
      </c>
      <c r="U703" s="125">
        <f>IF(H$2=VLOOKUP(A703,Journal!$A$7:$G$70,7),VLOOKUP(A703,Journal!$A$7:M$70,9),0)</f>
        <v>0</v>
      </c>
      <c r="V703" s="125">
        <f t="shared" si="75"/>
        <v>40</v>
      </c>
      <c r="X703">
        <f t="shared" si="72"/>
        <v>0</v>
      </c>
      <c r="Y703" s="143">
        <f t="shared" si="71"/>
        <v>-981.76315789476587</v>
      </c>
    </row>
    <row r="704" spans="1:25" x14ac:dyDescent="0.25">
      <c r="A704">
        <f t="shared" si="76"/>
        <v>697</v>
      </c>
      <c r="B704" s="88" t="str">
        <f>IF(OR(B703="Total",B703=""),"",IF(VLOOKUP(A704,Journal!$B$7:$E$84,4)=0,"Total",VLOOKUP(A704,Journal!$B$7:$D$84,3)))</f>
        <v/>
      </c>
      <c r="C704" s="86" t="str">
        <f>IF(B704="","",VLOOKUP(A704,Journal!$B$7:$E$84,4))</f>
        <v/>
      </c>
      <c r="D704" s="114" t="str">
        <f>IF(B704="","",VLOOKUP(A704,Journal!$B$7:$J$84,9))</f>
        <v/>
      </c>
      <c r="E704" s="116"/>
      <c r="F704" s="116"/>
      <c r="G704" s="115"/>
      <c r="H704" s="84" t="str">
        <f>IF(B704="","",VLOOKUP(A704,Journal!$B$7:$L$84,11))</f>
        <v/>
      </c>
      <c r="I704" s="84" t="str">
        <f>IF(B704="","",VLOOKUP(A704,Journal!$B$7:$M$84,12))</f>
        <v/>
      </c>
      <c r="J704" s="105">
        <f>IF(B704="Total",SUM(J$8:J703)+0.0001,IF(OR(B704="",I$2=I704),0,VLOOKUP(A704,Journal!$B$7:M$84,8)))</f>
        <v>0</v>
      </c>
      <c r="K704" s="102">
        <f>IF(B704="Total",SUM(K$8:K703)+0.0001,IF(OR(B704="",J704&lt;&gt;0),0,VLOOKUP(A704,Journal!$B$7:M$84,8)))</f>
        <v>0</v>
      </c>
      <c r="L704" s="87">
        <f t="shared" si="70"/>
        <v>0</v>
      </c>
      <c r="P704">
        <f t="shared" si="73"/>
        <v>1.0000000000000001E-5</v>
      </c>
      <c r="R704" s="15">
        <f t="shared" si="74"/>
        <v>697</v>
      </c>
      <c r="S704" s="126">
        <f>IF(VLOOKUP(A704,Journal!$A$7:$E$70,5)=0,S703+1,VLOOKUP(A704,Journal!$A$7:$E$70,5))</f>
        <v>46354</v>
      </c>
      <c r="T704" s="125">
        <f>IF(H$2=VLOOKUP(A704,Journal!$A$7:$F$70,6),VLOOKUP(A704,Journal!$A$7:M$70,9),0)</f>
        <v>0</v>
      </c>
      <c r="U704" s="125">
        <f>IF(H$2=VLOOKUP(A704,Journal!$A$7:$G$70,7),VLOOKUP(A704,Journal!$A$7:M$70,9),0)</f>
        <v>0</v>
      </c>
      <c r="V704" s="125">
        <f t="shared" si="75"/>
        <v>40</v>
      </c>
      <c r="X704">
        <f t="shared" si="72"/>
        <v>0</v>
      </c>
      <c r="Y704" s="143">
        <f t="shared" si="71"/>
        <v>-981.73684210529223</v>
      </c>
    </row>
    <row r="705" spans="1:25" x14ac:dyDescent="0.25">
      <c r="A705">
        <f t="shared" si="76"/>
        <v>698</v>
      </c>
      <c r="B705" s="88" t="str">
        <f>IF(OR(B704="Total",B704=""),"",IF(VLOOKUP(A705,Journal!$B$7:$E$84,4)=0,"Total",VLOOKUP(A705,Journal!$B$7:$D$84,3)))</f>
        <v/>
      </c>
      <c r="C705" s="86" t="str">
        <f>IF(B705="","",VLOOKUP(A705,Journal!$B$7:$E$84,4))</f>
        <v/>
      </c>
      <c r="D705" s="114" t="str">
        <f>IF(B705="","",VLOOKUP(A705,Journal!$B$7:$J$84,9))</f>
        <v/>
      </c>
      <c r="E705" s="116"/>
      <c r="F705" s="116"/>
      <c r="G705" s="115"/>
      <c r="H705" s="84" t="str">
        <f>IF(B705="","",VLOOKUP(A705,Journal!$B$7:$L$84,11))</f>
        <v/>
      </c>
      <c r="I705" s="84" t="str">
        <f>IF(B705="","",VLOOKUP(A705,Journal!$B$7:$M$84,12))</f>
        <v/>
      </c>
      <c r="J705" s="105">
        <f>IF(B705="Total",SUM(J$8:J704)+0.0001,IF(OR(B705="",I$2=I705),0,VLOOKUP(A705,Journal!$B$7:M$84,8)))</f>
        <v>0</v>
      </c>
      <c r="K705" s="102">
        <f>IF(B705="Total",SUM(K$8:K704)+0.0001,IF(OR(B705="",J705&lt;&gt;0),0,VLOOKUP(A705,Journal!$B$7:M$84,8)))</f>
        <v>0</v>
      </c>
      <c r="L705" s="87">
        <f t="shared" si="70"/>
        <v>0</v>
      </c>
      <c r="P705">
        <f t="shared" si="73"/>
        <v>1.0000000000000001E-5</v>
      </c>
      <c r="R705" s="15">
        <f t="shared" si="74"/>
        <v>698</v>
      </c>
      <c r="S705" s="126">
        <f>IF(VLOOKUP(A705,Journal!$A$7:$E$70,5)=0,S704+1,VLOOKUP(A705,Journal!$A$7:$E$70,5))</f>
        <v>46355</v>
      </c>
      <c r="T705" s="125">
        <f>IF(H$2=VLOOKUP(A705,Journal!$A$7:$F$70,6),VLOOKUP(A705,Journal!$A$7:M$70,9),0)</f>
        <v>0</v>
      </c>
      <c r="U705" s="125">
        <f>IF(H$2=VLOOKUP(A705,Journal!$A$7:$G$70,7),VLOOKUP(A705,Journal!$A$7:M$70,9),0)</f>
        <v>0</v>
      </c>
      <c r="V705" s="125">
        <f t="shared" si="75"/>
        <v>40</v>
      </c>
      <c r="X705">
        <f t="shared" si="72"/>
        <v>0</v>
      </c>
      <c r="Y705" s="143">
        <f t="shared" si="71"/>
        <v>-981.71052631581858</v>
      </c>
    </row>
    <row r="706" spans="1:25" x14ac:dyDescent="0.25">
      <c r="A706">
        <f t="shared" si="76"/>
        <v>699</v>
      </c>
      <c r="B706" s="88" t="str">
        <f>IF(OR(B705="Total",B705=""),"",IF(VLOOKUP(A706,Journal!$B$7:$E$84,4)=0,"Total",VLOOKUP(A706,Journal!$B$7:$D$84,3)))</f>
        <v/>
      </c>
      <c r="C706" s="86" t="str">
        <f>IF(B706="","",VLOOKUP(A706,Journal!$B$7:$E$84,4))</f>
        <v/>
      </c>
      <c r="D706" s="114" t="str">
        <f>IF(B706="","",VLOOKUP(A706,Journal!$B$7:$J$84,9))</f>
        <v/>
      </c>
      <c r="E706" s="116"/>
      <c r="F706" s="116"/>
      <c r="G706" s="115"/>
      <c r="H706" s="84" t="str">
        <f>IF(B706="","",VLOOKUP(A706,Journal!$B$7:$L$84,11))</f>
        <v/>
      </c>
      <c r="I706" s="84" t="str">
        <f>IF(B706="","",VLOOKUP(A706,Journal!$B$7:$M$84,12))</f>
        <v/>
      </c>
      <c r="J706" s="105">
        <f>IF(B706="Total",SUM(J$8:J705)+0.0001,IF(OR(B706="",I$2=I706),0,VLOOKUP(A706,Journal!$B$7:M$84,8)))</f>
        <v>0</v>
      </c>
      <c r="K706" s="102">
        <f>IF(B706="Total",SUM(K$8:K705)+0.0001,IF(OR(B706="",J706&lt;&gt;0),0,VLOOKUP(A706,Journal!$B$7:M$84,8)))</f>
        <v>0</v>
      </c>
      <c r="L706" s="87">
        <f t="shared" si="70"/>
        <v>0</v>
      </c>
      <c r="P706">
        <f t="shared" si="73"/>
        <v>1.0000000000000001E-5</v>
      </c>
      <c r="R706" s="15">
        <f t="shared" si="74"/>
        <v>699</v>
      </c>
      <c r="S706" s="126">
        <f>IF(VLOOKUP(A706,Journal!$A$7:$E$70,5)=0,S705+1,VLOOKUP(A706,Journal!$A$7:$E$70,5))</f>
        <v>46356</v>
      </c>
      <c r="T706" s="125">
        <f>IF(H$2=VLOOKUP(A706,Journal!$A$7:$F$70,6),VLOOKUP(A706,Journal!$A$7:M$70,9),0)</f>
        <v>0</v>
      </c>
      <c r="U706" s="125">
        <f>IF(H$2=VLOOKUP(A706,Journal!$A$7:$G$70,7),VLOOKUP(A706,Journal!$A$7:M$70,9),0)</f>
        <v>0</v>
      </c>
      <c r="V706" s="125">
        <f t="shared" si="75"/>
        <v>40</v>
      </c>
      <c r="X706">
        <f t="shared" si="72"/>
        <v>0</v>
      </c>
      <c r="Y706" s="143">
        <f t="shared" si="71"/>
        <v>-981.68421052634494</v>
      </c>
    </row>
    <row r="707" spans="1:25" x14ac:dyDescent="0.25">
      <c r="A707">
        <f t="shared" si="76"/>
        <v>700</v>
      </c>
      <c r="B707" s="88" t="str">
        <f>IF(OR(B706="Total",B706=""),"",IF(VLOOKUP(A707,Journal!$B$7:$E$84,4)=0,"Total",VLOOKUP(A707,Journal!$B$7:$D$84,3)))</f>
        <v/>
      </c>
      <c r="C707" s="86" t="str">
        <f>IF(B707="","",VLOOKUP(A707,Journal!$B$7:$E$84,4))</f>
        <v/>
      </c>
      <c r="D707" s="114" t="str">
        <f>IF(B707="","",VLOOKUP(A707,Journal!$B$7:$J$84,9))</f>
        <v/>
      </c>
      <c r="E707" s="116"/>
      <c r="F707" s="116"/>
      <c r="G707" s="115"/>
      <c r="H707" s="84" t="str">
        <f>IF(B707="","",VLOOKUP(A707,Journal!$B$7:$L$84,11))</f>
        <v/>
      </c>
      <c r="I707" s="84" t="str">
        <f>IF(B707="","",VLOOKUP(A707,Journal!$B$7:$M$84,12))</f>
        <v/>
      </c>
      <c r="J707" s="105">
        <f>IF(B707="Total",SUM(J$8:J706)+0.0001,IF(OR(B707="",I$2=I707),0,VLOOKUP(A707,Journal!$B$7:M$84,8)))</f>
        <v>0</v>
      </c>
      <c r="K707" s="102">
        <f>IF(B707="Total",SUM(K$8:K706)+0.0001,IF(OR(B707="",J707&lt;&gt;0),0,VLOOKUP(A707,Journal!$B$7:M$84,8)))</f>
        <v>0</v>
      </c>
      <c r="L707" s="87">
        <f t="shared" si="70"/>
        <v>0</v>
      </c>
      <c r="P707">
        <f t="shared" si="73"/>
        <v>1.0000000000000001E-5</v>
      </c>
      <c r="R707" s="15">
        <f t="shared" si="74"/>
        <v>700</v>
      </c>
      <c r="S707" s="126">
        <f>IF(VLOOKUP(A707,Journal!$A$7:$E$70,5)=0,S706+1,VLOOKUP(A707,Journal!$A$7:$E$70,5))</f>
        <v>46357</v>
      </c>
      <c r="T707" s="125">
        <f>IF(H$2=VLOOKUP(A707,Journal!$A$7:$F$70,6),VLOOKUP(A707,Journal!$A$7:M$70,9),0)</f>
        <v>0</v>
      </c>
      <c r="U707" s="125">
        <f>IF(H$2=VLOOKUP(A707,Journal!$A$7:$G$70,7),VLOOKUP(A707,Journal!$A$7:M$70,9),0)</f>
        <v>0</v>
      </c>
      <c r="V707" s="125">
        <f t="shared" si="75"/>
        <v>40</v>
      </c>
      <c r="X707">
        <f t="shared" si="72"/>
        <v>0</v>
      </c>
      <c r="Y707" s="143">
        <f t="shared" si="71"/>
        <v>-981.6578947368713</v>
      </c>
    </row>
    <row r="708" spans="1:25" x14ac:dyDescent="0.25">
      <c r="A708">
        <f t="shared" si="76"/>
        <v>701</v>
      </c>
      <c r="B708" s="88" t="str">
        <f>IF(OR(B707="Total",B707=""),"",IF(VLOOKUP(A708,Journal!$B$7:$E$84,4)=0,"Total",VLOOKUP(A708,Journal!$B$7:$D$84,3)))</f>
        <v/>
      </c>
      <c r="C708" s="86" t="str">
        <f>IF(B708="","",VLOOKUP(A708,Journal!$B$7:$E$84,4))</f>
        <v/>
      </c>
      <c r="D708" s="114" t="str">
        <f>IF(B708="","",VLOOKUP(A708,Journal!$B$7:$J$84,9))</f>
        <v/>
      </c>
      <c r="E708" s="116"/>
      <c r="F708" s="116"/>
      <c r="G708" s="115"/>
      <c r="H708" s="84" t="str">
        <f>IF(B708="","",VLOOKUP(A708,Journal!$B$7:$L$84,11))</f>
        <v/>
      </c>
      <c r="I708" s="84" t="str">
        <f>IF(B708="","",VLOOKUP(A708,Journal!$B$7:$M$84,12))</f>
        <v/>
      </c>
      <c r="J708" s="105">
        <f>IF(B708="Total",SUM(J$8:J707)+0.0001,IF(OR(B708="",I$2=I708),0,VLOOKUP(A708,Journal!$B$7:M$84,8)))</f>
        <v>0</v>
      </c>
      <c r="K708" s="102">
        <f>IF(B708="Total",SUM(K$8:K707)+0.0001,IF(OR(B708="",J708&lt;&gt;0),0,VLOOKUP(A708,Journal!$B$7:M$84,8)))</f>
        <v>0</v>
      </c>
      <c r="L708" s="87">
        <f t="shared" si="70"/>
        <v>0</v>
      </c>
      <c r="P708">
        <f t="shared" si="73"/>
        <v>1.0000000000000001E-5</v>
      </c>
      <c r="R708" s="15">
        <f t="shared" si="74"/>
        <v>701</v>
      </c>
      <c r="S708" s="126">
        <f>IF(VLOOKUP(A708,Journal!$A$7:$E$70,5)=0,S707+1,VLOOKUP(A708,Journal!$A$7:$E$70,5))</f>
        <v>46358</v>
      </c>
      <c r="T708" s="125">
        <f>IF(H$2=VLOOKUP(A708,Journal!$A$7:$F$70,6),VLOOKUP(A708,Journal!$A$7:M$70,9),0)</f>
        <v>0</v>
      </c>
      <c r="U708" s="125">
        <f>IF(H$2=VLOOKUP(A708,Journal!$A$7:$G$70,7),VLOOKUP(A708,Journal!$A$7:M$70,9),0)</f>
        <v>0</v>
      </c>
      <c r="V708" s="125">
        <f t="shared" si="75"/>
        <v>40</v>
      </c>
      <c r="X708">
        <f t="shared" si="72"/>
        <v>0</v>
      </c>
      <c r="Y708" s="143">
        <f t="shared" si="71"/>
        <v>-981.63157894739766</v>
      </c>
    </row>
    <row r="709" spans="1:25" x14ac:dyDescent="0.25">
      <c r="A709">
        <f t="shared" si="76"/>
        <v>702</v>
      </c>
      <c r="B709" s="88" t="str">
        <f>IF(OR(B708="Total",B708=""),"",IF(VLOOKUP(A709,Journal!$B$7:$E$84,4)=0,"Total",VLOOKUP(A709,Journal!$B$7:$D$84,3)))</f>
        <v/>
      </c>
      <c r="C709" s="86" t="str">
        <f>IF(B709="","",VLOOKUP(A709,Journal!$B$7:$E$84,4))</f>
        <v/>
      </c>
      <c r="D709" s="114" t="str">
        <f>IF(B709="","",VLOOKUP(A709,Journal!$B$7:$J$84,9))</f>
        <v/>
      </c>
      <c r="E709" s="116"/>
      <c r="F709" s="116"/>
      <c r="G709" s="115"/>
      <c r="H709" s="84" t="str">
        <f>IF(B709="","",VLOOKUP(A709,Journal!$B$7:$L$84,11))</f>
        <v/>
      </c>
      <c r="I709" s="84" t="str">
        <f>IF(B709="","",VLOOKUP(A709,Journal!$B$7:$M$84,12))</f>
        <v/>
      </c>
      <c r="J709" s="105">
        <f>IF(B709="Total",SUM(J$8:J708)+0.0001,IF(OR(B709="",I$2=I709),0,VLOOKUP(A709,Journal!$B$7:M$84,8)))</f>
        <v>0</v>
      </c>
      <c r="K709" s="102">
        <f>IF(B709="Total",SUM(K$8:K708)+0.0001,IF(OR(B709="",J709&lt;&gt;0),0,VLOOKUP(A709,Journal!$B$7:M$84,8)))</f>
        <v>0</v>
      </c>
      <c r="L709" s="87">
        <f t="shared" si="70"/>
        <v>0</v>
      </c>
      <c r="P709">
        <f t="shared" si="73"/>
        <v>1.0000000000000001E-5</v>
      </c>
      <c r="R709" s="15">
        <f t="shared" si="74"/>
        <v>702</v>
      </c>
      <c r="S709" s="126">
        <f>IF(VLOOKUP(A709,Journal!$A$7:$E$70,5)=0,S708+1,VLOOKUP(A709,Journal!$A$7:$E$70,5))</f>
        <v>46359</v>
      </c>
      <c r="T709" s="125">
        <f>IF(H$2=VLOOKUP(A709,Journal!$A$7:$F$70,6),VLOOKUP(A709,Journal!$A$7:M$70,9),0)</f>
        <v>0</v>
      </c>
      <c r="U709" s="125">
        <f>IF(H$2=VLOOKUP(A709,Journal!$A$7:$G$70,7),VLOOKUP(A709,Journal!$A$7:M$70,9),0)</f>
        <v>0</v>
      </c>
      <c r="V709" s="125">
        <f t="shared" si="75"/>
        <v>40</v>
      </c>
      <c r="X709">
        <f t="shared" si="72"/>
        <v>0</v>
      </c>
      <c r="Y709" s="143">
        <f t="shared" si="71"/>
        <v>-981.60526315792401</v>
      </c>
    </row>
    <row r="710" spans="1:25" x14ac:dyDescent="0.25">
      <c r="A710">
        <f t="shared" si="76"/>
        <v>703</v>
      </c>
      <c r="B710" s="88" t="str">
        <f>IF(OR(B709="Total",B709=""),"",IF(VLOOKUP(A710,Journal!$B$7:$E$84,4)=0,"Total",VLOOKUP(A710,Journal!$B$7:$D$84,3)))</f>
        <v/>
      </c>
      <c r="C710" s="86" t="str">
        <f>IF(B710="","",VLOOKUP(A710,Journal!$B$7:$E$84,4))</f>
        <v/>
      </c>
      <c r="D710" s="114" t="str">
        <f>IF(B710="","",VLOOKUP(A710,Journal!$B$7:$J$84,9))</f>
        <v/>
      </c>
      <c r="E710" s="116"/>
      <c r="F710" s="116"/>
      <c r="G710" s="115"/>
      <c r="H710" s="84" t="str">
        <f>IF(B710="","",VLOOKUP(A710,Journal!$B$7:$L$84,11))</f>
        <v/>
      </c>
      <c r="I710" s="84" t="str">
        <f>IF(B710="","",VLOOKUP(A710,Journal!$B$7:$M$84,12))</f>
        <v/>
      </c>
      <c r="J710" s="105">
        <f>IF(B710="Total",SUM(J$8:J709)+0.0001,IF(OR(B710="",I$2=I710),0,VLOOKUP(A710,Journal!$B$7:M$84,8)))</f>
        <v>0</v>
      </c>
      <c r="K710" s="102">
        <f>IF(B710="Total",SUM(K$8:K709)+0.0001,IF(OR(B710="",J710&lt;&gt;0),0,VLOOKUP(A710,Journal!$B$7:M$84,8)))</f>
        <v>0</v>
      </c>
      <c r="L710" s="87">
        <f t="shared" si="70"/>
        <v>0</v>
      </c>
      <c r="P710">
        <f t="shared" si="73"/>
        <v>1.0000000000000001E-5</v>
      </c>
      <c r="R710" s="15">
        <f t="shared" si="74"/>
        <v>703</v>
      </c>
      <c r="S710" s="126">
        <f>IF(VLOOKUP(A710,Journal!$A$7:$E$70,5)=0,S709+1,VLOOKUP(A710,Journal!$A$7:$E$70,5))</f>
        <v>46360</v>
      </c>
      <c r="T710" s="125">
        <f>IF(H$2=VLOOKUP(A710,Journal!$A$7:$F$70,6),VLOOKUP(A710,Journal!$A$7:M$70,9),0)</f>
        <v>0</v>
      </c>
      <c r="U710" s="125">
        <f>IF(H$2=VLOOKUP(A710,Journal!$A$7:$G$70,7),VLOOKUP(A710,Journal!$A$7:M$70,9),0)</f>
        <v>0</v>
      </c>
      <c r="V710" s="125">
        <f t="shared" si="75"/>
        <v>40</v>
      </c>
      <c r="X710">
        <f t="shared" si="72"/>
        <v>0</v>
      </c>
      <c r="Y710" s="143">
        <f t="shared" si="71"/>
        <v>-981.57894736845037</v>
      </c>
    </row>
    <row r="711" spans="1:25" x14ac:dyDescent="0.25">
      <c r="A711">
        <f t="shared" si="76"/>
        <v>704</v>
      </c>
      <c r="B711" s="88" t="str">
        <f>IF(OR(B710="Total",B710=""),"",IF(VLOOKUP(A711,Journal!$B$7:$E$84,4)=0,"Total",VLOOKUP(A711,Journal!$B$7:$D$84,3)))</f>
        <v/>
      </c>
      <c r="C711" s="86" t="str">
        <f>IF(B711="","",VLOOKUP(A711,Journal!$B$7:$E$84,4))</f>
        <v/>
      </c>
      <c r="D711" s="114" t="str">
        <f>IF(B711="","",VLOOKUP(A711,Journal!$B$7:$J$84,9))</f>
        <v/>
      </c>
      <c r="E711" s="116"/>
      <c r="F711" s="116"/>
      <c r="G711" s="115"/>
      <c r="H711" s="84" t="str">
        <f>IF(B711="","",VLOOKUP(A711,Journal!$B$7:$L$84,11))</f>
        <v/>
      </c>
      <c r="I711" s="84" t="str">
        <f>IF(B711="","",VLOOKUP(A711,Journal!$B$7:$M$84,12))</f>
        <v/>
      </c>
      <c r="J711" s="105">
        <f>IF(B711="Total",SUM(J$8:J710)+0.0001,IF(OR(B711="",I$2=I711),0,VLOOKUP(A711,Journal!$B$7:M$84,8)))</f>
        <v>0</v>
      </c>
      <c r="K711" s="102">
        <f>IF(B711="Total",SUM(K$8:K710)+0.0001,IF(OR(B711="",J711&lt;&gt;0),0,VLOOKUP(A711,Journal!$B$7:M$84,8)))</f>
        <v>0</v>
      </c>
      <c r="L711" s="87">
        <f t="shared" si="70"/>
        <v>0</v>
      </c>
      <c r="P711">
        <f t="shared" si="73"/>
        <v>1.0000000000000001E-5</v>
      </c>
      <c r="R711" s="15">
        <f t="shared" si="74"/>
        <v>704</v>
      </c>
      <c r="S711" s="126">
        <f>IF(VLOOKUP(A711,Journal!$A$7:$E$70,5)=0,S710+1,VLOOKUP(A711,Journal!$A$7:$E$70,5))</f>
        <v>46361</v>
      </c>
      <c r="T711" s="125">
        <f>IF(H$2=VLOOKUP(A711,Journal!$A$7:$F$70,6),VLOOKUP(A711,Journal!$A$7:M$70,9),0)</f>
        <v>0</v>
      </c>
      <c r="U711" s="125">
        <f>IF(H$2=VLOOKUP(A711,Journal!$A$7:$G$70,7),VLOOKUP(A711,Journal!$A$7:M$70,9),0)</f>
        <v>0</v>
      </c>
      <c r="V711" s="125">
        <f t="shared" si="75"/>
        <v>40</v>
      </c>
      <c r="X711">
        <f t="shared" si="72"/>
        <v>0</v>
      </c>
      <c r="Y711" s="143">
        <f t="shared" si="71"/>
        <v>-981.55263157897673</v>
      </c>
    </row>
    <row r="712" spans="1:25" x14ac:dyDescent="0.25">
      <c r="A712">
        <f t="shared" si="76"/>
        <v>705</v>
      </c>
      <c r="B712" s="88" t="str">
        <f>IF(OR(B711="Total",B711=""),"",IF(VLOOKUP(A712,Journal!$B$7:$E$84,4)=0,"Total",VLOOKUP(A712,Journal!$B$7:$D$84,3)))</f>
        <v/>
      </c>
      <c r="C712" s="86" t="str">
        <f>IF(B712="","",VLOOKUP(A712,Journal!$B$7:$E$84,4))</f>
        <v/>
      </c>
      <c r="D712" s="114" t="str">
        <f>IF(B712="","",VLOOKUP(A712,Journal!$B$7:$J$84,9))</f>
        <v/>
      </c>
      <c r="E712" s="116"/>
      <c r="F712" s="116"/>
      <c r="G712" s="115"/>
      <c r="H712" s="84" t="str">
        <f>IF(B712="","",VLOOKUP(A712,Journal!$B$7:$L$84,11))</f>
        <v/>
      </c>
      <c r="I712" s="84" t="str">
        <f>IF(B712="","",VLOOKUP(A712,Journal!$B$7:$M$84,12))</f>
        <v/>
      </c>
      <c r="J712" s="105">
        <f>IF(B712="Total",SUM(J$8:J711)+0.0001,IF(OR(B712="",I$2=I712),0,VLOOKUP(A712,Journal!$B$7:M$84,8)))</f>
        <v>0</v>
      </c>
      <c r="K712" s="102">
        <f>IF(B712="Total",SUM(K$8:K711)+0.0001,IF(OR(B712="",J712&lt;&gt;0),0,VLOOKUP(A712,Journal!$B$7:M$84,8)))</f>
        <v>0</v>
      </c>
      <c r="L712" s="87">
        <f t="shared" ref="L712:L775" si="77">IF(B712="Total",L711,IF(B712="",0,IF($M$1=1,L711+J712-K712,L711-J712+K712)))</f>
        <v>0</v>
      </c>
      <c r="P712">
        <f t="shared" si="73"/>
        <v>1.0000000000000001E-5</v>
      </c>
      <c r="R712" s="15">
        <f t="shared" si="74"/>
        <v>705</v>
      </c>
      <c r="S712" s="126">
        <f>IF(VLOOKUP(A712,Journal!$A$7:$E$70,5)=0,S711+1,VLOOKUP(A712,Journal!$A$7:$E$70,5))</f>
        <v>46362</v>
      </c>
      <c r="T712" s="125">
        <f>IF(H$2=VLOOKUP(A712,Journal!$A$7:$F$70,6),VLOOKUP(A712,Journal!$A$7:M$70,9),0)</f>
        <v>0</v>
      </c>
      <c r="U712" s="125">
        <f>IF(H$2=VLOOKUP(A712,Journal!$A$7:$G$70,7),VLOOKUP(A712,Journal!$A$7:M$70,9),0)</f>
        <v>0</v>
      </c>
      <c r="V712" s="125">
        <f t="shared" si="75"/>
        <v>40</v>
      </c>
      <c r="X712">
        <f t="shared" si="72"/>
        <v>0</v>
      </c>
      <c r="Y712" s="143">
        <f t="shared" ref="Y712:Y775" si="78">IF(B711="Total",-1000,Y711+Y$4)</f>
        <v>-981.52631578950309</v>
      </c>
    </row>
    <row r="713" spans="1:25" x14ac:dyDescent="0.25">
      <c r="A713">
        <f t="shared" si="76"/>
        <v>706</v>
      </c>
      <c r="B713" s="88" t="str">
        <f>IF(OR(B712="Total",B712=""),"",IF(VLOOKUP(A713,Journal!$B$7:$E$84,4)=0,"Total",VLOOKUP(A713,Journal!$B$7:$D$84,3)))</f>
        <v/>
      </c>
      <c r="C713" s="86" t="str">
        <f>IF(B713="","",VLOOKUP(A713,Journal!$B$7:$E$84,4))</f>
        <v/>
      </c>
      <c r="D713" s="114" t="str">
        <f>IF(B713="","",VLOOKUP(A713,Journal!$B$7:$J$84,9))</f>
        <v/>
      </c>
      <c r="E713" s="116"/>
      <c r="F713" s="116"/>
      <c r="G713" s="115"/>
      <c r="H713" s="84" t="str">
        <f>IF(B713="","",VLOOKUP(A713,Journal!$B$7:$L$84,11))</f>
        <v/>
      </c>
      <c r="I713" s="84" t="str">
        <f>IF(B713="","",VLOOKUP(A713,Journal!$B$7:$M$84,12))</f>
        <v/>
      </c>
      <c r="J713" s="105">
        <f>IF(B713="Total",SUM(J$8:J712)+0.0001,IF(OR(B713="",I$2=I713),0,VLOOKUP(A713,Journal!$B$7:M$84,8)))</f>
        <v>0</v>
      </c>
      <c r="K713" s="102">
        <f>IF(B713="Total",SUM(K$8:K712)+0.0001,IF(OR(B713="",J713&lt;&gt;0),0,VLOOKUP(A713,Journal!$B$7:M$84,8)))</f>
        <v>0</v>
      </c>
      <c r="L713" s="87">
        <f t="shared" si="77"/>
        <v>0</v>
      </c>
      <c r="P713">
        <f t="shared" si="73"/>
        <v>1.0000000000000001E-5</v>
      </c>
      <c r="R713" s="15">
        <f t="shared" si="74"/>
        <v>706</v>
      </c>
      <c r="S713" s="126">
        <f>IF(VLOOKUP(A713,Journal!$A$7:$E$70,5)=0,S712+1,VLOOKUP(A713,Journal!$A$7:$E$70,5))</f>
        <v>46363</v>
      </c>
      <c r="T713" s="125">
        <f>IF(H$2=VLOOKUP(A713,Journal!$A$7:$F$70,6),VLOOKUP(A713,Journal!$A$7:M$70,9),0)</f>
        <v>0</v>
      </c>
      <c r="U713" s="125">
        <f>IF(H$2=VLOOKUP(A713,Journal!$A$7:$G$70,7),VLOOKUP(A713,Journal!$A$7:M$70,9),0)</f>
        <v>0</v>
      </c>
      <c r="V713" s="125">
        <f t="shared" si="75"/>
        <v>40</v>
      </c>
      <c r="X713">
        <f t="shared" ref="X713:X776" si="79">IF(J$2&gt;S713,1,0)</f>
        <v>0</v>
      </c>
      <c r="Y713" s="143">
        <f t="shared" si="78"/>
        <v>-981.50000000002944</v>
      </c>
    </row>
    <row r="714" spans="1:25" x14ac:dyDescent="0.25">
      <c r="A714">
        <f t="shared" si="76"/>
        <v>707</v>
      </c>
      <c r="B714" s="88" t="str">
        <f>IF(OR(B713="Total",B713=""),"",IF(VLOOKUP(A714,Journal!$B$7:$E$84,4)=0,"Total",VLOOKUP(A714,Journal!$B$7:$D$84,3)))</f>
        <v/>
      </c>
      <c r="C714" s="86" t="str">
        <f>IF(B714="","",VLOOKUP(A714,Journal!$B$7:$E$84,4))</f>
        <v/>
      </c>
      <c r="D714" s="114" t="str">
        <f>IF(B714="","",VLOOKUP(A714,Journal!$B$7:$J$84,9))</f>
        <v/>
      </c>
      <c r="E714" s="116"/>
      <c r="F714" s="116"/>
      <c r="G714" s="115"/>
      <c r="H714" s="84" t="str">
        <f>IF(B714="","",VLOOKUP(A714,Journal!$B$7:$L$84,11))</f>
        <v/>
      </c>
      <c r="I714" s="84" t="str">
        <f>IF(B714="","",VLOOKUP(A714,Journal!$B$7:$M$84,12))</f>
        <v/>
      </c>
      <c r="J714" s="105">
        <f>IF(B714="Total",SUM(J$8:J713)+0.0001,IF(OR(B714="",I$2=I714),0,VLOOKUP(A714,Journal!$B$7:M$84,8)))</f>
        <v>0</v>
      </c>
      <c r="K714" s="102">
        <f>IF(B714="Total",SUM(K$8:K713)+0.0001,IF(OR(B714="",J714&lt;&gt;0),0,VLOOKUP(A714,Journal!$B$7:M$84,8)))</f>
        <v>0</v>
      </c>
      <c r="L714" s="87">
        <f t="shared" si="77"/>
        <v>0</v>
      </c>
      <c r="P714">
        <f t="shared" ref="P714:P777" si="80">IF(L713=L714,L713+0.00001,L714)</f>
        <v>1.0000000000000001E-5</v>
      </c>
      <c r="R714" s="15">
        <f t="shared" ref="R714:R777" si="81">R713+1</f>
        <v>707</v>
      </c>
      <c r="S714" s="126">
        <f>IF(VLOOKUP(A714,Journal!$A$7:$E$70,5)=0,S713+1,VLOOKUP(A714,Journal!$A$7:$E$70,5))</f>
        <v>46364</v>
      </c>
      <c r="T714" s="125">
        <f>IF(H$2=VLOOKUP(A714,Journal!$A$7:$F$70,6),VLOOKUP(A714,Journal!$A$7:M$70,9),0)</f>
        <v>0</v>
      </c>
      <c r="U714" s="125">
        <f>IF(H$2=VLOOKUP(A714,Journal!$A$7:$G$70,7),VLOOKUP(A714,Journal!$A$7:M$70,9),0)</f>
        <v>0</v>
      </c>
      <c r="V714" s="125">
        <f t="shared" ref="V714:V777" si="82">IF($M$1=1,V713+T714-U714,V713-T714+U714)</f>
        <v>40</v>
      </c>
      <c r="X714">
        <f t="shared" si="79"/>
        <v>0</v>
      </c>
      <c r="Y714" s="143">
        <f t="shared" si="78"/>
        <v>-981.4736842105558</v>
      </c>
    </row>
    <row r="715" spans="1:25" x14ac:dyDescent="0.25">
      <c r="A715">
        <f t="shared" ref="A715:A778" si="83">A714+1</f>
        <v>708</v>
      </c>
      <c r="B715" s="88" t="str">
        <f>IF(OR(B714="Total",B714=""),"",IF(VLOOKUP(A715,Journal!$B$7:$E$84,4)=0,"Total",VLOOKUP(A715,Journal!$B$7:$D$84,3)))</f>
        <v/>
      </c>
      <c r="C715" s="86" t="str">
        <f>IF(B715="","",VLOOKUP(A715,Journal!$B$7:$E$84,4))</f>
        <v/>
      </c>
      <c r="D715" s="114" t="str">
        <f>IF(B715="","",VLOOKUP(A715,Journal!$B$7:$J$84,9))</f>
        <v/>
      </c>
      <c r="E715" s="116"/>
      <c r="F715" s="116"/>
      <c r="G715" s="115"/>
      <c r="H715" s="84" t="str">
        <f>IF(B715="","",VLOOKUP(A715,Journal!$B$7:$L$84,11))</f>
        <v/>
      </c>
      <c r="I715" s="84" t="str">
        <f>IF(B715="","",VLOOKUP(A715,Journal!$B$7:$M$84,12))</f>
        <v/>
      </c>
      <c r="J715" s="105">
        <f>IF(B715="Total",SUM(J$8:J714)+0.0001,IF(OR(B715="",I$2=I715),0,VLOOKUP(A715,Journal!$B$7:M$84,8)))</f>
        <v>0</v>
      </c>
      <c r="K715" s="102">
        <f>IF(B715="Total",SUM(K$8:K714)+0.0001,IF(OR(B715="",J715&lt;&gt;0),0,VLOOKUP(A715,Journal!$B$7:M$84,8)))</f>
        <v>0</v>
      </c>
      <c r="L715" s="87">
        <f t="shared" si="77"/>
        <v>0</v>
      </c>
      <c r="P715">
        <f t="shared" si="80"/>
        <v>1.0000000000000001E-5</v>
      </c>
      <c r="R715" s="15">
        <f t="shared" si="81"/>
        <v>708</v>
      </c>
      <c r="S715" s="126">
        <f>IF(VLOOKUP(A715,Journal!$A$7:$E$70,5)=0,S714+1,VLOOKUP(A715,Journal!$A$7:$E$70,5))</f>
        <v>46365</v>
      </c>
      <c r="T715" s="125">
        <f>IF(H$2=VLOOKUP(A715,Journal!$A$7:$F$70,6),VLOOKUP(A715,Journal!$A$7:M$70,9),0)</f>
        <v>0</v>
      </c>
      <c r="U715" s="125">
        <f>IF(H$2=VLOOKUP(A715,Journal!$A$7:$G$70,7),VLOOKUP(A715,Journal!$A$7:M$70,9),0)</f>
        <v>0</v>
      </c>
      <c r="V715" s="125">
        <f t="shared" si="82"/>
        <v>40</v>
      </c>
      <c r="X715">
        <f t="shared" si="79"/>
        <v>0</v>
      </c>
      <c r="Y715" s="143">
        <f t="shared" si="78"/>
        <v>-981.44736842108216</v>
      </c>
    </row>
    <row r="716" spans="1:25" x14ac:dyDescent="0.25">
      <c r="A716">
        <f t="shared" si="83"/>
        <v>709</v>
      </c>
      <c r="B716" s="88" t="str">
        <f>IF(OR(B715="Total",B715=""),"",IF(VLOOKUP(A716,Journal!$B$7:$E$84,4)=0,"Total",VLOOKUP(A716,Journal!$B$7:$D$84,3)))</f>
        <v/>
      </c>
      <c r="C716" s="86" t="str">
        <f>IF(B716="","",VLOOKUP(A716,Journal!$B$7:$E$84,4))</f>
        <v/>
      </c>
      <c r="D716" s="114" t="str">
        <f>IF(B716="","",VLOOKUP(A716,Journal!$B$7:$J$84,9))</f>
        <v/>
      </c>
      <c r="E716" s="116"/>
      <c r="F716" s="116"/>
      <c r="G716" s="115"/>
      <c r="H716" s="84" t="str">
        <f>IF(B716="","",VLOOKUP(A716,Journal!$B$7:$L$84,11))</f>
        <v/>
      </c>
      <c r="I716" s="84" t="str">
        <f>IF(B716="","",VLOOKUP(A716,Journal!$B$7:$M$84,12))</f>
        <v/>
      </c>
      <c r="J716" s="105">
        <f>IF(B716="Total",SUM(J$8:J715)+0.0001,IF(OR(B716="",I$2=I716),0,VLOOKUP(A716,Journal!$B$7:M$84,8)))</f>
        <v>0</v>
      </c>
      <c r="K716" s="102">
        <f>IF(B716="Total",SUM(K$8:K715)+0.0001,IF(OR(B716="",J716&lt;&gt;0),0,VLOOKUP(A716,Journal!$B$7:M$84,8)))</f>
        <v>0</v>
      </c>
      <c r="L716" s="87">
        <f t="shared" si="77"/>
        <v>0</v>
      </c>
      <c r="P716">
        <f t="shared" si="80"/>
        <v>1.0000000000000001E-5</v>
      </c>
      <c r="R716" s="15">
        <f t="shared" si="81"/>
        <v>709</v>
      </c>
      <c r="S716" s="126">
        <f>IF(VLOOKUP(A716,Journal!$A$7:$E$70,5)=0,S715+1,VLOOKUP(A716,Journal!$A$7:$E$70,5))</f>
        <v>46366</v>
      </c>
      <c r="T716" s="125">
        <f>IF(H$2=VLOOKUP(A716,Journal!$A$7:$F$70,6),VLOOKUP(A716,Journal!$A$7:M$70,9),0)</f>
        <v>0</v>
      </c>
      <c r="U716" s="125">
        <f>IF(H$2=VLOOKUP(A716,Journal!$A$7:$G$70,7),VLOOKUP(A716,Journal!$A$7:M$70,9),0)</f>
        <v>0</v>
      </c>
      <c r="V716" s="125">
        <f t="shared" si="82"/>
        <v>40</v>
      </c>
      <c r="X716">
        <f t="shared" si="79"/>
        <v>0</v>
      </c>
      <c r="Y716" s="143">
        <f t="shared" si="78"/>
        <v>-981.42105263160852</v>
      </c>
    </row>
    <row r="717" spans="1:25" x14ac:dyDescent="0.25">
      <c r="A717">
        <f t="shared" si="83"/>
        <v>710</v>
      </c>
      <c r="B717" s="88" t="str">
        <f>IF(OR(B716="Total",B716=""),"",IF(VLOOKUP(A717,Journal!$B$7:$E$84,4)=0,"Total",VLOOKUP(A717,Journal!$B$7:$D$84,3)))</f>
        <v/>
      </c>
      <c r="C717" s="86" t="str">
        <f>IF(B717="","",VLOOKUP(A717,Journal!$B$7:$E$84,4))</f>
        <v/>
      </c>
      <c r="D717" s="114" t="str">
        <f>IF(B717="","",VLOOKUP(A717,Journal!$B$7:$J$84,9))</f>
        <v/>
      </c>
      <c r="E717" s="116"/>
      <c r="F717" s="116"/>
      <c r="G717" s="115"/>
      <c r="H717" s="84" t="str">
        <f>IF(B717="","",VLOOKUP(A717,Journal!$B$7:$L$84,11))</f>
        <v/>
      </c>
      <c r="I717" s="84" t="str">
        <f>IF(B717="","",VLOOKUP(A717,Journal!$B$7:$M$84,12))</f>
        <v/>
      </c>
      <c r="J717" s="105">
        <f>IF(B717="Total",SUM(J$8:J716)+0.0001,IF(OR(B717="",I$2=I717),0,VLOOKUP(A717,Journal!$B$7:M$84,8)))</f>
        <v>0</v>
      </c>
      <c r="K717" s="102">
        <f>IF(B717="Total",SUM(K$8:K716)+0.0001,IF(OR(B717="",J717&lt;&gt;0),0,VLOOKUP(A717,Journal!$B$7:M$84,8)))</f>
        <v>0</v>
      </c>
      <c r="L717" s="87">
        <f t="shared" si="77"/>
        <v>0</v>
      </c>
      <c r="P717">
        <f t="shared" si="80"/>
        <v>1.0000000000000001E-5</v>
      </c>
      <c r="R717" s="15">
        <f t="shared" si="81"/>
        <v>710</v>
      </c>
      <c r="S717" s="126">
        <f>IF(VLOOKUP(A717,Journal!$A$7:$E$70,5)=0,S716+1,VLOOKUP(A717,Journal!$A$7:$E$70,5))</f>
        <v>46367</v>
      </c>
      <c r="T717" s="125">
        <f>IF(H$2=VLOOKUP(A717,Journal!$A$7:$F$70,6),VLOOKUP(A717,Journal!$A$7:M$70,9),0)</f>
        <v>0</v>
      </c>
      <c r="U717" s="125">
        <f>IF(H$2=VLOOKUP(A717,Journal!$A$7:$G$70,7),VLOOKUP(A717,Journal!$A$7:M$70,9),0)</f>
        <v>0</v>
      </c>
      <c r="V717" s="125">
        <f t="shared" si="82"/>
        <v>40</v>
      </c>
      <c r="X717">
        <f t="shared" si="79"/>
        <v>0</v>
      </c>
      <c r="Y717" s="143">
        <f t="shared" si="78"/>
        <v>-981.39473684213488</v>
      </c>
    </row>
    <row r="718" spans="1:25" x14ac:dyDescent="0.25">
      <c r="A718">
        <f t="shared" si="83"/>
        <v>711</v>
      </c>
      <c r="B718" s="88" t="str">
        <f>IF(OR(B717="Total",B717=""),"",IF(VLOOKUP(A718,Journal!$B$7:$E$84,4)=0,"Total",VLOOKUP(A718,Journal!$B$7:$D$84,3)))</f>
        <v/>
      </c>
      <c r="C718" s="86" t="str">
        <f>IF(B718="","",VLOOKUP(A718,Journal!$B$7:$E$84,4))</f>
        <v/>
      </c>
      <c r="D718" s="114" t="str">
        <f>IF(B718="","",VLOOKUP(A718,Journal!$B$7:$J$84,9))</f>
        <v/>
      </c>
      <c r="E718" s="116"/>
      <c r="F718" s="116"/>
      <c r="G718" s="115"/>
      <c r="H718" s="84" t="str">
        <f>IF(B718="","",VLOOKUP(A718,Journal!$B$7:$L$84,11))</f>
        <v/>
      </c>
      <c r="I718" s="84" t="str">
        <f>IF(B718="","",VLOOKUP(A718,Journal!$B$7:$M$84,12))</f>
        <v/>
      </c>
      <c r="J718" s="105">
        <f>IF(B718="Total",SUM(J$8:J717)+0.0001,IF(OR(B718="",I$2=I718),0,VLOOKUP(A718,Journal!$B$7:M$84,8)))</f>
        <v>0</v>
      </c>
      <c r="K718" s="102">
        <f>IF(B718="Total",SUM(K$8:K717)+0.0001,IF(OR(B718="",J718&lt;&gt;0),0,VLOOKUP(A718,Journal!$B$7:M$84,8)))</f>
        <v>0</v>
      </c>
      <c r="L718" s="87">
        <f t="shared" si="77"/>
        <v>0</v>
      </c>
      <c r="P718">
        <f t="shared" si="80"/>
        <v>1.0000000000000001E-5</v>
      </c>
      <c r="R718" s="15">
        <f t="shared" si="81"/>
        <v>711</v>
      </c>
      <c r="S718" s="126">
        <f>IF(VLOOKUP(A718,Journal!$A$7:$E$70,5)=0,S717+1,VLOOKUP(A718,Journal!$A$7:$E$70,5))</f>
        <v>46368</v>
      </c>
      <c r="T718" s="125">
        <f>IF(H$2=VLOOKUP(A718,Journal!$A$7:$F$70,6),VLOOKUP(A718,Journal!$A$7:M$70,9),0)</f>
        <v>0</v>
      </c>
      <c r="U718" s="125">
        <f>IF(H$2=VLOOKUP(A718,Journal!$A$7:$G$70,7),VLOOKUP(A718,Journal!$A$7:M$70,9),0)</f>
        <v>0</v>
      </c>
      <c r="V718" s="125">
        <f t="shared" si="82"/>
        <v>40</v>
      </c>
      <c r="X718">
        <f t="shared" si="79"/>
        <v>0</v>
      </c>
      <c r="Y718" s="143">
        <f t="shared" si="78"/>
        <v>-981.36842105266123</v>
      </c>
    </row>
    <row r="719" spans="1:25" x14ac:dyDescent="0.25">
      <c r="A719">
        <f t="shared" si="83"/>
        <v>712</v>
      </c>
      <c r="B719" s="88" t="str">
        <f>IF(OR(B718="Total",B718=""),"",IF(VLOOKUP(A719,Journal!$B$7:$E$84,4)=0,"Total",VLOOKUP(A719,Journal!$B$7:$D$84,3)))</f>
        <v/>
      </c>
      <c r="C719" s="86" t="str">
        <f>IF(B719="","",VLOOKUP(A719,Journal!$B$7:$E$84,4))</f>
        <v/>
      </c>
      <c r="D719" s="114" t="str">
        <f>IF(B719="","",VLOOKUP(A719,Journal!$B$7:$J$84,9))</f>
        <v/>
      </c>
      <c r="E719" s="116"/>
      <c r="F719" s="116"/>
      <c r="G719" s="115"/>
      <c r="H719" s="84" t="str">
        <f>IF(B719="","",VLOOKUP(A719,Journal!$B$7:$L$84,11))</f>
        <v/>
      </c>
      <c r="I719" s="84" t="str">
        <f>IF(B719="","",VLOOKUP(A719,Journal!$B$7:$M$84,12))</f>
        <v/>
      </c>
      <c r="J719" s="105">
        <f>IF(B719="Total",SUM(J$8:J718)+0.0001,IF(OR(B719="",I$2=I719),0,VLOOKUP(A719,Journal!$B$7:M$84,8)))</f>
        <v>0</v>
      </c>
      <c r="K719" s="102">
        <f>IF(B719="Total",SUM(K$8:K718)+0.0001,IF(OR(B719="",J719&lt;&gt;0),0,VLOOKUP(A719,Journal!$B$7:M$84,8)))</f>
        <v>0</v>
      </c>
      <c r="L719" s="87">
        <f t="shared" si="77"/>
        <v>0</v>
      </c>
      <c r="P719">
        <f t="shared" si="80"/>
        <v>1.0000000000000001E-5</v>
      </c>
      <c r="R719" s="15">
        <f t="shared" si="81"/>
        <v>712</v>
      </c>
      <c r="S719" s="126">
        <f>IF(VLOOKUP(A719,Journal!$A$7:$E$70,5)=0,S718+1,VLOOKUP(A719,Journal!$A$7:$E$70,5))</f>
        <v>46369</v>
      </c>
      <c r="T719" s="125">
        <f>IF(H$2=VLOOKUP(A719,Journal!$A$7:$F$70,6),VLOOKUP(A719,Journal!$A$7:M$70,9),0)</f>
        <v>0</v>
      </c>
      <c r="U719" s="125">
        <f>IF(H$2=VLOOKUP(A719,Journal!$A$7:$G$70,7),VLOOKUP(A719,Journal!$A$7:M$70,9),0)</f>
        <v>0</v>
      </c>
      <c r="V719" s="125">
        <f t="shared" si="82"/>
        <v>40</v>
      </c>
      <c r="X719">
        <f t="shared" si="79"/>
        <v>0</v>
      </c>
      <c r="Y719" s="143">
        <f t="shared" si="78"/>
        <v>-981.34210526318759</v>
      </c>
    </row>
    <row r="720" spans="1:25" x14ac:dyDescent="0.25">
      <c r="A720">
        <f t="shared" si="83"/>
        <v>713</v>
      </c>
      <c r="B720" s="88" t="str">
        <f>IF(OR(B719="Total",B719=""),"",IF(VLOOKUP(A720,Journal!$B$7:$E$84,4)=0,"Total",VLOOKUP(A720,Journal!$B$7:$D$84,3)))</f>
        <v/>
      </c>
      <c r="C720" s="86" t="str">
        <f>IF(B720="","",VLOOKUP(A720,Journal!$B$7:$E$84,4))</f>
        <v/>
      </c>
      <c r="D720" s="114" t="str">
        <f>IF(B720="","",VLOOKUP(A720,Journal!$B$7:$J$84,9))</f>
        <v/>
      </c>
      <c r="E720" s="116"/>
      <c r="F720" s="116"/>
      <c r="G720" s="115"/>
      <c r="H720" s="84" t="str">
        <f>IF(B720="","",VLOOKUP(A720,Journal!$B$7:$L$84,11))</f>
        <v/>
      </c>
      <c r="I720" s="84" t="str">
        <f>IF(B720="","",VLOOKUP(A720,Journal!$B$7:$M$84,12))</f>
        <v/>
      </c>
      <c r="J720" s="105">
        <f>IF(B720="Total",SUM(J$8:J719)+0.0001,IF(OR(B720="",I$2=I720),0,VLOOKUP(A720,Journal!$B$7:M$84,8)))</f>
        <v>0</v>
      </c>
      <c r="K720" s="102">
        <f>IF(B720="Total",SUM(K$8:K719)+0.0001,IF(OR(B720="",J720&lt;&gt;0),0,VLOOKUP(A720,Journal!$B$7:M$84,8)))</f>
        <v>0</v>
      </c>
      <c r="L720" s="87">
        <f t="shared" si="77"/>
        <v>0</v>
      </c>
      <c r="P720">
        <f t="shared" si="80"/>
        <v>1.0000000000000001E-5</v>
      </c>
      <c r="R720" s="15">
        <f t="shared" si="81"/>
        <v>713</v>
      </c>
      <c r="S720" s="126">
        <f>IF(VLOOKUP(A720,Journal!$A$7:$E$70,5)=0,S719+1,VLOOKUP(A720,Journal!$A$7:$E$70,5))</f>
        <v>46370</v>
      </c>
      <c r="T720" s="125">
        <f>IF(H$2=VLOOKUP(A720,Journal!$A$7:$F$70,6),VLOOKUP(A720,Journal!$A$7:M$70,9),0)</f>
        <v>0</v>
      </c>
      <c r="U720" s="125">
        <f>IF(H$2=VLOOKUP(A720,Journal!$A$7:$G$70,7),VLOOKUP(A720,Journal!$A$7:M$70,9),0)</f>
        <v>0</v>
      </c>
      <c r="V720" s="125">
        <f t="shared" si="82"/>
        <v>40</v>
      </c>
      <c r="X720">
        <f t="shared" si="79"/>
        <v>0</v>
      </c>
      <c r="Y720" s="143">
        <f t="shared" si="78"/>
        <v>-981.31578947371395</v>
      </c>
    </row>
    <row r="721" spans="1:25" x14ac:dyDescent="0.25">
      <c r="A721">
        <f t="shared" si="83"/>
        <v>714</v>
      </c>
      <c r="B721" s="88" t="str">
        <f>IF(OR(B720="Total",B720=""),"",IF(VLOOKUP(A721,Journal!$B$7:$E$84,4)=0,"Total",VLOOKUP(A721,Journal!$B$7:$D$84,3)))</f>
        <v/>
      </c>
      <c r="C721" s="86" t="str">
        <f>IF(B721="","",VLOOKUP(A721,Journal!$B$7:$E$84,4))</f>
        <v/>
      </c>
      <c r="D721" s="114" t="str">
        <f>IF(B721="","",VLOOKUP(A721,Journal!$B$7:$J$84,9))</f>
        <v/>
      </c>
      <c r="E721" s="116"/>
      <c r="F721" s="116"/>
      <c r="G721" s="115"/>
      <c r="H721" s="84" t="str">
        <f>IF(B721="","",VLOOKUP(A721,Journal!$B$7:$L$84,11))</f>
        <v/>
      </c>
      <c r="I721" s="84" t="str">
        <f>IF(B721="","",VLOOKUP(A721,Journal!$B$7:$M$84,12))</f>
        <v/>
      </c>
      <c r="J721" s="105">
        <f>IF(B721="Total",SUM(J$8:J720)+0.0001,IF(OR(B721="",I$2=I721),0,VLOOKUP(A721,Journal!$B$7:M$84,8)))</f>
        <v>0</v>
      </c>
      <c r="K721" s="102">
        <f>IF(B721="Total",SUM(K$8:K720)+0.0001,IF(OR(B721="",J721&lt;&gt;0),0,VLOOKUP(A721,Journal!$B$7:M$84,8)))</f>
        <v>0</v>
      </c>
      <c r="L721" s="87">
        <f t="shared" si="77"/>
        <v>0</v>
      </c>
      <c r="P721">
        <f t="shared" si="80"/>
        <v>1.0000000000000001E-5</v>
      </c>
      <c r="R721" s="15">
        <f t="shared" si="81"/>
        <v>714</v>
      </c>
      <c r="S721" s="126">
        <f>IF(VLOOKUP(A721,Journal!$A$7:$E$70,5)=0,S720+1,VLOOKUP(A721,Journal!$A$7:$E$70,5))</f>
        <v>46371</v>
      </c>
      <c r="T721" s="125">
        <f>IF(H$2=VLOOKUP(A721,Journal!$A$7:$F$70,6),VLOOKUP(A721,Journal!$A$7:M$70,9),0)</f>
        <v>0</v>
      </c>
      <c r="U721" s="125">
        <f>IF(H$2=VLOOKUP(A721,Journal!$A$7:$G$70,7),VLOOKUP(A721,Journal!$A$7:M$70,9),0)</f>
        <v>0</v>
      </c>
      <c r="V721" s="125">
        <f t="shared" si="82"/>
        <v>40</v>
      </c>
      <c r="X721">
        <f t="shared" si="79"/>
        <v>0</v>
      </c>
      <c r="Y721" s="143">
        <f t="shared" si="78"/>
        <v>-981.28947368424031</v>
      </c>
    </row>
    <row r="722" spans="1:25" x14ac:dyDescent="0.25">
      <c r="A722">
        <f t="shared" si="83"/>
        <v>715</v>
      </c>
      <c r="B722" s="88" t="str">
        <f>IF(OR(B721="Total",B721=""),"",IF(VLOOKUP(A722,Journal!$B$7:$E$84,4)=0,"Total",VLOOKUP(A722,Journal!$B$7:$D$84,3)))</f>
        <v/>
      </c>
      <c r="C722" s="86" t="str">
        <f>IF(B722="","",VLOOKUP(A722,Journal!$B$7:$E$84,4))</f>
        <v/>
      </c>
      <c r="D722" s="114" t="str">
        <f>IF(B722="","",VLOOKUP(A722,Journal!$B$7:$J$84,9))</f>
        <v/>
      </c>
      <c r="E722" s="116"/>
      <c r="F722" s="116"/>
      <c r="G722" s="115"/>
      <c r="H722" s="84" t="str">
        <f>IF(B722="","",VLOOKUP(A722,Journal!$B$7:$L$84,11))</f>
        <v/>
      </c>
      <c r="I722" s="84" t="str">
        <f>IF(B722="","",VLOOKUP(A722,Journal!$B$7:$M$84,12))</f>
        <v/>
      </c>
      <c r="J722" s="105">
        <f>IF(B722="Total",SUM(J$8:J721)+0.0001,IF(OR(B722="",I$2=I722),0,VLOOKUP(A722,Journal!$B$7:M$84,8)))</f>
        <v>0</v>
      </c>
      <c r="K722" s="102">
        <f>IF(B722="Total",SUM(K$8:K721)+0.0001,IF(OR(B722="",J722&lt;&gt;0),0,VLOOKUP(A722,Journal!$B$7:M$84,8)))</f>
        <v>0</v>
      </c>
      <c r="L722" s="87">
        <f t="shared" si="77"/>
        <v>0</v>
      </c>
      <c r="P722">
        <f t="shared" si="80"/>
        <v>1.0000000000000001E-5</v>
      </c>
      <c r="R722" s="15">
        <f t="shared" si="81"/>
        <v>715</v>
      </c>
      <c r="S722" s="126">
        <f>IF(VLOOKUP(A722,Journal!$A$7:$E$70,5)=0,S721+1,VLOOKUP(A722,Journal!$A$7:$E$70,5))</f>
        <v>46372</v>
      </c>
      <c r="T722" s="125">
        <f>IF(H$2=VLOOKUP(A722,Journal!$A$7:$F$70,6),VLOOKUP(A722,Journal!$A$7:M$70,9),0)</f>
        <v>0</v>
      </c>
      <c r="U722" s="125">
        <f>IF(H$2=VLOOKUP(A722,Journal!$A$7:$G$70,7),VLOOKUP(A722,Journal!$A$7:M$70,9),0)</f>
        <v>0</v>
      </c>
      <c r="V722" s="125">
        <f t="shared" si="82"/>
        <v>40</v>
      </c>
      <c r="X722">
        <f t="shared" si="79"/>
        <v>0</v>
      </c>
      <c r="Y722" s="143">
        <f t="shared" si="78"/>
        <v>-981.26315789476666</v>
      </c>
    </row>
    <row r="723" spans="1:25" x14ac:dyDescent="0.25">
      <c r="A723">
        <f t="shared" si="83"/>
        <v>716</v>
      </c>
      <c r="B723" s="88" t="str">
        <f>IF(OR(B722="Total",B722=""),"",IF(VLOOKUP(A723,Journal!$B$7:$E$84,4)=0,"Total",VLOOKUP(A723,Journal!$B$7:$D$84,3)))</f>
        <v/>
      </c>
      <c r="C723" s="86" t="str">
        <f>IF(B723="","",VLOOKUP(A723,Journal!$B$7:$E$84,4))</f>
        <v/>
      </c>
      <c r="D723" s="114" t="str">
        <f>IF(B723="","",VLOOKUP(A723,Journal!$B$7:$J$84,9))</f>
        <v/>
      </c>
      <c r="E723" s="116"/>
      <c r="F723" s="116"/>
      <c r="G723" s="115"/>
      <c r="H723" s="84" t="str">
        <f>IF(B723="","",VLOOKUP(A723,Journal!$B$7:$L$84,11))</f>
        <v/>
      </c>
      <c r="I723" s="84" t="str">
        <f>IF(B723="","",VLOOKUP(A723,Journal!$B$7:$M$84,12))</f>
        <v/>
      </c>
      <c r="J723" s="105">
        <f>IF(B723="Total",SUM(J$8:J722)+0.0001,IF(OR(B723="",I$2=I723),0,VLOOKUP(A723,Journal!$B$7:M$84,8)))</f>
        <v>0</v>
      </c>
      <c r="K723" s="102">
        <f>IF(B723="Total",SUM(K$8:K722)+0.0001,IF(OR(B723="",J723&lt;&gt;0),0,VLOOKUP(A723,Journal!$B$7:M$84,8)))</f>
        <v>0</v>
      </c>
      <c r="L723" s="87">
        <f t="shared" si="77"/>
        <v>0</v>
      </c>
      <c r="P723">
        <f t="shared" si="80"/>
        <v>1.0000000000000001E-5</v>
      </c>
      <c r="R723" s="15">
        <f t="shared" si="81"/>
        <v>716</v>
      </c>
      <c r="S723" s="126">
        <f>IF(VLOOKUP(A723,Journal!$A$7:$E$70,5)=0,S722+1,VLOOKUP(A723,Journal!$A$7:$E$70,5))</f>
        <v>46373</v>
      </c>
      <c r="T723" s="125">
        <f>IF(H$2=VLOOKUP(A723,Journal!$A$7:$F$70,6),VLOOKUP(A723,Journal!$A$7:M$70,9),0)</f>
        <v>0</v>
      </c>
      <c r="U723" s="125">
        <f>IF(H$2=VLOOKUP(A723,Journal!$A$7:$G$70,7),VLOOKUP(A723,Journal!$A$7:M$70,9),0)</f>
        <v>0</v>
      </c>
      <c r="V723" s="125">
        <f t="shared" si="82"/>
        <v>40</v>
      </c>
      <c r="X723">
        <f t="shared" si="79"/>
        <v>0</v>
      </c>
      <c r="Y723" s="143">
        <f t="shared" si="78"/>
        <v>-981.23684210529302</v>
      </c>
    </row>
    <row r="724" spans="1:25" x14ac:dyDescent="0.25">
      <c r="A724">
        <f t="shared" si="83"/>
        <v>717</v>
      </c>
      <c r="B724" s="88" t="str">
        <f>IF(OR(B723="Total",B723=""),"",IF(VLOOKUP(A724,Journal!$B$7:$E$84,4)=0,"Total",VLOOKUP(A724,Journal!$B$7:$D$84,3)))</f>
        <v/>
      </c>
      <c r="C724" s="86" t="str">
        <f>IF(B724="","",VLOOKUP(A724,Journal!$B$7:$E$84,4))</f>
        <v/>
      </c>
      <c r="D724" s="114" t="str">
        <f>IF(B724="","",VLOOKUP(A724,Journal!$B$7:$J$84,9))</f>
        <v/>
      </c>
      <c r="E724" s="116"/>
      <c r="F724" s="116"/>
      <c r="G724" s="115"/>
      <c r="H724" s="84" t="str">
        <f>IF(B724="","",VLOOKUP(A724,Journal!$B$7:$L$84,11))</f>
        <v/>
      </c>
      <c r="I724" s="84" t="str">
        <f>IF(B724="","",VLOOKUP(A724,Journal!$B$7:$M$84,12))</f>
        <v/>
      </c>
      <c r="J724" s="105">
        <f>IF(B724="Total",SUM(J$8:J723)+0.0001,IF(OR(B724="",I$2=I724),0,VLOOKUP(A724,Journal!$B$7:M$84,8)))</f>
        <v>0</v>
      </c>
      <c r="K724" s="102">
        <f>IF(B724="Total",SUM(K$8:K723)+0.0001,IF(OR(B724="",J724&lt;&gt;0),0,VLOOKUP(A724,Journal!$B$7:M$84,8)))</f>
        <v>0</v>
      </c>
      <c r="L724" s="87">
        <f t="shared" si="77"/>
        <v>0</v>
      </c>
      <c r="P724">
        <f t="shared" si="80"/>
        <v>1.0000000000000001E-5</v>
      </c>
      <c r="R724" s="15">
        <f t="shared" si="81"/>
        <v>717</v>
      </c>
      <c r="S724" s="126">
        <f>IF(VLOOKUP(A724,Journal!$A$7:$E$70,5)=0,S723+1,VLOOKUP(A724,Journal!$A$7:$E$70,5))</f>
        <v>46374</v>
      </c>
      <c r="T724" s="125">
        <f>IF(H$2=VLOOKUP(A724,Journal!$A$7:$F$70,6),VLOOKUP(A724,Journal!$A$7:M$70,9),0)</f>
        <v>0</v>
      </c>
      <c r="U724" s="125">
        <f>IF(H$2=VLOOKUP(A724,Journal!$A$7:$G$70,7),VLOOKUP(A724,Journal!$A$7:M$70,9),0)</f>
        <v>0</v>
      </c>
      <c r="V724" s="125">
        <f t="shared" si="82"/>
        <v>40</v>
      </c>
      <c r="X724">
        <f t="shared" si="79"/>
        <v>0</v>
      </c>
      <c r="Y724" s="143">
        <f t="shared" si="78"/>
        <v>-981.21052631581938</v>
      </c>
    </row>
    <row r="725" spans="1:25" x14ac:dyDescent="0.25">
      <c r="A725">
        <f t="shared" si="83"/>
        <v>718</v>
      </c>
      <c r="B725" s="88" t="str">
        <f>IF(OR(B724="Total",B724=""),"",IF(VLOOKUP(A725,Journal!$B$7:$E$84,4)=0,"Total",VLOOKUP(A725,Journal!$B$7:$D$84,3)))</f>
        <v/>
      </c>
      <c r="C725" s="86" t="str">
        <f>IF(B725="","",VLOOKUP(A725,Journal!$B$7:$E$84,4))</f>
        <v/>
      </c>
      <c r="D725" s="114" t="str">
        <f>IF(B725="","",VLOOKUP(A725,Journal!$B$7:$J$84,9))</f>
        <v/>
      </c>
      <c r="E725" s="116"/>
      <c r="F725" s="116"/>
      <c r="G725" s="115"/>
      <c r="H725" s="84" t="str">
        <f>IF(B725="","",VLOOKUP(A725,Journal!$B$7:$L$84,11))</f>
        <v/>
      </c>
      <c r="I725" s="84" t="str">
        <f>IF(B725="","",VLOOKUP(A725,Journal!$B$7:$M$84,12))</f>
        <v/>
      </c>
      <c r="J725" s="105">
        <f>IF(B725="Total",SUM(J$8:J724)+0.0001,IF(OR(B725="",I$2=I725),0,VLOOKUP(A725,Journal!$B$7:M$84,8)))</f>
        <v>0</v>
      </c>
      <c r="K725" s="102">
        <f>IF(B725="Total",SUM(K$8:K724)+0.0001,IF(OR(B725="",J725&lt;&gt;0),0,VLOOKUP(A725,Journal!$B$7:M$84,8)))</f>
        <v>0</v>
      </c>
      <c r="L725" s="87">
        <f t="shared" si="77"/>
        <v>0</v>
      </c>
      <c r="P725">
        <f t="shared" si="80"/>
        <v>1.0000000000000001E-5</v>
      </c>
      <c r="R725" s="15">
        <f t="shared" si="81"/>
        <v>718</v>
      </c>
      <c r="S725" s="126">
        <f>IF(VLOOKUP(A725,Journal!$A$7:$E$70,5)=0,S724+1,VLOOKUP(A725,Journal!$A$7:$E$70,5))</f>
        <v>46375</v>
      </c>
      <c r="T725" s="125">
        <f>IF(H$2=VLOOKUP(A725,Journal!$A$7:$F$70,6),VLOOKUP(A725,Journal!$A$7:M$70,9),0)</f>
        <v>0</v>
      </c>
      <c r="U725" s="125">
        <f>IF(H$2=VLOOKUP(A725,Journal!$A$7:$G$70,7),VLOOKUP(A725,Journal!$A$7:M$70,9),0)</f>
        <v>0</v>
      </c>
      <c r="V725" s="125">
        <f t="shared" si="82"/>
        <v>40</v>
      </c>
      <c r="X725">
        <f t="shared" si="79"/>
        <v>0</v>
      </c>
      <c r="Y725" s="143">
        <f t="shared" si="78"/>
        <v>-981.18421052634574</v>
      </c>
    </row>
    <row r="726" spans="1:25" x14ac:dyDescent="0.25">
      <c r="A726">
        <f t="shared" si="83"/>
        <v>719</v>
      </c>
      <c r="B726" s="88" t="str">
        <f>IF(OR(B725="Total",B725=""),"",IF(VLOOKUP(A726,Journal!$B$7:$E$84,4)=0,"Total",VLOOKUP(A726,Journal!$B$7:$D$84,3)))</f>
        <v/>
      </c>
      <c r="C726" s="86" t="str">
        <f>IF(B726="","",VLOOKUP(A726,Journal!$B$7:$E$84,4))</f>
        <v/>
      </c>
      <c r="D726" s="114" t="str">
        <f>IF(B726="","",VLOOKUP(A726,Journal!$B$7:$J$84,9))</f>
        <v/>
      </c>
      <c r="E726" s="116"/>
      <c r="F726" s="116"/>
      <c r="G726" s="115"/>
      <c r="H726" s="84" t="str">
        <f>IF(B726="","",VLOOKUP(A726,Journal!$B$7:$L$84,11))</f>
        <v/>
      </c>
      <c r="I726" s="84" t="str">
        <f>IF(B726="","",VLOOKUP(A726,Journal!$B$7:$M$84,12))</f>
        <v/>
      </c>
      <c r="J726" s="105">
        <f>IF(B726="Total",SUM(J$8:J725)+0.0001,IF(OR(B726="",I$2=I726),0,VLOOKUP(A726,Journal!$B$7:M$84,8)))</f>
        <v>0</v>
      </c>
      <c r="K726" s="102">
        <f>IF(B726="Total",SUM(K$8:K725)+0.0001,IF(OR(B726="",J726&lt;&gt;0),0,VLOOKUP(A726,Journal!$B$7:M$84,8)))</f>
        <v>0</v>
      </c>
      <c r="L726" s="87">
        <f t="shared" si="77"/>
        <v>0</v>
      </c>
      <c r="P726">
        <f t="shared" si="80"/>
        <v>1.0000000000000001E-5</v>
      </c>
      <c r="R726" s="15">
        <f t="shared" si="81"/>
        <v>719</v>
      </c>
      <c r="S726" s="126">
        <f>IF(VLOOKUP(A726,Journal!$A$7:$E$70,5)=0,S725+1,VLOOKUP(A726,Journal!$A$7:$E$70,5))</f>
        <v>46376</v>
      </c>
      <c r="T726" s="125">
        <f>IF(H$2=VLOOKUP(A726,Journal!$A$7:$F$70,6),VLOOKUP(A726,Journal!$A$7:M$70,9),0)</f>
        <v>0</v>
      </c>
      <c r="U726" s="125">
        <f>IF(H$2=VLOOKUP(A726,Journal!$A$7:$G$70,7),VLOOKUP(A726,Journal!$A$7:M$70,9),0)</f>
        <v>0</v>
      </c>
      <c r="V726" s="125">
        <f t="shared" si="82"/>
        <v>40</v>
      </c>
      <c r="X726">
        <f t="shared" si="79"/>
        <v>0</v>
      </c>
      <c r="Y726" s="143">
        <f t="shared" si="78"/>
        <v>-981.15789473687209</v>
      </c>
    </row>
    <row r="727" spans="1:25" x14ac:dyDescent="0.25">
      <c r="A727">
        <f t="shared" si="83"/>
        <v>720</v>
      </c>
      <c r="B727" s="88" t="str">
        <f>IF(OR(B726="Total",B726=""),"",IF(VLOOKUP(A727,Journal!$B$7:$E$84,4)=0,"Total",VLOOKUP(A727,Journal!$B$7:$D$84,3)))</f>
        <v/>
      </c>
      <c r="C727" s="86" t="str">
        <f>IF(B727="","",VLOOKUP(A727,Journal!$B$7:$E$84,4))</f>
        <v/>
      </c>
      <c r="D727" s="114" t="str">
        <f>IF(B727="","",VLOOKUP(A727,Journal!$B$7:$J$84,9))</f>
        <v/>
      </c>
      <c r="E727" s="116"/>
      <c r="F727" s="116"/>
      <c r="G727" s="115"/>
      <c r="H727" s="84" t="str">
        <f>IF(B727="","",VLOOKUP(A727,Journal!$B$7:$L$84,11))</f>
        <v/>
      </c>
      <c r="I727" s="84" t="str">
        <f>IF(B727="","",VLOOKUP(A727,Journal!$B$7:$M$84,12))</f>
        <v/>
      </c>
      <c r="J727" s="105">
        <f>IF(B727="Total",SUM(J$8:J726)+0.0001,IF(OR(B727="",I$2=I727),0,VLOOKUP(A727,Journal!$B$7:M$84,8)))</f>
        <v>0</v>
      </c>
      <c r="K727" s="102">
        <f>IF(B727="Total",SUM(K$8:K726)+0.0001,IF(OR(B727="",J727&lt;&gt;0),0,VLOOKUP(A727,Journal!$B$7:M$84,8)))</f>
        <v>0</v>
      </c>
      <c r="L727" s="87">
        <f t="shared" si="77"/>
        <v>0</v>
      </c>
      <c r="P727">
        <f t="shared" si="80"/>
        <v>1.0000000000000001E-5</v>
      </c>
      <c r="R727" s="15">
        <f t="shared" si="81"/>
        <v>720</v>
      </c>
      <c r="S727" s="126">
        <f>IF(VLOOKUP(A727,Journal!$A$7:$E$70,5)=0,S726+1,VLOOKUP(A727,Journal!$A$7:$E$70,5))</f>
        <v>46377</v>
      </c>
      <c r="T727" s="125">
        <f>IF(H$2=VLOOKUP(A727,Journal!$A$7:$F$70,6),VLOOKUP(A727,Journal!$A$7:M$70,9),0)</f>
        <v>0</v>
      </c>
      <c r="U727" s="125">
        <f>IF(H$2=VLOOKUP(A727,Journal!$A$7:$G$70,7),VLOOKUP(A727,Journal!$A$7:M$70,9),0)</f>
        <v>0</v>
      </c>
      <c r="V727" s="125">
        <f t="shared" si="82"/>
        <v>40</v>
      </c>
      <c r="X727">
        <f t="shared" si="79"/>
        <v>0</v>
      </c>
      <c r="Y727" s="143">
        <f t="shared" si="78"/>
        <v>-981.13157894739845</v>
      </c>
    </row>
    <row r="728" spans="1:25" x14ac:dyDescent="0.25">
      <c r="A728">
        <f t="shared" si="83"/>
        <v>721</v>
      </c>
      <c r="B728" s="88" t="str">
        <f>IF(OR(B727="Total",B727=""),"",IF(VLOOKUP(A728,Journal!$B$7:$E$84,4)=0,"Total",VLOOKUP(A728,Journal!$B$7:$D$84,3)))</f>
        <v/>
      </c>
      <c r="C728" s="86" t="str">
        <f>IF(B728="","",VLOOKUP(A728,Journal!$B$7:$E$84,4))</f>
        <v/>
      </c>
      <c r="D728" s="114" t="str">
        <f>IF(B728="","",VLOOKUP(A728,Journal!$B$7:$J$84,9))</f>
        <v/>
      </c>
      <c r="E728" s="116"/>
      <c r="F728" s="116"/>
      <c r="G728" s="115"/>
      <c r="H728" s="84" t="str">
        <f>IF(B728="","",VLOOKUP(A728,Journal!$B$7:$L$84,11))</f>
        <v/>
      </c>
      <c r="I728" s="84" t="str">
        <f>IF(B728="","",VLOOKUP(A728,Journal!$B$7:$M$84,12))</f>
        <v/>
      </c>
      <c r="J728" s="105">
        <f>IF(B728="Total",SUM(J$8:J727)+0.0001,IF(OR(B728="",I$2=I728),0,VLOOKUP(A728,Journal!$B$7:M$84,8)))</f>
        <v>0</v>
      </c>
      <c r="K728" s="102">
        <f>IF(B728="Total",SUM(K$8:K727)+0.0001,IF(OR(B728="",J728&lt;&gt;0),0,VLOOKUP(A728,Journal!$B$7:M$84,8)))</f>
        <v>0</v>
      </c>
      <c r="L728" s="87">
        <f t="shared" si="77"/>
        <v>0</v>
      </c>
      <c r="P728">
        <f t="shared" si="80"/>
        <v>1.0000000000000001E-5</v>
      </c>
      <c r="R728" s="15">
        <f t="shared" si="81"/>
        <v>721</v>
      </c>
      <c r="S728" s="126">
        <f>IF(VLOOKUP(A728,Journal!$A$7:$E$70,5)=0,S727+1,VLOOKUP(A728,Journal!$A$7:$E$70,5))</f>
        <v>46378</v>
      </c>
      <c r="T728" s="125">
        <f>IF(H$2=VLOOKUP(A728,Journal!$A$7:$F$70,6),VLOOKUP(A728,Journal!$A$7:M$70,9),0)</f>
        <v>0</v>
      </c>
      <c r="U728" s="125">
        <f>IF(H$2=VLOOKUP(A728,Journal!$A$7:$G$70,7),VLOOKUP(A728,Journal!$A$7:M$70,9),0)</f>
        <v>0</v>
      </c>
      <c r="V728" s="125">
        <f t="shared" si="82"/>
        <v>40</v>
      </c>
      <c r="X728">
        <f t="shared" si="79"/>
        <v>0</v>
      </c>
      <c r="Y728" s="143">
        <f t="shared" si="78"/>
        <v>-981.10526315792481</v>
      </c>
    </row>
    <row r="729" spans="1:25" x14ac:dyDescent="0.25">
      <c r="A729">
        <f t="shared" si="83"/>
        <v>722</v>
      </c>
      <c r="B729" s="88" t="str">
        <f>IF(OR(B728="Total",B728=""),"",IF(VLOOKUP(A729,Journal!$B$7:$E$84,4)=0,"Total",VLOOKUP(A729,Journal!$B$7:$D$84,3)))</f>
        <v/>
      </c>
      <c r="C729" s="86" t="str">
        <f>IF(B729="","",VLOOKUP(A729,Journal!$B$7:$E$84,4))</f>
        <v/>
      </c>
      <c r="D729" s="114" t="str">
        <f>IF(B729="","",VLOOKUP(A729,Journal!$B$7:$J$84,9))</f>
        <v/>
      </c>
      <c r="E729" s="116"/>
      <c r="F729" s="116"/>
      <c r="G729" s="115"/>
      <c r="H729" s="84" t="str">
        <f>IF(B729="","",VLOOKUP(A729,Journal!$B$7:$L$84,11))</f>
        <v/>
      </c>
      <c r="I729" s="84" t="str">
        <f>IF(B729="","",VLOOKUP(A729,Journal!$B$7:$M$84,12))</f>
        <v/>
      </c>
      <c r="J729" s="105">
        <f>IF(B729="Total",SUM(J$8:J728)+0.0001,IF(OR(B729="",I$2=I729),0,VLOOKUP(A729,Journal!$B$7:M$84,8)))</f>
        <v>0</v>
      </c>
      <c r="K729" s="102">
        <f>IF(B729="Total",SUM(K$8:K728)+0.0001,IF(OR(B729="",J729&lt;&gt;0),0,VLOOKUP(A729,Journal!$B$7:M$84,8)))</f>
        <v>0</v>
      </c>
      <c r="L729" s="87">
        <f t="shared" si="77"/>
        <v>0</v>
      </c>
      <c r="P729">
        <f t="shared" si="80"/>
        <v>1.0000000000000001E-5</v>
      </c>
      <c r="R729" s="15">
        <f t="shared" si="81"/>
        <v>722</v>
      </c>
      <c r="S729" s="126">
        <f>IF(VLOOKUP(A729,Journal!$A$7:$E$70,5)=0,S728+1,VLOOKUP(A729,Journal!$A$7:$E$70,5))</f>
        <v>46379</v>
      </c>
      <c r="T729" s="125">
        <f>IF(H$2=VLOOKUP(A729,Journal!$A$7:$F$70,6),VLOOKUP(A729,Journal!$A$7:M$70,9),0)</f>
        <v>0</v>
      </c>
      <c r="U729" s="125">
        <f>IF(H$2=VLOOKUP(A729,Journal!$A$7:$G$70,7),VLOOKUP(A729,Journal!$A$7:M$70,9),0)</f>
        <v>0</v>
      </c>
      <c r="V729" s="125">
        <f t="shared" si="82"/>
        <v>40</v>
      </c>
      <c r="X729">
        <f t="shared" si="79"/>
        <v>0</v>
      </c>
      <c r="Y729" s="143">
        <f t="shared" si="78"/>
        <v>-981.07894736845117</v>
      </c>
    </row>
    <row r="730" spans="1:25" x14ac:dyDescent="0.25">
      <c r="A730">
        <f t="shared" si="83"/>
        <v>723</v>
      </c>
      <c r="B730" s="88" t="str">
        <f>IF(OR(B729="Total",B729=""),"",IF(VLOOKUP(A730,Journal!$B$7:$E$84,4)=0,"Total",VLOOKUP(A730,Journal!$B$7:$D$84,3)))</f>
        <v/>
      </c>
      <c r="C730" s="86" t="str">
        <f>IF(B730="","",VLOOKUP(A730,Journal!$B$7:$E$84,4))</f>
        <v/>
      </c>
      <c r="D730" s="114" t="str">
        <f>IF(B730="","",VLOOKUP(A730,Journal!$B$7:$J$84,9))</f>
        <v/>
      </c>
      <c r="E730" s="116"/>
      <c r="F730" s="116"/>
      <c r="G730" s="115"/>
      <c r="H730" s="84" t="str">
        <f>IF(B730="","",VLOOKUP(A730,Journal!$B$7:$L$84,11))</f>
        <v/>
      </c>
      <c r="I730" s="84" t="str">
        <f>IF(B730="","",VLOOKUP(A730,Journal!$B$7:$M$84,12))</f>
        <v/>
      </c>
      <c r="J730" s="105">
        <f>IF(B730="Total",SUM(J$8:J729)+0.0001,IF(OR(B730="",I$2=I730),0,VLOOKUP(A730,Journal!$B$7:M$84,8)))</f>
        <v>0</v>
      </c>
      <c r="K730" s="102">
        <f>IF(B730="Total",SUM(K$8:K729)+0.0001,IF(OR(B730="",J730&lt;&gt;0),0,VLOOKUP(A730,Journal!$B$7:M$84,8)))</f>
        <v>0</v>
      </c>
      <c r="L730" s="87">
        <f t="shared" si="77"/>
        <v>0</v>
      </c>
      <c r="P730">
        <f t="shared" si="80"/>
        <v>1.0000000000000001E-5</v>
      </c>
      <c r="R730" s="15">
        <f t="shared" si="81"/>
        <v>723</v>
      </c>
      <c r="S730" s="126">
        <f>IF(VLOOKUP(A730,Journal!$A$7:$E$70,5)=0,S729+1,VLOOKUP(A730,Journal!$A$7:$E$70,5))</f>
        <v>46380</v>
      </c>
      <c r="T730" s="125">
        <f>IF(H$2=VLOOKUP(A730,Journal!$A$7:$F$70,6),VLOOKUP(A730,Journal!$A$7:M$70,9),0)</f>
        <v>0</v>
      </c>
      <c r="U730" s="125">
        <f>IF(H$2=VLOOKUP(A730,Journal!$A$7:$G$70,7),VLOOKUP(A730,Journal!$A$7:M$70,9),0)</f>
        <v>0</v>
      </c>
      <c r="V730" s="125">
        <f t="shared" si="82"/>
        <v>40</v>
      </c>
      <c r="X730">
        <f t="shared" si="79"/>
        <v>0</v>
      </c>
      <c r="Y730" s="143">
        <f t="shared" si="78"/>
        <v>-981.05263157897753</v>
      </c>
    </row>
    <row r="731" spans="1:25" x14ac:dyDescent="0.25">
      <c r="A731">
        <f t="shared" si="83"/>
        <v>724</v>
      </c>
      <c r="B731" s="88" t="str">
        <f>IF(OR(B730="Total",B730=""),"",IF(VLOOKUP(A731,Journal!$B$7:$E$84,4)=0,"Total",VLOOKUP(A731,Journal!$B$7:$D$84,3)))</f>
        <v/>
      </c>
      <c r="C731" s="86" t="str">
        <f>IF(B731="","",VLOOKUP(A731,Journal!$B$7:$E$84,4))</f>
        <v/>
      </c>
      <c r="D731" s="114" t="str">
        <f>IF(B731="","",VLOOKUP(A731,Journal!$B$7:$J$84,9))</f>
        <v/>
      </c>
      <c r="E731" s="116"/>
      <c r="F731" s="116"/>
      <c r="G731" s="115"/>
      <c r="H731" s="84" t="str">
        <f>IF(B731="","",VLOOKUP(A731,Journal!$B$7:$L$84,11))</f>
        <v/>
      </c>
      <c r="I731" s="84" t="str">
        <f>IF(B731="","",VLOOKUP(A731,Journal!$B$7:$M$84,12))</f>
        <v/>
      </c>
      <c r="J731" s="105">
        <f>IF(B731="Total",SUM(J$8:J730)+0.0001,IF(OR(B731="",I$2=I731),0,VLOOKUP(A731,Journal!$B$7:M$84,8)))</f>
        <v>0</v>
      </c>
      <c r="K731" s="102">
        <f>IF(B731="Total",SUM(K$8:K730)+0.0001,IF(OR(B731="",J731&lt;&gt;0),0,VLOOKUP(A731,Journal!$B$7:M$84,8)))</f>
        <v>0</v>
      </c>
      <c r="L731" s="87">
        <f t="shared" si="77"/>
        <v>0</v>
      </c>
      <c r="P731">
        <f t="shared" si="80"/>
        <v>1.0000000000000001E-5</v>
      </c>
      <c r="R731" s="15">
        <f t="shared" si="81"/>
        <v>724</v>
      </c>
      <c r="S731" s="126">
        <f>IF(VLOOKUP(A731,Journal!$A$7:$E$70,5)=0,S730+1,VLOOKUP(A731,Journal!$A$7:$E$70,5))</f>
        <v>46381</v>
      </c>
      <c r="T731" s="125">
        <f>IF(H$2=VLOOKUP(A731,Journal!$A$7:$F$70,6),VLOOKUP(A731,Journal!$A$7:M$70,9),0)</f>
        <v>0</v>
      </c>
      <c r="U731" s="125">
        <f>IF(H$2=VLOOKUP(A731,Journal!$A$7:$G$70,7),VLOOKUP(A731,Journal!$A$7:M$70,9),0)</f>
        <v>0</v>
      </c>
      <c r="V731" s="125">
        <f t="shared" si="82"/>
        <v>40</v>
      </c>
      <c r="X731">
        <f t="shared" si="79"/>
        <v>0</v>
      </c>
      <c r="Y731" s="143">
        <f t="shared" si="78"/>
        <v>-981.02631578950388</v>
      </c>
    </row>
    <row r="732" spans="1:25" x14ac:dyDescent="0.25">
      <c r="A732">
        <f t="shared" si="83"/>
        <v>725</v>
      </c>
      <c r="B732" s="88" t="str">
        <f>IF(OR(B731="Total",B731=""),"",IF(VLOOKUP(A732,Journal!$B$7:$E$84,4)=0,"Total",VLOOKUP(A732,Journal!$B$7:$D$84,3)))</f>
        <v/>
      </c>
      <c r="C732" s="86" t="str">
        <f>IF(B732="","",VLOOKUP(A732,Journal!$B$7:$E$84,4))</f>
        <v/>
      </c>
      <c r="D732" s="114" t="str">
        <f>IF(B732="","",VLOOKUP(A732,Journal!$B$7:$J$84,9))</f>
        <v/>
      </c>
      <c r="E732" s="116"/>
      <c r="F732" s="116"/>
      <c r="G732" s="115"/>
      <c r="H732" s="84" t="str">
        <f>IF(B732="","",VLOOKUP(A732,Journal!$B$7:$L$84,11))</f>
        <v/>
      </c>
      <c r="I732" s="84" t="str">
        <f>IF(B732="","",VLOOKUP(A732,Journal!$B$7:$M$84,12))</f>
        <v/>
      </c>
      <c r="J732" s="105">
        <f>IF(B732="Total",SUM(J$8:J731)+0.0001,IF(OR(B732="",I$2=I732),0,VLOOKUP(A732,Journal!$B$7:M$84,8)))</f>
        <v>0</v>
      </c>
      <c r="K732" s="102">
        <f>IF(B732="Total",SUM(K$8:K731)+0.0001,IF(OR(B732="",J732&lt;&gt;0),0,VLOOKUP(A732,Journal!$B$7:M$84,8)))</f>
        <v>0</v>
      </c>
      <c r="L732" s="87">
        <f t="shared" si="77"/>
        <v>0</v>
      </c>
      <c r="P732">
        <f t="shared" si="80"/>
        <v>1.0000000000000001E-5</v>
      </c>
      <c r="R732" s="15">
        <f t="shared" si="81"/>
        <v>725</v>
      </c>
      <c r="S732" s="126">
        <f>IF(VLOOKUP(A732,Journal!$A$7:$E$70,5)=0,S731+1,VLOOKUP(A732,Journal!$A$7:$E$70,5))</f>
        <v>46382</v>
      </c>
      <c r="T732" s="125">
        <f>IF(H$2=VLOOKUP(A732,Journal!$A$7:$F$70,6),VLOOKUP(A732,Journal!$A$7:M$70,9),0)</f>
        <v>0</v>
      </c>
      <c r="U732" s="125">
        <f>IF(H$2=VLOOKUP(A732,Journal!$A$7:$G$70,7),VLOOKUP(A732,Journal!$A$7:M$70,9),0)</f>
        <v>0</v>
      </c>
      <c r="V732" s="125">
        <f t="shared" si="82"/>
        <v>40</v>
      </c>
      <c r="X732">
        <f t="shared" si="79"/>
        <v>0</v>
      </c>
      <c r="Y732" s="143">
        <f t="shared" si="78"/>
        <v>-981.00000000003024</v>
      </c>
    </row>
    <row r="733" spans="1:25" x14ac:dyDescent="0.25">
      <c r="A733">
        <f t="shared" si="83"/>
        <v>726</v>
      </c>
      <c r="B733" s="88" t="str">
        <f>IF(OR(B732="Total",B732=""),"",IF(VLOOKUP(A733,Journal!$B$7:$E$84,4)=0,"Total",VLOOKUP(A733,Journal!$B$7:$D$84,3)))</f>
        <v/>
      </c>
      <c r="C733" s="86" t="str">
        <f>IF(B733="","",VLOOKUP(A733,Journal!$B$7:$E$84,4))</f>
        <v/>
      </c>
      <c r="D733" s="114" t="str">
        <f>IF(B733="","",VLOOKUP(A733,Journal!$B$7:$J$84,9))</f>
        <v/>
      </c>
      <c r="E733" s="116"/>
      <c r="F733" s="116"/>
      <c r="G733" s="115"/>
      <c r="H733" s="84" t="str">
        <f>IF(B733="","",VLOOKUP(A733,Journal!$B$7:$L$84,11))</f>
        <v/>
      </c>
      <c r="I733" s="84" t="str">
        <f>IF(B733="","",VLOOKUP(A733,Journal!$B$7:$M$84,12))</f>
        <v/>
      </c>
      <c r="J733" s="105">
        <f>IF(B733="Total",SUM(J$8:J732)+0.0001,IF(OR(B733="",I$2=I733),0,VLOOKUP(A733,Journal!$B$7:M$84,8)))</f>
        <v>0</v>
      </c>
      <c r="K733" s="102">
        <f>IF(B733="Total",SUM(K$8:K732)+0.0001,IF(OR(B733="",J733&lt;&gt;0),0,VLOOKUP(A733,Journal!$B$7:M$84,8)))</f>
        <v>0</v>
      </c>
      <c r="L733" s="87">
        <f t="shared" si="77"/>
        <v>0</v>
      </c>
      <c r="P733">
        <f t="shared" si="80"/>
        <v>1.0000000000000001E-5</v>
      </c>
      <c r="R733" s="15">
        <f t="shared" si="81"/>
        <v>726</v>
      </c>
      <c r="S733" s="126">
        <f>IF(VLOOKUP(A733,Journal!$A$7:$E$70,5)=0,S732+1,VLOOKUP(A733,Journal!$A$7:$E$70,5))</f>
        <v>46383</v>
      </c>
      <c r="T733" s="125">
        <f>IF(H$2=VLOOKUP(A733,Journal!$A$7:$F$70,6),VLOOKUP(A733,Journal!$A$7:M$70,9),0)</f>
        <v>0</v>
      </c>
      <c r="U733" s="125">
        <f>IF(H$2=VLOOKUP(A733,Journal!$A$7:$G$70,7),VLOOKUP(A733,Journal!$A$7:M$70,9),0)</f>
        <v>0</v>
      </c>
      <c r="V733" s="125">
        <f t="shared" si="82"/>
        <v>40</v>
      </c>
      <c r="X733">
        <f t="shared" si="79"/>
        <v>0</v>
      </c>
      <c r="Y733" s="143">
        <f t="shared" si="78"/>
        <v>-980.9736842105566</v>
      </c>
    </row>
    <row r="734" spans="1:25" x14ac:dyDescent="0.25">
      <c r="A734">
        <f t="shared" si="83"/>
        <v>727</v>
      </c>
      <c r="B734" s="88" t="str">
        <f>IF(OR(B733="Total",B733=""),"",IF(VLOOKUP(A734,Journal!$B$7:$E$84,4)=0,"Total",VLOOKUP(A734,Journal!$B$7:$D$84,3)))</f>
        <v/>
      </c>
      <c r="C734" s="86" t="str">
        <f>IF(B734="","",VLOOKUP(A734,Journal!$B$7:$E$84,4))</f>
        <v/>
      </c>
      <c r="D734" s="114" t="str">
        <f>IF(B734="","",VLOOKUP(A734,Journal!$B$7:$J$84,9))</f>
        <v/>
      </c>
      <c r="E734" s="116"/>
      <c r="F734" s="116"/>
      <c r="G734" s="115"/>
      <c r="H734" s="84" t="str">
        <f>IF(B734="","",VLOOKUP(A734,Journal!$B$7:$L$84,11))</f>
        <v/>
      </c>
      <c r="I734" s="84" t="str">
        <f>IF(B734="","",VLOOKUP(A734,Journal!$B$7:$M$84,12))</f>
        <v/>
      </c>
      <c r="J734" s="105">
        <f>IF(B734="Total",SUM(J$8:J733)+0.0001,IF(OR(B734="",I$2=I734),0,VLOOKUP(A734,Journal!$B$7:M$84,8)))</f>
        <v>0</v>
      </c>
      <c r="K734" s="102">
        <f>IF(B734="Total",SUM(K$8:K733)+0.0001,IF(OR(B734="",J734&lt;&gt;0),0,VLOOKUP(A734,Journal!$B$7:M$84,8)))</f>
        <v>0</v>
      </c>
      <c r="L734" s="87">
        <f t="shared" si="77"/>
        <v>0</v>
      </c>
      <c r="P734">
        <f t="shared" si="80"/>
        <v>1.0000000000000001E-5</v>
      </c>
      <c r="R734" s="15">
        <f t="shared" si="81"/>
        <v>727</v>
      </c>
      <c r="S734" s="126">
        <f>IF(VLOOKUP(A734,Journal!$A$7:$E$70,5)=0,S733+1,VLOOKUP(A734,Journal!$A$7:$E$70,5))</f>
        <v>46384</v>
      </c>
      <c r="T734" s="125">
        <f>IF(H$2=VLOOKUP(A734,Journal!$A$7:$F$70,6),VLOOKUP(A734,Journal!$A$7:M$70,9),0)</f>
        <v>0</v>
      </c>
      <c r="U734" s="125">
        <f>IF(H$2=VLOOKUP(A734,Journal!$A$7:$G$70,7),VLOOKUP(A734,Journal!$A$7:M$70,9),0)</f>
        <v>0</v>
      </c>
      <c r="V734" s="125">
        <f t="shared" si="82"/>
        <v>40</v>
      </c>
      <c r="X734">
        <f t="shared" si="79"/>
        <v>0</v>
      </c>
      <c r="Y734" s="143">
        <f t="shared" si="78"/>
        <v>-980.94736842108296</v>
      </c>
    </row>
    <row r="735" spans="1:25" x14ac:dyDescent="0.25">
      <c r="A735">
        <f t="shared" si="83"/>
        <v>728</v>
      </c>
      <c r="B735" s="88" t="str">
        <f>IF(OR(B734="Total",B734=""),"",IF(VLOOKUP(A735,Journal!$B$7:$E$84,4)=0,"Total",VLOOKUP(A735,Journal!$B$7:$D$84,3)))</f>
        <v/>
      </c>
      <c r="C735" s="86" t="str">
        <f>IF(B735="","",VLOOKUP(A735,Journal!$B$7:$E$84,4))</f>
        <v/>
      </c>
      <c r="D735" s="114" t="str">
        <f>IF(B735="","",VLOOKUP(A735,Journal!$B$7:$J$84,9))</f>
        <v/>
      </c>
      <c r="E735" s="116"/>
      <c r="F735" s="116"/>
      <c r="G735" s="115"/>
      <c r="H735" s="84" t="str">
        <f>IF(B735="","",VLOOKUP(A735,Journal!$B$7:$L$84,11))</f>
        <v/>
      </c>
      <c r="I735" s="84" t="str">
        <f>IF(B735="","",VLOOKUP(A735,Journal!$B$7:$M$84,12))</f>
        <v/>
      </c>
      <c r="J735" s="105">
        <f>IF(B735="Total",SUM(J$8:J734)+0.0001,IF(OR(B735="",I$2=I735),0,VLOOKUP(A735,Journal!$B$7:M$84,8)))</f>
        <v>0</v>
      </c>
      <c r="K735" s="102">
        <f>IF(B735="Total",SUM(K$8:K734)+0.0001,IF(OR(B735="",J735&lt;&gt;0),0,VLOOKUP(A735,Journal!$B$7:M$84,8)))</f>
        <v>0</v>
      </c>
      <c r="L735" s="87">
        <f t="shared" si="77"/>
        <v>0</v>
      </c>
      <c r="P735">
        <f t="shared" si="80"/>
        <v>1.0000000000000001E-5</v>
      </c>
      <c r="R735" s="15">
        <f t="shared" si="81"/>
        <v>728</v>
      </c>
      <c r="S735" s="126">
        <f>IF(VLOOKUP(A735,Journal!$A$7:$E$70,5)=0,S734+1,VLOOKUP(A735,Journal!$A$7:$E$70,5))</f>
        <v>46385</v>
      </c>
      <c r="T735" s="125">
        <f>IF(H$2=VLOOKUP(A735,Journal!$A$7:$F$70,6),VLOOKUP(A735,Journal!$A$7:M$70,9),0)</f>
        <v>0</v>
      </c>
      <c r="U735" s="125">
        <f>IF(H$2=VLOOKUP(A735,Journal!$A$7:$G$70,7),VLOOKUP(A735,Journal!$A$7:M$70,9),0)</f>
        <v>0</v>
      </c>
      <c r="V735" s="125">
        <f t="shared" si="82"/>
        <v>40</v>
      </c>
      <c r="X735">
        <f t="shared" si="79"/>
        <v>0</v>
      </c>
      <c r="Y735" s="143">
        <f t="shared" si="78"/>
        <v>-980.92105263160931</v>
      </c>
    </row>
    <row r="736" spans="1:25" x14ac:dyDescent="0.25">
      <c r="A736">
        <f t="shared" si="83"/>
        <v>729</v>
      </c>
      <c r="B736" s="88" t="str">
        <f>IF(OR(B735="Total",B735=""),"",IF(VLOOKUP(A736,Journal!$B$7:$E$84,4)=0,"Total",VLOOKUP(A736,Journal!$B$7:$D$84,3)))</f>
        <v/>
      </c>
      <c r="C736" s="86" t="str">
        <f>IF(B736="","",VLOOKUP(A736,Journal!$B$7:$E$84,4))</f>
        <v/>
      </c>
      <c r="D736" s="114" t="str">
        <f>IF(B736="","",VLOOKUP(A736,Journal!$B$7:$J$84,9))</f>
        <v/>
      </c>
      <c r="E736" s="116"/>
      <c r="F736" s="116"/>
      <c r="G736" s="115"/>
      <c r="H736" s="84" t="str">
        <f>IF(B736="","",VLOOKUP(A736,Journal!$B$7:$L$84,11))</f>
        <v/>
      </c>
      <c r="I736" s="84" t="str">
        <f>IF(B736="","",VLOOKUP(A736,Journal!$B$7:$M$84,12))</f>
        <v/>
      </c>
      <c r="J736" s="105">
        <f>IF(B736="Total",SUM(J$8:J735)+0.0001,IF(OR(B736="",I$2=I736),0,VLOOKUP(A736,Journal!$B$7:M$84,8)))</f>
        <v>0</v>
      </c>
      <c r="K736" s="102">
        <f>IF(B736="Total",SUM(K$8:K735)+0.0001,IF(OR(B736="",J736&lt;&gt;0),0,VLOOKUP(A736,Journal!$B$7:M$84,8)))</f>
        <v>0</v>
      </c>
      <c r="L736" s="87">
        <f t="shared" si="77"/>
        <v>0</v>
      </c>
      <c r="P736">
        <f t="shared" si="80"/>
        <v>1.0000000000000001E-5</v>
      </c>
      <c r="R736" s="15">
        <f t="shared" si="81"/>
        <v>729</v>
      </c>
      <c r="S736" s="126">
        <f>IF(VLOOKUP(A736,Journal!$A$7:$E$70,5)=0,S735+1,VLOOKUP(A736,Journal!$A$7:$E$70,5))</f>
        <v>46386</v>
      </c>
      <c r="T736" s="125">
        <f>IF(H$2=VLOOKUP(A736,Journal!$A$7:$F$70,6),VLOOKUP(A736,Journal!$A$7:M$70,9),0)</f>
        <v>0</v>
      </c>
      <c r="U736" s="125">
        <f>IF(H$2=VLOOKUP(A736,Journal!$A$7:$G$70,7),VLOOKUP(A736,Journal!$A$7:M$70,9),0)</f>
        <v>0</v>
      </c>
      <c r="V736" s="125">
        <f t="shared" si="82"/>
        <v>40</v>
      </c>
      <c r="X736">
        <f t="shared" si="79"/>
        <v>0</v>
      </c>
      <c r="Y736" s="143">
        <f t="shared" si="78"/>
        <v>-980.89473684213567</v>
      </c>
    </row>
    <row r="737" spans="1:25" x14ac:dyDescent="0.25">
      <c r="A737">
        <f t="shared" si="83"/>
        <v>730</v>
      </c>
      <c r="B737" s="88" t="str">
        <f>IF(OR(B736="Total",B736=""),"",IF(VLOOKUP(A737,Journal!$B$7:$E$84,4)=0,"Total",VLOOKUP(A737,Journal!$B$7:$D$84,3)))</f>
        <v/>
      </c>
      <c r="C737" s="86" t="str">
        <f>IF(B737="","",VLOOKUP(A737,Journal!$B$7:$E$84,4))</f>
        <v/>
      </c>
      <c r="D737" s="114" t="str">
        <f>IF(B737="","",VLOOKUP(A737,Journal!$B$7:$J$84,9))</f>
        <v/>
      </c>
      <c r="E737" s="116"/>
      <c r="F737" s="116"/>
      <c r="G737" s="115"/>
      <c r="H737" s="84" t="str">
        <f>IF(B737="","",VLOOKUP(A737,Journal!$B$7:$L$84,11))</f>
        <v/>
      </c>
      <c r="I737" s="84" t="str">
        <f>IF(B737="","",VLOOKUP(A737,Journal!$B$7:$M$84,12))</f>
        <v/>
      </c>
      <c r="J737" s="105">
        <f>IF(B737="Total",SUM(J$8:J736)+0.0001,IF(OR(B737="",I$2=I737),0,VLOOKUP(A737,Journal!$B$7:M$84,8)))</f>
        <v>0</v>
      </c>
      <c r="K737" s="102">
        <f>IF(B737="Total",SUM(K$8:K736)+0.0001,IF(OR(B737="",J737&lt;&gt;0),0,VLOOKUP(A737,Journal!$B$7:M$84,8)))</f>
        <v>0</v>
      </c>
      <c r="L737" s="87">
        <f t="shared" si="77"/>
        <v>0</v>
      </c>
      <c r="P737">
        <f t="shared" si="80"/>
        <v>1.0000000000000001E-5</v>
      </c>
      <c r="R737" s="15">
        <f t="shared" si="81"/>
        <v>730</v>
      </c>
      <c r="S737" s="126">
        <f>IF(VLOOKUP(A737,Journal!$A$7:$E$70,5)=0,S736+1,VLOOKUP(A737,Journal!$A$7:$E$70,5))</f>
        <v>46387</v>
      </c>
      <c r="T737" s="125">
        <f>IF(H$2=VLOOKUP(A737,Journal!$A$7:$F$70,6),VLOOKUP(A737,Journal!$A$7:M$70,9),0)</f>
        <v>0</v>
      </c>
      <c r="U737" s="125">
        <f>IF(H$2=VLOOKUP(A737,Journal!$A$7:$G$70,7),VLOOKUP(A737,Journal!$A$7:M$70,9),0)</f>
        <v>0</v>
      </c>
      <c r="V737" s="125">
        <f t="shared" si="82"/>
        <v>40</v>
      </c>
      <c r="X737">
        <f t="shared" si="79"/>
        <v>0</v>
      </c>
      <c r="Y737" s="143">
        <f t="shared" si="78"/>
        <v>-980.86842105266203</v>
      </c>
    </row>
    <row r="738" spans="1:25" x14ac:dyDescent="0.25">
      <c r="A738">
        <f t="shared" si="83"/>
        <v>731</v>
      </c>
      <c r="B738" s="88" t="str">
        <f>IF(OR(B737="Total",B737=""),"",IF(VLOOKUP(A738,Journal!$B$7:$E$84,4)=0,"Total",VLOOKUP(A738,Journal!$B$7:$D$84,3)))</f>
        <v/>
      </c>
      <c r="C738" s="86" t="str">
        <f>IF(B738="","",VLOOKUP(A738,Journal!$B$7:$E$84,4))</f>
        <v/>
      </c>
      <c r="D738" s="114" t="str">
        <f>IF(B738="","",VLOOKUP(A738,Journal!$B$7:$J$84,9))</f>
        <v/>
      </c>
      <c r="E738" s="116"/>
      <c r="F738" s="116"/>
      <c r="G738" s="115"/>
      <c r="H738" s="84" t="str">
        <f>IF(B738="","",VLOOKUP(A738,Journal!$B$7:$L$84,11))</f>
        <v/>
      </c>
      <c r="I738" s="84" t="str">
        <f>IF(B738="","",VLOOKUP(A738,Journal!$B$7:$M$84,12))</f>
        <v/>
      </c>
      <c r="J738" s="105">
        <f>IF(B738="Total",SUM(J$8:J737)+0.0001,IF(OR(B738="",I$2=I738),0,VLOOKUP(A738,Journal!$B$7:M$84,8)))</f>
        <v>0</v>
      </c>
      <c r="K738" s="102">
        <f>IF(B738="Total",SUM(K$8:K737)+0.0001,IF(OR(B738="",J738&lt;&gt;0),0,VLOOKUP(A738,Journal!$B$7:M$84,8)))</f>
        <v>0</v>
      </c>
      <c r="L738" s="87">
        <f t="shared" si="77"/>
        <v>0</v>
      </c>
      <c r="P738">
        <f t="shared" si="80"/>
        <v>1.0000000000000001E-5</v>
      </c>
      <c r="R738" s="15">
        <f t="shared" si="81"/>
        <v>731</v>
      </c>
      <c r="S738" s="126">
        <f>IF(VLOOKUP(A738,Journal!$A$7:$E$70,5)=0,S737+1,VLOOKUP(A738,Journal!$A$7:$E$70,5))</f>
        <v>46388</v>
      </c>
      <c r="T738" s="125">
        <f>IF(H$2=VLOOKUP(A738,Journal!$A$7:$F$70,6),VLOOKUP(A738,Journal!$A$7:M$70,9),0)</f>
        <v>0</v>
      </c>
      <c r="U738" s="125">
        <f>IF(H$2=VLOOKUP(A738,Journal!$A$7:$G$70,7),VLOOKUP(A738,Journal!$A$7:M$70,9),0)</f>
        <v>0</v>
      </c>
      <c r="V738" s="125">
        <f t="shared" si="82"/>
        <v>40</v>
      </c>
      <c r="X738">
        <f t="shared" si="79"/>
        <v>0</v>
      </c>
      <c r="Y738" s="143">
        <f t="shared" si="78"/>
        <v>-980.84210526318839</v>
      </c>
    </row>
    <row r="739" spans="1:25" x14ac:dyDescent="0.25">
      <c r="A739">
        <f t="shared" si="83"/>
        <v>732</v>
      </c>
      <c r="B739" s="88" t="str">
        <f>IF(OR(B738="Total",B738=""),"",IF(VLOOKUP(A739,Journal!$B$7:$E$84,4)=0,"Total",VLOOKUP(A739,Journal!$B$7:$D$84,3)))</f>
        <v/>
      </c>
      <c r="C739" s="86" t="str">
        <f>IF(B739="","",VLOOKUP(A739,Journal!$B$7:$E$84,4))</f>
        <v/>
      </c>
      <c r="D739" s="114" t="str">
        <f>IF(B739="","",VLOOKUP(A739,Journal!$B$7:$J$84,9))</f>
        <v/>
      </c>
      <c r="E739" s="116"/>
      <c r="F739" s="116"/>
      <c r="G739" s="115"/>
      <c r="H739" s="84" t="str">
        <f>IF(B739="","",VLOOKUP(A739,Journal!$B$7:$L$84,11))</f>
        <v/>
      </c>
      <c r="I739" s="84" t="str">
        <f>IF(B739="","",VLOOKUP(A739,Journal!$B$7:$M$84,12))</f>
        <v/>
      </c>
      <c r="J739" s="105">
        <f>IF(B739="Total",SUM(J$8:J738)+0.0001,IF(OR(B739="",I$2=I739),0,VLOOKUP(A739,Journal!$B$7:M$84,8)))</f>
        <v>0</v>
      </c>
      <c r="K739" s="102">
        <f>IF(B739="Total",SUM(K$8:K738)+0.0001,IF(OR(B739="",J739&lt;&gt;0),0,VLOOKUP(A739,Journal!$B$7:M$84,8)))</f>
        <v>0</v>
      </c>
      <c r="L739" s="87">
        <f t="shared" si="77"/>
        <v>0</v>
      </c>
      <c r="P739">
        <f t="shared" si="80"/>
        <v>1.0000000000000001E-5</v>
      </c>
      <c r="R739" s="15">
        <f t="shared" si="81"/>
        <v>732</v>
      </c>
      <c r="S739" s="126">
        <f>IF(VLOOKUP(A739,Journal!$A$7:$E$70,5)=0,S738+1,VLOOKUP(A739,Journal!$A$7:$E$70,5))</f>
        <v>46389</v>
      </c>
      <c r="T739" s="125">
        <f>IF(H$2=VLOOKUP(A739,Journal!$A$7:$F$70,6),VLOOKUP(A739,Journal!$A$7:M$70,9),0)</f>
        <v>0</v>
      </c>
      <c r="U739" s="125">
        <f>IF(H$2=VLOOKUP(A739,Journal!$A$7:$G$70,7),VLOOKUP(A739,Journal!$A$7:M$70,9),0)</f>
        <v>0</v>
      </c>
      <c r="V739" s="125">
        <f t="shared" si="82"/>
        <v>40</v>
      </c>
      <c r="X739">
        <f t="shared" si="79"/>
        <v>0</v>
      </c>
      <c r="Y739" s="143">
        <f t="shared" si="78"/>
        <v>-980.81578947371474</v>
      </c>
    </row>
    <row r="740" spans="1:25" x14ac:dyDescent="0.25">
      <c r="A740">
        <f t="shared" si="83"/>
        <v>733</v>
      </c>
      <c r="B740" s="88" t="str">
        <f>IF(OR(B739="Total",B739=""),"",IF(VLOOKUP(A740,Journal!$B$7:$E$84,4)=0,"Total",VLOOKUP(A740,Journal!$B$7:$D$84,3)))</f>
        <v/>
      </c>
      <c r="C740" s="86" t="str">
        <f>IF(B740="","",VLOOKUP(A740,Journal!$B$7:$E$84,4))</f>
        <v/>
      </c>
      <c r="D740" s="114" t="str">
        <f>IF(B740="","",VLOOKUP(A740,Journal!$B$7:$J$84,9))</f>
        <v/>
      </c>
      <c r="E740" s="116"/>
      <c r="F740" s="116"/>
      <c r="G740" s="115"/>
      <c r="H740" s="84" t="str">
        <f>IF(B740="","",VLOOKUP(A740,Journal!$B$7:$L$84,11))</f>
        <v/>
      </c>
      <c r="I740" s="84" t="str">
        <f>IF(B740="","",VLOOKUP(A740,Journal!$B$7:$M$84,12))</f>
        <v/>
      </c>
      <c r="J740" s="105">
        <f>IF(B740="Total",SUM(J$8:J739)+0.0001,IF(OR(B740="",I$2=I740),0,VLOOKUP(A740,Journal!$B$7:M$84,8)))</f>
        <v>0</v>
      </c>
      <c r="K740" s="102">
        <f>IF(B740="Total",SUM(K$8:K739)+0.0001,IF(OR(B740="",J740&lt;&gt;0),0,VLOOKUP(A740,Journal!$B$7:M$84,8)))</f>
        <v>0</v>
      </c>
      <c r="L740" s="87">
        <f t="shared" si="77"/>
        <v>0</v>
      </c>
      <c r="P740">
        <f t="shared" si="80"/>
        <v>1.0000000000000001E-5</v>
      </c>
      <c r="R740" s="15">
        <f t="shared" si="81"/>
        <v>733</v>
      </c>
      <c r="S740" s="126">
        <f>IF(VLOOKUP(A740,Journal!$A$7:$E$70,5)=0,S739+1,VLOOKUP(A740,Journal!$A$7:$E$70,5))</f>
        <v>46390</v>
      </c>
      <c r="T740" s="125">
        <f>IF(H$2=VLOOKUP(A740,Journal!$A$7:$F$70,6),VLOOKUP(A740,Journal!$A$7:M$70,9),0)</f>
        <v>0</v>
      </c>
      <c r="U740" s="125">
        <f>IF(H$2=VLOOKUP(A740,Journal!$A$7:$G$70,7),VLOOKUP(A740,Journal!$A$7:M$70,9),0)</f>
        <v>0</v>
      </c>
      <c r="V740" s="125">
        <f t="shared" si="82"/>
        <v>40</v>
      </c>
      <c r="X740">
        <f t="shared" si="79"/>
        <v>0</v>
      </c>
      <c r="Y740" s="143">
        <f t="shared" si="78"/>
        <v>-980.7894736842411</v>
      </c>
    </row>
    <row r="741" spans="1:25" x14ac:dyDescent="0.25">
      <c r="A741">
        <f t="shared" si="83"/>
        <v>734</v>
      </c>
      <c r="B741" s="88" t="str">
        <f>IF(OR(B740="Total",B740=""),"",IF(VLOOKUP(A741,Journal!$B$7:$E$84,4)=0,"Total",VLOOKUP(A741,Journal!$B$7:$D$84,3)))</f>
        <v/>
      </c>
      <c r="C741" s="86" t="str">
        <f>IF(B741="","",VLOOKUP(A741,Journal!$B$7:$E$84,4))</f>
        <v/>
      </c>
      <c r="D741" s="114" t="str">
        <f>IF(B741="","",VLOOKUP(A741,Journal!$B$7:$J$84,9))</f>
        <v/>
      </c>
      <c r="E741" s="116"/>
      <c r="F741" s="116"/>
      <c r="G741" s="115"/>
      <c r="H741" s="84" t="str">
        <f>IF(B741="","",VLOOKUP(A741,Journal!$B$7:$L$84,11))</f>
        <v/>
      </c>
      <c r="I741" s="84" t="str">
        <f>IF(B741="","",VLOOKUP(A741,Journal!$B$7:$M$84,12))</f>
        <v/>
      </c>
      <c r="J741" s="105">
        <f>IF(B741="Total",SUM(J$8:J740)+0.0001,IF(OR(B741="",I$2=I741),0,VLOOKUP(A741,Journal!$B$7:M$84,8)))</f>
        <v>0</v>
      </c>
      <c r="K741" s="102">
        <f>IF(B741="Total",SUM(K$8:K740)+0.0001,IF(OR(B741="",J741&lt;&gt;0),0,VLOOKUP(A741,Journal!$B$7:M$84,8)))</f>
        <v>0</v>
      </c>
      <c r="L741" s="87">
        <f t="shared" si="77"/>
        <v>0</v>
      </c>
      <c r="P741">
        <f t="shared" si="80"/>
        <v>1.0000000000000001E-5</v>
      </c>
      <c r="R741" s="15">
        <f t="shared" si="81"/>
        <v>734</v>
      </c>
      <c r="S741" s="126">
        <f>IF(VLOOKUP(A741,Journal!$A$7:$E$70,5)=0,S740+1,VLOOKUP(A741,Journal!$A$7:$E$70,5))</f>
        <v>46391</v>
      </c>
      <c r="T741" s="125">
        <f>IF(H$2=VLOOKUP(A741,Journal!$A$7:$F$70,6),VLOOKUP(A741,Journal!$A$7:M$70,9),0)</f>
        <v>0</v>
      </c>
      <c r="U741" s="125">
        <f>IF(H$2=VLOOKUP(A741,Journal!$A$7:$G$70,7),VLOOKUP(A741,Journal!$A$7:M$70,9),0)</f>
        <v>0</v>
      </c>
      <c r="V741" s="125">
        <f t="shared" si="82"/>
        <v>40</v>
      </c>
      <c r="X741">
        <f t="shared" si="79"/>
        <v>0</v>
      </c>
      <c r="Y741" s="143">
        <f t="shared" si="78"/>
        <v>-980.76315789476746</v>
      </c>
    </row>
    <row r="742" spans="1:25" x14ac:dyDescent="0.25">
      <c r="A742">
        <f t="shared" si="83"/>
        <v>735</v>
      </c>
      <c r="B742" s="88" t="str">
        <f>IF(OR(B741="Total",B741=""),"",IF(VLOOKUP(A742,Journal!$B$7:$E$84,4)=0,"Total",VLOOKUP(A742,Journal!$B$7:$D$84,3)))</f>
        <v/>
      </c>
      <c r="C742" s="86" t="str">
        <f>IF(B742="","",VLOOKUP(A742,Journal!$B$7:$E$84,4))</f>
        <v/>
      </c>
      <c r="D742" s="114" t="str">
        <f>IF(B742="","",VLOOKUP(A742,Journal!$B$7:$J$84,9))</f>
        <v/>
      </c>
      <c r="E742" s="116"/>
      <c r="F742" s="116"/>
      <c r="G742" s="115"/>
      <c r="H742" s="84" t="str">
        <f>IF(B742="","",VLOOKUP(A742,Journal!$B$7:$L$84,11))</f>
        <v/>
      </c>
      <c r="I742" s="84" t="str">
        <f>IF(B742="","",VLOOKUP(A742,Journal!$B$7:$M$84,12))</f>
        <v/>
      </c>
      <c r="J742" s="105">
        <f>IF(B742="Total",SUM(J$8:J741)+0.0001,IF(OR(B742="",I$2=I742),0,VLOOKUP(A742,Journal!$B$7:M$84,8)))</f>
        <v>0</v>
      </c>
      <c r="K742" s="102">
        <f>IF(B742="Total",SUM(K$8:K741)+0.0001,IF(OR(B742="",J742&lt;&gt;0),0,VLOOKUP(A742,Journal!$B$7:M$84,8)))</f>
        <v>0</v>
      </c>
      <c r="L742" s="87">
        <f t="shared" si="77"/>
        <v>0</v>
      </c>
      <c r="P742">
        <f t="shared" si="80"/>
        <v>1.0000000000000001E-5</v>
      </c>
      <c r="R742" s="15">
        <f t="shared" si="81"/>
        <v>735</v>
      </c>
      <c r="S742" s="126">
        <f>IF(VLOOKUP(A742,Journal!$A$7:$E$70,5)=0,S741+1,VLOOKUP(A742,Journal!$A$7:$E$70,5))</f>
        <v>46392</v>
      </c>
      <c r="T742" s="125">
        <f>IF(H$2=VLOOKUP(A742,Journal!$A$7:$F$70,6),VLOOKUP(A742,Journal!$A$7:M$70,9),0)</f>
        <v>0</v>
      </c>
      <c r="U742" s="125">
        <f>IF(H$2=VLOOKUP(A742,Journal!$A$7:$G$70,7),VLOOKUP(A742,Journal!$A$7:M$70,9),0)</f>
        <v>0</v>
      </c>
      <c r="V742" s="125">
        <f t="shared" si="82"/>
        <v>40</v>
      </c>
      <c r="X742">
        <f t="shared" si="79"/>
        <v>0</v>
      </c>
      <c r="Y742" s="143">
        <f t="shared" si="78"/>
        <v>-980.73684210529382</v>
      </c>
    </row>
    <row r="743" spans="1:25" x14ac:dyDescent="0.25">
      <c r="A743">
        <f t="shared" si="83"/>
        <v>736</v>
      </c>
      <c r="B743" s="88" t="str">
        <f>IF(OR(B742="Total",B742=""),"",IF(VLOOKUP(A743,Journal!$B$7:$E$84,4)=0,"Total",VLOOKUP(A743,Journal!$B$7:$D$84,3)))</f>
        <v/>
      </c>
      <c r="C743" s="86" t="str">
        <f>IF(B743="","",VLOOKUP(A743,Journal!$B$7:$E$84,4))</f>
        <v/>
      </c>
      <c r="D743" s="114" t="str">
        <f>IF(B743="","",VLOOKUP(A743,Journal!$B$7:$J$84,9))</f>
        <v/>
      </c>
      <c r="E743" s="116"/>
      <c r="F743" s="116"/>
      <c r="G743" s="115"/>
      <c r="H743" s="84" t="str">
        <f>IF(B743="","",VLOOKUP(A743,Journal!$B$7:$L$84,11))</f>
        <v/>
      </c>
      <c r="I743" s="84" t="str">
        <f>IF(B743="","",VLOOKUP(A743,Journal!$B$7:$M$84,12))</f>
        <v/>
      </c>
      <c r="J743" s="105">
        <f>IF(B743="Total",SUM(J$8:J742)+0.0001,IF(OR(B743="",I$2=I743),0,VLOOKUP(A743,Journal!$B$7:M$84,8)))</f>
        <v>0</v>
      </c>
      <c r="K743" s="102">
        <f>IF(B743="Total",SUM(K$8:K742)+0.0001,IF(OR(B743="",J743&lt;&gt;0),0,VLOOKUP(A743,Journal!$B$7:M$84,8)))</f>
        <v>0</v>
      </c>
      <c r="L743" s="87">
        <f t="shared" si="77"/>
        <v>0</v>
      </c>
      <c r="P743">
        <f t="shared" si="80"/>
        <v>1.0000000000000001E-5</v>
      </c>
      <c r="R743" s="15">
        <f t="shared" si="81"/>
        <v>736</v>
      </c>
      <c r="S743" s="126">
        <f>IF(VLOOKUP(A743,Journal!$A$7:$E$70,5)=0,S742+1,VLOOKUP(A743,Journal!$A$7:$E$70,5))</f>
        <v>46393</v>
      </c>
      <c r="T743" s="125">
        <f>IF(H$2=VLOOKUP(A743,Journal!$A$7:$F$70,6),VLOOKUP(A743,Journal!$A$7:M$70,9),0)</f>
        <v>0</v>
      </c>
      <c r="U743" s="125">
        <f>IF(H$2=VLOOKUP(A743,Journal!$A$7:$G$70,7),VLOOKUP(A743,Journal!$A$7:M$70,9),0)</f>
        <v>0</v>
      </c>
      <c r="V743" s="125">
        <f t="shared" si="82"/>
        <v>40</v>
      </c>
      <c r="X743">
        <f t="shared" si="79"/>
        <v>0</v>
      </c>
      <c r="Y743" s="143">
        <f t="shared" si="78"/>
        <v>-980.71052631582018</v>
      </c>
    </row>
    <row r="744" spans="1:25" x14ac:dyDescent="0.25">
      <c r="A744">
        <f t="shared" si="83"/>
        <v>737</v>
      </c>
      <c r="B744" s="88" t="str">
        <f>IF(OR(B743="Total",B743=""),"",IF(VLOOKUP(A744,Journal!$B$7:$E$84,4)=0,"Total",VLOOKUP(A744,Journal!$B$7:$D$84,3)))</f>
        <v/>
      </c>
      <c r="C744" s="86" t="str">
        <f>IF(B744="","",VLOOKUP(A744,Journal!$B$7:$E$84,4))</f>
        <v/>
      </c>
      <c r="D744" s="114" t="str">
        <f>IF(B744="","",VLOOKUP(A744,Journal!$B$7:$J$84,9))</f>
        <v/>
      </c>
      <c r="E744" s="116"/>
      <c r="F744" s="116"/>
      <c r="G744" s="115"/>
      <c r="H744" s="84" t="str">
        <f>IF(B744="","",VLOOKUP(A744,Journal!$B$7:$L$84,11))</f>
        <v/>
      </c>
      <c r="I744" s="84" t="str">
        <f>IF(B744="","",VLOOKUP(A744,Journal!$B$7:$M$84,12))</f>
        <v/>
      </c>
      <c r="J744" s="105">
        <f>IF(B744="Total",SUM(J$8:J743)+0.0001,IF(OR(B744="",I$2=I744),0,VLOOKUP(A744,Journal!$B$7:M$84,8)))</f>
        <v>0</v>
      </c>
      <c r="K744" s="102">
        <f>IF(B744="Total",SUM(K$8:K743)+0.0001,IF(OR(B744="",J744&lt;&gt;0),0,VLOOKUP(A744,Journal!$B$7:M$84,8)))</f>
        <v>0</v>
      </c>
      <c r="L744" s="87">
        <f t="shared" si="77"/>
        <v>0</v>
      </c>
      <c r="P744">
        <f t="shared" si="80"/>
        <v>1.0000000000000001E-5</v>
      </c>
      <c r="R744" s="15">
        <f t="shared" si="81"/>
        <v>737</v>
      </c>
      <c r="S744" s="126">
        <f>IF(VLOOKUP(A744,Journal!$A$7:$E$70,5)=0,S743+1,VLOOKUP(A744,Journal!$A$7:$E$70,5))</f>
        <v>46394</v>
      </c>
      <c r="T744" s="125">
        <f>IF(H$2=VLOOKUP(A744,Journal!$A$7:$F$70,6),VLOOKUP(A744,Journal!$A$7:M$70,9),0)</f>
        <v>0</v>
      </c>
      <c r="U744" s="125">
        <f>IF(H$2=VLOOKUP(A744,Journal!$A$7:$G$70,7),VLOOKUP(A744,Journal!$A$7:M$70,9),0)</f>
        <v>0</v>
      </c>
      <c r="V744" s="125">
        <f t="shared" si="82"/>
        <v>40</v>
      </c>
      <c r="X744">
        <f t="shared" si="79"/>
        <v>0</v>
      </c>
      <c r="Y744" s="143">
        <f t="shared" si="78"/>
        <v>-980.68421052634653</v>
      </c>
    </row>
    <row r="745" spans="1:25" x14ac:dyDescent="0.25">
      <c r="A745">
        <f t="shared" si="83"/>
        <v>738</v>
      </c>
      <c r="B745" s="88" t="str">
        <f>IF(OR(B744="Total",B744=""),"",IF(VLOOKUP(A745,Journal!$B$7:$E$84,4)=0,"Total",VLOOKUP(A745,Journal!$B$7:$D$84,3)))</f>
        <v/>
      </c>
      <c r="C745" s="86" t="str">
        <f>IF(B745="","",VLOOKUP(A745,Journal!$B$7:$E$84,4))</f>
        <v/>
      </c>
      <c r="D745" s="114" t="str">
        <f>IF(B745="","",VLOOKUP(A745,Journal!$B$7:$J$84,9))</f>
        <v/>
      </c>
      <c r="E745" s="116"/>
      <c r="F745" s="116"/>
      <c r="G745" s="115"/>
      <c r="H745" s="84" t="str">
        <f>IF(B745="","",VLOOKUP(A745,Journal!$B$7:$L$84,11))</f>
        <v/>
      </c>
      <c r="I745" s="84" t="str">
        <f>IF(B745="","",VLOOKUP(A745,Journal!$B$7:$M$84,12))</f>
        <v/>
      </c>
      <c r="J745" s="105">
        <f>IF(B745="Total",SUM(J$8:J744)+0.0001,IF(OR(B745="",I$2=I745),0,VLOOKUP(A745,Journal!$B$7:M$84,8)))</f>
        <v>0</v>
      </c>
      <c r="K745" s="102">
        <f>IF(B745="Total",SUM(K$8:K744)+0.0001,IF(OR(B745="",J745&lt;&gt;0),0,VLOOKUP(A745,Journal!$B$7:M$84,8)))</f>
        <v>0</v>
      </c>
      <c r="L745" s="87">
        <f t="shared" si="77"/>
        <v>0</v>
      </c>
      <c r="P745">
        <f t="shared" si="80"/>
        <v>1.0000000000000001E-5</v>
      </c>
      <c r="R745" s="15">
        <f t="shared" si="81"/>
        <v>738</v>
      </c>
      <c r="S745" s="126">
        <f>IF(VLOOKUP(A745,Journal!$A$7:$E$70,5)=0,S744+1,VLOOKUP(A745,Journal!$A$7:$E$70,5))</f>
        <v>46395</v>
      </c>
      <c r="T745" s="125">
        <f>IF(H$2=VLOOKUP(A745,Journal!$A$7:$F$70,6),VLOOKUP(A745,Journal!$A$7:M$70,9),0)</f>
        <v>0</v>
      </c>
      <c r="U745" s="125">
        <f>IF(H$2=VLOOKUP(A745,Journal!$A$7:$G$70,7),VLOOKUP(A745,Journal!$A$7:M$70,9),0)</f>
        <v>0</v>
      </c>
      <c r="V745" s="125">
        <f t="shared" si="82"/>
        <v>40</v>
      </c>
      <c r="X745">
        <f t="shared" si="79"/>
        <v>0</v>
      </c>
      <c r="Y745" s="143">
        <f t="shared" si="78"/>
        <v>-980.65789473687289</v>
      </c>
    </row>
    <row r="746" spans="1:25" x14ac:dyDescent="0.25">
      <c r="A746">
        <f t="shared" si="83"/>
        <v>739</v>
      </c>
      <c r="B746" s="88" t="str">
        <f>IF(OR(B745="Total",B745=""),"",IF(VLOOKUP(A746,Journal!$B$7:$E$84,4)=0,"Total",VLOOKUP(A746,Journal!$B$7:$D$84,3)))</f>
        <v/>
      </c>
      <c r="C746" s="86" t="str">
        <f>IF(B746="","",VLOOKUP(A746,Journal!$B$7:$E$84,4))</f>
        <v/>
      </c>
      <c r="D746" s="114" t="str">
        <f>IF(B746="","",VLOOKUP(A746,Journal!$B$7:$J$84,9))</f>
        <v/>
      </c>
      <c r="E746" s="116"/>
      <c r="F746" s="116"/>
      <c r="G746" s="115"/>
      <c r="H746" s="84" t="str">
        <f>IF(B746="","",VLOOKUP(A746,Journal!$B$7:$L$84,11))</f>
        <v/>
      </c>
      <c r="I746" s="84" t="str">
        <f>IF(B746="","",VLOOKUP(A746,Journal!$B$7:$M$84,12))</f>
        <v/>
      </c>
      <c r="J746" s="105">
        <f>IF(B746="Total",SUM(J$8:J745)+0.0001,IF(OR(B746="",I$2=I746),0,VLOOKUP(A746,Journal!$B$7:M$84,8)))</f>
        <v>0</v>
      </c>
      <c r="K746" s="102">
        <f>IF(B746="Total",SUM(K$8:K745)+0.0001,IF(OR(B746="",J746&lt;&gt;0),0,VLOOKUP(A746,Journal!$B$7:M$84,8)))</f>
        <v>0</v>
      </c>
      <c r="L746" s="87">
        <f t="shared" si="77"/>
        <v>0</v>
      </c>
      <c r="P746">
        <f t="shared" si="80"/>
        <v>1.0000000000000001E-5</v>
      </c>
      <c r="R746" s="15">
        <f t="shared" si="81"/>
        <v>739</v>
      </c>
      <c r="S746" s="126">
        <f>IF(VLOOKUP(A746,Journal!$A$7:$E$70,5)=0,S745+1,VLOOKUP(A746,Journal!$A$7:$E$70,5))</f>
        <v>46396</v>
      </c>
      <c r="T746" s="125">
        <f>IF(H$2=VLOOKUP(A746,Journal!$A$7:$F$70,6),VLOOKUP(A746,Journal!$A$7:M$70,9),0)</f>
        <v>0</v>
      </c>
      <c r="U746" s="125">
        <f>IF(H$2=VLOOKUP(A746,Journal!$A$7:$G$70,7),VLOOKUP(A746,Journal!$A$7:M$70,9),0)</f>
        <v>0</v>
      </c>
      <c r="V746" s="125">
        <f t="shared" si="82"/>
        <v>40</v>
      </c>
      <c r="X746">
        <f t="shared" si="79"/>
        <v>0</v>
      </c>
      <c r="Y746" s="143">
        <f t="shared" si="78"/>
        <v>-980.63157894739925</v>
      </c>
    </row>
    <row r="747" spans="1:25" x14ac:dyDescent="0.25">
      <c r="A747">
        <f t="shared" si="83"/>
        <v>740</v>
      </c>
      <c r="B747" s="88" t="str">
        <f>IF(OR(B746="Total",B746=""),"",IF(VLOOKUP(A747,Journal!$B$7:$E$84,4)=0,"Total",VLOOKUP(A747,Journal!$B$7:$D$84,3)))</f>
        <v/>
      </c>
      <c r="C747" s="86" t="str">
        <f>IF(B747="","",VLOOKUP(A747,Journal!$B$7:$E$84,4))</f>
        <v/>
      </c>
      <c r="D747" s="114" t="str">
        <f>IF(B747="","",VLOOKUP(A747,Journal!$B$7:$J$84,9))</f>
        <v/>
      </c>
      <c r="E747" s="116"/>
      <c r="F747" s="116"/>
      <c r="G747" s="115"/>
      <c r="H747" s="84" t="str">
        <f>IF(B747="","",VLOOKUP(A747,Journal!$B$7:$L$84,11))</f>
        <v/>
      </c>
      <c r="I747" s="84" t="str">
        <f>IF(B747="","",VLOOKUP(A747,Journal!$B$7:$M$84,12))</f>
        <v/>
      </c>
      <c r="J747" s="105">
        <f>IF(B747="Total",SUM(J$8:J746)+0.0001,IF(OR(B747="",I$2=I747),0,VLOOKUP(A747,Journal!$B$7:M$84,8)))</f>
        <v>0</v>
      </c>
      <c r="K747" s="102">
        <f>IF(B747="Total",SUM(K$8:K746)+0.0001,IF(OR(B747="",J747&lt;&gt;0),0,VLOOKUP(A747,Journal!$B$7:M$84,8)))</f>
        <v>0</v>
      </c>
      <c r="L747" s="87">
        <f t="shared" si="77"/>
        <v>0</v>
      </c>
      <c r="P747">
        <f t="shared" si="80"/>
        <v>1.0000000000000001E-5</v>
      </c>
      <c r="R747" s="15">
        <f t="shared" si="81"/>
        <v>740</v>
      </c>
      <c r="S747" s="126">
        <f>IF(VLOOKUP(A747,Journal!$A$7:$E$70,5)=0,S746+1,VLOOKUP(A747,Journal!$A$7:$E$70,5))</f>
        <v>46397</v>
      </c>
      <c r="T747" s="125">
        <f>IF(H$2=VLOOKUP(A747,Journal!$A$7:$F$70,6),VLOOKUP(A747,Journal!$A$7:M$70,9),0)</f>
        <v>0</v>
      </c>
      <c r="U747" s="125">
        <f>IF(H$2=VLOOKUP(A747,Journal!$A$7:$G$70,7),VLOOKUP(A747,Journal!$A$7:M$70,9),0)</f>
        <v>0</v>
      </c>
      <c r="V747" s="125">
        <f t="shared" si="82"/>
        <v>40</v>
      </c>
      <c r="X747">
        <f t="shared" si="79"/>
        <v>0</v>
      </c>
      <c r="Y747" s="143">
        <f t="shared" si="78"/>
        <v>-980.60526315792561</v>
      </c>
    </row>
    <row r="748" spans="1:25" x14ac:dyDescent="0.25">
      <c r="A748">
        <f t="shared" si="83"/>
        <v>741</v>
      </c>
      <c r="B748" s="88" t="str">
        <f>IF(OR(B747="Total",B747=""),"",IF(VLOOKUP(A748,Journal!$B$7:$E$84,4)=0,"Total",VLOOKUP(A748,Journal!$B$7:$D$84,3)))</f>
        <v/>
      </c>
      <c r="C748" s="86" t="str">
        <f>IF(B748="","",VLOOKUP(A748,Journal!$B$7:$E$84,4))</f>
        <v/>
      </c>
      <c r="D748" s="114" t="str">
        <f>IF(B748="","",VLOOKUP(A748,Journal!$B$7:$J$84,9))</f>
        <v/>
      </c>
      <c r="E748" s="116"/>
      <c r="F748" s="116"/>
      <c r="G748" s="115"/>
      <c r="H748" s="84" t="str">
        <f>IF(B748="","",VLOOKUP(A748,Journal!$B$7:$L$84,11))</f>
        <v/>
      </c>
      <c r="I748" s="84" t="str">
        <f>IF(B748="","",VLOOKUP(A748,Journal!$B$7:$M$84,12))</f>
        <v/>
      </c>
      <c r="J748" s="105">
        <f>IF(B748="Total",SUM(J$8:J747)+0.0001,IF(OR(B748="",I$2=I748),0,VLOOKUP(A748,Journal!$B$7:M$84,8)))</f>
        <v>0</v>
      </c>
      <c r="K748" s="102">
        <f>IF(B748="Total",SUM(K$8:K747)+0.0001,IF(OR(B748="",J748&lt;&gt;0),0,VLOOKUP(A748,Journal!$B$7:M$84,8)))</f>
        <v>0</v>
      </c>
      <c r="L748" s="87">
        <f t="shared" si="77"/>
        <v>0</v>
      </c>
      <c r="P748">
        <f t="shared" si="80"/>
        <v>1.0000000000000001E-5</v>
      </c>
      <c r="R748" s="15">
        <f t="shared" si="81"/>
        <v>741</v>
      </c>
      <c r="S748" s="126">
        <f>IF(VLOOKUP(A748,Journal!$A$7:$E$70,5)=0,S747+1,VLOOKUP(A748,Journal!$A$7:$E$70,5))</f>
        <v>46398</v>
      </c>
      <c r="T748" s="125">
        <f>IF(H$2=VLOOKUP(A748,Journal!$A$7:$F$70,6),VLOOKUP(A748,Journal!$A$7:M$70,9),0)</f>
        <v>0</v>
      </c>
      <c r="U748" s="125">
        <f>IF(H$2=VLOOKUP(A748,Journal!$A$7:$G$70,7),VLOOKUP(A748,Journal!$A$7:M$70,9),0)</f>
        <v>0</v>
      </c>
      <c r="V748" s="125">
        <f t="shared" si="82"/>
        <v>40</v>
      </c>
      <c r="X748">
        <f t="shared" si="79"/>
        <v>0</v>
      </c>
      <c r="Y748" s="143">
        <f t="shared" si="78"/>
        <v>-980.57894736845196</v>
      </c>
    </row>
    <row r="749" spans="1:25" x14ac:dyDescent="0.25">
      <c r="A749">
        <f t="shared" si="83"/>
        <v>742</v>
      </c>
      <c r="B749" s="88" t="str">
        <f>IF(OR(B748="Total",B748=""),"",IF(VLOOKUP(A749,Journal!$B$7:$E$84,4)=0,"Total",VLOOKUP(A749,Journal!$B$7:$D$84,3)))</f>
        <v/>
      </c>
      <c r="C749" s="86" t="str">
        <f>IF(B749="","",VLOOKUP(A749,Journal!$B$7:$E$84,4))</f>
        <v/>
      </c>
      <c r="D749" s="114" t="str">
        <f>IF(B749="","",VLOOKUP(A749,Journal!$B$7:$J$84,9))</f>
        <v/>
      </c>
      <c r="E749" s="116"/>
      <c r="F749" s="116"/>
      <c r="G749" s="115"/>
      <c r="H749" s="84" t="str">
        <f>IF(B749="","",VLOOKUP(A749,Journal!$B$7:$L$84,11))</f>
        <v/>
      </c>
      <c r="I749" s="84" t="str">
        <f>IF(B749="","",VLOOKUP(A749,Journal!$B$7:$M$84,12))</f>
        <v/>
      </c>
      <c r="J749" s="105">
        <f>IF(B749="Total",SUM(J$8:J748)+0.0001,IF(OR(B749="",I$2=I749),0,VLOOKUP(A749,Journal!$B$7:M$84,8)))</f>
        <v>0</v>
      </c>
      <c r="K749" s="102">
        <f>IF(B749="Total",SUM(K$8:K748)+0.0001,IF(OR(B749="",J749&lt;&gt;0),0,VLOOKUP(A749,Journal!$B$7:M$84,8)))</f>
        <v>0</v>
      </c>
      <c r="L749" s="87">
        <f t="shared" si="77"/>
        <v>0</v>
      </c>
      <c r="P749">
        <f t="shared" si="80"/>
        <v>1.0000000000000001E-5</v>
      </c>
      <c r="R749" s="15">
        <f t="shared" si="81"/>
        <v>742</v>
      </c>
      <c r="S749" s="126">
        <f>IF(VLOOKUP(A749,Journal!$A$7:$E$70,5)=0,S748+1,VLOOKUP(A749,Journal!$A$7:$E$70,5))</f>
        <v>46399</v>
      </c>
      <c r="T749" s="125">
        <f>IF(H$2=VLOOKUP(A749,Journal!$A$7:$F$70,6),VLOOKUP(A749,Journal!$A$7:M$70,9),0)</f>
        <v>0</v>
      </c>
      <c r="U749" s="125">
        <f>IF(H$2=VLOOKUP(A749,Journal!$A$7:$G$70,7),VLOOKUP(A749,Journal!$A$7:M$70,9),0)</f>
        <v>0</v>
      </c>
      <c r="V749" s="125">
        <f t="shared" si="82"/>
        <v>40</v>
      </c>
      <c r="X749">
        <f t="shared" si="79"/>
        <v>0</v>
      </c>
      <c r="Y749" s="143">
        <f t="shared" si="78"/>
        <v>-980.55263157897832</v>
      </c>
    </row>
    <row r="750" spans="1:25" x14ac:dyDescent="0.25">
      <c r="A750">
        <f t="shared" si="83"/>
        <v>743</v>
      </c>
      <c r="B750" s="88" t="str">
        <f>IF(OR(B749="Total",B749=""),"",IF(VLOOKUP(A750,Journal!$B$7:$E$84,4)=0,"Total",VLOOKUP(A750,Journal!$B$7:$D$84,3)))</f>
        <v/>
      </c>
      <c r="C750" s="86" t="str">
        <f>IF(B750="","",VLOOKUP(A750,Journal!$B$7:$E$84,4))</f>
        <v/>
      </c>
      <c r="D750" s="114" t="str">
        <f>IF(B750="","",VLOOKUP(A750,Journal!$B$7:$J$84,9))</f>
        <v/>
      </c>
      <c r="E750" s="116"/>
      <c r="F750" s="116"/>
      <c r="G750" s="115"/>
      <c r="H750" s="84" t="str">
        <f>IF(B750="","",VLOOKUP(A750,Journal!$B$7:$L$84,11))</f>
        <v/>
      </c>
      <c r="I750" s="84" t="str">
        <f>IF(B750="","",VLOOKUP(A750,Journal!$B$7:$M$84,12))</f>
        <v/>
      </c>
      <c r="J750" s="105">
        <f>IF(B750="Total",SUM(J$8:J749)+0.0001,IF(OR(B750="",I$2=I750),0,VLOOKUP(A750,Journal!$B$7:M$84,8)))</f>
        <v>0</v>
      </c>
      <c r="K750" s="102">
        <f>IF(B750="Total",SUM(K$8:K749)+0.0001,IF(OR(B750="",J750&lt;&gt;0),0,VLOOKUP(A750,Journal!$B$7:M$84,8)))</f>
        <v>0</v>
      </c>
      <c r="L750" s="87">
        <f t="shared" si="77"/>
        <v>0</v>
      </c>
      <c r="P750">
        <f t="shared" si="80"/>
        <v>1.0000000000000001E-5</v>
      </c>
      <c r="R750" s="15">
        <f t="shared" si="81"/>
        <v>743</v>
      </c>
      <c r="S750" s="126">
        <f>IF(VLOOKUP(A750,Journal!$A$7:$E$70,5)=0,S749+1,VLOOKUP(A750,Journal!$A$7:$E$70,5))</f>
        <v>46400</v>
      </c>
      <c r="T750" s="125">
        <f>IF(H$2=VLOOKUP(A750,Journal!$A$7:$F$70,6),VLOOKUP(A750,Journal!$A$7:M$70,9),0)</f>
        <v>0</v>
      </c>
      <c r="U750" s="125">
        <f>IF(H$2=VLOOKUP(A750,Journal!$A$7:$G$70,7),VLOOKUP(A750,Journal!$A$7:M$70,9),0)</f>
        <v>0</v>
      </c>
      <c r="V750" s="125">
        <f t="shared" si="82"/>
        <v>40</v>
      </c>
      <c r="X750">
        <f t="shared" si="79"/>
        <v>0</v>
      </c>
      <c r="Y750" s="143">
        <f t="shared" si="78"/>
        <v>-980.52631578950468</v>
      </c>
    </row>
    <row r="751" spans="1:25" x14ac:dyDescent="0.25">
      <c r="A751">
        <f t="shared" si="83"/>
        <v>744</v>
      </c>
      <c r="B751" s="88" t="str">
        <f>IF(OR(B750="Total",B750=""),"",IF(VLOOKUP(A751,Journal!$B$7:$E$84,4)=0,"Total",VLOOKUP(A751,Journal!$B$7:$D$84,3)))</f>
        <v/>
      </c>
      <c r="C751" s="86" t="str">
        <f>IF(B751="","",VLOOKUP(A751,Journal!$B$7:$E$84,4))</f>
        <v/>
      </c>
      <c r="D751" s="114" t="str">
        <f>IF(B751="","",VLOOKUP(A751,Journal!$B$7:$J$84,9))</f>
        <v/>
      </c>
      <c r="E751" s="116"/>
      <c r="F751" s="116"/>
      <c r="G751" s="115"/>
      <c r="H751" s="84" t="str">
        <f>IF(B751="","",VLOOKUP(A751,Journal!$B$7:$L$84,11))</f>
        <v/>
      </c>
      <c r="I751" s="84" t="str">
        <f>IF(B751="","",VLOOKUP(A751,Journal!$B$7:$M$84,12))</f>
        <v/>
      </c>
      <c r="J751" s="105">
        <f>IF(B751="Total",SUM(J$8:J750)+0.0001,IF(OR(B751="",I$2=I751),0,VLOOKUP(A751,Journal!$B$7:M$84,8)))</f>
        <v>0</v>
      </c>
      <c r="K751" s="102">
        <f>IF(B751="Total",SUM(K$8:K750)+0.0001,IF(OR(B751="",J751&lt;&gt;0),0,VLOOKUP(A751,Journal!$B$7:M$84,8)))</f>
        <v>0</v>
      </c>
      <c r="L751" s="87">
        <f t="shared" si="77"/>
        <v>0</v>
      </c>
      <c r="P751">
        <f t="shared" si="80"/>
        <v>1.0000000000000001E-5</v>
      </c>
      <c r="R751" s="15">
        <f t="shared" si="81"/>
        <v>744</v>
      </c>
      <c r="S751" s="126">
        <f>IF(VLOOKUP(A751,Journal!$A$7:$E$70,5)=0,S750+1,VLOOKUP(A751,Journal!$A$7:$E$70,5))</f>
        <v>46401</v>
      </c>
      <c r="T751" s="125">
        <f>IF(H$2=VLOOKUP(A751,Journal!$A$7:$F$70,6),VLOOKUP(A751,Journal!$A$7:M$70,9),0)</f>
        <v>0</v>
      </c>
      <c r="U751" s="125">
        <f>IF(H$2=VLOOKUP(A751,Journal!$A$7:$G$70,7),VLOOKUP(A751,Journal!$A$7:M$70,9),0)</f>
        <v>0</v>
      </c>
      <c r="V751" s="125">
        <f t="shared" si="82"/>
        <v>40</v>
      </c>
      <c r="X751">
        <f t="shared" si="79"/>
        <v>0</v>
      </c>
      <c r="Y751" s="143">
        <f t="shared" si="78"/>
        <v>-980.50000000003104</v>
      </c>
    </row>
    <row r="752" spans="1:25" x14ac:dyDescent="0.25">
      <c r="A752">
        <f t="shared" si="83"/>
        <v>745</v>
      </c>
      <c r="B752" s="88" t="str">
        <f>IF(OR(B751="Total",B751=""),"",IF(VLOOKUP(A752,Journal!$B$7:$E$84,4)=0,"Total",VLOOKUP(A752,Journal!$B$7:$D$84,3)))</f>
        <v/>
      </c>
      <c r="C752" s="86" t="str">
        <f>IF(B752="","",VLOOKUP(A752,Journal!$B$7:$E$84,4))</f>
        <v/>
      </c>
      <c r="D752" s="114" t="str">
        <f>IF(B752="","",VLOOKUP(A752,Journal!$B$7:$J$84,9))</f>
        <v/>
      </c>
      <c r="E752" s="116"/>
      <c r="F752" s="116"/>
      <c r="G752" s="115"/>
      <c r="H752" s="84" t="str">
        <f>IF(B752="","",VLOOKUP(A752,Journal!$B$7:$L$84,11))</f>
        <v/>
      </c>
      <c r="I752" s="84" t="str">
        <f>IF(B752="","",VLOOKUP(A752,Journal!$B$7:$M$84,12))</f>
        <v/>
      </c>
      <c r="J752" s="105">
        <f>IF(B752="Total",SUM(J$8:J751)+0.0001,IF(OR(B752="",I$2=I752),0,VLOOKUP(A752,Journal!$B$7:M$84,8)))</f>
        <v>0</v>
      </c>
      <c r="K752" s="102">
        <f>IF(B752="Total",SUM(K$8:K751)+0.0001,IF(OR(B752="",J752&lt;&gt;0),0,VLOOKUP(A752,Journal!$B$7:M$84,8)))</f>
        <v>0</v>
      </c>
      <c r="L752" s="87">
        <f t="shared" si="77"/>
        <v>0</v>
      </c>
      <c r="P752">
        <f t="shared" si="80"/>
        <v>1.0000000000000001E-5</v>
      </c>
      <c r="R752" s="15">
        <f t="shared" si="81"/>
        <v>745</v>
      </c>
      <c r="S752" s="126">
        <f>IF(VLOOKUP(A752,Journal!$A$7:$E$70,5)=0,S751+1,VLOOKUP(A752,Journal!$A$7:$E$70,5))</f>
        <v>46402</v>
      </c>
      <c r="T752" s="125">
        <f>IF(H$2=VLOOKUP(A752,Journal!$A$7:$F$70,6),VLOOKUP(A752,Journal!$A$7:M$70,9),0)</f>
        <v>0</v>
      </c>
      <c r="U752" s="125">
        <f>IF(H$2=VLOOKUP(A752,Journal!$A$7:$G$70,7),VLOOKUP(A752,Journal!$A$7:M$70,9),0)</f>
        <v>0</v>
      </c>
      <c r="V752" s="125">
        <f t="shared" si="82"/>
        <v>40</v>
      </c>
      <c r="X752">
        <f t="shared" si="79"/>
        <v>0</v>
      </c>
      <c r="Y752" s="143">
        <f t="shared" si="78"/>
        <v>-980.47368421055739</v>
      </c>
    </row>
    <row r="753" spans="1:25" x14ac:dyDescent="0.25">
      <c r="A753">
        <f t="shared" si="83"/>
        <v>746</v>
      </c>
      <c r="B753" s="88" t="str">
        <f>IF(OR(B752="Total",B752=""),"",IF(VLOOKUP(A753,Journal!$B$7:$E$84,4)=0,"Total",VLOOKUP(A753,Journal!$B$7:$D$84,3)))</f>
        <v/>
      </c>
      <c r="C753" s="86" t="str">
        <f>IF(B753="","",VLOOKUP(A753,Journal!$B$7:$E$84,4))</f>
        <v/>
      </c>
      <c r="D753" s="114" t="str">
        <f>IF(B753="","",VLOOKUP(A753,Journal!$B$7:$J$84,9))</f>
        <v/>
      </c>
      <c r="E753" s="116"/>
      <c r="F753" s="116"/>
      <c r="G753" s="115"/>
      <c r="H753" s="84" t="str">
        <f>IF(B753="","",VLOOKUP(A753,Journal!$B$7:$L$84,11))</f>
        <v/>
      </c>
      <c r="I753" s="84" t="str">
        <f>IF(B753="","",VLOOKUP(A753,Journal!$B$7:$M$84,12))</f>
        <v/>
      </c>
      <c r="J753" s="105">
        <f>IF(B753="Total",SUM(J$8:J752)+0.0001,IF(OR(B753="",I$2=I753),0,VLOOKUP(A753,Journal!$B$7:M$84,8)))</f>
        <v>0</v>
      </c>
      <c r="K753" s="102">
        <f>IF(B753="Total",SUM(K$8:K752)+0.0001,IF(OR(B753="",J753&lt;&gt;0),0,VLOOKUP(A753,Journal!$B$7:M$84,8)))</f>
        <v>0</v>
      </c>
      <c r="L753" s="87">
        <f t="shared" si="77"/>
        <v>0</v>
      </c>
      <c r="P753">
        <f t="shared" si="80"/>
        <v>1.0000000000000001E-5</v>
      </c>
      <c r="R753" s="15">
        <f t="shared" si="81"/>
        <v>746</v>
      </c>
      <c r="S753" s="126">
        <f>IF(VLOOKUP(A753,Journal!$A$7:$E$70,5)=0,S752+1,VLOOKUP(A753,Journal!$A$7:$E$70,5))</f>
        <v>46403</v>
      </c>
      <c r="T753" s="125">
        <f>IF(H$2=VLOOKUP(A753,Journal!$A$7:$F$70,6),VLOOKUP(A753,Journal!$A$7:M$70,9),0)</f>
        <v>0</v>
      </c>
      <c r="U753" s="125">
        <f>IF(H$2=VLOOKUP(A753,Journal!$A$7:$G$70,7),VLOOKUP(A753,Journal!$A$7:M$70,9),0)</f>
        <v>0</v>
      </c>
      <c r="V753" s="125">
        <f t="shared" si="82"/>
        <v>40</v>
      </c>
      <c r="X753">
        <f t="shared" si="79"/>
        <v>0</v>
      </c>
      <c r="Y753" s="143">
        <f t="shared" si="78"/>
        <v>-980.44736842108375</v>
      </c>
    </row>
    <row r="754" spans="1:25" x14ac:dyDescent="0.25">
      <c r="A754">
        <f t="shared" si="83"/>
        <v>747</v>
      </c>
      <c r="B754" s="88" t="str">
        <f>IF(OR(B753="Total",B753=""),"",IF(VLOOKUP(A754,Journal!$B$7:$E$84,4)=0,"Total",VLOOKUP(A754,Journal!$B$7:$D$84,3)))</f>
        <v/>
      </c>
      <c r="C754" s="86" t="str">
        <f>IF(B754="","",VLOOKUP(A754,Journal!$B$7:$E$84,4))</f>
        <v/>
      </c>
      <c r="D754" s="114" t="str">
        <f>IF(B754="","",VLOOKUP(A754,Journal!$B$7:$J$84,9))</f>
        <v/>
      </c>
      <c r="E754" s="116"/>
      <c r="F754" s="116"/>
      <c r="G754" s="115"/>
      <c r="H754" s="84" t="str">
        <f>IF(B754="","",VLOOKUP(A754,Journal!$B$7:$L$84,11))</f>
        <v/>
      </c>
      <c r="I754" s="84" t="str">
        <f>IF(B754="","",VLOOKUP(A754,Journal!$B$7:$M$84,12))</f>
        <v/>
      </c>
      <c r="J754" s="105">
        <f>IF(B754="Total",SUM(J$8:J753)+0.0001,IF(OR(B754="",I$2=I754),0,VLOOKUP(A754,Journal!$B$7:M$84,8)))</f>
        <v>0</v>
      </c>
      <c r="K754" s="102">
        <f>IF(B754="Total",SUM(K$8:K753)+0.0001,IF(OR(B754="",J754&lt;&gt;0),0,VLOOKUP(A754,Journal!$B$7:M$84,8)))</f>
        <v>0</v>
      </c>
      <c r="L754" s="87">
        <f t="shared" si="77"/>
        <v>0</v>
      </c>
      <c r="P754">
        <f t="shared" si="80"/>
        <v>1.0000000000000001E-5</v>
      </c>
      <c r="R754" s="15">
        <f t="shared" si="81"/>
        <v>747</v>
      </c>
      <c r="S754" s="126">
        <f>IF(VLOOKUP(A754,Journal!$A$7:$E$70,5)=0,S753+1,VLOOKUP(A754,Journal!$A$7:$E$70,5))</f>
        <v>46404</v>
      </c>
      <c r="T754" s="125">
        <f>IF(H$2=VLOOKUP(A754,Journal!$A$7:$F$70,6),VLOOKUP(A754,Journal!$A$7:M$70,9),0)</f>
        <v>0</v>
      </c>
      <c r="U754" s="125">
        <f>IF(H$2=VLOOKUP(A754,Journal!$A$7:$G$70,7),VLOOKUP(A754,Journal!$A$7:M$70,9),0)</f>
        <v>0</v>
      </c>
      <c r="V754" s="125">
        <f t="shared" si="82"/>
        <v>40</v>
      </c>
      <c r="X754">
        <f t="shared" si="79"/>
        <v>0</v>
      </c>
      <c r="Y754" s="143">
        <f t="shared" si="78"/>
        <v>-980.42105263161011</v>
      </c>
    </row>
    <row r="755" spans="1:25" x14ac:dyDescent="0.25">
      <c r="A755">
        <f t="shared" si="83"/>
        <v>748</v>
      </c>
      <c r="B755" s="88" t="str">
        <f>IF(OR(B754="Total",B754=""),"",IF(VLOOKUP(A755,Journal!$B$7:$E$84,4)=0,"Total",VLOOKUP(A755,Journal!$B$7:$D$84,3)))</f>
        <v/>
      </c>
      <c r="C755" s="86" t="str">
        <f>IF(B755="","",VLOOKUP(A755,Journal!$B$7:$E$84,4))</f>
        <v/>
      </c>
      <c r="D755" s="114" t="str">
        <f>IF(B755="","",VLOOKUP(A755,Journal!$B$7:$J$84,9))</f>
        <v/>
      </c>
      <c r="E755" s="116"/>
      <c r="F755" s="116"/>
      <c r="G755" s="115"/>
      <c r="H755" s="84" t="str">
        <f>IF(B755="","",VLOOKUP(A755,Journal!$B$7:$L$84,11))</f>
        <v/>
      </c>
      <c r="I755" s="84" t="str">
        <f>IF(B755="","",VLOOKUP(A755,Journal!$B$7:$M$84,12))</f>
        <v/>
      </c>
      <c r="J755" s="105">
        <f>IF(B755="Total",SUM(J$8:J754)+0.0001,IF(OR(B755="",I$2=I755),0,VLOOKUP(A755,Journal!$B$7:M$84,8)))</f>
        <v>0</v>
      </c>
      <c r="K755" s="102">
        <f>IF(B755="Total",SUM(K$8:K754)+0.0001,IF(OR(B755="",J755&lt;&gt;0),0,VLOOKUP(A755,Journal!$B$7:M$84,8)))</f>
        <v>0</v>
      </c>
      <c r="L755" s="87">
        <f t="shared" si="77"/>
        <v>0</v>
      </c>
      <c r="P755">
        <f t="shared" si="80"/>
        <v>1.0000000000000001E-5</v>
      </c>
      <c r="R755" s="15">
        <f t="shared" si="81"/>
        <v>748</v>
      </c>
      <c r="S755" s="126">
        <f>IF(VLOOKUP(A755,Journal!$A$7:$E$70,5)=0,S754+1,VLOOKUP(A755,Journal!$A$7:$E$70,5))</f>
        <v>46405</v>
      </c>
      <c r="T755" s="125">
        <f>IF(H$2=VLOOKUP(A755,Journal!$A$7:$F$70,6),VLOOKUP(A755,Journal!$A$7:M$70,9),0)</f>
        <v>0</v>
      </c>
      <c r="U755" s="125">
        <f>IF(H$2=VLOOKUP(A755,Journal!$A$7:$G$70,7),VLOOKUP(A755,Journal!$A$7:M$70,9),0)</f>
        <v>0</v>
      </c>
      <c r="V755" s="125">
        <f t="shared" si="82"/>
        <v>40</v>
      </c>
      <c r="X755">
        <f t="shared" si="79"/>
        <v>0</v>
      </c>
      <c r="Y755" s="143">
        <f t="shared" si="78"/>
        <v>-980.39473684213647</v>
      </c>
    </row>
    <row r="756" spans="1:25" x14ac:dyDescent="0.25">
      <c r="A756">
        <f t="shared" si="83"/>
        <v>749</v>
      </c>
      <c r="B756" s="88" t="str">
        <f>IF(OR(B755="Total",B755=""),"",IF(VLOOKUP(A756,Journal!$B$7:$E$84,4)=0,"Total",VLOOKUP(A756,Journal!$B$7:$D$84,3)))</f>
        <v/>
      </c>
      <c r="C756" s="86" t="str">
        <f>IF(B756="","",VLOOKUP(A756,Journal!$B$7:$E$84,4))</f>
        <v/>
      </c>
      <c r="D756" s="114" t="str">
        <f>IF(B756="","",VLOOKUP(A756,Journal!$B$7:$J$84,9))</f>
        <v/>
      </c>
      <c r="E756" s="116"/>
      <c r="F756" s="116"/>
      <c r="G756" s="115"/>
      <c r="H756" s="84" t="str">
        <f>IF(B756="","",VLOOKUP(A756,Journal!$B$7:$L$84,11))</f>
        <v/>
      </c>
      <c r="I756" s="84" t="str">
        <f>IF(B756="","",VLOOKUP(A756,Journal!$B$7:$M$84,12))</f>
        <v/>
      </c>
      <c r="J756" s="105">
        <f>IF(B756="Total",SUM(J$8:J755)+0.0001,IF(OR(B756="",I$2=I756),0,VLOOKUP(A756,Journal!$B$7:M$84,8)))</f>
        <v>0</v>
      </c>
      <c r="K756" s="102">
        <f>IF(B756="Total",SUM(K$8:K755)+0.0001,IF(OR(B756="",J756&lt;&gt;0),0,VLOOKUP(A756,Journal!$B$7:M$84,8)))</f>
        <v>0</v>
      </c>
      <c r="L756" s="87">
        <f t="shared" si="77"/>
        <v>0</v>
      </c>
      <c r="P756">
        <f t="shared" si="80"/>
        <v>1.0000000000000001E-5</v>
      </c>
      <c r="R756" s="15">
        <f t="shared" si="81"/>
        <v>749</v>
      </c>
      <c r="S756" s="126">
        <f>IF(VLOOKUP(A756,Journal!$A$7:$E$70,5)=0,S755+1,VLOOKUP(A756,Journal!$A$7:$E$70,5))</f>
        <v>46406</v>
      </c>
      <c r="T756" s="125">
        <f>IF(H$2=VLOOKUP(A756,Journal!$A$7:$F$70,6),VLOOKUP(A756,Journal!$A$7:M$70,9),0)</f>
        <v>0</v>
      </c>
      <c r="U756" s="125">
        <f>IF(H$2=VLOOKUP(A756,Journal!$A$7:$G$70,7),VLOOKUP(A756,Journal!$A$7:M$70,9),0)</f>
        <v>0</v>
      </c>
      <c r="V756" s="125">
        <f t="shared" si="82"/>
        <v>40</v>
      </c>
      <c r="X756">
        <f t="shared" si="79"/>
        <v>0</v>
      </c>
      <c r="Y756" s="143">
        <f t="shared" si="78"/>
        <v>-980.36842105266282</v>
      </c>
    </row>
    <row r="757" spans="1:25" x14ac:dyDescent="0.25">
      <c r="A757">
        <f t="shared" si="83"/>
        <v>750</v>
      </c>
      <c r="B757" s="88" t="str">
        <f>IF(OR(B756="Total",B756=""),"",IF(VLOOKUP(A757,Journal!$B$7:$E$84,4)=0,"Total",VLOOKUP(A757,Journal!$B$7:$D$84,3)))</f>
        <v/>
      </c>
      <c r="C757" s="86" t="str">
        <f>IF(B757="","",VLOOKUP(A757,Journal!$B$7:$E$84,4))</f>
        <v/>
      </c>
      <c r="D757" s="114" t="str">
        <f>IF(B757="","",VLOOKUP(A757,Journal!$B$7:$J$84,9))</f>
        <v/>
      </c>
      <c r="E757" s="116"/>
      <c r="F757" s="116"/>
      <c r="G757" s="115"/>
      <c r="H757" s="84" t="str">
        <f>IF(B757="","",VLOOKUP(A757,Journal!$B$7:$L$84,11))</f>
        <v/>
      </c>
      <c r="I757" s="84" t="str">
        <f>IF(B757="","",VLOOKUP(A757,Journal!$B$7:$M$84,12))</f>
        <v/>
      </c>
      <c r="J757" s="105">
        <f>IF(B757="Total",SUM(J$8:J756)+0.0001,IF(OR(B757="",I$2=I757),0,VLOOKUP(A757,Journal!$B$7:M$84,8)))</f>
        <v>0</v>
      </c>
      <c r="K757" s="102">
        <f>IF(B757="Total",SUM(K$8:K756)+0.0001,IF(OR(B757="",J757&lt;&gt;0),0,VLOOKUP(A757,Journal!$B$7:M$84,8)))</f>
        <v>0</v>
      </c>
      <c r="L757" s="87">
        <f t="shared" si="77"/>
        <v>0</v>
      </c>
      <c r="P757">
        <f t="shared" si="80"/>
        <v>1.0000000000000001E-5</v>
      </c>
      <c r="R757" s="15">
        <f t="shared" si="81"/>
        <v>750</v>
      </c>
      <c r="S757" s="126">
        <f>IF(VLOOKUP(A757,Journal!$A$7:$E$70,5)=0,S756+1,VLOOKUP(A757,Journal!$A$7:$E$70,5))</f>
        <v>46407</v>
      </c>
      <c r="T757" s="125">
        <f>IF(H$2=VLOOKUP(A757,Journal!$A$7:$F$70,6),VLOOKUP(A757,Journal!$A$7:M$70,9),0)</f>
        <v>0</v>
      </c>
      <c r="U757" s="125">
        <f>IF(H$2=VLOOKUP(A757,Journal!$A$7:$G$70,7),VLOOKUP(A757,Journal!$A$7:M$70,9),0)</f>
        <v>0</v>
      </c>
      <c r="V757" s="125">
        <f t="shared" si="82"/>
        <v>40</v>
      </c>
      <c r="X757">
        <f t="shared" si="79"/>
        <v>0</v>
      </c>
      <c r="Y757" s="143">
        <f t="shared" si="78"/>
        <v>-980.34210526318918</v>
      </c>
    </row>
    <row r="758" spans="1:25" x14ac:dyDescent="0.25">
      <c r="A758">
        <f t="shared" si="83"/>
        <v>751</v>
      </c>
      <c r="B758" s="88" t="str">
        <f>IF(OR(B757="Total",B757=""),"",IF(VLOOKUP(A758,Journal!$B$7:$E$84,4)=0,"Total",VLOOKUP(A758,Journal!$B$7:$D$84,3)))</f>
        <v/>
      </c>
      <c r="C758" s="86" t="str">
        <f>IF(B758="","",VLOOKUP(A758,Journal!$B$7:$E$84,4))</f>
        <v/>
      </c>
      <c r="D758" s="114" t="str">
        <f>IF(B758="","",VLOOKUP(A758,Journal!$B$7:$J$84,9))</f>
        <v/>
      </c>
      <c r="E758" s="116"/>
      <c r="F758" s="116"/>
      <c r="G758" s="115"/>
      <c r="H758" s="84" t="str">
        <f>IF(B758="","",VLOOKUP(A758,Journal!$B$7:$L$84,11))</f>
        <v/>
      </c>
      <c r="I758" s="84" t="str">
        <f>IF(B758="","",VLOOKUP(A758,Journal!$B$7:$M$84,12))</f>
        <v/>
      </c>
      <c r="J758" s="105">
        <f>IF(B758="Total",SUM(J$8:J757)+0.0001,IF(OR(B758="",I$2=I758),0,VLOOKUP(A758,Journal!$B$7:M$84,8)))</f>
        <v>0</v>
      </c>
      <c r="K758" s="102">
        <f>IF(B758="Total",SUM(K$8:K757)+0.0001,IF(OR(B758="",J758&lt;&gt;0),0,VLOOKUP(A758,Journal!$B$7:M$84,8)))</f>
        <v>0</v>
      </c>
      <c r="L758" s="87">
        <f t="shared" si="77"/>
        <v>0</v>
      </c>
      <c r="P758">
        <f t="shared" si="80"/>
        <v>1.0000000000000001E-5</v>
      </c>
      <c r="R758" s="15">
        <f t="shared" si="81"/>
        <v>751</v>
      </c>
      <c r="S758" s="126">
        <f>IF(VLOOKUP(A758,Journal!$A$7:$E$70,5)=0,S757+1,VLOOKUP(A758,Journal!$A$7:$E$70,5))</f>
        <v>46408</v>
      </c>
      <c r="T758" s="125">
        <f>IF(H$2=VLOOKUP(A758,Journal!$A$7:$F$70,6),VLOOKUP(A758,Journal!$A$7:M$70,9),0)</f>
        <v>0</v>
      </c>
      <c r="U758" s="125">
        <f>IF(H$2=VLOOKUP(A758,Journal!$A$7:$G$70,7),VLOOKUP(A758,Journal!$A$7:M$70,9),0)</f>
        <v>0</v>
      </c>
      <c r="V758" s="125">
        <f t="shared" si="82"/>
        <v>40</v>
      </c>
      <c r="X758">
        <f t="shared" si="79"/>
        <v>0</v>
      </c>
      <c r="Y758" s="143">
        <f t="shared" si="78"/>
        <v>-980.31578947371554</v>
      </c>
    </row>
    <row r="759" spans="1:25" x14ac:dyDescent="0.25">
      <c r="A759">
        <f t="shared" si="83"/>
        <v>752</v>
      </c>
      <c r="B759" s="88" t="str">
        <f>IF(OR(B758="Total",B758=""),"",IF(VLOOKUP(A759,Journal!$B$7:$E$84,4)=0,"Total",VLOOKUP(A759,Journal!$B$7:$D$84,3)))</f>
        <v/>
      </c>
      <c r="C759" s="86" t="str">
        <f>IF(B759="","",VLOOKUP(A759,Journal!$B$7:$E$84,4))</f>
        <v/>
      </c>
      <c r="D759" s="114" t="str">
        <f>IF(B759="","",VLOOKUP(A759,Journal!$B$7:$J$84,9))</f>
        <v/>
      </c>
      <c r="E759" s="116"/>
      <c r="F759" s="116"/>
      <c r="G759" s="115"/>
      <c r="H759" s="84" t="str">
        <f>IF(B759="","",VLOOKUP(A759,Journal!$B$7:$L$84,11))</f>
        <v/>
      </c>
      <c r="I759" s="84" t="str">
        <f>IF(B759="","",VLOOKUP(A759,Journal!$B$7:$M$84,12))</f>
        <v/>
      </c>
      <c r="J759" s="105">
        <f>IF(B759="Total",SUM(J$8:J758)+0.0001,IF(OR(B759="",I$2=I759),0,VLOOKUP(A759,Journal!$B$7:M$84,8)))</f>
        <v>0</v>
      </c>
      <c r="K759" s="102">
        <f>IF(B759="Total",SUM(K$8:K758)+0.0001,IF(OR(B759="",J759&lt;&gt;0),0,VLOOKUP(A759,Journal!$B$7:M$84,8)))</f>
        <v>0</v>
      </c>
      <c r="L759" s="87">
        <f t="shared" si="77"/>
        <v>0</v>
      </c>
      <c r="P759">
        <f t="shared" si="80"/>
        <v>1.0000000000000001E-5</v>
      </c>
      <c r="R759" s="15">
        <f t="shared" si="81"/>
        <v>752</v>
      </c>
      <c r="S759" s="126">
        <f>IF(VLOOKUP(A759,Journal!$A$7:$E$70,5)=0,S758+1,VLOOKUP(A759,Journal!$A$7:$E$70,5))</f>
        <v>46409</v>
      </c>
      <c r="T759" s="125">
        <f>IF(H$2=VLOOKUP(A759,Journal!$A$7:$F$70,6),VLOOKUP(A759,Journal!$A$7:M$70,9),0)</f>
        <v>0</v>
      </c>
      <c r="U759" s="125">
        <f>IF(H$2=VLOOKUP(A759,Journal!$A$7:$G$70,7),VLOOKUP(A759,Journal!$A$7:M$70,9),0)</f>
        <v>0</v>
      </c>
      <c r="V759" s="125">
        <f t="shared" si="82"/>
        <v>40</v>
      </c>
      <c r="X759">
        <f t="shared" si="79"/>
        <v>0</v>
      </c>
      <c r="Y759" s="143">
        <f t="shared" si="78"/>
        <v>-980.2894736842419</v>
      </c>
    </row>
    <row r="760" spans="1:25" x14ac:dyDescent="0.25">
      <c r="A760">
        <f t="shared" si="83"/>
        <v>753</v>
      </c>
      <c r="B760" s="88" t="str">
        <f>IF(OR(B759="Total",B759=""),"",IF(VLOOKUP(A760,Journal!$B$7:$E$84,4)=0,"Total",VLOOKUP(A760,Journal!$B$7:$D$84,3)))</f>
        <v/>
      </c>
      <c r="C760" s="86" t="str">
        <f>IF(B760="","",VLOOKUP(A760,Journal!$B$7:$E$84,4))</f>
        <v/>
      </c>
      <c r="D760" s="114" t="str">
        <f>IF(B760="","",VLOOKUP(A760,Journal!$B$7:$J$84,9))</f>
        <v/>
      </c>
      <c r="E760" s="116"/>
      <c r="F760" s="116"/>
      <c r="G760" s="115"/>
      <c r="H760" s="84" t="str">
        <f>IF(B760="","",VLOOKUP(A760,Journal!$B$7:$L$84,11))</f>
        <v/>
      </c>
      <c r="I760" s="84" t="str">
        <f>IF(B760="","",VLOOKUP(A760,Journal!$B$7:$M$84,12))</f>
        <v/>
      </c>
      <c r="J760" s="105">
        <f>IF(B760="Total",SUM(J$8:J759)+0.0001,IF(OR(B760="",I$2=I760),0,VLOOKUP(A760,Journal!$B$7:M$84,8)))</f>
        <v>0</v>
      </c>
      <c r="K760" s="102">
        <f>IF(B760="Total",SUM(K$8:K759)+0.0001,IF(OR(B760="",J760&lt;&gt;0),0,VLOOKUP(A760,Journal!$B$7:M$84,8)))</f>
        <v>0</v>
      </c>
      <c r="L760" s="87">
        <f t="shared" si="77"/>
        <v>0</v>
      </c>
      <c r="P760">
        <f t="shared" si="80"/>
        <v>1.0000000000000001E-5</v>
      </c>
      <c r="R760" s="15">
        <f t="shared" si="81"/>
        <v>753</v>
      </c>
      <c r="S760" s="126">
        <f>IF(VLOOKUP(A760,Journal!$A$7:$E$70,5)=0,S759+1,VLOOKUP(A760,Journal!$A$7:$E$70,5))</f>
        <v>46410</v>
      </c>
      <c r="T760" s="125">
        <f>IF(H$2=VLOOKUP(A760,Journal!$A$7:$F$70,6),VLOOKUP(A760,Journal!$A$7:M$70,9),0)</f>
        <v>0</v>
      </c>
      <c r="U760" s="125">
        <f>IF(H$2=VLOOKUP(A760,Journal!$A$7:$G$70,7),VLOOKUP(A760,Journal!$A$7:M$70,9),0)</f>
        <v>0</v>
      </c>
      <c r="V760" s="125">
        <f t="shared" si="82"/>
        <v>40</v>
      </c>
      <c r="X760">
        <f t="shared" si="79"/>
        <v>0</v>
      </c>
      <c r="Y760" s="143">
        <f t="shared" si="78"/>
        <v>-980.26315789476826</v>
      </c>
    </row>
    <row r="761" spans="1:25" x14ac:dyDescent="0.25">
      <c r="A761">
        <f t="shared" si="83"/>
        <v>754</v>
      </c>
      <c r="B761" s="88" t="str">
        <f>IF(OR(B760="Total",B760=""),"",IF(VLOOKUP(A761,Journal!$B$7:$E$84,4)=0,"Total",VLOOKUP(A761,Journal!$B$7:$D$84,3)))</f>
        <v/>
      </c>
      <c r="C761" s="86" t="str">
        <f>IF(B761="","",VLOOKUP(A761,Journal!$B$7:$E$84,4))</f>
        <v/>
      </c>
      <c r="D761" s="114" t="str">
        <f>IF(B761="","",VLOOKUP(A761,Journal!$B$7:$J$84,9))</f>
        <v/>
      </c>
      <c r="E761" s="116"/>
      <c r="F761" s="116"/>
      <c r="G761" s="115"/>
      <c r="H761" s="84" t="str">
        <f>IF(B761="","",VLOOKUP(A761,Journal!$B$7:$L$84,11))</f>
        <v/>
      </c>
      <c r="I761" s="84" t="str">
        <f>IF(B761="","",VLOOKUP(A761,Journal!$B$7:$M$84,12))</f>
        <v/>
      </c>
      <c r="J761" s="105">
        <f>IF(B761="Total",SUM(J$8:J760)+0.0001,IF(OR(B761="",I$2=I761),0,VLOOKUP(A761,Journal!$B$7:M$84,8)))</f>
        <v>0</v>
      </c>
      <c r="K761" s="102">
        <f>IF(B761="Total",SUM(K$8:K760)+0.0001,IF(OR(B761="",J761&lt;&gt;0),0,VLOOKUP(A761,Journal!$B$7:M$84,8)))</f>
        <v>0</v>
      </c>
      <c r="L761" s="87">
        <f t="shared" si="77"/>
        <v>0</v>
      </c>
      <c r="P761">
        <f t="shared" si="80"/>
        <v>1.0000000000000001E-5</v>
      </c>
      <c r="R761" s="15">
        <f t="shared" si="81"/>
        <v>754</v>
      </c>
      <c r="S761" s="126">
        <f>IF(VLOOKUP(A761,Journal!$A$7:$E$70,5)=0,S760+1,VLOOKUP(A761,Journal!$A$7:$E$70,5))</f>
        <v>46411</v>
      </c>
      <c r="T761" s="125">
        <f>IF(H$2=VLOOKUP(A761,Journal!$A$7:$F$70,6),VLOOKUP(A761,Journal!$A$7:M$70,9),0)</f>
        <v>0</v>
      </c>
      <c r="U761" s="125">
        <f>IF(H$2=VLOOKUP(A761,Journal!$A$7:$G$70,7),VLOOKUP(A761,Journal!$A$7:M$70,9),0)</f>
        <v>0</v>
      </c>
      <c r="V761" s="125">
        <f t="shared" si="82"/>
        <v>40</v>
      </c>
      <c r="X761">
        <f t="shared" si="79"/>
        <v>0</v>
      </c>
      <c r="Y761" s="143">
        <f t="shared" si="78"/>
        <v>-980.23684210529461</v>
      </c>
    </row>
    <row r="762" spans="1:25" x14ac:dyDescent="0.25">
      <c r="A762">
        <f t="shared" si="83"/>
        <v>755</v>
      </c>
      <c r="B762" s="88" t="str">
        <f>IF(OR(B761="Total",B761=""),"",IF(VLOOKUP(A762,Journal!$B$7:$E$84,4)=0,"Total",VLOOKUP(A762,Journal!$B$7:$D$84,3)))</f>
        <v/>
      </c>
      <c r="C762" s="86" t="str">
        <f>IF(B762="","",VLOOKUP(A762,Journal!$B$7:$E$84,4))</f>
        <v/>
      </c>
      <c r="D762" s="114" t="str">
        <f>IF(B762="","",VLOOKUP(A762,Journal!$B$7:$J$84,9))</f>
        <v/>
      </c>
      <c r="E762" s="116"/>
      <c r="F762" s="116"/>
      <c r="G762" s="115"/>
      <c r="H762" s="84" t="str">
        <f>IF(B762="","",VLOOKUP(A762,Journal!$B$7:$L$84,11))</f>
        <v/>
      </c>
      <c r="I762" s="84" t="str">
        <f>IF(B762="","",VLOOKUP(A762,Journal!$B$7:$M$84,12))</f>
        <v/>
      </c>
      <c r="J762" s="105">
        <f>IF(B762="Total",SUM(J$8:J761)+0.0001,IF(OR(B762="",I$2=I762),0,VLOOKUP(A762,Journal!$B$7:M$84,8)))</f>
        <v>0</v>
      </c>
      <c r="K762" s="102">
        <f>IF(B762="Total",SUM(K$8:K761)+0.0001,IF(OR(B762="",J762&lt;&gt;0),0,VLOOKUP(A762,Journal!$B$7:M$84,8)))</f>
        <v>0</v>
      </c>
      <c r="L762" s="87">
        <f t="shared" si="77"/>
        <v>0</v>
      </c>
      <c r="P762">
        <f t="shared" si="80"/>
        <v>1.0000000000000001E-5</v>
      </c>
      <c r="R762" s="15">
        <f t="shared" si="81"/>
        <v>755</v>
      </c>
      <c r="S762" s="126">
        <f>IF(VLOOKUP(A762,Journal!$A$7:$E$70,5)=0,S761+1,VLOOKUP(A762,Journal!$A$7:$E$70,5))</f>
        <v>46412</v>
      </c>
      <c r="T762" s="125">
        <f>IF(H$2=VLOOKUP(A762,Journal!$A$7:$F$70,6),VLOOKUP(A762,Journal!$A$7:M$70,9),0)</f>
        <v>0</v>
      </c>
      <c r="U762" s="125">
        <f>IF(H$2=VLOOKUP(A762,Journal!$A$7:$G$70,7),VLOOKUP(A762,Journal!$A$7:M$70,9),0)</f>
        <v>0</v>
      </c>
      <c r="V762" s="125">
        <f t="shared" si="82"/>
        <v>40</v>
      </c>
      <c r="X762">
        <f t="shared" si="79"/>
        <v>0</v>
      </c>
      <c r="Y762" s="143">
        <f t="shared" si="78"/>
        <v>-980.21052631582097</v>
      </c>
    </row>
    <row r="763" spans="1:25" x14ac:dyDescent="0.25">
      <c r="A763">
        <f t="shared" si="83"/>
        <v>756</v>
      </c>
      <c r="B763" s="88" t="str">
        <f>IF(OR(B762="Total",B762=""),"",IF(VLOOKUP(A763,Journal!$B$7:$E$84,4)=0,"Total",VLOOKUP(A763,Journal!$B$7:$D$84,3)))</f>
        <v/>
      </c>
      <c r="C763" s="86" t="str">
        <f>IF(B763="","",VLOOKUP(A763,Journal!$B$7:$E$84,4))</f>
        <v/>
      </c>
      <c r="D763" s="114" t="str">
        <f>IF(B763="","",VLOOKUP(A763,Journal!$B$7:$J$84,9))</f>
        <v/>
      </c>
      <c r="E763" s="116"/>
      <c r="F763" s="116"/>
      <c r="G763" s="115"/>
      <c r="H763" s="84" t="str">
        <f>IF(B763="","",VLOOKUP(A763,Journal!$B$7:$L$84,11))</f>
        <v/>
      </c>
      <c r="I763" s="84" t="str">
        <f>IF(B763="","",VLOOKUP(A763,Journal!$B$7:$M$84,12))</f>
        <v/>
      </c>
      <c r="J763" s="105">
        <f>IF(B763="Total",SUM(J$8:J762)+0.0001,IF(OR(B763="",I$2=I763),0,VLOOKUP(A763,Journal!$B$7:M$84,8)))</f>
        <v>0</v>
      </c>
      <c r="K763" s="102">
        <f>IF(B763="Total",SUM(K$8:K762)+0.0001,IF(OR(B763="",J763&lt;&gt;0),0,VLOOKUP(A763,Journal!$B$7:M$84,8)))</f>
        <v>0</v>
      </c>
      <c r="L763" s="87">
        <f t="shared" si="77"/>
        <v>0</v>
      </c>
      <c r="P763">
        <f t="shared" si="80"/>
        <v>1.0000000000000001E-5</v>
      </c>
      <c r="R763" s="15">
        <f t="shared" si="81"/>
        <v>756</v>
      </c>
      <c r="S763" s="126">
        <f>IF(VLOOKUP(A763,Journal!$A$7:$E$70,5)=0,S762+1,VLOOKUP(A763,Journal!$A$7:$E$70,5))</f>
        <v>46413</v>
      </c>
      <c r="T763" s="125">
        <f>IF(H$2=VLOOKUP(A763,Journal!$A$7:$F$70,6),VLOOKUP(A763,Journal!$A$7:M$70,9),0)</f>
        <v>0</v>
      </c>
      <c r="U763" s="125">
        <f>IF(H$2=VLOOKUP(A763,Journal!$A$7:$G$70,7),VLOOKUP(A763,Journal!$A$7:M$70,9),0)</f>
        <v>0</v>
      </c>
      <c r="V763" s="125">
        <f t="shared" si="82"/>
        <v>40</v>
      </c>
      <c r="X763">
        <f t="shared" si="79"/>
        <v>0</v>
      </c>
      <c r="Y763" s="143">
        <f t="shared" si="78"/>
        <v>-980.18421052634733</v>
      </c>
    </row>
    <row r="764" spans="1:25" x14ac:dyDescent="0.25">
      <c r="A764">
        <f t="shared" si="83"/>
        <v>757</v>
      </c>
      <c r="B764" s="88" t="str">
        <f>IF(OR(B763="Total",B763=""),"",IF(VLOOKUP(A764,Journal!$B$7:$E$84,4)=0,"Total",VLOOKUP(A764,Journal!$B$7:$D$84,3)))</f>
        <v/>
      </c>
      <c r="C764" s="86" t="str">
        <f>IF(B764="","",VLOOKUP(A764,Journal!$B$7:$E$84,4))</f>
        <v/>
      </c>
      <c r="D764" s="114" t="str">
        <f>IF(B764="","",VLOOKUP(A764,Journal!$B$7:$J$84,9))</f>
        <v/>
      </c>
      <c r="E764" s="116"/>
      <c r="F764" s="116"/>
      <c r="G764" s="115"/>
      <c r="H764" s="84" t="str">
        <f>IF(B764="","",VLOOKUP(A764,Journal!$B$7:$L$84,11))</f>
        <v/>
      </c>
      <c r="I764" s="84" t="str">
        <f>IF(B764="","",VLOOKUP(A764,Journal!$B$7:$M$84,12))</f>
        <v/>
      </c>
      <c r="J764" s="105">
        <f>IF(B764="Total",SUM(J$8:J763)+0.0001,IF(OR(B764="",I$2=I764),0,VLOOKUP(A764,Journal!$B$7:M$84,8)))</f>
        <v>0</v>
      </c>
      <c r="K764" s="102">
        <f>IF(B764="Total",SUM(K$8:K763)+0.0001,IF(OR(B764="",J764&lt;&gt;0),0,VLOOKUP(A764,Journal!$B$7:M$84,8)))</f>
        <v>0</v>
      </c>
      <c r="L764" s="87">
        <f t="shared" si="77"/>
        <v>0</v>
      </c>
      <c r="P764">
        <f t="shared" si="80"/>
        <v>1.0000000000000001E-5</v>
      </c>
      <c r="R764" s="15">
        <f t="shared" si="81"/>
        <v>757</v>
      </c>
      <c r="S764" s="126">
        <f>IF(VLOOKUP(A764,Journal!$A$7:$E$70,5)=0,S763+1,VLOOKUP(A764,Journal!$A$7:$E$70,5))</f>
        <v>46414</v>
      </c>
      <c r="T764" s="125">
        <f>IF(H$2=VLOOKUP(A764,Journal!$A$7:$F$70,6),VLOOKUP(A764,Journal!$A$7:M$70,9),0)</f>
        <v>0</v>
      </c>
      <c r="U764" s="125">
        <f>IF(H$2=VLOOKUP(A764,Journal!$A$7:$G$70,7),VLOOKUP(A764,Journal!$A$7:M$70,9),0)</f>
        <v>0</v>
      </c>
      <c r="V764" s="125">
        <f t="shared" si="82"/>
        <v>40</v>
      </c>
      <c r="X764">
        <f t="shared" si="79"/>
        <v>0</v>
      </c>
      <c r="Y764" s="143">
        <f t="shared" si="78"/>
        <v>-980.15789473687369</v>
      </c>
    </row>
    <row r="765" spans="1:25" x14ac:dyDescent="0.25">
      <c r="A765">
        <f t="shared" si="83"/>
        <v>758</v>
      </c>
      <c r="B765" s="88" t="str">
        <f>IF(OR(B764="Total",B764=""),"",IF(VLOOKUP(A765,Journal!$B$7:$E$84,4)=0,"Total",VLOOKUP(A765,Journal!$B$7:$D$84,3)))</f>
        <v/>
      </c>
      <c r="C765" s="86" t="str">
        <f>IF(B765="","",VLOOKUP(A765,Journal!$B$7:$E$84,4))</f>
        <v/>
      </c>
      <c r="D765" s="114" t="str">
        <f>IF(B765="","",VLOOKUP(A765,Journal!$B$7:$J$84,9))</f>
        <v/>
      </c>
      <c r="E765" s="116"/>
      <c r="F765" s="116"/>
      <c r="G765" s="115"/>
      <c r="H765" s="84" t="str">
        <f>IF(B765="","",VLOOKUP(A765,Journal!$B$7:$L$84,11))</f>
        <v/>
      </c>
      <c r="I765" s="84" t="str">
        <f>IF(B765="","",VLOOKUP(A765,Journal!$B$7:$M$84,12))</f>
        <v/>
      </c>
      <c r="J765" s="105">
        <f>IF(B765="Total",SUM(J$8:J764)+0.0001,IF(OR(B765="",I$2=I765),0,VLOOKUP(A765,Journal!$B$7:M$84,8)))</f>
        <v>0</v>
      </c>
      <c r="K765" s="102">
        <f>IF(B765="Total",SUM(K$8:K764)+0.0001,IF(OR(B765="",J765&lt;&gt;0),0,VLOOKUP(A765,Journal!$B$7:M$84,8)))</f>
        <v>0</v>
      </c>
      <c r="L765" s="87">
        <f t="shared" si="77"/>
        <v>0</v>
      </c>
      <c r="P765">
        <f t="shared" si="80"/>
        <v>1.0000000000000001E-5</v>
      </c>
      <c r="R765" s="15">
        <f t="shared" si="81"/>
        <v>758</v>
      </c>
      <c r="S765" s="126">
        <f>IF(VLOOKUP(A765,Journal!$A$7:$E$70,5)=0,S764+1,VLOOKUP(A765,Journal!$A$7:$E$70,5))</f>
        <v>46415</v>
      </c>
      <c r="T765" s="125">
        <f>IF(H$2=VLOOKUP(A765,Journal!$A$7:$F$70,6),VLOOKUP(A765,Journal!$A$7:M$70,9),0)</f>
        <v>0</v>
      </c>
      <c r="U765" s="125">
        <f>IF(H$2=VLOOKUP(A765,Journal!$A$7:$G$70,7),VLOOKUP(A765,Journal!$A$7:M$70,9),0)</f>
        <v>0</v>
      </c>
      <c r="V765" s="125">
        <f t="shared" si="82"/>
        <v>40</v>
      </c>
      <c r="X765">
        <f t="shared" si="79"/>
        <v>0</v>
      </c>
      <c r="Y765" s="143">
        <f t="shared" si="78"/>
        <v>-980.13157894740004</v>
      </c>
    </row>
    <row r="766" spans="1:25" x14ac:dyDescent="0.25">
      <c r="A766">
        <f t="shared" si="83"/>
        <v>759</v>
      </c>
      <c r="B766" s="88" t="str">
        <f>IF(OR(B765="Total",B765=""),"",IF(VLOOKUP(A766,Journal!$B$7:$E$84,4)=0,"Total",VLOOKUP(A766,Journal!$B$7:$D$84,3)))</f>
        <v/>
      </c>
      <c r="C766" s="86" t="str">
        <f>IF(B766="","",VLOOKUP(A766,Journal!$B$7:$E$84,4))</f>
        <v/>
      </c>
      <c r="D766" s="114" t="str">
        <f>IF(B766="","",VLOOKUP(A766,Journal!$B$7:$J$84,9))</f>
        <v/>
      </c>
      <c r="E766" s="116"/>
      <c r="F766" s="116"/>
      <c r="G766" s="115"/>
      <c r="H766" s="84" t="str">
        <f>IF(B766="","",VLOOKUP(A766,Journal!$B$7:$L$84,11))</f>
        <v/>
      </c>
      <c r="I766" s="84" t="str">
        <f>IF(B766="","",VLOOKUP(A766,Journal!$B$7:$M$84,12))</f>
        <v/>
      </c>
      <c r="J766" s="105">
        <f>IF(B766="Total",SUM(J$8:J765)+0.0001,IF(OR(B766="",I$2=I766),0,VLOOKUP(A766,Journal!$B$7:M$84,8)))</f>
        <v>0</v>
      </c>
      <c r="K766" s="102">
        <f>IF(B766="Total",SUM(K$8:K765)+0.0001,IF(OR(B766="",J766&lt;&gt;0),0,VLOOKUP(A766,Journal!$B$7:M$84,8)))</f>
        <v>0</v>
      </c>
      <c r="L766" s="87">
        <f t="shared" si="77"/>
        <v>0</v>
      </c>
      <c r="P766">
        <f t="shared" si="80"/>
        <v>1.0000000000000001E-5</v>
      </c>
      <c r="R766" s="15">
        <f t="shared" si="81"/>
        <v>759</v>
      </c>
      <c r="S766" s="126">
        <f>IF(VLOOKUP(A766,Journal!$A$7:$E$70,5)=0,S765+1,VLOOKUP(A766,Journal!$A$7:$E$70,5))</f>
        <v>46416</v>
      </c>
      <c r="T766" s="125">
        <f>IF(H$2=VLOOKUP(A766,Journal!$A$7:$F$70,6),VLOOKUP(A766,Journal!$A$7:M$70,9),0)</f>
        <v>0</v>
      </c>
      <c r="U766" s="125">
        <f>IF(H$2=VLOOKUP(A766,Journal!$A$7:$G$70,7),VLOOKUP(A766,Journal!$A$7:M$70,9),0)</f>
        <v>0</v>
      </c>
      <c r="V766" s="125">
        <f t="shared" si="82"/>
        <v>40</v>
      </c>
      <c r="X766">
        <f t="shared" si="79"/>
        <v>0</v>
      </c>
      <c r="Y766" s="143">
        <f t="shared" si="78"/>
        <v>-980.1052631579264</v>
      </c>
    </row>
    <row r="767" spans="1:25" x14ac:dyDescent="0.25">
      <c r="A767">
        <f t="shared" si="83"/>
        <v>760</v>
      </c>
      <c r="B767" s="88" t="str">
        <f>IF(OR(B766="Total",B766=""),"",IF(VLOOKUP(A767,Journal!$B$7:$E$84,4)=0,"Total",VLOOKUP(A767,Journal!$B$7:$D$84,3)))</f>
        <v/>
      </c>
      <c r="C767" s="86" t="str">
        <f>IF(B767="","",VLOOKUP(A767,Journal!$B$7:$E$84,4))</f>
        <v/>
      </c>
      <c r="D767" s="114" t="str">
        <f>IF(B767="","",VLOOKUP(A767,Journal!$B$7:$J$84,9))</f>
        <v/>
      </c>
      <c r="E767" s="116"/>
      <c r="F767" s="116"/>
      <c r="G767" s="115"/>
      <c r="H767" s="84" t="str">
        <f>IF(B767="","",VLOOKUP(A767,Journal!$B$7:$L$84,11))</f>
        <v/>
      </c>
      <c r="I767" s="84" t="str">
        <f>IF(B767="","",VLOOKUP(A767,Journal!$B$7:$M$84,12))</f>
        <v/>
      </c>
      <c r="J767" s="105">
        <f>IF(B767="Total",SUM(J$8:J766)+0.0001,IF(OR(B767="",I$2=I767),0,VLOOKUP(A767,Journal!$B$7:M$84,8)))</f>
        <v>0</v>
      </c>
      <c r="K767" s="102">
        <f>IF(B767="Total",SUM(K$8:K766)+0.0001,IF(OR(B767="",J767&lt;&gt;0),0,VLOOKUP(A767,Journal!$B$7:M$84,8)))</f>
        <v>0</v>
      </c>
      <c r="L767" s="87">
        <f t="shared" si="77"/>
        <v>0</v>
      </c>
      <c r="P767">
        <f t="shared" si="80"/>
        <v>1.0000000000000001E-5</v>
      </c>
      <c r="R767" s="15">
        <f t="shared" si="81"/>
        <v>760</v>
      </c>
      <c r="S767" s="126">
        <f>IF(VLOOKUP(A767,Journal!$A$7:$E$70,5)=0,S766+1,VLOOKUP(A767,Journal!$A$7:$E$70,5))</f>
        <v>46417</v>
      </c>
      <c r="T767" s="125">
        <f>IF(H$2=VLOOKUP(A767,Journal!$A$7:$F$70,6),VLOOKUP(A767,Journal!$A$7:M$70,9),0)</f>
        <v>0</v>
      </c>
      <c r="U767" s="125">
        <f>IF(H$2=VLOOKUP(A767,Journal!$A$7:$G$70,7),VLOOKUP(A767,Journal!$A$7:M$70,9),0)</f>
        <v>0</v>
      </c>
      <c r="V767" s="125">
        <f t="shared" si="82"/>
        <v>40</v>
      </c>
      <c r="X767">
        <f t="shared" si="79"/>
        <v>0</v>
      </c>
      <c r="Y767" s="143">
        <f t="shared" si="78"/>
        <v>-980.07894736845276</v>
      </c>
    </row>
    <row r="768" spans="1:25" x14ac:dyDescent="0.25">
      <c r="A768">
        <f t="shared" si="83"/>
        <v>761</v>
      </c>
      <c r="B768" s="88" t="str">
        <f>IF(OR(B767="Total",B767=""),"",IF(VLOOKUP(A768,Journal!$B$7:$E$84,4)=0,"Total",VLOOKUP(A768,Journal!$B$7:$D$84,3)))</f>
        <v/>
      </c>
      <c r="C768" s="86" t="str">
        <f>IF(B768="","",VLOOKUP(A768,Journal!$B$7:$E$84,4))</f>
        <v/>
      </c>
      <c r="D768" s="114" t="str">
        <f>IF(B768="","",VLOOKUP(A768,Journal!$B$7:$J$84,9))</f>
        <v/>
      </c>
      <c r="E768" s="116"/>
      <c r="F768" s="116"/>
      <c r="G768" s="115"/>
      <c r="H768" s="84" t="str">
        <f>IF(B768="","",VLOOKUP(A768,Journal!$B$7:$L$84,11))</f>
        <v/>
      </c>
      <c r="I768" s="84" t="str">
        <f>IF(B768="","",VLOOKUP(A768,Journal!$B$7:$M$84,12))</f>
        <v/>
      </c>
      <c r="J768" s="105">
        <f>IF(B768="Total",SUM(J$8:J767)+0.0001,IF(OR(B768="",I$2=I768),0,VLOOKUP(A768,Journal!$B$7:M$84,8)))</f>
        <v>0</v>
      </c>
      <c r="K768" s="102">
        <f>IF(B768="Total",SUM(K$8:K767)+0.0001,IF(OR(B768="",J768&lt;&gt;0),0,VLOOKUP(A768,Journal!$B$7:M$84,8)))</f>
        <v>0</v>
      </c>
      <c r="L768" s="87">
        <f t="shared" si="77"/>
        <v>0</v>
      </c>
      <c r="P768">
        <f t="shared" si="80"/>
        <v>1.0000000000000001E-5</v>
      </c>
      <c r="R768" s="15">
        <f t="shared" si="81"/>
        <v>761</v>
      </c>
      <c r="S768" s="126">
        <f>IF(VLOOKUP(A768,Journal!$A$7:$E$70,5)=0,S767+1,VLOOKUP(A768,Journal!$A$7:$E$70,5))</f>
        <v>46418</v>
      </c>
      <c r="T768" s="125">
        <f>IF(H$2=VLOOKUP(A768,Journal!$A$7:$F$70,6),VLOOKUP(A768,Journal!$A$7:M$70,9),0)</f>
        <v>0</v>
      </c>
      <c r="U768" s="125">
        <f>IF(H$2=VLOOKUP(A768,Journal!$A$7:$G$70,7),VLOOKUP(A768,Journal!$A$7:M$70,9),0)</f>
        <v>0</v>
      </c>
      <c r="V768" s="125">
        <f t="shared" si="82"/>
        <v>40</v>
      </c>
      <c r="X768">
        <f t="shared" si="79"/>
        <v>0</v>
      </c>
      <c r="Y768" s="143">
        <f t="shared" si="78"/>
        <v>-980.05263157897912</v>
      </c>
    </row>
    <row r="769" spans="1:25" x14ac:dyDescent="0.25">
      <c r="A769">
        <f t="shared" si="83"/>
        <v>762</v>
      </c>
      <c r="B769" s="88" t="str">
        <f>IF(OR(B768="Total",B768=""),"",IF(VLOOKUP(A769,Journal!$B$7:$E$84,4)=0,"Total",VLOOKUP(A769,Journal!$B$7:$D$84,3)))</f>
        <v/>
      </c>
      <c r="C769" s="86" t="str">
        <f>IF(B769="","",VLOOKUP(A769,Journal!$B$7:$E$84,4))</f>
        <v/>
      </c>
      <c r="D769" s="114" t="str">
        <f>IF(B769="","",VLOOKUP(A769,Journal!$B$7:$J$84,9))</f>
        <v/>
      </c>
      <c r="E769" s="116"/>
      <c r="F769" s="116"/>
      <c r="G769" s="115"/>
      <c r="H769" s="84" t="str">
        <f>IF(B769="","",VLOOKUP(A769,Journal!$B$7:$L$84,11))</f>
        <v/>
      </c>
      <c r="I769" s="84" t="str">
        <f>IF(B769="","",VLOOKUP(A769,Journal!$B$7:$M$84,12))</f>
        <v/>
      </c>
      <c r="J769" s="105">
        <f>IF(B769="Total",SUM(J$8:J768)+0.0001,IF(OR(B769="",I$2=I769),0,VLOOKUP(A769,Journal!$B$7:M$84,8)))</f>
        <v>0</v>
      </c>
      <c r="K769" s="102">
        <f>IF(B769="Total",SUM(K$8:K768)+0.0001,IF(OR(B769="",J769&lt;&gt;0),0,VLOOKUP(A769,Journal!$B$7:M$84,8)))</f>
        <v>0</v>
      </c>
      <c r="L769" s="87">
        <f t="shared" si="77"/>
        <v>0</v>
      </c>
      <c r="P769">
        <f t="shared" si="80"/>
        <v>1.0000000000000001E-5</v>
      </c>
      <c r="R769" s="15">
        <f t="shared" si="81"/>
        <v>762</v>
      </c>
      <c r="S769" s="126">
        <f>IF(VLOOKUP(A769,Journal!$A$7:$E$70,5)=0,S768+1,VLOOKUP(A769,Journal!$A$7:$E$70,5))</f>
        <v>46419</v>
      </c>
      <c r="T769" s="125">
        <f>IF(H$2=VLOOKUP(A769,Journal!$A$7:$F$70,6),VLOOKUP(A769,Journal!$A$7:M$70,9),0)</f>
        <v>0</v>
      </c>
      <c r="U769" s="125">
        <f>IF(H$2=VLOOKUP(A769,Journal!$A$7:$G$70,7),VLOOKUP(A769,Journal!$A$7:M$70,9),0)</f>
        <v>0</v>
      </c>
      <c r="V769" s="125">
        <f t="shared" si="82"/>
        <v>40</v>
      </c>
      <c r="X769">
        <f t="shared" si="79"/>
        <v>0</v>
      </c>
      <c r="Y769" s="143">
        <f t="shared" si="78"/>
        <v>-980.02631578950547</v>
      </c>
    </row>
    <row r="770" spans="1:25" x14ac:dyDescent="0.25">
      <c r="A770">
        <f t="shared" si="83"/>
        <v>763</v>
      </c>
      <c r="B770" s="88" t="str">
        <f>IF(OR(B769="Total",B769=""),"",IF(VLOOKUP(A770,Journal!$B$7:$E$84,4)=0,"Total",VLOOKUP(A770,Journal!$B$7:$D$84,3)))</f>
        <v/>
      </c>
      <c r="C770" s="86" t="str">
        <f>IF(B770="","",VLOOKUP(A770,Journal!$B$7:$E$84,4))</f>
        <v/>
      </c>
      <c r="D770" s="114" t="str">
        <f>IF(B770="","",VLOOKUP(A770,Journal!$B$7:$J$84,9))</f>
        <v/>
      </c>
      <c r="E770" s="116"/>
      <c r="F770" s="116"/>
      <c r="G770" s="115"/>
      <c r="H770" s="84" t="str">
        <f>IF(B770="","",VLOOKUP(A770,Journal!$B$7:$L$84,11))</f>
        <v/>
      </c>
      <c r="I770" s="84" t="str">
        <f>IF(B770="","",VLOOKUP(A770,Journal!$B$7:$M$84,12))</f>
        <v/>
      </c>
      <c r="J770" s="105">
        <f>IF(B770="Total",SUM(J$8:J769)+0.0001,IF(OR(B770="",I$2=I770),0,VLOOKUP(A770,Journal!$B$7:M$84,8)))</f>
        <v>0</v>
      </c>
      <c r="K770" s="102">
        <f>IF(B770="Total",SUM(K$8:K769)+0.0001,IF(OR(B770="",J770&lt;&gt;0),0,VLOOKUP(A770,Journal!$B$7:M$84,8)))</f>
        <v>0</v>
      </c>
      <c r="L770" s="87">
        <f t="shared" si="77"/>
        <v>0</v>
      </c>
      <c r="P770">
        <f t="shared" si="80"/>
        <v>1.0000000000000001E-5</v>
      </c>
      <c r="R770" s="15">
        <f t="shared" si="81"/>
        <v>763</v>
      </c>
      <c r="S770" s="126">
        <f>IF(VLOOKUP(A770,Journal!$A$7:$E$70,5)=0,S769+1,VLOOKUP(A770,Journal!$A$7:$E$70,5))</f>
        <v>46420</v>
      </c>
      <c r="T770" s="125">
        <f>IF(H$2=VLOOKUP(A770,Journal!$A$7:$F$70,6),VLOOKUP(A770,Journal!$A$7:M$70,9),0)</f>
        <v>0</v>
      </c>
      <c r="U770" s="125">
        <f>IF(H$2=VLOOKUP(A770,Journal!$A$7:$G$70,7),VLOOKUP(A770,Journal!$A$7:M$70,9),0)</f>
        <v>0</v>
      </c>
      <c r="V770" s="125">
        <f t="shared" si="82"/>
        <v>40</v>
      </c>
      <c r="X770">
        <f t="shared" si="79"/>
        <v>0</v>
      </c>
      <c r="Y770" s="143">
        <f t="shared" si="78"/>
        <v>-980.00000000003183</v>
      </c>
    </row>
    <row r="771" spans="1:25" x14ac:dyDescent="0.25">
      <c r="A771">
        <f t="shared" si="83"/>
        <v>764</v>
      </c>
      <c r="B771" s="88" t="str">
        <f>IF(OR(B770="Total",B770=""),"",IF(VLOOKUP(A771,Journal!$B$7:$E$84,4)=0,"Total",VLOOKUP(A771,Journal!$B$7:$D$84,3)))</f>
        <v/>
      </c>
      <c r="C771" s="86" t="str">
        <f>IF(B771="","",VLOOKUP(A771,Journal!$B$7:$E$84,4))</f>
        <v/>
      </c>
      <c r="D771" s="114" t="str">
        <f>IF(B771="","",VLOOKUP(A771,Journal!$B$7:$J$84,9))</f>
        <v/>
      </c>
      <c r="E771" s="116"/>
      <c r="F771" s="116"/>
      <c r="G771" s="115"/>
      <c r="H771" s="84" t="str">
        <f>IF(B771="","",VLOOKUP(A771,Journal!$B$7:$L$84,11))</f>
        <v/>
      </c>
      <c r="I771" s="84" t="str">
        <f>IF(B771="","",VLOOKUP(A771,Journal!$B$7:$M$84,12))</f>
        <v/>
      </c>
      <c r="J771" s="105">
        <f>IF(B771="Total",SUM(J$8:J770)+0.0001,IF(OR(B771="",I$2=I771),0,VLOOKUP(A771,Journal!$B$7:M$84,8)))</f>
        <v>0</v>
      </c>
      <c r="K771" s="102">
        <f>IF(B771="Total",SUM(K$8:K770)+0.0001,IF(OR(B771="",J771&lt;&gt;0),0,VLOOKUP(A771,Journal!$B$7:M$84,8)))</f>
        <v>0</v>
      </c>
      <c r="L771" s="87">
        <f t="shared" si="77"/>
        <v>0</v>
      </c>
      <c r="P771">
        <f t="shared" si="80"/>
        <v>1.0000000000000001E-5</v>
      </c>
      <c r="R771" s="15">
        <f t="shared" si="81"/>
        <v>764</v>
      </c>
      <c r="S771" s="126">
        <f>IF(VLOOKUP(A771,Journal!$A$7:$E$70,5)=0,S770+1,VLOOKUP(A771,Journal!$A$7:$E$70,5))</f>
        <v>46421</v>
      </c>
      <c r="T771" s="125">
        <f>IF(H$2=VLOOKUP(A771,Journal!$A$7:$F$70,6),VLOOKUP(A771,Journal!$A$7:M$70,9),0)</f>
        <v>0</v>
      </c>
      <c r="U771" s="125">
        <f>IF(H$2=VLOOKUP(A771,Journal!$A$7:$G$70,7),VLOOKUP(A771,Journal!$A$7:M$70,9),0)</f>
        <v>0</v>
      </c>
      <c r="V771" s="125">
        <f t="shared" si="82"/>
        <v>40</v>
      </c>
      <c r="X771">
        <f t="shared" si="79"/>
        <v>0</v>
      </c>
      <c r="Y771" s="143">
        <f t="shared" si="78"/>
        <v>-979.97368421055819</v>
      </c>
    </row>
    <row r="772" spans="1:25" x14ac:dyDescent="0.25">
      <c r="A772">
        <f t="shared" si="83"/>
        <v>765</v>
      </c>
      <c r="B772" s="88" t="str">
        <f>IF(OR(B771="Total",B771=""),"",IF(VLOOKUP(A772,Journal!$B$7:$E$84,4)=0,"Total",VLOOKUP(A772,Journal!$B$7:$D$84,3)))</f>
        <v/>
      </c>
      <c r="C772" s="86" t="str">
        <f>IF(B772="","",VLOOKUP(A772,Journal!$B$7:$E$84,4))</f>
        <v/>
      </c>
      <c r="D772" s="114" t="str">
        <f>IF(B772="","",VLOOKUP(A772,Journal!$B$7:$J$84,9))</f>
        <v/>
      </c>
      <c r="E772" s="116"/>
      <c r="F772" s="116"/>
      <c r="G772" s="115"/>
      <c r="H772" s="84" t="str">
        <f>IF(B772="","",VLOOKUP(A772,Journal!$B$7:$L$84,11))</f>
        <v/>
      </c>
      <c r="I772" s="84" t="str">
        <f>IF(B772="","",VLOOKUP(A772,Journal!$B$7:$M$84,12))</f>
        <v/>
      </c>
      <c r="J772" s="105">
        <f>IF(B772="Total",SUM(J$8:J771)+0.0001,IF(OR(B772="",I$2=I772),0,VLOOKUP(A772,Journal!$B$7:M$84,8)))</f>
        <v>0</v>
      </c>
      <c r="K772" s="102">
        <f>IF(B772="Total",SUM(K$8:K771)+0.0001,IF(OR(B772="",J772&lt;&gt;0),0,VLOOKUP(A772,Journal!$B$7:M$84,8)))</f>
        <v>0</v>
      </c>
      <c r="L772" s="87">
        <f t="shared" si="77"/>
        <v>0</v>
      </c>
      <c r="P772">
        <f t="shared" si="80"/>
        <v>1.0000000000000001E-5</v>
      </c>
      <c r="R772" s="15">
        <f t="shared" si="81"/>
        <v>765</v>
      </c>
      <c r="S772" s="126">
        <f>IF(VLOOKUP(A772,Journal!$A$7:$E$70,5)=0,S771+1,VLOOKUP(A772,Journal!$A$7:$E$70,5))</f>
        <v>46422</v>
      </c>
      <c r="T772" s="125">
        <f>IF(H$2=VLOOKUP(A772,Journal!$A$7:$F$70,6),VLOOKUP(A772,Journal!$A$7:M$70,9),0)</f>
        <v>0</v>
      </c>
      <c r="U772" s="125">
        <f>IF(H$2=VLOOKUP(A772,Journal!$A$7:$G$70,7),VLOOKUP(A772,Journal!$A$7:M$70,9),0)</f>
        <v>0</v>
      </c>
      <c r="V772" s="125">
        <f t="shared" si="82"/>
        <v>40</v>
      </c>
      <c r="X772">
        <f t="shared" si="79"/>
        <v>0</v>
      </c>
      <c r="Y772" s="143">
        <f t="shared" si="78"/>
        <v>-979.94736842108455</v>
      </c>
    </row>
    <row r="773" spans="1:25" x14ac:dyDescent="0.25">
      <c r="A773">
        <f t="shared" si="83"/>
        <v>766</v>
      </c>
      <c r="B773" s="88" t="str">
        <f>IF(OR(B772="Total",B772=""),"",IF(VLOOKUP(A773,Journal!$B$7:$E$84,4)=0,"Total",VLOOKUP(A773,Journal!$B$7:$D$84,3)))</f>
        <v/>
      </c>
      <c r="C773" s="86" t="str">
        <f>IF(B773="","",VLOOKUP(A773,Journal!$B$7:$E$84,4))</f>
        <v/>
      </c>
      <c r="D773" s="114" t="str">
        <f>IF(B773="","",VLOOKUP(A773,Journal!$B$7:$J$84,9))</f>
        <v/>
      </c>
      <c r="E773" s="116"/>
      <c r="F773" s="116"/>
      <c r="G773" s="115"/>
      <c r="H773" s="84" t="str">
        <f>IF(B773="","",VLOOKUP(A773,Journal!$B$7:$L$84,11))</f>
        <v/>
      </c>
      <c r="I773" s="84" t="str">
        <f>IF(B773="","",VLOOKUP(A773,Journal!$B$7:$M$84,12))</f>
        <v/>
      </c>
      <c r="J773" s="105">
        <f>IF(B773="Total",SUM(J$8:J772)+0.0001,IF(OR(B773="",I$2=I773),0,VLOOKUP(A773,Journal!$B$7:M$84,8)))</f>
        <v>0</v>
      </c>
      <c r="K773" s="102">
        <f>IF(B773="Total",SUM(K$8:K772)+0.0001,IF(OR(B773="",J773&lt;&gt;0),0,VLOOKUP(A773,Journal!$B$7:M$84,8)))</f>
        <v>0</v>
      </c>
      <c r="L773" s="87">
        <f t="shared" si="77"/>
        <v>0</v>
      </c>
      <c r="P773">
        <f t="shared" si="80"/>
        <v>1.0000000000000001E-5</v>
      </c>
      <c r="R773" s="15">
        <f t="shared" si="81"/>
        <v>766</v>
      </c>
      <c r="S773" s="126">
        <f>IF(VLOOKUP(A773,Journal!$A$7:$E$70,5)=0,S772+1,VLOOKUP(A773,Journal!$A$7:$E$70,5))</f>
        <v>46423</v>
      </c>
      <c r="T773" s="125">
        <f>IF(H$2=VLOOKUP(A773,Journal!$A$7:$F$70,6),VLOOKUP(A773,Journal!$A$7:M$70,9),0)</f>
        <v>0</v>
      </c>
      <c r="U773" s="125">
        <f>IF(H$2=VLOOKUP(A773,Journal!$A$7:$G$70,7),VLOOKUP(A773,Journal!$A$7:M$70,9),0)</f>
        <v>0</v>
      </c>
      <c r="V773" s="125">
        <f t="shared" si="82"/>
        <v>40</v>
      </c>
      <c r="X773">
        <f t="shared" si="79"/>
        <v>0</v>
      </c>
      <c r="Y773" s="143">
        <f t="shared" si="78"/>
        <v>-979.92105263161091</v>
      </c>
    </row>
    <row r="774" spans="1:25" x14ac:dyDescent="0.25">
      <c r="A774">
        <f t="shared" si="83"/>
        <v>767</v>
      </c>
      <c r="B774" s="88" t="str">
        <f>IF(OR(B773="Total",B773=""),"",IF(VLOOKUP(A774,Journal!$B$7:$E$84,4)=0,"Total",VLOOKUP(A774,Journal!$B$7:$D$84,3)))</f>
        <v/>
      </c>
      <c r="C774" s="86" t="str">
        <f>IF(B774="","",VLOOKUP(A774,Journal!$B$7:$E$84,4))</f>
        <v/>
      </c>
      <c r="D774" s="114" t="str">
        <f>IF(B774="","",VLOOKUP(A774,Journal!$B$7:$J$84,9))</f>
        <v/>
      </c>
      <c r="E774" s="116"/>
      <c r="F774" s="116"/>
      <c r="G774" s="115"/>
      <c r="H774" s="84" t="str">
        <f>IF(B774="","",VLOOKUP(A774,Journal!$B$7:$L$84,11))</f>
        <v/>
      </c>
      <c r="I774" s="84" t="str">
        <f>IF(B774="","",VLOOKUP(A774,Journal!$B$7:$M$84,12))</f>
        <v/>
      </c>
      <c r="J774" s="105">
        <f>IF(B774="Total",SUM(J$8:J773)+0.0001,IF(OR(B774="",I$2=I774),0,VLOOKUP(A774,Journal!$B$7:M$84,8)))</f>
        <v>0</v>
      </c>
      <c r="K774" s="102">
        <f>IF(B774="Total",SUM(K$8:K773)+0.0001,IF(OR(B774="",J774&lt;&gt;0),0,VLOOKUP(A774,Journal!$B$7:M$84,8)))</f>
        <v>0</v>
      </c>
      <c r="L774" s="87">
        <f t="shared" si="77"/>
        <v>0</v>
      </c>
      <c r="P774">
        <f t="shared" si="80"/>
        <v>1.0000000000000001E-5</v>
      </c>
      <c r="R774" s="15">
        <f t="shared" si="81"/>
        <v>767</v>
      </c>
      <c r="S774" s="126">
        <f>IF(VLOOKUP(A774,Journal!$A$7:$E$70,5)=0,S773+1,VLOOKUP(A774,Journal!$A$7:$E$70,5))</f>
        <v>46424</v>
      </c>
      <c r="T774" s="125">
        <f>IF(H$2=VLOOKUP(A774,Journal!$A$7:$F$70,6),VLOOKUP(A774,Journal!$A$7:M$70,9),0)</f>
        <v>0</v>
      </c>
      <c r="U774" s="125">
        <f>IF(H$2=VLOOKUP(A774,Journal!$A$7:$G$70,7),VLOOKUP(A774,Journal!$A$7:M$70,9),0)</f>
        <v>0</v>
      </c>
      <c r="V774" s="125">
        <f t="shared" si="82"/>
        <v>40</v>
      </c>
      <c r="X774">
        <f t="shared" si="79"/>
        <v>0</v>
      </c>
      <c r="Y774" s="143">
        <f t="shared" si="78"/>
        <v>-979.89473684213726</v>
      </c>
    </row>
    <row r="775" spans="1:25" x14ac:dyDescent="0.25">
      <c r="A775">
        <f t="shared" si="83"/>
        <v>768</v>
      </c>
      <c r="B775" s="88" t="str">
        <f>IF(OR(B774="Total",B774=""),"",IF(VLOOKUP(A775,Journal!$B$7:$E$84,4)=0,"Total",VLOOKUP(A775,Journal!$B$7:$D$84,3)))</f>
        <v/>
      </c>
      <c r="C775" s="86" t="str">
        <f>IF(B775="","",VLOOKUP(A775,Journal!$B$7:$E$84,4))</f>
        <v/>
      </c>
      <c r="D775" s="114" t="str">
        <f>IF(B775="","",VLOOKUP(A775,Journal!$B$7:$J$84,9))</f>
        <v/>
      </c>
      <c r="E775" s="116"/>
      <c r="F775" s="116"/>
      <c r="G775" s="115"/>
      <c r="H775" s="84" t="str">
        <f>IF(B775="","",VLOOKUP(A775,Journal!$B$7:$L$84,11))</f>
        <v/>
      </c>
      <c r="I775" s="84" t="str">
        <f>IF(B775="","",VLOOKUP(A775,Journal!$B$7:$M$84,12))</f>
        <v/>
      </c>
      <c r="J775" s="105">
        <f>IF(B775="Total",SUM(J$8:J774)+0.0001,IF(OR(B775="",I$2=I775),0,VLOOKUP(A775,Journal!$B$7:M$84,8)))</f>
        <v>0</v>
      </c>
      <c r="K775" s="102">
        <f>IF(B775="Total",SUM(K$8:K774)+0.0001,IF(OR(B775="",J775&lt;&gt;0),0,VLOOKUP(A775,Journal!$B$7:M$84,8)))</f>
        <v>0</v>
      </c>
      <c r="L775" s="87">
        <f t="shared" si="77"/>
        <v>0</v>
      </c>
      <c r="P775">
        <f t="shared" si="80"/>
        <v>1.0000000000000001E-5</v>
      </c>
      <c r="R775" s="15">
        <f t="shared" si="81"/>
        <v>768</v>
      </c>
      <c r="S775" s="126">
        <f>IF(VLOOKUP(A775,Journal!$A$7:$E$70,5)=0,S774+1,VLOOKUP(A775,Journal!$A$7:$E$70,5))</f>
        <v>46425</v>
      </c>
      <c r="T775" s="125">
        <f>IF(H$2=VLOOKUP(A775,Journal!$A$7:$F$70,6),VLOOKUP(A775,Journal!$A$7:M$70,9),0)</f>
        <v>0</v>
      </c>
      <c r="U775" s="125">
        <f>IF(H$2=VLOOKUP(A775,Journal!$A$7:$G$70,7),VLOOKUP(A775,Journal!$A$7:M$70,9),0)</f>
        <v>0</v>
      </c>
      <c r="V775" s="125">
        <f t="shared" si="82"/>
        <v>40</v>
      </c>
      <c r="X775">
        <f t="shared" si="79"/>
        <v>0</v>
      </c>
      <c r="Y775" s="143">
        <f t="shared" si="78"/>
        <v>-979.86842105266362</v>
      </c>
    </row>
    <row r="776" spans="1:25" x14ac:dyDescent="0.25">
      <c r="A776">
        <f t="shared" si="83"/>
        <v>769</v>
      </c>
      <c r="B776" s="88" t="str">
        <f>IF(OR(B775="Total",B775=""),"",IF(VLOOKUP(A776,Journal!$B$7:$E$84,4)=0,"Total",VLOOKUP(A776,Journal!$B$7:$D$84,3)))</f>
        <v/>
      </c>
      <c r="C776" s="86" t="str">
        <f>IF(B776="","",VLOOKUP(A776,Journal!$B$7:$E$84,4))</f>
        <v/>
      </c>
      <c r="D776" s="114" t="str">
        <f>IF(B776="","",VLOOKUP(A776,Journal!$B$7:$J$84,9))</f>
        <v/>
      </c>
      <c r="E776" s="116"/>
      <c r="F776" s="116"/>
      <c r="G776" s="115"/>
      <c r="H776" s="84" t="str">
        <f>IF(B776="","",VLOOKUP(A776,Journal!$B$7:$L$84,11))</f>
        <v/>
      </c>
      <c r="I776" s="84" t="str">
        <f>IF(B776="","",VLOOKUP(A776,Journal!$B$7:$M$84,12))</f>
        <v/>
      </c>
      <c r="J776" s="105">
        <f>IF(B776="Total",SUM(J$8:J775)+0.0001,IF(OR(B776="",I$2=I776),0,VLOOKUP(A776,Journal!$B$7:M$84,8)))</f>
        <v>0</v>
      </c>
      <c r="K776" s="102">
        <f>IF(B776="Total",SUM(K$8:K775)+0.0001,IF(OR(B776="",J776&lt;&gt;0),0,VLOOKUP(A776,Journal!$B$7:M$84,8)))</f>
        <v>0</v>
      </c>
      <c r="L776" s="87">
        <f t="shared" ref="L776:L839" si="84">IF(B776="Total",L775,IF(B776="",0,IF($M$1=1,L775+J776-K776,L775-J776+K776)))</f>
        <v>0</v>
      </c>
      <c r="P776">
        <f t="shared" si="80"/>
        <v>1.0000000000000001E-5</v>
      </c>
      <c r="R776" s="15">
        <f t="shared" si="81"/>
        <v>769</v>
      </c>
      <c r="S776" s="126">
        <f>IF(VLOOKUP(A776,Journal!$A$7:$E$70,5)=0,S775+1,VLOOKUP(A776,Journal!$A$7:$E$70,5))</f>
        <v>46426</v>
      </c>
      <c r="T776" s="125">
        <f>IF(H$2=VLOOKUP(A776,Journal!$A$7:$F$70,6),VLOOKUP(A776,Journal!$A$7:M$70,9),0)</f>
        <v>0</v>
      </c>
      <c r="U776" s="125">
        <f>IF(H$2=VLOOKUP(A776,Journal!$A$7:$G$70,7),VLOOKUP(A776,Journal!$A$7:M$70,9),0)</f>
        <v>0</v>
      </c>
      <c r="V776" s="125">
        <f t="shared" si="82"/>
        <v>40</v>
      </c>
      <c r="X776">
        <f t="shared" si="79"/>
        <v>0</v>
      </c>
      <c r="Y776" s="143">
        <f t="shared" ref="Y776:Y839" si="85">IF(B775="Total",-1000,Y775+Y$4)</f>
        <v>-979.84210526318998</v>
      </c>
    </row>
    <row r="777" spans="1:25" x14ac:dyDescent="0.25">
      <c r="A777">
        <f t="shared" si="83"/>
        <v>770</v>
      </c>
      <c r="B777" s="88" t="str">
        <f>IF(OR(B776="Total",B776=""),"",IF(VLOOKUP(A777,Journal!$B$7:$E$84,4)=0,"Total",VLOOKUP(A777,Journal!$B$7:$D$84,3)))</f>
        <v/>
      </c>
      <c r="C777" s="86" t="str">
        <f>IF(B777="","",VLOOKUP(A777,Journal!$B$7:$E$84,4))</f>
        <v/>
      </c>
      <c r="D777" s="114" t="str">
        <f>IF(B777="","",VLOOKUP(A777,Journal!$B$7:$J$84,9))</f>
        <v/>
      </c>
      <c r="E777" s="116"/>
      <c r="F777" s="116"/>
      <c r="G777" s="115"/>
      <c r="H777" s="84" t="str">
        <f>IF(B777="","",VLOOKUP(A777,Journal!$B$7:$L$84,11))</f>
        <v/>
      </c>
      <c r="I777" s="84" t="str">
        <f>IF(B777="","",VLOOKUP(A777,Journal!$B$7:$M$84,12))</f>
        <v/>
      </c>
      <c r="J777" s="105">
        <f>IF(B777="Total",SUM(J$8:J776)+0.0001,IF(OR(B777="",I$2=I777),0,VLOOKUP(A777,Journal!$B$7:M$84,8)))</f>
        <v>0</v>
      </c>
      <c r="K777" s="102">
        <f>IF(B777="Total",SUM(K$8:K776)+0.0001,IF(OR(B777="",J777&lt;&gt;0),0,VLOOKUP(A777,Journal!$B$7:M$84,8)))</f>
        <v>0</v>
      </c>
      <c r="L777" s="87">
        <f t="shared" si="84"/>
        <v>0</v>
      </c>
      <c r="P777">
        <f t="shared" si="80"/>
        <v>1.0000000000000001E-5</v>
      </c>
      <c r="R777" s="15">
        <f t="shared" si="81"/>
        <v>770</v>
      </c>
      <c r="S777" s="126">
        <f>IF(VLOOKUP(A777,Journal!$A$7:$E$70,5)=0,S776+1,VLOOKUP(A777,Journal!$A$7:$E$70,5))</f>
        <v>46427</v>
      </c>
      <c r="T777" s="125">
        <f>IF(H$2=VLOOKUP(A777,Journal!$A$7:$F$70,6),VLOOKUP(A777,Journal!$A$7:M$70,9),0)</f>
        <v>0</v>
      </c>
      <c r="U777" s="125">
        <f>IF(H$2=VLOOKUP(A777,Journal!$A$7:$G$70,7),VLOOKUP(A777,Journal!$A$7:M$70,9),0)</f>
        <v>0</v>
      </c>
      <c r="V777" s="125">
        <f t="shared" si="82"/>
        <v>40</v>
      </c>
      <c r="X777">
        <f t="shared" ref="X777:X840" si="86">IF(J$2&gt;S777,1,0)</f>
        <v>0</v>
      </c>
      <c r="Y777" s="143">
        <f t="shared" si="85"/>
        <v>-979.81578947371634</v>
      </c>
    </row>
    <row r="778" spans="1:25" x14ac:dyDescent="0.25">
      <c r="A778">
        <f t="shared" si="83"/>
        <v>771</v>
      </c>
      <c r="B778" s="88" t="str">
        <f>IF(OR(B777="Total",B777=""),"",IF(VLOOKUP(A778,Journal!$B$7:$E$84,4)=0,"Total",VLOOKUP(A778,Journal!$B$7:$D$84,3)))</f>
        <v/>
      </c>
      <c r="C778" s="86" t="str">
        <f>IF(B778="","",VLOOKUP(A778,Journal!$B$7:$E$84,4))</f>
        <v/>
      </c>
      <c r="D778" s="114" t="str">
        <f>IF(B778="","",VLOOKUP(A778,Journal!$B$7:$J$84,9))</f>
        <v/>
      </c>
      <c r="E778" s="116"/>
      <c r="F778" s="116"/>
      <c r="G778" s="115"/>
      <c r="H778" s="84" t="str">
        <f>IF(B778="","",VLOOKUP(A778,Journal!$B$7:$L$84,11))</f>
        <v/>
      </c>
      <c r="I778" s="84" t="str">
        <f>IF(B778="","",VLOOKUP(A778,Journal!$B$7:$M$84,12))</f>
        <v/>
      </c>
      <c r="J778" s="105">
        <f>IF(B778="Total",SUM(J$8:J777)+0.0001,IF(OR(B778="",I$2=I778),0,VLOOKUP(A778,Journal!$B$7:M$84,8)))</f>
        <v>0</v>
      </c>
      <c r="K778" s="102">
        <f>IF(B778="Total",SUM(K$8:K777)+0.0001,IF(OR(B778="",J778&lt;&gt;0),0,VLOOKUP(A778,Journal!$B$7:M$84,8)))</f>
        <v>0</v>
      </c>
      <c r="L778" s="87">
        <f t="shared" si="84"/>
        <v>0</v>
      </c>
      <c r="P778">
        <f t="shared" ref="P778:P841" si="87">IF(L777=L778,L777+0.00001,L778)</f>
        <v>1.0000000000000001E-5</v>
      </c>
      <c r="R778" s="15">
        <f t="shared" ref="R778:R841" si="88">R777+1</f>
        <v>771</v>
      </c>
      <c r="S778" s="126">
        <f>IF(VLOOKUP(A778,Journal!$A$7:$E$70,5)=0,S777+1,VLOOKUP(A778,Journal!$A$7:$E$70,5))</f>
        <v>46428</v>
      </c>
      <c r="T778" s="125">
        <f>IF(H$2=VLOOKUP(A778,Journal!$A$7:$F$70,6),VLOOKUP(A778,Journal!$A$7:M$70,9),0)</f>
        <v>0</v>
      </c>
      <c r="U778" s="125">
        <f>IF(H$2=VLOOKUP(A778,Journal!$A$7:$G$70,7),VLOOKUP(A778,Journal!$A$7:M$70,9),0)</f>
        <v>0</v>
      </c>
      <c r="V778" s="125">
        <f t="shared" ref="V778:V841" si="89">IF($M$1=1,V777+T778-U778,V777-T778+U778)</f>
        <v>40</v>
      </c>
      <c r="X778">
        <f t="shared" si="86"/>
        <v>0</v>
      </c>
      <c r="Y778" s="143">
        <f t="shared" si="85"/>
        <v>-979.78947368424269</v>
      </c>
    </row>
    <row r="779" spans="1:25" x14ac:dyDescent="0.25">
      <c r="A779">
        <f t="shared" ref="A779:A842" si="90">A778+1</f>
        <v>772</v>
      </c>
      <c r="B779" s="88" t="str">
        <f>IF(OR(B778="Total",B778=""),"",IF(VLOOKUP(A779,Journal!$B$7:$E$84,4)=0,"Total",VLOOKUP(A779,Journal!$B$7:$D$84,3)))</f>
        <v/>
      </c>
      <c r="C779" s="86" t="str">
        <f>IF(B779="","",VLOOKUP(A779,Journal!$B$7:$E$84,4))</f>
        <v/>
      </c>
      <c r="D779" s="114" t="str">
        <f>IF(B779="","",VLOOKUP(A779,Journal!$B$7:$J$84,9))</f>
        <v/>
      </c>
      <c r="E779" s="116"/>
      <c r="F779" s="116"/>
      <c r="G779" s="115"/>
      <c r="H779" s="84" t="str">
        <f>IF(B779="","",VLOOKUP(A779,Journal!$B$7:$L$84,11))</f>
        <v/>
      </c>
      <c r="I779" s="84" t="str">
        <f>IF(B779="","",VLOOKUP(A779,Journal!$B$7:$M$84,12))</f>
        <v/>
      </c>
      <c r="J779" s="105">
        <f>IF(B779="Total",SUM(J$8:J778)+0.0001,IF(OR(B779="",I$2=I779),0,VLOOKUP(A779,Journal!$B$7:M$84,8)))</f>
        <v>0</v>
      </c>
      <c r="K779" s="102">
        <f>IF(B779="Total",SUM(K$8:K778)+0.0001,IF(OR(B779="",J779&lt;&gt;0),0,VLOOKUP(A779,Journal!$B$7:M$84,8)))</f>
        <v>0</v>
      </c>
      <c r="L779" s="87">
        <f t="shared" si="84"/>
        <v>0</v>
      </c>
      <c r="P779">
        <f t="shared" si="87"/>
        <v>1.0000000000000001E-5</v>
      </c>
      <c r="R779" s="15">
        <f t="shared" si="88"/>
        <v>772</v>
      </c>
      <c r="S779" s="126">
        <f>IF(VLOOKUP(A779,Journal!$A$7:$E$70,5)=0,S778+1,VLOOKUP(A779,Journal!$A$7:$E$70,5))</f>
        <v>46429</v>
      </c>
      <c r="T779" s="125">
        <f>IF(H$2=VLOOKUP(A779,Journal!$A$7:$F$70,6),VLOOKUP(A779,Journal!$A$7:M$70,9),0)</f>
        <v>0</v>
      </c>
      <c r="U779" s="125">
        <f>IF(H$2=VLOOKUP(A779,Journal!$A$7:$G$70,7),VLOOKUP(A779,Journal!$A$7:M$70,9),0)</f>
        <v>0</v>
      </c>
      <c r="V779" s="125">
        <f t="shared" si="89"/>
        <v>40</v>
      </c>
      <c r="X779">
        <f t="shared" si="86"/>
        <v>0</v>
      </c>
      <c r="Y779" s="143">
        <f t="shared" si="85"/>
        <v>-979.76315789476905</v>
      </c>
    </row>
    <row r="780" spans="1:25" x14ac:dyDescent="0.25">
      <c r="A780">
        <f t="shared" si="90"/>
        <v>773</v>
      </c>
      <c r="B780" s="88" t="str">
        <f>IF(OR(B779="Total",B779=""),"",IF(VLOOKUP(A780,Journal!$B$7:$E$84,4)=0,"Total",VLOOKUP(A780,Journal!$B$7:$D$84,3)))</f>
        <v/>
      </c>
      <c r="C780" s="86" t="str">
        <f>IF(B780="","",VLOOKUP(A780,Journal!$B$7:$E$84,4))</f>
        <v/>
      </c>
      <c r="D780" s="114" t="str">
        <f>IF(B780="","",VLOOKUP(A780,Journal!$B$7:$J$84,9))</f>
        <v/>
      </c>
      <c r="E780" s="116"/>
      <c r="F780" s="116"/>
      <c r="G780" s="115"/>
      <c r="H780" s="84" t="str">
        <f>IF(B780="","",VLOOKUP(A780,Journal!$B$7:$L$84,11))</f>
        <v/>
      </c>
      <c r="I780" s="84" t="str">
        <f>IF(B780="","",VLOOKUP(A780,Journal!$B$7:$M$84,12))</f>
        <v/>
      </c>
      <c r="J780" s="105">
        <f>IF(B780="Total",SUM(J$8:J779)+0.0001,IF(OR(B780="",I$2=I780),0,VLOOKUP(A780,Journal!$B$7:M$84,8)))</f>
        <v>0</v>
      </c>
      <c r="K780" s="102">
        <f>IF(B780="Total",SUM(K$8:K779)+0.0001,IF(OR(B780="",J780&lt;&gt;0),0,VLOOKUP(A780,Journal!$B$7:M$84,8)))</f>
        <v>0</v>
      </c>
      <c r="L780" s="87">
        <f t="shared" si="84"/>
        <v>0</v>
      </c>
      <c r="P780">
        <f t="shared" si="87"/>
        <v>1.0000000000000001E-5</v>
      </c>
      <c r="R780" s="15">
        <f t="shared" si="88"/>
        <v>773</v>
      </c>
      <c r="S780" s="126">
        <f>IF(VLOOKUP(A780,Journal!$A$7:$E$70,5)=0,S779+1,VLOOKUP(A780,Journal!$A$7:$E$70,5))</f>
        <v>46430</v>
      </c>
      <c r="T780" s="125">
        <f>IF(H$2=VLOOKUP(A780,Journal!$A$7:$F$70,6),VLOOKUP(A780,Journal!$A$7:M$70,9),0)</f>
        <v>0</v>
      </c>
      <c r="U780" s="125">
        <f>IF(H$2=VLOOKUP(A780,Journal!$A$7:$G$70,7),VLOOKUP(A780,Journal!$A$7:M$70,9),0)</f>
        <v>0</v>
      </c>
      <c r="V780" s="125">
        <f t="shared" si="89"/>
        <v>40</v>
      </c>
      <c r="X780">
        <f t="shared" si="86"/>
        <v>0</v>
      </c>
      <c r="Y780" s="143">
        <f t="shared" si="85"/>
        <v>-979.73684210529541</v>
      </c>
    </row>
    <row r="781" spans="1:25" x14ac:dyDescent="0.25">
      <c r="A781">
        <f t="shared" si="90"/>
        <v>774</v>
      </c>
      <c r="B781" s="88" t="str">
        <f>IF(OR(B780="Total",B780=""),"",IF(VLOOKUP(A781,Journal!$B$7:$E$84,4)=0,"Total",VLOOKUP(A781,Journal!$B$7:$D$84,3)))</f>
        <v/>
      </c>
      <c r="C781" s="86" t="str">
        <f>IF(B781="","",VLOOKUP(A781,Journal!$B$7:$E$84,4))</f>
        <v/>
      </c>
      <c r="D781" s="114" t="str">
        <f>IF(B781="","",VLOOKUP(A781,Journal!$B$7:$J$84,9))</f>
        <v/>
      </c>
      <c r="E781" s="116"/>
      <c r="F781" s="116"/>
      <c r="G781" s="115"/>
      <c r="H781" s="84" t="str">
        <f>IF(B781="","",VLOOKUP(A781,Journal!$B$7:$L$84,11))</f>
        <v/>
      </c>
      <c r="I781" s="84" t="str">
        <f>IF(B781="","",VLOOKUP(A781,Journal!$B$7:$M$84,12))</f>
        <v/>
      </c>
      <c r="J781" s="105">
        <f>IF(B781="Total",SUM(J$8:J780)+0.0001,IF(OR(B781="",I$2=I781),0,VLOOKUP(A781,Journal!$B$7:M$84,8)))</f>
        <v>0</v>
      </c>
      <c r="K781" s="102">
        <f>IF(B781="Total",SUM(K$8:K780)+0.0001,IF(OR(B781="",J781&lt;&gt;0),0,VLOOKUP(A781,Journal!$B$7:M$84,8)))</f>
        <v>0</v>
      </c>
      <c r="L781" s="87">
        <f t="shared" si="84"/>
        <v>0</v>
      </c>
      <c r="P781">
        <f t="shared" si="87"/>
        <v>1.0000000000000001E-5</v>
      </c>
      <c r="R781" s="15">
        <f t="shared" si="88"/>
        <v>774</v>
      </c>
      <c r="S781" s="126">
        <f>IF(VLOOKUP(A781,Journal!$A$7:$E$70,5)=0,S780+1,VLOOKUP(A781,Journal!$A$7:$E$70,5))</f>
        <v>46431</v>
      </c>
      <c r="T781" s="125">
        <f>IF(H$2=VLOOKUP(A781,Journal!$A$7:$F$70,6),VLOOKUP(A781,Journal!$A$7:M$70,9),0)</f>
        <v>0</v>
      </c>
      <c r="U781" s="125">
        <f>IF(H$2=VLOOKUP(A781,Journal!$A$7:$G$70,7),VLOOKUP(A781,Journal!$A$7:M$70,9),0)</f>
        <v>0</v>
      </c>
      <c r="V781" s="125">
        <f t="shared" si="89"/>
        <v>40</v>
      </c>
      <c r="X781">
        <f t="shared" si="86"/>
        <v>0</v>
      </c>
      <c r="Y781" s="143">
        <f t="shared" si="85"/>
        <v>-979.71052631582177</v>
      </c>
    </row>
    <row r="782" spans="1:25" x14ac:dyDescent="0.25">
      <c r="A782">
        <f t="shared" si="90"/>
        <v>775</v>
      </c>
      <c r="B782" s="88" t="str">
        <f>IF(OR(B781="Total",B781=""),"",IF(VLOOKUP(A782,Journal!$B$7:$E$84,4)=0,"Total",VLOOKUP(A782,Journal!$B$7:$D$84,3)))</f>
        <v/>
      </c>
      <c r="C782" s="86" t="str">
        <f>IF(B782="","",VLOOKUP(A782,Journal!$B$7:$E$84,4))</f>
        <v/>
      </c>
      <c r="D782" s="114" t="str">
        <f>IF(B782="","",VLOOKUP(A782,Journal!$B$7:$J$84,9))</f>
        <v/>
      </c>
      <c r="E782" s="116"/>
      <c r="F782" s="116"/>
      <c r="G782" s="115"/>
      <c r="H782" s="84" t="str">
        <f>IF(B782="","",VLOOKUP(A782,Journal!$B$7:$L$84,11))</f>
        <v/>
      </c>
      <c r="I782" s="84" t="str">
        <f>IF(B782="","",VLOOKUP(A782,Journal!$B$7:$M$84,12))</f>
        <v/>
      </c>
      <c r="J782" s="105">
        <f>IF(B782="Total",SUM(J$8:J781)+0.0001,IF(OR(B782="",I$2=I782),0,VLOOKUP(A782,Journal!$B$7:M$84,8)))</f>
        <v>0</v>
      </c>
      <c r="K782" s="102">
        <f>IF(B782="Total",SUM(K$8:K781)+0.0001,IF(OR(B782="",J782&lt;&gt;0),0,VLOOKUP(A782,Journal!$B$7:M$84,8)))</f>
        <v>0</v>
      </c>
      <c r="L782" s="87">
        <f t="shared" si="84"/>
        <v>0</v>
      </c>
      <c r="P782">
        <f t="shared" si="87"/>
        <v>1.0000000000000001E-5</v>
      </c>
      <c r="R782" s="15">
        <f t="shared" si="88"/>
        <v>775</v>
      </c>
      <c r="S782" s="126">
        <f>IF(VLOOKUP(A782,Journal!$A$7:$E$70,5)=0,S781+1,VLOOKUP(A782,Journal!$A$7:$E$70,5))</f>
        <v>46432</v>
      </c>
      <c r="T782" s="125">
        <f>IF(H$2=VLOOKUP(A782,Journal!$A$7:$F$70,6),VLOOKUP(A782,Journal!$A$7:M$70,9),0)</f>
        <v>0</v>
      </c>
      <c r="U782" s="125">
        <f>IF(H$2=VLOOKUP(A782,Journal!$A$7:$G$70,7),VLOOKUP(A782,Journal!$A$7:M$70,9),0)</f>
        <v>0</v>
      </c>
      <c r="V782" s="125">
        <f t="shared" si="89"/>
        <v>40</v>
      </c>
      <c r="X782">
        <f t="shared" si="86"/>
        <v>0</v>
      </c>
      <c r="Y782" s="143">
        <f t="shared" si="85"/>
        <v>-979.68421052634812</v>
      </c>
    </row>
    <row r="783" spans="1:25" x14ac:dyDescent="0.25">
      <c r="A783">
        <f t="shared" si="90"/>
        <v>776</v>
      </c>
      <c r="B783" s="88" t="str">
        <f>IF(OR(B782="Total",B782=""),"",IF(VLOOKUP(A783,Journal!$B$7:$E$84,4)=0,"Total",VLOOKUP(A783,Journal!$B$7:$D$84,3)))</f>
        <v/>
      </c>
      <c r="C783" s="86" t="str">
        <f>IF(B783="","",VLOOKUP(A783,Journal!$B$7:$E$84,4))</f>
        <v/>
      </c>
      <c r="D783" s="114" t="str">
        <f>IF(B783="","",VLOOKUP(A783,Journal!$B$7:$J$84,9))</f>
        <v/>
      </c>
      <c r="E783" s="116"/>
      <c r="F783" s="116"/>
      <c r="G783" s="115"/>
      <c r="H783" s="84" t="str">
        <f>IF(B783="","",VLOOKUP(A783,Journal!$B$7:$L$84,11))</f>
        <v/>
      </c>
      <c r="I783" s="84" t="str">
        <f>IF(B783="","",VLOOKUP(A783,Journal!$B$7:$M$84,12))</f>
        <v/>
      </c>
      <c r="J783" s="105">
        <f>IF(B783="Total",SUM(J$8:J782)+0.0001,IF(OR(B783="",I$2=I783),0,VLOOKUP(A783,Journal!$B$7:M$84,8)))</f>
        <v>0</v>
      </c>
      <c r="K783" s="102">
        <f>IF(B783="Total",SUM(K$8:K782)+0.0001,IF(OR(B783="",J783&lt;&gt;0),0,VLOOKUP(A783,Journal!$B$7:M$84,8)))</f>
        <v>0</v>
      </c>
      <c r="L783" s="87">
        <f t="shared" si="84"/>
        <v>0</v>
      </c>
      <c r="P783">
        <f t="shared" si="87"/>
        <v>1.0000000000000001E-5</v>
      </c>
      <c r="R783" s="15">
        <f t="shared" si="88"/>
        <v>776</v>
      </c>
      <c r="S783" s="126">
        <f>IF(VLOOKUP(A783,Journal!$A$7:$E$70,5)=0,S782+1,VLOOKUP(A783,Journal!$A$7:$E$70,5))</f>
        <v>46433</v>
      </c>
      <c r="T783" s="125">
        <f>IF(H$2=VLOOKUP(A783,Journal!$A$7:$F$70,6),VLOOKUP(A783,Journal!$A$7:M$70,9),0)</f>
        <v>0</v>
      </c>
      <c r="U783" s="125">
        <f>IF(H$2=VLOOKUP(A783,Journal!$A$7:$G$70,7),VLOOKUP(A783,Journal!$A$7:M$70,9),0)</f>
        <v>0</v>
      </c>
      <c r="V783" s="125">
        <f t="shared" si="89"/>
        <v>40</v>
      </c>
      <c r="X783">
        <f t="shared" si="86"/>
        <v>0</v>
      </c>
      <c r="Y783" s="143">
        <f t="shared" si="85"/>
        <v>-979.65789473687448</v>
      </c>
    </row>
    <row r="784" spans="1:25" x14ac:dyDescent="0.25">
      <c r="A784">
        <f t="shared" si="90"/>
        <v>777</v>
      </c>
      <c r="B784" s="88" t="str">
        <f>IF(OR(B783="Total",B783=""),"",IF(VLOOKUP(A784,Journal!$B$7:$E$84,4)=0,"Total",VLOOKUP(A784,Journal!$B$7:$D$84,3)))</f>
        <v/>
      </c>
      <c r="C784" s="86" t="str">
        <f>IF(B784="","",VLOOKUP(A784,Journal!$B$7:$E$84,4))</f>
        <v/>
      </c>
      <c r="D784" s="114" t="str">
        <f>IF(B784="","",VLOOKUP(A784,Journal!$B$7:$J$84,9))</f>
        <v/>
      </c>
      <c r="E784" s="116"/>
      <c r="F784" s="116"/>
      <c r="G784" s="115"/>
      <c r="H784" s="84" t="str">
        <f>IF(B784="","",VLOOKUP(A784,Journal!$B$7:$L$84,11))</f>
        <v/>
      </c>
      <c r="I784" s="84" t="str">
        <f>IF(B784="","",VLOOKUP(A784,Journal!$B$7:$M$84,12))</f>
        <v/>
      </c>
      <c r="J784" s="105">
        <f>IF(B784="Total",SUM(J$8:J783)+0.0001,IF(OR(B784="",I$2=I784),0,VLOOKUP(A784,Journal!$B$7:M$84,8)))</f>
        <v>0</v>
      </c>
      <c r="K784" s="102">
        <f>IF(B784="Total",SUM(K$8:K783)+0.0001,IF(OR(B784="",J784&lt;&gt;0),0,VLOOKUP(A784,Journal!$B$7:M$84,8)))</f>
        <v>0</v>
      </c>
      <c r="L784" s="87">
        <f t="shared" si="84"/>
        <v>0</v>
      </c>
      <c r="P784">
        <f t="shared" si="87"/>
        <v>1.0000000000000001E-5</v>
      </c>
      <c r="R784" s="15">
        <f t="shared" si="88"/>
        <v>777</v>
      </c>
      <c r="S784" s="126">
        <f>IF(VLOOKUP(A784,Journal!$A$7:$E$70,5)=0,S783+1,VLOOKUP(A784,Journal!$A$7:$E$70,5))</f>
        <v>46434</v>
      </c>
      <c r="T784" s="125">
        <f>IF(H$2=VLOOKUP(A784,Journal!$A$7:$F$70,6),VLOOKUP(A784,Journal!$A$7:M$70,9),0)</f>
        <v>0</v>
      </c>
      <c r="U784" s="125">
        <f>IF(H$2=VLOOKUP(A784,Journal!$A$7:$G$70,7),VLOOKUP(A784,Journal!$A$7:M$70,9),0)</f>
        <v>0</v>
      </c>
      <c r="V784" s="125">
        <f t="shared" si="89"/>
        <v>40</v>
      </c>
      <c r="X784">
        <f t="shared" si="86"/>
        <v>0</v>
      </c>
      <c r="Y784" s="143">
        <f t="shared" si="85"/>
        <v>-979.63157894740084</v>
      </c>
    </row>
    <row r="785" spans="1:25" x14ac:dyDescent="0.25">
      <c r="A785">
        <f t="shared" si="90"/>
        <v>778</v>
      </c>
      <c r="B785" s="88" t="str">
        <f>IF(OR(B784="Total",B784=""),"",IF(VLOOKUP(A785,Journal!$B$7:$E$84,4)=0,"Total",VLOOKUP(A785,Journal!$B$7:$D$84,3)))</f>
        <v/>
      </c>
      <c r="C785" s="86" t="str">
        <f>IF(B785="","",VLOOKUP(A785,Journal!$B$7:$E$84,4))</f>
        <v/>
      </c>
      <c r="D785" s="114" t="str">
        <f>IF(B785="","",VLOOKUP(A785,Journal!$B$7:$J$84,9))</f>
        <v/>
      </c>
      <c r="E785" s="116"/>
      <c r="F785" s="116"/>
      <c r="G785" s="115"/>
      <c r="H785" s="84" t="str">
        <f>IF(B785="","",VLOOKUP(A785,Journal!$B$7:$L$84,11))</f>
        <v/>
      </c>
      <c r="I785" s="84" t="str">
        <f>IF(B785="","",VLOOKUP(A785,Journal!$B$7:$M$84,12))</f>
        <v/>
      </c>
      <c r="J785" s="105">
        <f>IF(B785="Total",SUM(J$8:J784)+0.0001,IF(OR(B785="",I$2=I785),0,VLOOKUP(A785,Journal!$B$7:M$84,8)))</f>
        <v>0</v>
      </c>
      <c r="K785" s="102">
        <f>IF(B785="Total",SUM(K$8:K784)+0.0001,IF(OR(B785="",J785&lt;&gt;0),0,VLOOKUP(A785,Journal!$B$7:M$84,8)))</f>
        <v>0</v>
      </c>
      <c r="L785" s="87">
        <f t="shared" si="84"/>
        <v>0</v>
      </c>
      <c r="P785">
        <f t="shared" si="87"/>
        <v>1.0000000000000001E-5</v>
      </c>
      <c r="R785" s="15">
        <f t="shared" si="88"/>
        <v>778</v>
      </c>
      <c r="S785" s="126">
        <f>IF(VLOOKUP(A785,Journal!$A$7:$E$70,5)=0,S784+1,VLOOKUP(A785,Journal!$A$7:$E$70,5))</f>
        <v>46435</v>
      </c>
      <c r="T785" s="125">
        <f>IF(H$2=VLOOKUP(A785,Journal!$A$7:$F$70,6),VLOOKUP(A785,Journal!$A$7:M$70,9),0)</f>
        <v>0</v>
      </c>
      <c r="U785" s="125">
        <f>IF(H$2=VLOOKUP(A785,Journal!$A$7:$G$70,7),VLOOKUP(A785,Journal!$A$7:M$70,9),0)</f>
        <v>0</v>
      </c>
      <c r="V785" s="125">
        <f t="shared" si="89"/>
        <v>40</v>
      </c>
      <c r="X785">
        <f t="shared" si="86"/>
        <v>0</v>
      </c>
      <c r="Y785" s="143">
        <f t="shared" si="85"/>
        <v>-979.6052631579272</v>
      </c>
    </row>
    <row r="786" spans="1:25" x14ac:dyDescent="0.25">
      <c r="A786">
        <f t="shared" si="90"/>
        <v>779</v>
      </c>
      <c r="B786" s="88" t="str">
        <f>IF(OR(B785="Total",B785=""),"",IF(VLOOKUP(A786,Journal!$B$7:$E$84,4)=0,"Total",VLOOKUP(A786,Journal!$B$7:$D$84,3)))</f>
        <v/>
      </c>
      <c r="C786" s="86" t="str">
        <f>IF(B786="","",VLOOKUP(A786,Journal!$B$7:$E$84,4))</f>
        <v/>
      </c>
      <c r="D786" s="114" t="str">
        <f>IF(B786="","",VLOOKUP(A786,Journal!$B$7:$J$84,9))</f>
        <v/>
      </c>
      <c r="E786" s="116"/>
      <c r="F786" s="116"/>
      <c r="G786" s="115"/>
      <c r="H786" s="84" t="str">
        <f>IF(B786="","",VLOOKUP(A786,Journal!$B$7:$L$84,11))</f>
        <v/>
      </c>
      <c r="I786" s="84" t="str">
        <f>IF(B786="","",VLOOKUP(A786,Journal!$B$7:$M$84,12))</f>
        <v/>
      </c>
      <c r="J786" s="105">
        <f>IF(B786="Total",SUM(J$8:J785)+0.0001,IF(OR(B786="",I$2=I786),0,VLOOKUP(A786,Journal!$B$7:M$84,8)))</f>
        <v>0</v>
      </c>
      <c r="K786" s="102">
        <f>IF(B786="Total",SUM(K$8:K785)+0.0001,IF(OR(B786="",J786&lt;&gt;0),0,VLOOKUP(A786,Journal!$B$7:M$84,8)))</f>
        <v>0</v>
      </c>
      <c r="L786" s="87">
        <f t="shared" si="84"/>
        <v>0</v>
      </c>
      <c r="P786">
        <f t="shared" si="87"/>
        <v>1.0000000000000001E-5</v>
      </c>
      <c r="R786" s="15">
        <f t="shared" si="88"/>
        <v>779</v>
      </c>
      <c r="S786" s="126">
        <f>IF(VLOOKUP(A786,Journal!$A$7:$E$70,5)=0,S785+1,VLOOKUP(A786,Journal!$A$7:$E$70,5))</f>
        <v>46436</v>
      </c>
      <c r="T786" s="125">
        <f>IF(H$2=VLOOKUP(A786,Journal!$A$7:$F$70,6),VLOOKUP(A786,Journal!$A$7:M$70,9),0)</f>
        <v>0</v>
      </c>
      <c r="U786" s="125">
        <f>IF(H$2=VLOOKUP(A786,Journal!$A$7:$G$70,7),VLOOKUP(A786,Journal!$A$7:M$70,9),0)</f>
        <v>0</v>
      </c>
      <c r="V786" s="125">
        <f t="shared" si="89"/>
        <v>40</v>
      </c>
      <c r="X786">
        <f t="shared" si="86"/>
        <v>0</v>
      </c>
      <c r="Y786" s="143">
        <f t="shared" si="85"/>
        <v>-979.57894736845356</v>
      </c>
    </row>
    <row r="787" spans="1:25" x14ac:dyDescent="0.25">
      <c r="A787">
        <f t="shared" si="90"/>
        <v>780</v>
      </c>
      <c r="B787" s="88" t="str">
        <f>IF(OR(B786="Total",B786=""),"",IF(VLOOKUP(A787,Journal!$B$7:$E$84,4)=0,"Total",VLOOKUP(A787,Journal!$B$7:$D$84,3)))</f>
        <v/>
      </c>
      <c r="C787" s="86" t="str">
        <f>IF(B787="","",VLOOKUP(A787,Journal!$B$7:$E$84,4))</f>
        <v/>
      </c>
      <c r="D787" s="114" t="str">
        <f>IF(B787="","",VLOOKUP(A787,Journal!$B$7:$J$84,9))</f>
        <v/>
      </c>
      <c r="E787" s="116"/>
      <c r="F787" s="116"/>
      <c r="G787" s="115"/>
      <c r="H787" s="84" t="str">
        <f>IF(B787="","",VLOOKUP(A787,Journal!$B$7:$L$84,11))</f>
        <v/>
      </c>
      <c r="I787" s="84" t="str">
        <f>IF(B787="","",VLOOKUP(A787,Journal!$B$7:$M$84,12))</f>
        <v/>
      </c>
      <c r="J787" s="105">
        <f>IF(B787="Total",SUM(J$8:J786)+0.0001,IF(OR(B787="",I$2=I787),0,VLOOKUP(A787,Journal!$B$7:M$84,8)))</f>
        <v>0</v>
      </c>
      <c r="K787" s="102">
        <f>IF(B787="Total",SUM(K$8:K786)+0.0001,IF(OR(B787="",J787&lt;&gt;0),0,VLOOKUP(A787,Journal!$B$7:M$84,8)))</f>
        <v>0</v>
      </c>
      <c r="L787" s="87">
        <f t="shared" si="84"/>
        <v>0</v>
      </c>
      <c r="P787">
        <f t="shared" si="87"/>
        <v>1.0000000000000001E-5</v>
      </c>
      <c r="R787" s="15">
        <f t="shared" si="88"/>
        <v>780</v>
      </c>
      <c r="S787" s="126">
        <f>IF(VLOOKUP(A787,Journal!$A$7:$E$70,5)=0,S786+1,VLOOKUP(A787,Journal!$A$7:$E$70,5))</f>
        <v>46437</v>
      </c>
      <c r="T787" s="125">
        <f>IF(H$2=VLOOKUP(A787,Journal!$A$7:$F$70,6),VLOOKUP(A787,Journal!$A$7:M$70,9),0)</f>
        <v>0</v>
      </c>
      <c r="U787" s="125">
        <f>IF(H$2=VLOOKUP(A787,Journal!$A$7:$G$70,7),VLOOKUP(A787,Journal!$A$7:M$70,9),0)</f>
        <v>0</v>
      </c>
      <c r="V787" s="125">
        <f t="shared" si="89"/>
        <v>40</v>
      </c>
      <c r="X787">
        <f t="shared" si="86"/>
        <v>0</v>
      </c>
      <c r="Y787" s="143">
        <f t="shared" si="85"/>
        <v>-979.55263157897991</v>
      </c>
    </row>
    <row r="788" spans="1:25" x14ac:dyDescent="0.25">
      <c r="A788">
        <f t="shared" si="90"/>
        <v>781</v>
      </c>
      <c r="B788" s="88" t="str">
        <f>IF(OR(B787="Total",B787=""),"",IF(VLOOKUP(A788,Journal!$B$7:$E$84,4)=0,"Total",VLOOKUP(A788,Journal!$B$7:$D$84,3)))</f>
        <v/>
      </c>
      <c r="C788" s="86" t="str">
        <f>IF(B788="","",VLOOKUP(A788,Journal!$B$7:$E$84,4))</f>
        <v/>
      </c>
      <c r="D788" s="114" t="str">
        <f>IF(B788="","",VLOOKUP(A788,Journal!$B$7:$J$84,9))</f>
        <v/>
      </c>
      <c r="E788" s="116"/>
      <c r="F788" s="116"/>
      <c r="G788" s="115"/>
      <c r="H788" s="84" t="str">
        <f>IF(B788="","",VLOOKUP(A788,Journal!$B$7:$L$84,11))</f>
        <v/>
      </c>
      <c r="I788" s="84" t="str">
        <f>IF(B788="","",VLOOKUP(A788,Journal!$B$7:$M$84,12))</f>
        <v/>
      </c>
      <c r="J788" s="105">
        <f>IF(B788="Total",SUM(J$8:J787)+0.0001,IF(OR(B788="",I$2=I788),0,VLOOKUP(A788,Journal!$B$7:M$84,8)))</f>
        <v>0</v>
      </c>
      <c r="K788" s="102">
        <f>IF(B788="Total",SUM(K$8:K787)+0.0001,IF(OR(B788="",J788&lt;&gt;0),0,VLOOKUP(A788,Journal!$B$7:M$84,8)))</f>
        <v>0</v>
      </c>
      <c r="L788" s="87">
        <f t="shared" si="84"/>
        <v>0</v>
      </c>
      <c r="P788">
        <f t="shared" si="87"/>
        <v>1.0000000000000001E-5</v>
      </c>
      <c r="R788" s="15">
        <f t="shared" si="88"/>
        <v>781</v>
      </c>
      <c r="S788" s="126">
        <f>IF(VLOOKUP(A788,Journal!$A$7:$E$70,5)=0,S787+1,VLOOKUP(A788,Journal!$A$7:$E$70,5))</f>
        <v>46438</v>
      </c>
      <c r="T788" s="125">
        <f>IF(H$2=VLOOKUP(A788,Journal!$A$7:$F$70,6),VLOOKUP(A788,Journal!$A$7:M$70,9),0)</f>
        <v>0</v>
      </c>
      <c r="U788" s="125">
        <f>IF(H$2=VLOOKUP(A788,Journal!$A$7:$G$70,7),VLOOKUP(A788,Journal!$A$7:M$70,9),0)</f>
        <v>0</v>
      </c>
      <c r="V788" s="125">
        <f t="shared" si="89"/>
        <v>40</v>
      </c>
      <c r="X788">
        <f t="shared" si="86"/>
        <v>0</v>
      </c>
      <c r="Y788" s="143">
        <f t="shared" si="85"/>
        <v>-979.52631578950627</v>
      </c>
    </row>
    <row r="789" spans="1:25" x14ac:dyDescent="0.25">
      <c r="A789">
        <f t="shared" si="90"/>
        <v>782</v>
      </c>
      <c r="B789" s="88" t="str">
        <f>IF(OR(B788="Total",B788=""),"",IF(VLOOKUP(A789,Journal!$B$7:$E$84,4)=0,"Total",VLOOKUP(A789,Journal!$B$7:$D$84,3)))</f>
        <v/>
      </c>
      <c r="C789" s="86" t="str">
        <f>IF(B789="","",VLOOKUP(A789,Journal!$B$7:$E$84,4))</f>
        <v/>
      </c>
      <c r="D789" s="114" t="str">
        <f>IF(B789="","",VLOOKUP(A789,Journal!$B$7:$J$84,9))</f>
        <v/>
      </c>
      <c r="E789" s="116"/>
      <c r="F789" s="116"/>
      <c r="G789" s="115"/>
      <c r="H789" s="84" t="str">
        <f>IF(B789="","",VLOOKUP(A789,Journal!$B$7:$L$84,11))</f>
        <v/>
      </c>
      <c r="I789" s="84" t="str">
        <f>IF(B789="","",VLOOKUP(A789,Journal!$B$7:$M$84,12))</f>
        <v/>
      </c>
      <c r="J789" s="105">
        <f>IF(B789="Total",SUM(J$8:J788)+0.0001,IF(OR(B789="",I$2=I789),0,VLOOKUP(A789,Journal!$B$7:M$84,8)))</f>
        <v>0</v>
      </c>
      <c r="K789" s="102">
        <f>IF(B789="Total",SUM(K$8:K788)+0.0001,IF(OR(B789="",J789&lt;&gt;0),0,VLOOKUP(A789,Journal!$B$7:M$84,8)))</f>
        <v>0</v>
      </c>
      <c r="L789" s="87">
        <f t="shared" si="84"/>
        <v>0</v>
      </c>
      <c r="P789">
        <f t="shared" si="87"/>
        <v>1.0000000000000001E-5</v>
      </c>
      <c r="R789" s="15">
        <f t="shared" si="88"/>
        <v>782</v>
      </c>
      <c r="S789" s="126">
        <f>IF(VLOOKUP(A789,Journal!$A$7:$E$70,5)=0,S788+1,VLOOKUP(A789,Journal!$A$7:$E$70,5))</f>
        <v>46439</v>
      </c>
      <c r="T789" s="125">
        <f>IF(H$2=VLOOKUP(A789,Journal!$A$7:$F$70,6),VLOOKUP(A789,Journal!$A$7:M$70,9),0)</f>
        <v>0</v>
      </c>
      <c r="U789" s="125">
        <f>IF(H$2=VLOOKUP(A789,Journal!$A$7:$G$70,7),VLOOKUP(A789,Journal!$A$7:M$70,9),0)</f>
        <v>0</v>
      </c>
      <c r="V789" s="125">
        <f t="shared" si="89"/>
        <v>40</v>
      </c>
      <c r="X789">
        <f t="shared" si="86"/>
        <v>0</v>
      </c>
      <c r="Y789" s="143">
        <f t="shared" si="85"/>
        <v>-979.50000000003263</v>
      </c>
    </row>
    <row r="790" spans="1:25" x14ac:dyDescent="0.25">
      <c r="A790">
        <f t="shared" si="90"/>
        <v>783</v>
      </c>
      <c r="B790" s="88" t="str">
        <f>IF(OR(B789="Total",B789=""),"",IF(VLOOKUP(A790,Journal!$B$7:$E$84,4)=0,"Total",VLOOKUP(A790,Journal!$B$7:$D$84,3)))</f>
        <v/>
      </c>
      <c r="C790" s="86" t="str">
        <f>IF(B790="","",VLOOKUP(A790,Journal!$B$7:$E$84,4))</f>
        <v/>
      </c>
      <c r="D790" s="114" t="str">
        <f>IF(B790="","",VLOOKUP(A790,Journal!$B$7:$J$84,9))</f>
        <v/>
      </c>
      <c r="E790" s="116"/>
      <c r="F790" s="116"/>
      <c r="G790" s="115"/>
      <c r="H790" s="84" t="str">
        <f>IF(B790="","",VLOOKUP(A790,Journal!$B$7:$L$84,11))</f>
        <v/>
      </c>
      <c r="I790" s="84" t="str">
        <f>IF(B790="","",VLOOKUP(A790,Journal!$B$7:$M$84,12))</f>
        <v/>
      </c>
      <c r="J790" s="105">
        <f>IF(B790="Total",SUM(J$8:J789)+0.0001,IF(OR(B790="",I$2=I790),0,VLOOKUP(A790,Journal!$B$7:M$84,8)))</f>
        <v>0</v>
      </c>
      <c r="K790" s="102">
        <f>IF(B790="Total",SUM(K$8:K789)+0.0001,IF(OR(B790="",J790&lt;&gt;0),0,VLOOKUP(A790,Journal!$B$7:M$84,8)))</f>
        <v>0</v>
      </c>
      <c r="L790" s="87">
        <f t="shared" si="84"/>
        <v>0</v>
      </c>
      <c r="P790">
        <f t="shared" si="87"/>
        <v>1.0000000000000001E-5</v>
      </c>
      <c r="R790" s="15">
        <f t="shared" si="88"/>
        <v>783</v>
      </c>
      <c r="S790" s="126">
        <f>IF(VLOOKUP(A790,Journal!$A$7:$E$70,5)=0,S789+1,VLOOKUP(A790,Journal!$A$7:$E$70,5))</f>
        <v>46440</v>
      </c>
      <c r="T790" s="125">
        <f>IF(H$2=VLOOKUP(A790,Journal!$A$7:$F$70,6),VLOOKUP(A790,Journal!$A$7:M$70,9),0)</f>
        <v>0</v>
      </c>
      <c r="U790" s="125">
        <f>IF(H$2=VLOOKUP(A790,Journal!$A$7:$G$70,7),VLOOKUP(A790,Journal!$A$7:M$70,9),0)</f>
        <v>0</v>
      </c>
      <c r="V790" s="125">
        <f t="shared" si="89"/>
        <v>40</v>
      </c>
      <c r="X790">
        <f t="shared" si="86"/>
        <v>0</v>
      </c>
      <c r="Y790" s="143">
        <f t="shared" si="85"/>
        <v>-979.47368421055899</v>
      </c>
    </row>
    <row r="791" spans="1:25" x14ac:dyDescent="0.25">
      <c r="A791">
        <f t="shared" si="90"/>
        <v>784</v>
      </c>
      <c r="B791" s="88" t="str">
        <f>IF(OR(B790="Total",B790=""),"",IF(VLOOKUP(A791,Journal!$B$7:$E$84,4)=0,"Total",VLOOKUP(A791,Journal!$B$7:$D$84,3)))</f>
        <v/>
      </c>
      <c r="C791" s="86" t="str">
        <f>IF(B791="","",VLOOKUP(A791,Journal!$B$7:$E$84,4))</f>
        <v/>
      </c>
      <c r="D791" s="114" t="str">
        <f>IF(B791="","",VLOOKUP(A791,Journal!$B$7:$J$84,9))</f>
        <v/>
      </c>
      <c r="E791" s="116"/>
      <c r="F791" s="116"/>
      <c r="G791" s="115"/>
      <c r="H791" s="84" t="str">
        <f>IF(B791="","",VLOOKUP(A791,Journal!$B$7:$L$84,11))</f>
        <v/>
      </c>
      <c r="I791" s="84" t="str">
        <f>IF(B791="","",VLOOKUP(A791,Journal!$B$7:$M$84,12))</f>
        <v/>
      </c>
      <c r="J791" s="105">
        <f>IF(B791="Total",SUM(J$8:J790)+0.0001,IF(OR(B791="",I$2=I791),0,VLOOKUP(A791,Journal!$B$7:M$84,8)))</f>
        <v>0</v>
      </c>
      <c r="K791" s="102">
        <f>IF(B791="Total",SUM(K$8:K790)+0.0001,IF(OR(B791="",J791&lt;&gt;0),0,VLOOKUP(A791,Journal!$B$7:M$84,8)))</f>
        <v>0</v>
      </c>
      <c r="L791" s="87">
        <f t="shared" si="84"/>
        <v>0</v>
      </c>
      <c r="P791">
        <f t="shared" si="87"/>
        <v>1.0000000000000001E-5</v>
      </c>
      <c r="R791" s="15">
        <f t="shared" si="88"/>
        <v>784</v>
      </c>
      <c r="S791" s="126">
        <f>IF(VLOOKUP(A791,Journal!$A$7:$E$70,5)=0,S790+1,VLOOKUP(A791,Journal!$A$7:$E$70,5))</f>
        <v>46441</v>
      </c>
      <c r="T791" s="125">
        <f>IF(H$2=VLOOKUP(A791,Journal!$A$7:$F$70,6),VLOOKUP(A791,Journal!$A$7:M$70,9),0)</f>
        <v>0</v>
      </c>
      <c r="U791" s="125">
        <f>IF(H$2=VLOOKUP(A791,Journal!$A$7:$G$70,7),VLOOKUP(A791,Journal!$A$7:M$70,9),0)</f>
        <v>0</v>
      </c>
      <c r="V791" s="125">
        <f t="shared" si="89"/>
        <v>40</v>
      </c>
      <c r="X791">
        <f t="shared" si="86"/>
        <v>0</v>
      </c>
      <c r="Y791" s="143">
        <f t="shared" si="85"/>
        <v>-979.44736842108534</v>
      </c>
    </row>
    <row r="792" spans="1:25" x14ac:dyDescent="0.25">
      <c r="A792">
        <f t="shared" si="90"/>
        <v>785</v>
      </c>
      <c r="B792" s="88" t="str">
        <f>IF(OR(B791="Total",B791=""),"",IF(VLOOKUP(A792,Journal!$B$7:$E$84,4)=0,"Total",VLOOKUP(A792,Journal!$B$7:$D$84,3)))</f>
        <v/>
      </c>
      <c r="C792" s="86" t="str">
        <f>IF(B792="","",VLOOKUP(A792,Journal!$B$7:$E$84,4))</f>
        <v/>
      </c>
      <c r="D792" s="114" t="str">
        <f>IF(B792="","",VLOOKUP(A792,Journal!$B$7:$J$84,9))</f>
        <v/>
      </c>
      <c r="E792" s="116"/>
      <c r="F792" s="116"/>
      <c r="G792" s="115"/>
      <c r="H792" s="84" t="str">
        <f>IF(B792="","",VLOOKUP(A792,Journal!$B$7:$L$84,11))</f>
        <v/>
      </c>
      <c r="I792" s="84" t="str">
        <f>IF(B792="","",VLOOKUP(A792,Journal!$B$7:$M$84,12))</f>
        <v/>
      </c>
      <c r="J792" s="105">
        <f>IF(B792="Total",SUM(J$8:J791)+0.0001,IF(OR(B792="",I$2=I792),0,VLOOKUP(A792,Journal!$B$7:M$84,8)))</f>
        <v>0</v>
      </c>
      <c r="K792" s="102">
        <f>IF(B792="Total",SUM(K$8:K791)+0.0001,IF(OR(B792="",J792&lt;&gt;0),0,VLOOKUP(A792,Journal!$B$7:M$84,8)))</f>
        <v>0</v>
      </c>
      <c r="L792" s="87">
        <f t="shared" si="84"/>
        <v>0</v>
      </c>
      <c r="P792">
        <f t="shared" si="87"/>
        <v>1.0000000000000001E-5</v>
      </c>
      <c r="R792" s="15">
        <f t="shared" si="88"/>
        <v>785</v>
      </c>
      <c r="S792" s="126">
        <f>IF(VLOOKUP(A792,Journal!$A$7:$E$70,5)=0,S791+1,VLOOKUP(A792,Journal!$A$7:$E$70,5))</f>
        <v>46442</v>
      </c>
      <c r="T792" s="125">
        <f>IF(H$2=VLOOKUP(A792,Journal!$A$7:$F$70,6),VLOOKUP(A792,Journal!$A$7:M$70,9),0)</f>
        <v>0</v>
      </c>
      <c r="U792" s="125">
        <f>IF(H$2=VLOOKUP(A792,Journal!$A$7:$G$70,7),VLOOKUP(A792,Journal!$A$7:M$70,9),0)</f>
        <v>0</v>
      </c>
      <c r="V792" s="125">
        <f t="shared" si="89"/>
        <v>40</v>
      </c>
      <c r="X792">
        <f t="shared" si="86"/>
        <v>0</v>
      </c>
      <c r="Y792" s="143">
        <f t="shared" si="85"/>
        <v>-979.4210526316117</v>
      </c>
    </row>
    <row r="793" spans="1:25" x14ac:dyDescent="0.25">
      <c r="A793">
        <f t="shared" si="90"/>
        <v>786</v>
      </c>
      <c r="B793" s="88" t="str">
        <f>IF(OR(B792="Total",B792=""),"",IF(VLOOKUP(A793,Journal!$B$7:$E$84,4)=0,"Total",VLOOKUP(A793,Journal!$B$7:$D$84,3)))</f>
        <v/>
      </c>
      <c r="C793" s="86" t="str">
        <f>IF(B793="","",VLOOKUP(A793,Journal!$B$7:$E$84,4))</f>
        <v/>
      </c>
      <c r="D793" s="114" t="str">
        <f>IF(B793="","",VLOOKUP(A793,Journal!$B$7:$J$84,9))</f>
        <v/>
      </c>
      <c r="E793" s="116"/>
      <c r="F793" s="116"/>
      <c r="G793" s="115"/>
      <c r="H793" s="84" t="str">
        <f>IF(B793="","",VLOOKUP(A793,Journal!$B$7:$L$84,11))</f>
        <v/>
      </c>
      <c r="I793" s="84" t="str">
        <f>IF(B793="","",VLOOKUP(A793,Journal!$B$7:$M$84,12))</f>
        <v/>
      </c>
      <c r="J793" s="105">
        <f>IF(B793="Total",SUM(J$8:J792)+0.0001,IF(OR(B793="",I$2=I793),0,VLOOKUP(A793,Journal!$B$7:M$84,8)))</f>
        <v>0</v>
      </c>
      <c r="K793" s="102">
        <f>IF(B793="Total",SUM(K$8:K792)+0.0001,IF(OR(B793="",J793&lt;&gt;0),0,VLOOKUP(A793,Journal!$B$7:M$84,8)))</f>
        <v>0</v>
      </c>
      <c r="L793" s="87">
        <f t="shared" si="84"/>
        <v>0</v>
      </c>
      <c r="P793">
        <f t="shared" si="87"/>
        <v>1.0000000000000001E-5</v>
      </c>
      <c r="R793" s="15">
        <f t="shared" si="88"/>
        <v>786</v>
      </c>
      <c r="S793" s="126">
        <f>IF(VLOOKUP(A793,Journal!$A$7:$E$70,5)=0,S792+1,VLOOKUP(A793,Journal!$A$7:$E$70,5))</f>
        <v>46443</v>
      </c>
      <c r="T793" s="125">
        <f>IF(H$2=VLOOKUP(A793,Journal!$A$7:$F$70,6),VLOOKUP(A793,Journal!$A$7:M$70,9),0)</f>
        <v>0</v>
      </c>
      <c r="U793" s="125">
        <f>IF(H$2=VLOOKUP(A793,Journal!$A$7:$G$70,7),VLOOKUP(A793,Journal!$A$7:M$70,9),0)</f>
        <v>0</v>
      </c>
      <c r="V793" s="125">
        <f t="shared" si="89"/>
        <v>40</v>
      </c>
      <c r="X793">
        <f t="shared" si="86"/>
        <v>0</v>
      </c>
      <c r="Y793" s="143">
        <f t="shared" si="85"/>
        <v>-979.39473684213806</v>
      </c>
    </row>
    <row r="794" spans="1:25" x14ac:dyDescent="0.25">
      <c r="A794">
        <f t="shared" si="90"/>
        <v>787</v>
      </c>
      <c r="B794" s="88" t="str">
        <f>IF(OR(B793="Total",B793=""),"",IF(VLOOKUP(A794,Journal!$B$7:$E$84,4)=0,"Total",VLOOKUP(A794,Journal!$B$7:$D$84,3)))</f>
        <v/>
      </c>
      <c r="C794" s="86" t="str">
        <f>IF(B794="","",VLOOKUP(A794,Journal!$B$7:$E$84,4))</f>
        <v/>
      </c>
      <c r="D794" s="114" t="str">
        <f>IF(B794="","",VLOOKUP(A794,Journal!$B$7:$J$84,9))</f>
        <v/>
      </c>
      <c r="E794" s="116"/>
      <c r="F794" s="116"/>
      <c r="G794" s="115"/>
      <c r="H794" s="84" t="str">
        <f>IF(B794="","",VLOOKUP(A794,Journal!$B$7:$L$84,11))</f>
        <v/>
      </c>
      <c r="I794" s="84" t="str">
        <f>IF(B794="","",VLOOKUP(A794,Journal!$B$7:$M$84,12))</f>
        <v/>
      </c>
      <c r="J794" s="105">
        <f>IF(B794="Total",SUM(J$8:J793)+0.0001,IF(OR(B794="",I$2=I794),0,VLOOKUP(A794,Journal!$B$7:M$84,8)))</f>
        <v>0</v>
      </c>
      <c r="K794" s="102">
        <f>IF(B794="Total",SUM(K$8:K793)+0.0001,IF(OR(B794="",J794&lt;&gt;0),0,VLOOKUP(A794,Journal!$B$7:M$84,8)))</f>
        <v>0</v>
      </c>
      <c r="L794" s="87">
        <f t="shared" si="84"/>
        <v>0</v>
      </c>
      <c r="P794">
        <f t="shared" si="87"/>
        <v>1.0000000000000001E-5</v>
      </c>
      <c r="R794" s="15">
        <f t="shared" si="88"/>
        <v>787</v>
      </c>
      <c r="S794" s="126">
        <f>IF(VLOOKUP(A794,Journal!$A$7:$E$70,5)=0,S793+1,VLOOKUP(A794,Journal!$A$7:$E$70,5))</f>
        <v>46444</v>
      </c>
      <c r="T794" s="125">
        <f>IF(H$2=VLOOKUP(A794,Journal!$A$7:$F$70,6),VLOOKUP(A794,Journal!$A$7:M$70,9),0)</f>
        <v>0</v>
      </c>
      <c r="U794" s="125">
        <f>IF(H$2=VLOOKUP(A794,Journal!$A$7:$G$70,7),VLOOKUP(A794,Journal!$A$7:M$70,9),0)</f>
        <v>0</v>
      </c>
      <c r="V794" s="125">
        <f t="shared" si="89"/>
        <v>40</v>
      </c>
      <c r="X794">
        <f t="shared" si="86"/>
        <v>0</v>
      </c>
      <c r="Y794" s="143">
        <f t="shared" si="85"/>
        <v>-979.36842105266442</v>
      </c>
    </row>
    <row r="795" spans="1:25" x14ac:dyDescent="0.25">
      <c r="A795">
        <f t="shared" si="90"/>
        <v>788</v>
      </c>
      <c r="B795" s="88" t="str">
        <f>IF(OR(B794="Total",B794=""),"",IF(VLOOKUP(A795,Journal!$B$7:$E$84,4)=0,"Total",VLOOKUP(A795,Journal!$B$7:$D$84,3)))</f>
        <v/>
      </c>
      <c r="C795" s="86" t="str">
        <f>IF(B795="","",VLOOKUP(A795,Journal!$B$7:$E$84,4))</f>
        <v/>
      </c>
      <c r="D795" s="114" t="str">
        <f>IF(B795="","",VLOOKUP(A795,Journal!$B$7:$J$84,9))</f>
        <v/>
      </c>
      <c r="E795" s="116"/>
      <c r="F795" s="116"/>
      <c r="G795" s="115"/>
      <c r="H795" s="84" t="str">
        <f>IF(B795="","",VLOOKUP(A795,Journal!$B$7:$L$84,11))</f>
        <v/>
      </c>
      <c r="I795" s="84" t="str">
        <f>IF(B795="","",VLOOKUP(A795,Journal!$B$7:$M$84,12))</f>
        <v/>
      </c>
      <c r="J795" s="105">
        <f>IF(B795="Total",SUM(J$8:J794)+0.0001,IF(OR(B795="",I$2=I795),0,VLOOKUP(A795,Journal!$B$7:M$84,8)))</f>
        <v>0</v>
      </c>
      <c r="K795" s="102">
        <f>IF(B795="Total",SUM(K$8:K794)+0.0001,IF(OR(B795="",J795&lt;&gt;0),0,VLOOKUP(A795,Journal!$B$7:M$84,8)))</f>
        <v>0</v>
      </c>
      <c r="L795" s="87">
        <f t="shared" si="84"/>
        <v>0</v>
      </c>
      <c r="P795">
        <f t="shared" si="87"/>
        <v>1.0000000000000001E-5</v>
      </c>
      <c r="R795" s="15">
        <f t="shared" si="88"/>
        <v>788</v>
      </c>
      <c r="S795" s="126">
        <f>IF(VLOOKUP(A795,Journal!$A$7:$E$70,5)=0,S794+1,VLOOKUP(A795,Journal!$A$7:$E$70,5))</f>
        <v>46445</v>
      </c>
      <c r="T795" s="125">
        <f>IF(H$2=VLOOKUP(A795,Journal!$A$7:$F$70,6),VLOOKUP(A795,Journal!$A$7:M$70,9),0)</f>
        <v>0</v>
      </c>
      <c r="U795" s="125">
        <f>IF(H$2=VLOOKUP(A795,Journal!$A$7:$G$70,7),VLOOKUP(A795,Journal!$A$7:M$70,9),0)</f>
        <v>0</v>
      </c>
      <c r="V795" s="125">
        <f t="shared" si="89"/>
        <v>40</v>
      </c>
      <c r="X795">
        <f t="shared" si="86"/>
        <v>0</v>
      </c>
      <c r="Y795" s="143">
        <f t="shared" si="85"/>
        <v>-979.34210526319077</v>
      </c>
    </row>
    <row r="796" spans="1:25" x14ac:dyDescent="0.25">
      <c r="A796">
        <f t="shared" si="90"/>
        <v>789</v>
      </c>
      <c r="B796" s="88" t="str">
        <f>IF(OR(B795="Total",B795=""),"",IF(VLOOKUP(A796,Journal!$B$7:$E$84,4)=0,"Total",VLOOKUP(A796,Journal!$B$7:$D$84,3)))</f>
        <v/>
      </c>
      <c r="C796" s="86" t="str">
        <f>IF(B796="","",VLOOKUP(A796,Journal!$B$7:$E$84,4))</f>
        <v/>
      </c>
      <c r="D796" s="114" t="str">
        <f>IF(B796="","",VLOOKUP(A796,Journal!$B$7:$J$84,9))</f>
        <v/>
      </c>
      <c r="E796" s="116"/>
      <c r="F796" s="116"/>
      <c r="G796" s="115"/>
      <c r="H796" s="84" t="str">
        <f>IF(B796="","",VLOOKUP(A796,Journal!$B$7:$L$84,11))</f>
        <v/>
      </c>
      <c r="I796" s="84" t="str">
        <f>IF(B796="","",VLOOKUP(A796,Journal!$B$7:$M$84,12))</f>
        <v/>
      </c>
      <c r="J796" s="105">
        <f>IF(B796="Total",SUM(J$8:J795)+0.0001,IF(OR(B796="",I$2=I796),0,VLOOKUP(A796,Journal!$B$7:M$84,8)))</f>
        <v>0</v>
      </c>
      <c r="K796" s="102">
        <f>IF(B796="Total",SUM(K$8:K795)+0.0001,IF(OR(B796="",J796&lt;&gt;0),0,VLOOKUP(A796,Journal!$B$7:M$84,8)))</f>
        <v>0</v>
      </c>
      <c r="L796" s="87">
        <f t="shared" si="84"/>
        <v>0</v>
      </c>
      <c r="P796">
        <f t="shared" si="87"/>
        <v>1.0000000000000001E-5</v>
      </c>
      <c r="R796" s="15">
        <f t="shared" si="88"/>
        <v>789</v>
      </c>
      <c r="S796" s="126">
        <f>IF(VLOOKUP(A796,Journal!$A$7:$E$70,5)=0,S795+1,VLOOKUP(A796,Journal!$A$7:$E$70,5))</f>
        <v>46446</v>
      </c>
      <c r="T796" s="125">
        <f>IF(H$2=VLOOKUP(A796,Journal!$A$7:$F$70,6),VLOOKUP(A796,Journal!$A$7:M$70,9),0)</f>
        <v>0</v>
      </c>
      <c r="U796" s="125">
        <f>IF(H$2=VLOOKUP(A796,Journal!$A$7:$G$70,7),VLOOKUP(A796,Journal!$A$7:M$70,9),0)</f>
        <v>0</v>
      </c>
      <c r="V796" s="125">
        <f t="shared" si="89"/>
        <v>40</v>
      </c>
      <c r="X796">
        <f t="shared" si="86"/>
        <v>0</v>
      </c>
      <c r="Y796" s="143">
        <f t="shared" si="85"/>
        <v>-979.31578947371713</v>
      </c>
    </row>
    <row r="797" spans="1:25" x14ac:dyDescent="0.25">
      <c r="A797">
        <f t="shared" si="90"/>
        <v>790</v>
      </c>
      <c r="B797" s="88" t="str">
        <f>IF(OR(B796="Total",B796=""),"",IF(VLOOKUP(A797,Journal!$B$7:$E$84,4)=0,"Total",VLOOKUP(A797,Journal!$B$7:$D$84,3)))</f>
        <v/>
      </c>
      <c r="C797" s="86" t="str">
        <f>IF(B797="","",VLOOKUP(A797,Journal!$B$7:$E$84,4))</f>
        <v/>
      </c>
      <c r="D797" s="114" t="str">
        <f>IF(B797="","",VLOOKUP(A797,Journal!$B$7:$J$84,9))</f>
        <v/>
      </c>
      <c r="E797" s="116"/>
      <c r="F797" s="116"/>
      <c r="G797" s="115"/>
      <c r="H797" s="84" t="str">
        <f>IF(B797="","",VLOOKUP(A797,Journal!$B$7:$L$84,11))</f>
        <v/>
      </c>
      <c r="I797" s="84" t="str">
        <f>IF(B797="","",VLOOKUP(A797,Journal!$B$7:$M$84,12))</f>
        <v/>
      </c>
      <c r="J797" s="105">
        <f>IF(B797="Total",SUM(J$8:J796)+0.0001,IF(OR(B797="",I$2=I797),0,VLOOKUP(A797,Journal!$B$7:M$84,8)))</f>
        <v>0</v>
      </c>
      <c r="K797" s="102">
        <f>IF(B797="Total",SUM(K$8:K796)+0.0001,IF(OR(B797="",J797&lt;&gt;0),0,VLOOKUP(A797,Journal!$B$7:M$84,8)))</f>
        <v>0</v>
      </c>
      <c r="L797" s="87">
        <f t="shared" si="84"/>
        <v>0</v>
      </c>
      <c r="P797">
        <f t="shared" si="87"/>
        <v>1.0000000000000001E-5</v>
      </c>
      <c r="R797" s="15">
        <f t="shared" si="88"/>
        <v>790</v>
      </c>
      <c r="S797" s="126">
        <f>IF(VLOOKUP(A797,Journal!$A$7:$E$70,5)=0,S796+1,VLOOKUP(A797,Journal!$A$7:$E$70,5))</f>
        <v>46447</v>
      </c>
      <c r="T797" s="125">
        <f>IF(H$2=VLOOKUP(A797,Journal!$A$7:$F$70,6),VLOOKUP(A797,Journal!$A$7:M$70,9),0)</f>
        <v>0</v>
      </c>
      <c r="U797" s="125">
        <f>IF(H$2=VLOOKUP(A797,Journal!$A$7:$G$70,7),VLOOKUP(A797,Journal!$A$7:M$70,9),0)</f>
        <v>0</v>
      </c>
      <c r="V797" s="125">
        <f t="shared" si="89"/>
        <v>40</v>
      </c>
      <c r="X797">
        <f t="shared" si="86"/>
        <v>0</v>
      </c>
      <c r="Y797" s="143">
        <f t="shared" si="85"/>
        <v>-979.28947368424349</v>
      </c>
    </row>
    <row r="798" spans="1:25" x14ac:dyDescent="0.25">
      <c r="A798">
        <f t="shared" si="90"/>
        <v>791</v>
      </c>
      <c r="B798" s="88" t="str">
        <f>IF(OR(B797="Total",B797=""),"",IF(VLOOKUP(A798,Journal!$B$7:$E$84,4)=0,"Total",VLOOKUP(A798,Journal!$B$7:$D$84,3)))</f>
        <v/>
      </c>
      <c r="C798" s="86" t="str">
        <f>IF(B798="","",VLOOKUP(A798,Journal!$B$7:$E$84,4))</f>
        <v/>
      </c>
      <c r="D798" s="114" t="str">
        <f>IF(B798="","",VLOOKUP(A798,Journal!$B$7:$J$84,9))</f>
        <v/>
      </c>
      <c r="E798" s="116"/>
      <c r="F798" s="116"/>
      <c r="G798" s="115"/>
      <c r="H798" s="84" t="str">
        <f>IF(B798="","",VLOOKUP(A798,Journal!$B$7:$L$84,11))</f>
        <v/>
      </c>
      <c r="I798" s="84" t="str">
        <f>IF(B798="","",VLOOKUP(A798,Journal!$B$7:$M$84,12))</f>
        <v/>
      </c>
      <c r="J798" s="105">
        <f>IF(B798="Total",SUM(J$8:J797)+0.0001,IF(OR(B798="",I$2=I798),0,VLOOKUP(A798,Journal!$B$7:M$84,8)))</f>
        <v>0</v>
      </c>
      <c r="K798" s="102">
        <f>IF(B798="Total",SUM(K$8:K797)+0.0001,IF(OR(B798="",J798&lt;&gt;0),0,VLOOKUP(A798,Journal!$B$7:M$84,8)))</f>
        <v>0</v>
      </c>
      <c r="L798" s="87">
        <f t="shared" si="84"/>
        <v>0</v>
      </c>
      <c r="P798">
        <f t="shared" si="87"/>
        <v>1.0000000000000001E-5</v>
      </c>
      <c r="R798" s="15">
        <f t="shared" si="88"/>
        <v>791</v>
      </c>
      <c r="S798" s="126">
        <f>IF(VLOOKUP(A798,Journal!$A$7:$E$70,5)=0,S797+1,VLOOKUP(A798,Journal!$A$7:$E$70,5))</f>
        <v>46448</v>
      </c>
      <c r="T798" s="125">
        <f>IF(H$2=VLOOKUP(A798,Journal!$A$7:$F$70,6),VLOOKUP(A798,Journal!$A$7:M$70,9),0)</f>
        <v>0</v>
      </c>
      <c r="U798" s="125">
        <f>IF(H$2=VLOOKUP(A798,Journal!$A$7:$G$70,7),VLOOKUP(A798,Journal!$A$7:M$70,9),0)</f>
        <v>0</v>
      </c>
      <c r="V798" s="125">
        <f t="shared" si="89"/>
        <v>40</v>
      </c>
      <c r="X798">
        <f t="shared" si="86"/>
        <v>0</v>
      </c>
      <c r="Y798" s="143">
        <f t="shared" si="85"/>
        <v>-979.26315789476985</v>
      </c>
    </row>
    <row r="799" spans="1:25" x14ac:dyDescent="0.25">
      <c r="A799">
        <f t="shared" si="90"/>
        <v>792</v>
      </c>
      <c r="B799" s="88" t="str">
        <f>IF(OR(B798="Total",B798=""),"",IF(VLOOKUP(A799,Journal!$B$7:$E$84,4)=0,"Total",VLOOKUP(A799,Journal!$B$7:$D$84,3)))</f>
        <v/>
      </c>
      <c r="C799" s="86" t="str">
        <f>IF(B799="","",VLOOKUP(A799,Journal!$B$7:$E$84,4))</f>
        <v/>
      </c>
      <c r="D799" s="114" t="str">
        <f>IF(B799="","",VLOOKUP(A799,Journal!$B$7:$J$84,9))</f>
        <v/>
      </c>
      <c r="E799" s="116"/>
      <c r="F799" s="116"/>
      <c r="G799" s="115"/>
      <c r="H799" s="84" t="str">
        <f>IF(B799="","",VLOOKUP(A799,Journal!$B$7:$L$84,11))</f>
        <v/>
      </c>
      <c r="I799" s="84" t="str">
        <f>IF(B799="","",VLOOKUP(A799,Journal!$B$7:$M$84,12))</f>
        <v/>
      </c>
      <c r="J799" s="105">
        <f>IF(B799="Total",SUM(J$8:J798)+0.0001,IF(OR(B799="",I$2=I799),0,VLOOKUP(A799,Journal!$B$7:M$84,8)))</f>
        <v>0</v>
      </c>
      <c r="K799" s="102">
        <f>IF(B799="Total",SUM(K$8:K798)+0.0001,IF(OR(B799="",J799&lt;&gt;0),0,VLOOKUP(A799,Journal!$B$7:M$84,8)))</f>
        <v>0</v>
      </c>
      <c r="L799" s="87">
        <f t="shared" si="84"/>
        <v>0</v>
      </c>
      <c r="P799">
        <f t="shared" si="87"/>
        <v>1.0000000000000001E-5</v>
      </c>
      <c r="R799" s="15">
        <f t="shared" si="88"/>
        <v>792</v>
      </c>
      <c r="S799" s="126">
        <f>IF(VLOOKUP(A799,Journal!$A$7:$E$70,5)=0,S798+1,VLOOKUP(A799,Journal!$A$7:$E$70,5))</f>
        <v>46449</v>
      </c>
      <c r="T799" s="125">
        <f>IF(H$2=VLOOKUP(A799,Journal!$A$7:$F$70,6),VLOOKUP(A799,Journal!$A$7:M$70,9),0)</f>
        <v>0</v>
      </c>
      <c r="U799" s="125">
        <f>IF(H$2=VLOOKUP(A799,Journal!$A$7:$G$70,7),VLOOKUP(A799,Journal!$A$7:M$70,9),0)</f>
        <v>0</v>
      </c>
      <c r="V799" s="125">
        <f t="shared" si="89"/>
        <v>40</v>
      </c>
      <c r="X799">
        <f t="shared" si="86"/>
        <v>0</v>
      </c>
      <c r="Y799" s="143">
        <f t="shared" si="85"/>
        <v>-979.2368421052962</v>
      </c>
    </row>
    <row r="800" spans="1:25" x14ac:dyDescent="0.25">
      <c r="A800">
        <f t="shared" si="90"/>
        <v>793</v>
      </c>
      <c r="B800" s="88" t="str">
        <f>IF(OR(B799="Total",B799=""),"",IF(VLOOKUP(A800,Journal!$B$7:$E$84,4)=0,"Total",VLOOKUP(A800,Journal!$B$7:$D$84,3)))</f>
        <v/>
      </c>
      <c r="C800" s="86" t="str">
        <f>IF(B800="","",VLOOKUP(A800,Journal!$B$7:$E$84,4))</f>
        <v/>
      </c>
      <c r="D800" s="114" t="str">
        <f>IF(B800="","",VLOOKUP(A800,Journal!$B$7:$J$84,9))</f>
        <v/>
      </c>
      <c r="E800" s="116"/>
      <c r="F800" s="116"/>
      <c r="G800" s="115"/>
      <c r="H800" s="84" t="str">
        <f>IF(B800="","",VLOOKUP(A800,Journal!$B$7:$L$84,11))</f>
        <v/>
      </c>
      <c r="I800" s="84" t="str">
        <f>IF(B800="","",VLOOKUP(A800,Journal!$B$7:$M$84,12))</f>
        <v/>
      </c>
      <c r="J800" s="105">
        <f>IF(B800="Total",SUM(J$8:J799)+0.0001,IF(OR(B800="",I$2=I800),0,VLOOKUP(A800,Journal!$B$7:M$84,8)))</f>
        <v>0</v>
      </c>
      <c r="K800" s="102">
        <f>IF(B800="Total",SUM(K$8:K799)+0.0001,IF(OR(B800="",J800&lt;&gt;0),0,VLOOKUP(A800,Journal!$B$7:M$84,8)))</f>
        <v>0</v>
      </c>
      <c r="L800" s="87">
        <f t="shared" si="84"/>
        <v>0</v>
      </c>
      <c r="P800">
        <f t="shared" si="87"/>
        <v>1.0000000000000001E-5</v>
      </c>
      <c r="R800" s="15">
        <f t="shared" si="88"/>
        <v>793</v>
      </c>
      <c r="S800" s="126">
        <f>IF(VLOOKUP(A800,Journal!$A$7:$E$70,5)=0,S799+1,VLOOKUP(A800,Journal!$A$7:$E$70,5))</f>
        <v>46450</v>
      </c>
      <c r="T800" s="125">
        <f>IF(H$2=VLOOKUP(A800,Journal!$A$7:$F$70,6),VLOOKUP(A800,Journal!$A$7:M$70,9),0)</f>
        <v>0</v>
      </c>
      <c r="U800" s="125">
        <f>IF(H$2=VLOOKUP(A800,Journal!$A$7:$G$70,7),VLOOKUP(A800,Journal!$A$7:M$70,9),0)</f>
        <v>0</v>
      </c>
      <c r="V800" s="125">
        <f t="shared" si="89"/>
        <v>40</v>
      </c>
      <c r="X800">
        <f t="shared" si="86"/>
        <v>0</v>
      </c>
      <c r="Y800" s="143">
        <f t="shared" si="85"/>
        <v>-979.21052631582256</v>
      </c>
    </row>
    <row r="801" spans="1:25" x14ac:dyDescent="0.25">
      <c r="A801">
        <f t="shared" si="90"/>
        <v>794</v>
      </c>
      <c r="B801" s="88" t="str">
        <f>IF(OR(B800="Total",B800=""),"",IF(VLOOKUP(A801,Journal!$B$7:$E$84,4)=0,"Total",VLOOKUP(A801,Journal!$B$7:$D$84,3)))</f>
        <v/>
      </c>
      <c r="C801" s="86" t="str">
        <f>IF(B801="","",VLOOKUP(A801,Journal!$B$7:$E$84,4))</f>
        <v/>
      </c>
      <c r="D801" s="114" t="str">
        <f>IF(B801="","",VLOOKUP(A801,Journal!$B$7:$J$84,9))</f>
        <v/>
      </c>
      <c r="E801" s="116"/>
      <c r="F801" s="116"/>
      <c r="G801" s="115"/>
      <c r="H801" s="84" t="str">
        <f>IF(B801="","",VLOOKUP(A801,Journal!$B$7:$L$84,11))</f>
        <v/>
      </c>
      <c r="I801" s="84" t="str">
        <f>IF(B801="","",VLOOKUP(A801,Journal!$B$7:$M$84,12))</f>
        <v/>
      </c>
      <c r="J801" s="105">
        <f>IF(B801="Total",SUM(J$8:J800)+0.0001,IF(OR(B801="",I$2=I801),0,VLOOKUP(A801,Journal!$B$7:M$84,8)))</f>
        <v>0</v>
      </c>
      <c r="K801" s="102">
        <f>IF(B801="Total",SUM(K$8:K800)+0.0001,IF(OR(B801="",J801&lt;&gt;0),0,VLOOKUP(A801,Journal!$B$7:M$84,8)))</f>
        <v>0</v>
      </c>
      <c r="L801" s="87">
        <f t="shared" si="84"/>
        <v>0</v>
      </c>
      <c r="P801">
        <f t="shared" si="87"/>
        <v>1.0000000000000001E-5</v>
      </c>
      <c r="R801" s="15">
        <f t="shared" si="88"/>
        <v>794</v>
      </c>
      <c r="S801" s="126">
        <f>IF(VLOOKUP(A801,Journal!$A$7:$E$70,5)=0,S800+1,VLOOKUP(A801,Journal!$A$7:$E$70,5))</f>
        <v>46451</v>
      </c>
      <c r="T801" s="125">
        <f>IF(H$2=VLOOKUP(A801,Journal!$A$7:$F$70,6),VLOOKUP(A801,Journal!$A$7:M$70,9),0)</f>
        <v>0</v>
      </c>
      <c r="U801" s="125">
        <f>IF(H$2=VLOOKUP(A801,Journal!$A$7:$G$70,7),VLOOKUP(A801,Journal!$A$7:M$70,9),0)</f>
        <v>0</v>
      </c>
      <c r="V801" s="125">
        <f t="shared" si="89"/>
        <v>40</v>
      </c>
      <c r="X801">
        <f t="shared" si="86"/>
        <v>0</v>
      </c>
      <c r="Y801" s="143">
        <f t="shared" si="85"/>
        <v>-979.18421052634892</v>
      </c>
    </row>
    <row r="802" spans="1:25" x14ac:dyDescent="0.25">
      <c r="A802">
        <f t="shared" si="90"/>
        <v>795</v>
      </c>
      <c r="B802" s="88" t="str">
        <f>IF(OR(B801="Total",B801=""),"",IF(VLOOKUP(A802,Journal!$B$7:$E$84,4)=0,"Total",VLOOKUP(A802,Journal!$B$7:$D$84,3)))</f>
        <v/>
      </c>
      <c r="C802" s="86" t="str">
        <f>IF(B802="","",VLOOKUP(A802,Journal!$B$7:$E$84,4))</f>
        <v/>
      </c>
      <c r="D802" s="114" t="str">
        <f>IF(B802="","",VLOOKUP(A802,Journal!$B$7:$J$84,9))</f>
        <v/>
      </c>
      <c r="E802" s="116"/>
      <c r="F802" s="116"/>
      <c r="G802" s="115"/>
      <c r="H802" s="84" t="str">
        <f>IF(B802="","",VLOOKUP(A802,Journal!$B$7:$L$84,11))</f>
        <v/>
      </c>
      <c r="I802" s="84" t="str">
        <f>IF(B802="","",VLOOKUP(A802,Journal!$B$7:$M$84,12))</f>
        <v/>
      </c>
      <c r="J802" s="105">
        <f>IF(B802="Total",SUM(J$8:J801)+0.0001,IF(OR(B802="",I$2=I802),0,VLOOKUP(A802,Journal!$B$7:M$84,8)))</f>
        <v>0</v>
      </c>
      <c r="K802" s="102">
        <f>IF(B802="Total",SUM(K$8:K801)+0.0001,IF(OR(B802="",J802&lt;&gt;0),0,VLOOKUP(A802,Journal!$B$7:M$84,8)))</f>
        <v>0</v>
      </c>
      <c r="L802" s="87">
        <f t="shared" si="84"/>
        <v>0</v>
      </c>
      <c r="P802">
        <f t="shared" si="87"/>
        <v>1.0000000000000001E-5</v>
      </c>
      <c r="R802" s="15">
        <f t="shared" si="88"/>
        <v>795</v>
      </c>
      <c r="S802" s="126">
        <f>IF(VLOOKUP(A802,Journal!$A$7:$E$70,5)=0,S801+1,VLOOKUP(A802,Journal!$A$7:$E$70,5))</f>
        <v>46452</v>
      </c>
      <c r="T802" s="125">
        <f>IF(H$2=VLOOKUP(A802,Journal!$A$7:$F$70,6),VLOOKUP(A802,Journal!$A$7:M$70,9),0)</f>
        <v>0</v>
      </c>
      <c r="U802" s="125">
        <f>IF(H$2=VLOOKUP(A802,Journal!$A$7:$G$70,7),VLOOKUP(A802,Journal!$A$7:M$70,9),0)</f>
        <v>0</v>
      </c>
      <c r="V802" s="125">
        <f t="shared" si="89"/>
        <v>40</v>
      </c>
      <c r="X802">
        <f t="shared" si="86"/>
        <v>0</v>
      </c>
      <c r="Y802" s="143">
        <f t="shared" si="85"/>
        <v>-979.15789473687528</v>
      </c>
    </row>
    <row r="803" spans="1:25" x14ac:dyDescent="0.25">
      <c r="A803">
        <f t="shared" si="90"/>
        <v>796</v>
      </c>
      <c r="B803" s="88" t="str">
        <f>IF(OR(B802="Total",B802=""),"",IF(VLOOKUP(A803,Journal!$B$7:$E$84,4)=0,"Total",VLOOKUP(A803,Journal!$B$7:$D$84,3)))</f>
        <v/>
      </c>
      <c r="C803" s="86" t="str">
        <f>IF(B803="","",VLOOKUP(A803,Journal!$B$7:$E$84,4))</f>
        <v/>
      </c>
      <c r="D803" s="114" t="str">
        <f>IF(B803="","",VLOOKUP(A803,Journal!$B$7:$J$84,9))</f>
        <v/>
      </c>
      <c r="E803" s="116"/>
      <c r="F803" s="116"/>
      <c r="G803" s="115"/>
      <c r="H803" s="84" t="str">
        <f>IF(B803="","",VLOOKUP(A803,Journal!$B$7:$L$84,11))</f>
        <v/>
      </c>
      <c r="I803" s="84" t="str">
        <f>IF(B803="","",VLOOKUP(A803,Journal!$B$7:$M$84,12))</f>
        <v/>
      </c>
      <c r="J803" s="105">
        <f>IF(B803="Total",SUM(J$8:J802)+0.0001,IF(OR(B803="",I$2=I803),0,VLOOKUP(A803,Journal!$B$7:M$84,8)))</f>
        <v>0</v>
      </c>
      <c r="K803" s="102">
        <f>IF(B803="Total",SUM(K$8:K802)+0.0001,IF(OR(B803="",J803&lt;&gt;0),0,VLOOKUP(A803,Journal!$B$7:M$84,8)))</f>
        <v>0</v>
      </c>
      <c r="L803" s="87">
        <f t="shared" si="84"/>
        <v>0</v>
      </c>
      <c r="P803">
        <f t="shared" si="87"/>
        <v>1.0000000000000001E-5</v>
      </c>
      <c r="R803" s="15">
        <f t="shared" si="88"/>
        <v>796</v>
      </c>
      <c r="S803" s="126">
        <f>IF(VLOOKUP(A803,Journal!$A$7:$E$70,5)=0,S802+1,VLOOKUP(A803,Journal!$A$7:$E$70,5))</f>
        <v>46453</v>
      </c>
      <c r="T803" s="125">
        <f>IF(H$2=VLOOKUP(A803,Journal!$A$7:$F$70,6),VLOOKUP(A803,Journal!$A$7:M$70,9),0)</f>
        <v>0</v>
      </c>
      <c r="U803" s="125">
        <f>IF(H$2=VLOOKUP(A803,Journal!$A$7:$G$70,7),VLOOKUP(A803,Journal!$A$7:M$70,9),0)</f>
        <v>0</v>
      </c>
      <c r="V803" s="125">
        <f t="shared" si="89"/>
        <v>40</v>
      </c>
      <c r="X803">
        <f t="shared" si="86"/>
        <v>0</v>
      </c>
      <c r="Y803" s="143">
        <f t="shared" si="85"/>
        <v>-979.13157894740164</v>
      </c>
    </row>
    <row r="804" spans="1:25" x14ac:dyDescent="0.25">
      <c r="A804">
        <f t="shared" si="90"/>
        <v>797</v>
      </c>
      <c r="B804" s="88" t="str">
        <f>IF(OR(B803="Total",B803=""),"",IF(VLOOKUP(A804,Journal!$B$7:$E$84,4)=0,"Total",VLOOKUP(A804,Journal!$B$7:$D$84,3)))</f>
        <v/>
      </c>
      <c r="C804" s="86" t="str">
        <f>IF(B804="","",VLOOKUP(A804,Journal!$B$7:$E$84,4))</f>
        <v/>
      </c>
      <c r="D804" s="114" t="str">
        <f>IF(B804="","",VLOOKUP(A804,Journal!$B$7:$J$84,9))</f>
        <v/>
      </c>
      <c r="E804" s="116"/>
      <c r="F804" s="116"/>
      <c r="G804" s="115"/>
      <c r="H804" s="84" t="str">
        <f>IF(B804="","",VLOOKUP(A804,Journal!$B$7:$L$84,11))</f>
        <v/>
      </c>
      <c r="I804" s="84" t="str">
        <f>IF(B804="","",VLOOKUP(A804,Journal!$B$7:$M$84,12))</f>
        <v/>
      </c>
      <c r="J804" s="105">
        <f>IF(B804="Total",SUM(J$8:J803)+0.0001,IF(OR(B804="",I$2=I804),0,VLOOKUP(A804,Journal!$B$7:M$84,8)))</f>
        <v>0</v>
      </c>
      <c r="K804" s="102">
        <f>IF(B804="Total",SUM(K$8:K803)+0.0001,IF(OR(B804="",J804&lt;&gt;0),0,VLOOKUP(A804,Journal!$B$7:M$84,8)))</f>
        <v>0</v>
      </c>
      <c r="L804" s="87">
        <f t="shared" si="84"/>
        <v>0</v>
      </c>
      <c r="P804">
        <f t="shared" si="87"/>
        <v>1.0000000000000001E-5</v>
      </c>
      <c r="R804" s="15">
        <f t="shared" si="88"/>
        <v>797</v>
      </c>
      <c r="S804" s="126">
        <f>IF(VLOOKUP(A804,Journal!$A$7:$E$70,5)=0,S803+1,VLOOKUP(A804,Journal!$A$7:$E$70,5))</f>
        <v>46454</v>
      </c>
      <c r="T804" s="125">
        <f>IF(H$2=VLOOKUP(A804,Journal!$A$7:$F$70,6),VLOOKUP(A804,Journal!$A$7:M$70,9),0)</f>
        <v>0</v>
      </c>
      <c r="U804" s="125">
        <f>IF(H$2=VLOOKUP(A804,Journal!$A$7:$G$70,7),VLOOKUP(A804,Journal!$A$7:M$70,9),0)</f>
        <v>0</v>
      </c>
      <c r="V804" s="125">
        <f t="shared" si="89"/>
        <v>40</v>
      </c>
      <c r="X804">
        <f t="shared" si="86"/>
        <v>0</v>
      </c>
      <c r="Y804" s="143">
        <f t="shared" si="85"/>
        <v>-979.10526315792799</v>
      </c>
    </row>
    <row r="805" spans="1:25" x14ac:dyDescent="0.25">
      <c r="A805">
        <f t="shared" si="90"/>
        <v>798</v>
      </c>
      <c r="B805" s="88" t="str">
        <f>IF(OR(B804="Total",B804=""),"",IF(VLOOKUP(A805,Journal!$B$7:$E$84,4)=0,"Total",VLOOKUP(A805,Journal!$B$7:$D$84,3)))</f>
        <v/>
      </c>
      <c r="C805" s="86" t="str">
        <f>IF(B805="","",VLOOKUP(A805,Journal!$B$7:$E$84,4))</f>
        <v/>
      </c>
      <c r="D805" s="114" t="str">
        <f>IF(B805="","",VLOOKUP(A805,Journal!$B$7:$J$84,9))</f>
        <v/>
      </c>
      <c r="E805" s="116"/>
      <c r="F805" s="116"/>
      <c r="G805" s="115"/>
      <c r="H805" s="84" t="str">
        <f>IF(B805="","",VLOOKUP(A805,Journal!$B$7:$L$84,11))</f>
        <v/>
      </c>
      <c r="I805" s="84" t="str">
        <f>IF(B805="","",VLOOKUP(A805,Journal!$B$7:$M$84,12))</f>
        <v/>
      </c>
      <c r="J805" s="105">
        <f>IF(B805="Total",SUM(J$8:J804)+0.0001,IF(OR(B805="",I$2=I805),0,VLOOKUP(A805,Journal!$B$7:M$84,8)))</f>
        <v>0</v>
      </c>
      <c r="K805" s="102">
        <f>IF(B805="Total",SUM(K$8:K804)+0.0001,IF(OR(B805="",J805&lt;&gt;0),0,VLOOKUP(A805,Journal!$B$7:M$84,8)))</f>
        <v>0</v>
      </c>
      <c r="L805" s="87">
        <f t="shared" si="84"/>
        <v>0</v>
      </c>
      <c r="P805">
        <f t="shared" si="87"/>
        <v>1.0000000000000001E-5</v>
      </c>
      <c r="R805" s="15">
        <f t="shared" si="88"/>
        <v>798</v>
      </c>
      <c r="S805" s="126">
        <f>IF(VLOOKUP(A805,Journal!$A$7:$E$70,5)=0,S804+1,VLOOKUP(A805,Journal!$A$7:$E$70,5))</f>
        <v>46455</v>
      </c>
      <c r="T805" s="125">
        <f>IF(H$2=VLOOKUP(A805,Journal!$A$7:$F$70,6),VLOOKUP(A805,Journal!$A$7:M$70,9),0)</f>
        <v>0</v>
      </c>
      <c r="U805" s="125">
        <f>IF(H$2=VLOOKUP(A805,Journal!$A$7:$G$70,7),VLOOKUP(A805,Journal!$A$7:M$70,9),0)</f>
        <v>0</v>
      </c>
      <c r="V805" s="125">
        <f t="shared" si="89"/>
        <v>40</v>
      </c>
      <c r="X805">
        <f t="shared" si="86"/>
        <v>0</v>
      </c>
      <c r="Y805" s="143">
        <f t="shared" si="85"/>
        <v>-979.07894736845435</v>
      </c>
    </row>
    <row r="806" spans="1:25" x14ac:dyDescent="0.25">
      <c r="A806">
        <f t="shared" si="90"/>
        <v>799</v>
      </c>
      <c r="B806" s="88" t="str">
        <f>IF(OR(B805="Total",B805=""),"",IF(VLOOKUP(A806,Journal!$B$7:$E$84,4)=0,"Total",VLOOKUP(A806,Journal!$B$7:$D$84,3)))</f>
        <v/>
      </c>
      <c r="C806" s="86" t="str">
        <f>IF(B806="","",VLOOKUP(A806,Journal!$B$7:$E$84,4))</f>
        <v/>
      </c>
      <c r="D806" s="114" t="str">
        <f>IF(B806="","",VLOOKUP(A806,Journal!$B$7:$J$84,9))</f>
        <v/>
      </c>
      <c r="E806" s="116"/>
      <c r="F806" s="116"/>
      <c r="G806" s="115"/>
      <c r="H806" s="84" t="str">
        <f>IF(B806="","",VLOOKUP(A806,Journal!$B$7:$L$84,11))</f>
        <v/>
      </c>
      <c r="I806" s="84" t="str">
        <f>IF(B806="","",VLOOKUP(A806,Journal!$B$7:$M$84,12))</f>
        <v/>
      </c>
      <c r="J806" s="105">
        <f>IF(B806="Total",SUM(J$8:J805)+0.0001,IF(OR(B806="",I$2=I806),0,VLOOKUP(A806,Journal!$B$7:M$84,8)))</f>
        <v>0</v>
      </c>
      <c r="K806" s="102">
        <f>IF(B806="Total",SUM(K$8:K805)+0.0001,IF(OR(B806="",J806&lt;&gt;0),0,VLOOKUP(A806,Journal!$B$7:M$84,8)))</f>
        <v>0</v>
      </c>
      <c r="L806" s="87">
        <f t="shared" si="84"/>
        <v>0</v>
      </c>
      <c r="P806">
        <f t="shared" si="87"/>
        <v>1.0000000000000001E-5</v>
      </c>
      <c r="R806" s="15">
        <f t="shared" si="88"/>
        <v>799</v>
      </c>
      <c r="S806" s="126">
        <f>IF(VLOOKUP(A806,Journal!$A$7:$E$70,5)=0,S805+1,VLOOKUP(A806,Journal!$A$7:$E$70,5))</f>
        <v>46456</v>
      </c>
      <c r="T806" s="125">
        <f>IF(H$2=VLOOKUP(A806,Journal!$A$7:$F$70,6),VLOOKUP(A806,Journal!$A$7:M$70,9),0)</f>
        <v>0</v>
      </c>
      <c r="U806" s="125">
        <f>IF(H$2=VLOOKUP(A806,Journal!$A$7:$G$70,7),VLOOKUP(A806,Journal!$A$7:M$70,9),0)</f>
        <v>0</v>
      </c>
      <c r="V806" s="125">
        <f t="shared" si="89"/>
        <v>40</v>
      </c>
      <c r="X806">
        <f t="shared" si="86"/>
        <v>0</v>
      </c>
      <c r="Y806" s="143">
        <f t="shared" si="85"/>
        <v>-979.05263157898071</v>
      </c>
    </row>
    <row r="807" spans="1:25" x14ac:dyDescent="0.25">
      <c r="A807">
        <f t="shared" si="90"/>
        <v>800</v>
      </c>
      <c r="B807" s="88" t="str">
        <f>IF(OR(B806="Total",B806=""),"",IF(VLOOKUP(A807,Journal!$B$7:$E$84,4)=0,"Total",VLOOKUP(A807,Journal!$B$7:$D$84,3)))</f>
        <v/>
      </c>
      <c r="C807" s="86" t="str">
        <f>IF(B807="","",VLOOKUP(A807,Journal!$B$7:$E$84,4))</f>
        <v/>
      </c>
      <c r="D807" s="114" t="str">
        <f>IF(B807="","",VLOOKUP(A807,Journal!$B$7:$J$84,9))</f>
        <v/>
      </c>
      <c r="E807" s="116"/>
      <c r="F807" s="116"/>
      <c r="G807" s="115"/>
      <c r="H807" s="84" t="str">
        <f>IF(B807="","",VLOOKUP(A807,Journal!$B$7:$L$84,11))</f>
        <v/>
      </c>
      <c r="I807" s="84" t="str">
        <f>IF(B807="","",VLOOKUP(A807,Journal!$B$7:$M$84,12))</f>
        <v/>
      </c>
      <c r="J807" s="105">
        <f>IF(B807="Total",SUM(J$8:J806)+0.0001,IF(OR(B807="",I$2=I807),0,VLOOKUP(A807,Journal!$B$7:M$84,8)))</f>
        <v>0</v>
      </c>
      <c r="K807" s="102">
        <f>IF(B807="Total",SUM(K$8:K806)+0.0001,IF(OR(B807="",J807&lt;&gt;0),0,VLOOKUP(A807,Journal!$B$7:M$84,8)))</f>
        <v>0</v>
      </c>
      <c r="L807" s="87">
        <f t="shared" si="84"/>
        <v>0</v>
      </c>
      <c r="P807">
        <f t="shared" si="87"/>
        <v>1.0000000000000001E-5</v>
      </c>
      <c r="R807" s="15">
        <f t="shared" si="88"/>
        <v>800</v>
      </c>
      <c r="S807" s="126">
        <f>IF(VLOOKUP(A807,Journal!$A$7:$E$70,5)=0,S806+1,VLOOKUP(A807,Journal!$A$7:$E$70,5))</f>
        <v>46457</v>
      </c>
      <c r="T807" s="125">
        <f>IF(H$2=VLOOKUP(A807,Journal!$A$7:$F$70,6),VLOOKUP(A807,Journal!$A$7:M$70,9),0)</f>
        <v>0</v>
      </c>
      <c r="U807" s="125">
        <f>IF(H$2=VLOOKUP(A807,Journal!$A$7:$G$70,7),VLOOKUP(A807,Journal!$A$7:M$70,9),0)</f>
        <v>0</v>
      </c>
      <c r="V807" s="125">
        <f t="shared" si="89"/>
        <v>40</v>
      </c>
      <c r="X807">
        <f t="shared" si="86"/>
        <v>0</v>
      </c>
      <c r="Y807" s="143">
        <f t="shared" si="85"/>
        <v>-979.02631578950707</v>
      </c>
    </row>
    <row r="808" spans="1:25" x14ac:dyDescent="0.25">
      <c r="A808">
        <f t="shared" si="90"/>
        <v>801</v>
      </c>
      <c r="B808" s="88" t="str">
        <f>IF(OR(B807="Total",B807=""),"",IF(VLOOKUP(A808,Journal!$B$7:$E$84,4)=0,"Total",VLOOKUP(A808,Journal!$B$7:$D$84,3)))</f>
        <v/>
      </c>
      <c r="C808" s="86" t="str">
        <f>IF(B808="","",VLOOKUP(A808,Journal!$B$7:$E$84,4))</f>
        <v/>
      </c>
      <c r="D808" s="114" t="str">
        <f>IF(B808="","",VLOOKUP(A808,Journal!$B$7:$J$84,9))</f>
        <v/>
      </c>
      <c r="E808" s="116"/>
      <c r="F808" s="116"/>
      <c r="G808" s="115"/>
      <c r="H808" s="84" t="str">
        <f>IF(B808="","",VLOOKUP(A808,Journal!$B$7:$L$84,11))</f>
        <v/>
      </c>
      <c r="I808" s="84" t="str">
        <f>IF(B808="","",VLOOKUP(A808,Journal!$B$7:$M$84,12))</f>
        <v/>
      </c>
      <c r="J808" s="105">
        <f>IF(B808="Total",SUM(J$8:J807)+0.0001,IF(OR(B808="",I$2=I808),0,VLOOKUP(A808,Journal!$B$7:M$84,8)))</f>
        <v>0</v>
      </c>
      <c r="K808" s="102">
        <f>IF(B808="Total",SUM(K$8:K807)+0.0001,IF(OR(B808="",J808&lt;&gt;0),0,VLOOKUP(A808,Journal!$B$7:M$84,8)))</f>
        <v>0</v>
      </c>
      <c r="L808" s="87">
        <f t="shared" si="84"/>
        <v>0</v>
      </c>
      <c r="P808">
        <f t="shared" si="87"/>
        <v>1.0000000000000001E-5</v>
      </c>
      <c r="R808" s="15">
        <f t="shared" si="88"/>
        <v>801</v>
      </c>
      <c r="S808" s="126">
        <f>IF(VLOOKUP(A808,Journal!$A$7:$E$70,5)=0,S807+1,VLOOKUP(A808,Journal!$A$7:$E$70,5))</f>
        <v>46458</v>
      </c>
      <c r="T808" s="125">
        <f>IF(H$2=VLOOKUP(A808,Journal!$A$7:$F$70,6),VLOOKUP(A808,Journal!$A$7:M$70,9),0)</f>
        <v>0</v>
      </c>
      <c r="U808" s="125">
        <f>IF(H$2=VLOOKUP(A808,Journal!$A$7:$G$70,7),VLOOKUP(A808,Journal!$A$7:M$70,9),0)</f>
        <v>0</v>
      </c>
      <c r="V808" s="125">
        <f t="shared" si="89"/>
        <v>40</v>
      </c>
      <c r="X808">
        <f t="shared" si="86"/>
        <v>0</v>
      </c>
      <c r="Y808" s="143">
        <f t="shared" si="85"/>
        <v>-979.00000000003342</v>
      </c>
    </row>
    <row r="809" spans="1:25" x14ac:dyDescent="0.25">
      <c r="A809">
        <f t="shared" si="90"/>
        <v>802</v>
      </c>
      <c r="B809" s="88" t="str">
        <f>IF(OR(B808="Total",B808=""),"",IF(VLOOKUP(A809,Journal!$B$7:$E$84,4)=0,"Total",VLOOKUP(A809,Journal!$B$7:$D$84,3)))</f>
        <v/>
      </c>
      <c r="C809" s="86" t="str">
        <f>IF(B809="","",VLOOKUP(A809,Journal!$B$7:$E$84,4))</f>
        <v/>
      </c>
      <c r="D809" s="114" t="str">
        <f>IF(B809="","",VLOOKUP(A809,Journal!$B$7:$J$84,9))</f>
        <v/>
      </c>
      <c r="E809" s="116"/>
      <c r="F809" s="116"/>
      <c r="G809" s="115"/>
      <c r="H809" s="84" t="str">
        <f>IF(B809="","",VLOOKUP(A809,Journal!$B$7:$L$84,11))</f>
        <v/>
      </c>
      <c r="I809" s="84" t="str">
        <f>IF(B809="","",VLOOKUP(A809,Journal!$B$7:$M$84,12))</f>
        <v/>
      </c>
      <c r="J809" s="105">
        <f>IF(B809="Total",SUM(J$8:J808)+0.0001,IF(OR(B809="",I$2=I809),0,VLOOKUP(A809,Journal!$B$7:M$84,8)))</f>
        <v>0</v>
      </c>
      <c r="K809" s="102">
        <f>IF(B809="Total",SUM(K$8:K808)+0.0001,IF(OR(B809="",J809&lt;&gt;0),0,VLOOKUP(A809,Journal!$B$7:M$84,8)))</f>
        <v>0</v>
      </c>
      <c r="L809" s="87">
        <f t="shared" si="84"/>
        <v>0</v>
      </c>
      <c r="P809">
        <f t="shared" si="87"/>
        <v>1.0000000000000001E-5</v>
      </c>
      <c r="R809" s="15">
        <f t="shared" si="88"/>
        <v>802</v>
      </c>
      <c r="S809" s="126">
        <f>IF(VLOOKUP(A809,Journal!$A$7:$E$70,5)=0,S808+1,VLOOKUP(A809,Journal!$A$7:$E$70,5))</f>
        <v>46459</v>
      </c>
      <c r="T809" s="125">
        <f>IF(H$2=VLOOKUP(A809,Journal!$A$7:$F$70,6),VLOOKUP(A809,Journal!$A$7:M$70,9),0)</f>
        <v>0</v>
      </c>
      <c r="U809" s="125">
        <f>IF(H$2=VLOOKUP(A809,Journal!$A$7:$G$70,7),VLOOKUP(A809,Journal!$A$7:M$70,9),0)</f>
        <v>0</v>
      </c>
      <c r="V809" s="125">
        <f t="shared" si="89"/>
        <v>40</v>
      </c>
      <c r="X809">
        <f t="shared" si="86"/>
        <v>0</v>
      </c>
      <c r="Y809" s="143">
        <f t="shared" si="85"/>
        <v>-978.97368421055978</v>
      </c>
    </row>
    <row r="810" spans="1:25" x14ac:dyDescent="0.25">
      <c r="A810">
        <f t="shared" si="90"/>
        <v>803</v>
      </c>
      <c r="B810" s="88" t="str">
        <f>IF(OR(B809="Total",B809=""),"",IF(VLOOKUP(A810,Journal!$B$7:$E$84,4)=0,"Total",VLOOKUP(A810,Journal!$B$7:$D$84,3)))</f>
        <v/>
      </c>
      <c r="C810" s="86" t="str">
        <f>IF(B810="","",VLOOKUP(A810,Journal!$B$7:$E$84,4))</f>
        <v/>
      </c>
      <c r="D810" s="114" t="str">
        <f>IF(B810="","",VLOOKUP(A810,Journal!$B$7:$J$84,9))</f>
        <v/>
      </c>
      <c r="E810" s="116"/>
      <c r="F810" s="116"/>
      <c r="G810" s="115"/>
      <c r="H810" s="84" t="str">
        <f>IF(B810="","",VLOOKUP(A810,Journal!$B$7:$L$84,11))</f>
        <v/>
      </c>
      <c r="I810" s="84" t="str">
        <f>IF(B810="","",VLOOKUP(A810,Journal!$B$7:$M$84,12))</f>
        <v/>
      </c>
      <c r="J810" s="105">
        <f>IF(B810="Total",SUM(J$8:J809)+0.0001,IF(OR(B810="",I$2=I810),0,VLOOKUP(A810,Journal!$B$7:M$84,8)))</f>
        <v>0</v>
      </c>
      <c r="K810" s="102">
        <f>IF(B810="Total",SUM(K$8:K809)+0.0001,IF(OR(B810="",J810&lt;&gt;0),0,VLOOKUP(A810,Journal!$B$7:M$84,8)))</f>
        <v>0</v>
      </c>
      <c r="L810" s="87">
        <f t="shared" si="84"/>
        <v>0</v>
      </c>
      <c r="P810">
        <f t="shared" si="87"/>
        <v>1.0000000000000001E-5</v>
      </c>
      <c r="R810" s="15">
        <f t="shared" si="88"/>
        <v>803</v>
      </c>
      <c r="S810" s="126">
        <f>IF(VLOOKUP(A810,Journal!$A$7:$E$70,5)=0,S809+1,VLOOKUP(A810,Journal!$A$7:$E$70,5))</f>
        <v>46460</v>
      </c>
      <c r="T810" s="125">
        <f>IF(H$2=VLOOKUP(A810,Journal!$A$7:$F$70,6),VLOOKUP(A810,Journal!$A$7:M$70,9),0)</f>
        <v>0</v>
      </c>
      <c r="U810" s="125">
        <f>IF(H$2=VLOOKUP(A810,Journal!$A$7:$G$70,7),VLOOKUP(A810,Journal!$A$7:M$70,9),0)</f>
        <v>0</v>
      </c>
      <c r="V810" s="125">
        <f t="shared" si="89"/>
        <v>40</v>
      </c>
      <c r="X810">
        <f t="shared" si="86"/>
        <v>0</v>
      </c>
      <c r="Y810" s="143">
        <f t="shared" si="85"/>
        <v>-978.94736842108614</v>
      </c>
    </row>
    <row r="811" spans="1:25" x14ac:dyDescent="0.25">
      <c r="A811">
        <f t="shared" si="90"/>
        <v>804</v>
      </c>
      <c r="B811" s="88" t="str">
        <f>IF(OR(B810="Total",B810=""),"",IF(VLOOKUP(A811,Journal!$B$7:$E$84,4)=0,"Total",VLOOKUP(A811,Journal!$B$7:$D$84,3)))</f>
        <v/>
      </c>
      <c r="C811" s="86" t="str">
        <f>IF(B811="","",VLOOKUP(A811,Journal!$B$7:$E$84,4))</f>
        <v/>
      </c>
      <c r="D811" s="114" t="str">
        <f>IF(B811="","",VLOOKUP(A811,Journal!$B$7:$J$84,9))</f>
        <v/>
      </c>
      <c r="E811" s="116"/>
      <c r="F811" s="116"/>
      <c r="G811" s="115"/>
      <c r="H811" s="84" t="str">
        <f>IF(B811="","",VLOOKUP(A811,Journal!$B$7:$L$84,11))</f>
        <v/>
      </c>
      <c r="I811" s="84" t="str">
        <f>IF(B811="","",VLOOKUP(A811,Journal!$B$7:$M$84,12))</f>
        <v/>
      </c>
      <c r="J811" s="105">
        <f>IF(B811="Total",SUM(J$8:J810)+0.0001,IF(OR(B811="",I$2=I811),0,VLOOKUP(A811,Journal!$B$7:M$84,8)))</f>
        <v>0</v>
      </c>
      <c r="K811" s="102">
        <f>IF(B811="Total",SUM(K$8:K810)+0.0001,IF(OR(B811="",J811&lt;&gt;0),0,VLOOKUP(A811,Journal!$B$7:M$84,8)))</f>
        <v>0</v>
      </c>
      <c r="L811" s="87">
        <f t="shared" si="84"/>
        <v>0</v>
      </c>
      <c r="P811">
        <f t="shared" si="87"/>
        <v>1.0000000000000001E-5</v>
      </c>
      <c r="R811" s="15">
        <f t="shared" si="88"/>
        <v>804</v>
      </c>
      <c r="S811" s="126">
        <f>IF(VLOOKUP(A811,Journal!$A$7:$E$70,5)=0,S810+1,VLOOKUP(A811,Journal!$A$7:$E$70,5))</f>
        <v>46461</v>
      </c>
      <c r="T811" s="125">
        <f>IF(H$2=VLOOKUP(A811,Journal!$A$7:$F$70,6),VLOOKUP(A811,Journal!$A$7:M$70,9),0)</f>
        <v>0</v>
      </c>
      <c r="U811" s="125">
        <f>IF(H$2=VLOOKUP(A811,Journal!$A$7:$G$70,7),VLOOKUP(A811,Journal!$A$7:M$70,9),0)</f>
        <v>0</v>
      </c>
      <c r="V811" s="125">
        <f t="shared" si="89"/>
        <v>40</v>
      </c>
      <c r="X811">
        <f t="shared" si="86"/>
        <v>0</v>
      </c>
      <c r="Y811" s="143">
        <f t="shared" si="85"/>
        <v>-978.9210526316125</v>
      </c>
    </row>
    <row r="812" spans="1:25" x14ac:dyDescent="0.25">
      <c r="A812">
        <f t="shared" si="90"/>
        <v>805</v>
      </c>
      <c r="B812" s="88" t="str">
        <f>IF(OR(B811="Total",B811=""),"",IF(VLOOKUP(A812,Journal!$B$7:$E$84,4)=0,"Total",VLOOKUP(A812,Journal!$B$7:$D$84,3)))</f>
        <v/>
      </c>
      <c r="C812" s="86" t="str">
        <f>IF(B812="","",VLOOKUP(A812,Journal!$B$7:$E$84,4))</f>
        <v/>
      </c>
      <c r="D812" s="114" t="str">
        <f>IF(B812="","",VLOOKUP(A812,Journal!$B$7:$J$84,9))</f>
        <v/>
      </c>
      <c r="E812" s="116"/>
      <c r="F812" s="116"/>
      <c r="G812" s="115"/>
      <c r="H812" s="84" t="str">
        <f>IF(B812="","",VLOOKUP(A812,Journal!$B$7:$L$84,11))</f>
        <v/>
      </c>
      <c r="I812" s="84" t="str">
        <f>IF(B812="","",VLOOKUP(A812,Journal!$B$7:$M$84,12))</f>
        <v/>
      </c>
      <c r="J812" s="105">
        <f>IF(B812="Total",SUM(J$8:J811)+0.0001,IF(OR(B812="",I$2=I812),0,VLOOKUP(A812,Journal!$B$7:M$84,8)))</f>
        <v>0</v>
      </c>
      <c r="K812" s="102">
        <f>IF(B812="Total",SUM(K$8:K811)+0.0001,IF(OR(B812="",J812&lt;&gt;0),0,VLOOKUP(A812,Journal!$B$7:M$84,8)))</f>
        <v>0</v>
      </c>
      <c r="L812" s="87">
        <f t="shared" si="84"/>
        <v>0</v>
      </c>
      <c r="P812">
        <f t="shared" si="87"/>
        <v>1.0000000000000001E-5</v>
      </c>
      <c r="R812" s="15">
        <f t="shared" si="88"/>
        <v>805</v>
      </c>
      <c r="S812" s="126">
        <f>IF(VLOOKUP(A812,Journal!$A$7:$E$70,5)=0,S811+1,VLOOKUP(A812,Journal!$A$7:$E$70,5))</f>
        <v>46462</v>
      </c>
      <c r="T812" s="125">
        <f>IF(H$2=VLOOKUP(A812,Journal!$A$7:$F$70,6),VLOOKUP(A812,Journal!$A$7:M$70,9),0)</f>
        <v>0</v>
      </c>
      <c r="U812" s="125">
        <f>IF(H$2=VLOOKUP(A812,Journal!$A$7:$G$70,7),VLOOKUP(A812,Journal!$A$7:M$70,9),0)</f>
        <v>0</v>
      </c>
      <c r="V812" s="125">
        <f t="shared" si="89"/>
        <v>40</v>
      </c>
      <c r="X812">
        <f t="shared" si="86"/>
        <v>0</v>
      </c>
      <c r="Y812" s="143">
        <f t="shared" si="85"/>
        <v>-978.89473684213885</v>
      </c>
    </row>
    <row r="813" spans="1:25" x14ac:dyDescent="0.25">
      <c r="A813">
        <f t="shared" si="90"/>
        <v>806</v>
      </c>
      <c r="B813" s="88" t="str">
        <f>IF(OR(B812="Total",B812=""),"",IF(VLOOKUP(A813,Journal!$B$7:$E$84,4)=0,"Total",VLOOKUP(A813,Journal!$B$7:$D$84,3)))</f>
        <v/>
      </c>
      <c r="C813" s="86" t="str">
        <f>IF(B813="","",VLOOKUP(A813,Journal!$B$7:$E$84,4))</f>
        <v/>
      </c>
      <c r="D813" s="114" t="str">
        <f>IF(B813="","",VLOOKUP(A813,Journal!$B$7:$J$84,9))</f>
        <v/>
      </c>
      <c r="E813" s="116"/>
      <c r="F813" s="116"/>
      <c r="G813" s="115"/>
      <c r="H813" s="84" t="str">
        <f>IF(B813="","",VLOOKUP(A813,Journal!$B$7:$L$84,11))</f>
        <v/>
      </c>
      <c r="I813" s="84" t="str">
        <f>IF(B813="","",VLOOKUP(A813,Journal!$B$7:$M$84,12))</f>
        <v/>
      </c>
      <c r="J813" s="105">
        <f>IF(B813="Total",SUM(J$8:J812)+0.0001,IF(OR(B813="",I$2=I813),0,VLOOKUP(A813,Journal!$B$7:M$84,8)))</f>
        <v>0</v>
      </c>
      <c r="K813" s="102">
        <f>IF(B813="Total",SUM(K$8:K812)+0.0001,IF(OR(B813="",J813&lt;&gt;0),0,VLOOKUP(A813,Journal!$B$7:M$84,8)))</f>
        <v>0</v>
      </c>
      <c r="L813" s="87">
        <f t="shared" si="84"/>
        <v>0</v>
      </c>
      <c r="P813">
        <f t="shared" si="87"/>
        <v>1.0000000000000001E-5</v>
      </c>
      <c r="R813" s="15">
        <f t="shared" si="88"/>
        <v>806</v>
      </c>
      <c r="S813" s="126">
        <f>IF(VLOOKUP(A813,Journal!$A$7:$E$70,5)=0,S812+1,VLOOKUP(A813,Journal!$A$7:$E$70,5))</f>
        <v>46463</v>
      </c>
      <c r="T813" s="125">
        <f>IF(H$2=VLOOKUP(A813,Journal!$A$7:$F$70,6),VLOOKUP(A813,Journal!$A$7:M$70,9),0)</f>
        <v>0</v>
      </c>
      <c r="U813" s="125">
        <f>IF(H$2=VLOOKUP(A813,Journal!$A$7:$G$70,7),VLOOKUP(A813,Journal!$A$7:M$70,9),0)</f>
        <v>0</v>
      </c>
      <c r="V813" s="125">
        <f t="shared" si="89"/>
        <v>40</v>
      </c>
      <c r="X813">
        <f t="shared" si="86"/>
        <v>0</v>
      </c>
      <c r="Y813" s="143">
        <f t="shared" si="85"/>
        <v>-978.86842105266521</v>
      </c>
    </row>
    <row r="814" spans="1:25" x14ac:dyDescent="0.25">
      <c r="A814">
        <f t="shared" si="90"/>
        <v>807</v>
      </c>
      <c r="B814" s="88" t="str">
        <f>IF(OR(B813="Total",B813=""),"",IF(VLOOKUP(A814,Journal!$B$7:$E$84,4)=0,"Total",VLOOKUP(A814,Journal!$B$7:$D$84,3)))</f>
        <v/>
      </c>
      <c r="C814" s="86" t="str">
        <f>IF(B814="","",VLOOKUP(A814,Journal!$B$7:$E$84,4))</f>
        <v/>
      </c>
      <c r="D814" s="114" t="str">
        <f>IF(B814="","",VLOOKUP(A814,Journal!$B$7:$J$84,9))</f>
        <v/>
      </c>
      <c r="E814" s="116"/>
      <c r="F814" s="116"/>
      <c r="G814" s="115"/>
      <c r="H814" s="84" t="str">
        <f>IF(B814="","",VLOOKUP(A814,Journal!$B$7:$L$84,11))</f>
        <v/>
      </c>
      <c r="I814" s="84" t="str">
        <f>IF(B814="","",VLOOKUP(A814,Journal!$B$7:$M$84,12))</f>
        <v/>
      </c>
      <c r="J814" s="105">
        <f>IF(B814="Total",SUM(J$8:J813)+0.0001,IF(OR(B814="",I$2=I814),0,VLOOKUP(A814,Journal!$B$7:M$84,8)))</f>
        <v>0</v>
      </c>
      <c r="K814" s="102">
        <f>IF(B814="Total",SUM(K$8:K813)+0.0001,IF(OR(B814="",J814&lt;&gt;0),0,VLOOKUP(A814,Journal!$B$7:M$84,8)))</f>
        <v>0</v>
      </c>
      <c r="L814" s="87">
        <f t="shared" si="84"/>
        <v>0</v>
      </c>
      <c r="P814">
        <f t="shared" si="87"/>
        <v>1.0000000000000001E-5</v>
      </c>
      <c r="R814" s="15">
        <f t="shared" si="88"/>
        <v>807</v>
      </c>
      <c r="S814" s="126">
        <f>IF(VLOOKUP(A814,Journal!$A$7:$E$70,5)=0,S813+1,VLOOKUP(A814,Journal!$A$7:$E$70,5))</f>
        <v>46464</v>
      </c>
      <c r="T814" s="125">
        <f>IF(H$2=VLOOKUP(A814,Journal!$A$7:$F$70,6),VLOOKUP(A814,Journal!$A$7:M$70,9),0)</f>
        <v>0</v>
      </c>
      <c r="U814" s="125">
        <f>IF(H$2=VLOOKUP(A814,Journal!$A$7:$G$70,7),VLOOKUP(A814,Journal!$A$7:M$70,9),0)</f>
        <v>0</v>
      </c>
      <c r="V814" s="125">
        <f t="shared" si="89"/>
        <v>40</v>
      </c>
      <c r="X814">
        <f t="shared" si="86"/>
        <v>0</v>
      </c>
      <c r="Y814" s="143">
        <f t="shared" si="85"/>
        <v>-978.84210526319157</v>
      </c>
    </row>
    <row r="815" spans="1:25" x14ac:dyDescent="0.25">
      <c r="A815">
        <f t="shared" si="90"/>
        <v>808</v>
      </c>
      <c r="B815" s="88" t="str">
        <f>IF(OR(B814="Total",B814=""),"",IF(VLOOKUP(A815,Journal!$B$7:$E$84,4)=0,"Total",VLOOKUP(A815,Journal!$B$7:$D$84,3)))</f>
        <v/>
      </c>
      <c r="C815" s="86" t="str">
        <f>IF(B815="","",VLOOKUP(A815,Journal!$B$7:$E$84,4))</f>
        <v/>
      </c>
      <c r="D815" s="114" t="str">
        <f>IF(B815="","",VLOOKUP(A815,Journal!$B$7:$J$84,9))</f>
        <v/>
      </c>
      <c r="E815" s="116"/>
      <c r="F815" s="116"/>
      <c r="G815" s="115"/>
      <c r="H815" s="84" t="str">
        <f>IF(B815="","",VLOOKUP(A815,Journal!$B$7:$L$84,11))</f>
        <v/>
      </c>
      <c r="I815" s="84" t="str">
        <f>IF(B815="","",VLOOKUP(A815,Journal!$B$7:$M$84,12))</f>
        <v/>
      </c>
      <c r="J815" s="105">
        <f>IF(B815="Total",SUM(J$8:J814)+0.0001,IF(OR(B815="",I$2=I815),0,VLOOKUP(A815,Journal!$B$7:M$84,8)))</f>
        <v>0</v>
      </c>
      <c r="K815" s="102">
        <f>IF(B815="Total",SUM(K$8:K814)+0.0001,IF(OR(B815="",J815&lt;&gt;0),0,VLOOKUP(A815,Journal!$B$7:M$84,8)))</f>
        <v>0</v>
      </c>
      <c r="L815" s="87">
        <f t="shared" si="84"/>
        <v>0</v>
      </c>
      <c r="P815">
        <f t="shared" si="87"/>
        <v>1.0000000000000001E-5</v>
      </c>
      <c r="R815" s="15">
        <f t="shared" si="88"/>
        <v>808</v>
      </c>
      <c r="S815" s="126">
        <f>IF(VLOOKUP(A815,Journal!$A$7:$E$70,5)=0,S814+1,VLOOKUP(A815,Journal!$A$7:$E$70,5))</f>
        <v>46465</v>
      </c>
      <c r="T815" s="125">
        <f>IF(H$2=VLOOKUP(A815,Journal!$A$7:$F$70,6),VLOOKUP(A815,Journal!$A$7:M$70,9),0)</f>
        <v>0</v>
      </c>
      <c r="U815" s="125">
        <f>IF(H$2=VLOOKUP(A815,Journal!$A$7:$G$70,7),VLOOKUP(A815,Journal!$A$7:M$70,9),0)</f>
        <v>0</v>
      </c>
      <c r="V815" s="125">
        <f t="shared" si="89"/>
        <v>40</v>
      </c>
      <c r="X815">
        <f t="shared" si="86"/>
        <v>0</v>
      </c>
      <c r="Y815" s="143">
        <f t="shared" si="85"/>
        <v>-978.81578947371793</v>
      </c>
    </row>
    <row r="816" spans="1:25" x14ac:dyDescent="0.25">
      <c r="A816">
        <f t="shared" si="90"/>
        <v>809</v>
      </c>
      <c r="B816" s="88" t="str">
        <f>IF(OR(B815="Total",B815=""),"",IF(VLOOKUP(A816,Journal!$B$7:$E$84,4)=0,"Total",VLOOKUP(A816,Journal!$B$7:$D$84,3)))</f>
        <v/>
      </c>
      <c r="C816" s="86" t="str">
        <f>IF(B816="","",VLOOKUP(A816,Journal!$B$7:$E$84,4))</f>
        <v/>
      </c>
      <c r="D816" s="114" t="str">
        <f>IF(B816="","",VLOOKUP(A816,Journal!$B$7:$J$84,9))</f>
        <v/>
      </c>
      <c r="E816" s="116"/>
      <c r="F816" s="116"/>
      <c r="G816" s="115"/>
      <c r="H816" s="84" t="str">
        <f>IF(B816="","",VLOOKUP(A816,Journal!$B$7:$L$84,11))</f>
        <v/>
      </c>
      <c r="I816" s="84" t="str">
        <f>IF(B816="","",VLOOKUP(A816,Journal!$B$7:$M$84,12))</f>
        <v/>
      </c>
      <c r="J816" s="105">
        <f>IF(B816="Total",SUM(J$8:J815)+0.0001,IF(OR(B816="",I$2=I816),0,VLOOKUP(A816,Journal!$B$7:M$84,8)))</f>
        <v>0</v>
      </c>
      <c r="K816" s="102">
        <f>IF(B816="Total",SUM(K$8:K815)+0.0001,IF(OR(B816="",J816&lt;&gt;0),0,VLOOKUP(A816,Journal!$B$7:M$84,8)))</f>
        <v>0</v>
      </c>
      <c r="L816" s="87">
        <f t="shared" si="84"/>
        <v>0</v>
      </c>
      <c r="P816">
        <f t="shared" si="87"/>
        <v>1.0000000000000001E-5</v>
      </c>
      <c r="R816" s="15">
        <f t="shared" si="88"/>
        <v>809</v>
      </c>
      <c r="S816" s="126">
        <f>IF(VLOOKUP(A816,Journal!$A$7:$E$70,5)=0,S815+1,VLOOKUP(A816,Journal!$A$7:$E$70,5))</f>
        <v>46466</v>
      </c>
      <c r="T816" s="125">
        <f>IF(H$2=VLOOKUP(A816,Journal!$A$7:$F$70,6),VLOOKUP(A816,Journal!$A$7:M$70,9),0)</f>
        <v>0</v>
      </c>
      <c r="U816" s="125">
        <f>IF(H$2=VLOOKUP(A816,Journal!$A$7:$G$70,7),VLOOKUP(A816,Journal!$A$7:M$70,9),0)</f>
        <v>0</v>
      </c>
      <c r="V816" s="125">
        <f t="shared" si="89"/>
        <v>40</v>
      </c>
      <c r="X816">
        <f t="shared" si="86"/>
        <v>0</v>
      </c>
      <c r="Y816" s="143">
        <f t="shared" si="85"/>
        <v>-978.78947368424429</v>
      </c>
    </row>
    <row r="817" spans="1:25" x14ac:dyDescent="0.25">
      <c r="A817">
        <f t="shared" si="90"/>
        <v>810</v>
      </c>
      <c r="B817" s="88" t="str">
        <f>IF(OR(B816="Total",B816=""),"",IF(VLOOKUP(A817,Journal!$B$7:$E$84,4)=0,"Total",VLOOKUP(A817,Journal!$B$7:$D$84,3)))</f>
        <v/>
      </c>
      <c r="C817" s="86" t="str">
        <f>IF(B817="","",VLOOKUP(A817,Journal!$B$7:$E$84,4))</f>
        <v/>
      </c>
      <c r="D817" s="114" t="str">
        <f>IF(B817="","",VLOOKUP(A817,Journal!$B$7:$J$84,9))</f>
        <v/>
      </c>
      <c r="E817" s="116"/>
      <c r="F817" s="116"/>
      <c r="G817" s="115"/>
      <c r="H817" s="84" t="str">
        <f>IF(B817="","",VLOOKUP(A817,Journal!$B$7:$L$84,11))</f>
        <v/>
      </c>
      <c r="I817" s="84" t="str">
        <f>IF(B817="","",VLOOKUP(A817,Journal!$B$7:$M$84,12))</f>
        <v/>
      </c>
      <c r="J817" s="105">
        <f>IF(B817="Total",SUM(J$8:J816)+0.0001,IF(OR(B817="",I$2=I817),0,VLOOKUP(A817,Journal!$B$7:M$84,8)))</f>
        <v>0</v>
      </c>
      <c r="K817" s="102">
        <f>IF(B817="Total",SUM(K$8:K816)+0.0001,IF(OR(B817="",J817&lt;&gt;0),0,VLOOKUP(A817,Journal!$B$7:M$84,8)))</f>
        <v>0</v>
      </c>
      <c r="L817" s="87">
        <f t="shared" si="84"/>
        <v>0</v>
      </c>
      <c r="P817">
        <f t="shared" si="87"/>
        <v>1.0000000000000001E-5</v>
      </c>
      <c r="R817" s="15">
        <f t="shared" si="88"/>
        <v>810</v>
      </c>
      <c r="S817" s="126">
        <f>IF(VLOOKUP(A817,Journal!$A$7:$E$70,5)=0,S816+1,VLOOKUP(A817,Journal!$A$7:$E$70,5))</f>
        <v>46467</v>
      </c>
      <c r="T817" s="125">
        <f>IF(H$2=VLOOKUP(A817,Journal!$A$7:$F$70,6),VLOOKUP(A817,Journal!$A$7:M$70,9),0)</f>
        <v>0</v>
      </c>
      <c r="U817" s="125">
        <f>IF(H$2=VLOOKUP(A817,Journal!$A$7:$G$70,7),VLOOKUP(A817,Journal!$A$7:M$70,9),0)</f>
        <v>0</v>
      </c>
      <c r="V817" s="125">
        <f t="shared" si="89"/>
        <v>40</v>
      </c>
      <c r="X817">
        <f t="shared" si="86"/>
        <v>0</v>
      </c>
      <c r="Y817" s="143">
        <f t="shared" si="85"/>
        <v>-978.76315789477064</v>
      </c>
    </row>
    <row r="818" spans="1:25" x14ac:dyDescent="0.25">
      <c r="A818">
        <f t="shared" si="90"/>
        <v>811</v>
      </c>
      <c r="B818" s="88" t="str">
        <f>IF(OR(B817="Total",B817=""),"",IF(VLOOKUP(A818,Journal!$B$7:$E$84,4)=0,"Total",VLOOKUP(A818,Journal!$B$7:$D$84,3)))</f>
        <v/>
      </c>
      <c r="C818" s="86" t="str">
        <f>IF(B818="","",VLOOKUP(A818,Journal!$B$7:$E$84,4))</f>
        <v/>
      </c>
      <c r="D818" s="114" t="str">
        <f>IF(B818="","",VLOOKUP(A818,Journal!$B$7:$J$84,9))</f>
        <v/>
      </c>
      <c r="E818" s="116"/>
      <c r="F818" s="116"/>
      <c r="G818" s="115"/>
      <c r="H818" s="84" t="str">
        <f>IF(B818="","",VLOOKUP(A818,Journal!$B$7:$L$84,11))</f>
        <v/>
      </c>
      <c r="I818" s="84" t="str">
        <f>IF(B818="","",VLOOKUP(A818,Journal!$B$7:$M$84,12))</f>
        <v/>
      </c>
      <c r="J818" s="105">
        <f>IF(B818="Total",SUM(J$8:J817)+0.0001,IF(OR(B818="",I$2=I818),0,VLOOKUP(A818,Journal!$B$7:M$84,8)))</f>
        <v>0</v>
      </c>
      <c r="K818" s="102">
        <f>IF(B818="Total",SUM(K$8:K817)+0.0001,IF(OR(B818="",J818&lt;&gt;0),0,VLOOKUP(A818,Journal!$B$7:M$84,8)))</f>
        <v>0</v>
      </c>
      <c r="L818" s="87">
        <f t="shared" si="84"/>
        <v>0</v>
      </c>
      <c r="P818">
        <f t="shared" si="87"/>
        <v>1.0000000000000001E-5</v>
      </c>
      <c r="R818" s="15">
        <f t="shared" si="88"/>
        <v>811</v>
      </c>
      <c r="S818" s="126">
        <f>IF(VLOOKUP(A818,Journal!$A$7:$E$70,5)=0,S817+1,VLOOKUP(A818,Journal!$A$7:$E$70,5))</f>
        <v>46468</v>
      </c>
      <c r="T818" s="125">
        <f>IF(H$2=VLOOKUP(A818,Journal!$A$7:$F$70,6),VLOOKUP(A818,Journal!$A$7:M$70,9),0)</f>
        <v>0</v>
      </c>
      <c r="U818" s="125">
        <f>IF(H$2=VLOOKUP(A818,Journal!$A$7:$G$70,7),VLOOKUP(A818,Journal!$A$7:M$70,9),0)</f>
        <v>0</v>
      </c>
      <c r="V818" s="125">
        <f t="shared" si="89"/>
        <v>40</v>
      </c>
      <c r="X818">
        <f t="shared" si="86"/>
        <v>0</v>
      </c>
      <c r="Y818" s="143">
        <f t="shared" si="85"/>
        <v>-978.736842105297</v>
      </c>
    </row>
    <row r="819" spans="1:25" x14ac:dyDescent="0.25">
      <c r="A819">
        <f t="shared" si="90"/>
        <v>812</v>
      </c>
      <c r="B819" s="88" t="str">
        <f>IF(OR(B818="Total",B818=""),"",IF(VLOOKUP(A819,Journal!$B$7:$E$84,4)=0,"Total",VLOOKUP(A819,Journal!$B$7:$D$84,3)))</f>
        <v/>
      </c>
      <c r="C819" s="86" t="str">
        <f>IF(B819="","",VLOOKUP(A819,Journal!$B$7:$E$84,4))</f>
        <v/>
      </c>
      <c r="D819" s="114" t="str">
        <f>IF(B819="","",VLOOKUP(A819,Journal!$B$7:$J$84,9))</f>
        <v/>
      </c>
      <c r="E819" s="116"/>
      <c r="F819" s="116"/>
      <c r="G819" s="115"/>
      <c r="H819" s="84" t="str">
        <f>IF(B819="","",VLOOKUP(A819,Journal!$B$7:$L$84,11))</f>
        <v/>
      </c>
      <c r="I819" s="84" t="str">
        <f>IF(B819="","",VLOOKUP(A819,Journal!$B$7:$M$84,12))</f>
        <v/>
      </c>
      <c r="J819" s="105">
        <f>IF(B819="Total",SUM(J$8:J818)+0.0001,IF(OR(B819="",I$2=I819),0,VLOOKUP(A819,Journal!$B$7:M$84,8)))</f>
        <v>0</v>
      </c>
      <c r="K819" s="102">
        <f>IF(B819="Total",SUM(K$8:K818)+0.0001,IF(OR(B819="",J819&lt;&gt;0),0,VLOOKUP(A819,Journal!$B$7:M$84,8)))</f>
        <v>0</v>
      </c>
      <c r="L819" s="87">
        <f t="shared" si="84"/>
        <v>0</v>
      </c>
      <c r="P819">
        <f t="shared" si="87"/>
        <v>1.0000000000000001E-5</v>
      </c>
      <c r="R819" s="15">
        <f t="shared" si="88"/>
        <v>812</v>
      </c>
      <c r="S819" s="126">
        <f>IF(VLOOKUP(A819,Journal!$A$7:$E$70,5)=0,S818+1,VLOOKUP(A819,Journal!$A$7:$E$70,5))</f>
        <v>46469</v>
      </c>
      <c r="T819" s="125">
        <f>IF(H$2=VLOOKUP(A819,Journal!$A$7:$F$70,6),VLOOKUP(A819,Journal!$A$7:M$70,9),0)</f>
        <v>0</v>
      </c>
      <c r="U819" s="125">
        <f>IF(H$2=VLOOKUP(A819,Journal!$A$7:$G$70,7),VLOOKUP(A819,Journal!$A$7:M$70,9),0)</f>
        <v>0</v>
      </c>
      <c r="V819" s="125">
        <f t="shared" si="89"/>
        <v>40</v>
      </c>
      <c r="X819">
        <f t="shared" si="86"/>
        <v>0</v>
      </c>
      <c r="Y819" s="143">
        <f t="shared" si="85"/>
        <v>-978.71052631582336</v>
      </c>
    </row>
    <row r="820" spans="1:25" x14ac:dyDescent="0.25">
      <c r="A820">
        <f t="shared" si="90"/>
        <v>813</v>
      </c>
      <c r="B820" s="88" t="str">
        <f>IF(OR(B819="Total",B819=""),"",IF(VLOOKUP(A820,Journal!$B$7:$E$84,4)=0,"Total",VLOOKUP(A820,Journal!$B$7:$D$84,3)))</f>
        <v/>
      </c>
      <c r="C820" s="86" t="str">
        <f>IF(B820="","",VLOOKUP(A820,Journal!$B$7:$E$84,4))</f>
        <v/>
      </c>
      <c r="D820" s="114" t="str">
        <f>IF(B820="","",VLOOKUP(A820,Journal!$B$7:$J$84,9))</f>
        <v/>
      </c>
      <c r="E820" s="116"/>
      <c r="F820" s="116"/>
      <c r="G820" s="115"/>
      <c r="H820" s="84" t="str">
        <f>IF(B820="","",VLOOKUP(A820,Journal!$B$7:$L$84,11))</f>
        <v/>
      </c>
      <c r="I820" s="84" t="str">
        <f>IF(B820="","",VLOOKUP(A820,Journal!$B$7:$M$84,12))</f>
        <v/>
      </c>
      <c r="J820" s="105">
        <f>IF(B820="Total",SUM(J$8:J819)+0.0001,IF(OR(B820="",I$2=I820),0,VLOOKUP(A820,Journal!$B$7:M$84,8)))</f>
        <v>0</v>
      </c>
      <c r="K820" s="102">
        <f>IF(B820="Total",SUM(K$8:K819)+0.0001,IF(OR(B820="",J820&lt;&gt;0),0,VLOOKUP(A820,Journal!$B$7:M$84,8)))</f>
        <v>0</v>
      </c>
      <c r="L820" s="87">
        <f t="shared" si="84"/>
        <v>0</v>
      </c>
      <c r="P820">
        <f t="shared" si="87"/>
        <v>1.0000000000000001E-5</v>
      </c>
      <c r="R820" s="15">
        <f t="shared" si="88"/>
        <v>813</v>
      </c>
      <c r="S820" s="126">
        <f>IF(VLOOKUP(A820,Journal!$A$7:$E$70,5)=0,S819+1,VLOOKUP(A820,Journal!$A$7:$E$70,5))</f>
        <v>46470</v>
      </c>
      <c r="T820" s="125">
        <f>IF(H$2=VLOOKUP(A820,Journal!$A$7:$F$70,6),VLOOKUP(A820,Journal!$A$7:M$70,9),0)</f>
        <v>0</v>
      </c>
      <c r="U820" s="125">
        <f>IF(H$2=VLOOKUP(A820,Journal!$A$7:$G$70,7),VLOOKUP(A820,Journal!$A$7:M$70,9),0)</f>
        <v>0</v>
      </c>
      <c r="V820" s="125">
        <f t="shared" si="89"/>
        <v>40</v>
      </c>
      <c r="X820">
        <f t="shared" si="86"/>
        <v>0</v>
      </c>
      <c r="Y820" s="143">
        <f t="shared" si="85"/>
        <v>-978.68421052634972</v>
      </c>
    </row>
    <row r="821" spans="1:25" x14ac:dyDescent="0.25">
      <c r="A821">
        <f t="shared" si="90"/>
        <v>814</v>
      </c>
      <c r="B821" s="88" t="str">
        <f>IF(OR(B820="Total",B820=""),"",IF(VLOOKUP(A821,Journal!$B$7:$E$84,4)=0,"Total",VLOOKUP(A821,Journal!$B$7:$D$84,3)))</f>
        <v/>
      </c>
      <c r="C821" s="86" t="str">
        <f>IF(B821="","",VLOOKUP(A821,Journal!$B$7:$E$84,4))</f>
        <v/>
      </c>
      <c r="D821" s="114" t="str">
        <f>IF(B821="","",VLOOKUP(A821,Journal!$B$7:$J$84,9))</f>
        <v/>
      </c>
      <c r="E821" s="116"/>
      <c r="F821" s="116"/>
      <c r="G821" s="115"/>
      <c r="H821" s="84" t="str">
        <f>IF(B821="","",VLOOKUP(A821,Journal!$B$7:$L$84,11))</f>
        <v/>
      </c>
      <c r="I821" s="84" t="str">
        <f>IF(B821="","",VLOOKUP(A821,Journal!$B$7:$M$84,12))</f>
        <v/>
      </c>
      <c r="J821" s="105">
        <f>IF(B821="Total",SUM(J$8:J820)+0.0001,IF(OR(B821="",I$2=I821),0,VLOOKUP(A821,Journal!$B$7:M$84,8)))</f>
        <v>0</v>
      </c>
      <c r="K821" s="102">
        <f>IF(B821="Total",SUM(K$8:K820)+0.0001,IF(OR(B821="",J821&lt;&gt;0),0,VLOOKUP(A821,Journal!$B$7:M$84,8)))</f>
        <v>0</v>
      </c>
      <c r="L821" s="87">
        <f t="shared" si="84"/>
        <v>0</v>
      </c>
      <c r="P821">
        <f t="shared" si="87"/>
        <v>1.0000000000000001E-5</v>
      </c>
      <c r="R821" s="15">
        <f t="shared" si="88"/>
        <v>814</v>
      </c>
      <c r="S821" s="126">
        <f>IF(VLOOKUP(A821,Journal!$A$7:$E$70,5)=0,S820+1,VLOOKUP(A821,Journal!$A$7:$E$70,5))</f>
        <v>46471</v>
      </c>
      <c r="T821" s="125">
        <f>IF(H$2=VLOOKUP(A821,Journal!$A$7:$F$70,6),VLOOKUP(A821,Journal!$A$7:M$70,9),0)</f>
        <v>0</v>
      </c>
      <c r="U821" s="125">
        <f>IF(H$2=VLOOKUP(A821,Journal!$A$7:$G$70,7),VLOOKUP(A821,Journal!$A$7:M$70,9),0)</f>
        <v>0</v>
      </c>
      <c r="V821" s="125">
        <f t="shared" si="89"/>
        <v>40</v>
      </c>
      <c r="X821">
        <f t="shared" si="86"/>
        <v>0</v>
      </c>
      <c r="Y821" s="143">
        <f t="shared" si="85"/>
        <v>-978.65789473687607</v>
      </c>
    </row>
    <row r="822" spans="1:25" x14ac:dyDescent="0.25">
      <c r="A822">
        <f t="shared" si="90"/>
        <v>815</v>
      </c>
      <c r="B822" s="88" t="str">
        <f>IF(OR(B821="Total",B821=""),"",IF(VLOOKUP(A822,Journal!$B$7:$E$84,4)=0,"Total",VLOOKUP(A822,Journal!$B$7:$D$84,3)))</f>
        <v/>
      </c>
      <c r="C822" s="86" t="str">
        <f>IF(B822="","",VLOOKUP(A822,Journal!$B$7:$E$84,4))</f>
        <v/>
      </c>
      <c r="D822" s="114" t="str">
        <f>IF(B822="","",VLOOKUP(A822,Journal!$B$7:$J$84,9))</f>
        <v/>
      </c>
      <c r="E822" s="116"/>
      <c r="F822" s="116"/>
      <c r="G822" s="115"/>
      <c r="H822" s="84" t="str">
        <f>IF(B822="","",VLOOKUP(A822,Journal!$B$7:$L$84,11))</f>
        <v/>
      </c>
      <c r="I822" s="84" t="str">
        <f>IF(B822="","",VLOOKUP(A822,Journal!$B$7:$M$84,12))</f>
        <v/>
      </c>
      <c r="J822" s="105">
        <f>IF(B822="Total",SUM(J$8:J821)+0.0001,IF(OR(B822="",I$2=I822),0,VLOOKUP(A822,Journal!$B$7:M$84,8)))</f>
        <v>0</v>
      </c>
      <c r="K822" s="102">
        <f>IF(B822="Total",SUM(K$8:K821)+0.0001,IF(OR(B822="",J822&lt;&gt;0),0,VLOOKUP(A822,Journal!$B$7:M$84,8)))</f>
        <v>0</v>
      </c>
      <c r="L822" s="87">
        <f t="shared" si="84"/>
        <v>0</v>
      </c>
      <c r="P822">
        <f t="shared" si="87"/>
        <v>1.0000000000000001E-5</v>
      </c>
      <c r="R822" s="15">
        <f t="shared" si="88"/>
        <v>815</v>
      </c>
      <c r="S822" s="126">
        <f>IF(VLOOKUP(A822,Journal!$A$7:$E$70,5)=0,S821+1,VLOOKUP(A822,Journal!$A$7:$E$70,5))</f>
        <v>46472</v>
      </c>
      <c r="T822" s="125">
        <f>IF(H$2=VLOOKUP(A822,Journal!$A$7:$F$70,6),VLOOKUP(A822,Journal!$A$7:M$70,9),0)</f>
        <v>0</v>
      </c>
      <c r="U822" s="125">
        <f>IF(H$2=VLOOKUP(A822,Journal!$A$7:$G$70,7),VLOOKUP(A822,Journal!$A$7:M$70,9),0)</f>
        <v>0</v>
      </c>
      <c r="V822" s="125">
        <f t="shared" si="89"/>
        <v>40</v>
      </c>
      <c r="X822">
        <f t="shared" si="86"/>
        <v>0</v>
      </c>
      <c r="Y822" s="143">
        <f t="shared" si="85"/>
        <v>-978.63157894740243</v>
      </c>
    </row>
    <row r="823" spans="1:25" x14ac:dyDescent="0.25">
      <c r="A823">
        <f t="shared" si="90"/>
        <v>816</v>
      </c>
      <c r="B823" s="88" t="str">
        <f>IF(OR(B822="Total",B822=""),"",IF(VLOOKUP(A823,Journal!$B$7:$E$84,4)=0,"Total",VLOOKUP(A823,Journal!$B$7:$D$84,3)))</f>
        <v/>
      </c>
      <c r="C823" s="86" t="str">
        <f>IF(B823="","",VLOOKUP(A823,Journal!$B$7:$E$84,4))</f>
        <v/>
      </c>
      <c r="D823" s="114" t="str">
        <f>IF(B823="","",VLOOKUP(A823,Journal!$B$7:$J$84,9))</f>
        <v/>
      </c>
      <c r="E823" s="116"/>
      <c r="F823" s="116"/>
      <c r="G823" s="115"/>
      <c r="H823" s="84" t="str">
        <f>IF(B823="","",VLOOKUP(A823,Journal!$B$7:$L$84,11))</f>
        <v/>
      </c>
      <c r="I823" s="84" t="str">
        <f>IF(B823="","",VLOOKUP(A823,Journal!$B$7:$M$84,12))</f>
        <v/>
      </c>
      <c r="J823" s="105">
        <f>IF(B823="Total",SUM(J$8:J822)+0.0001,IF(OR(B823="",I$2=I823),0,VLOOKUP(A823,Journal!$B$7:M$84,8)))</f>
        <v>0</v>
      </c>
      <c r="K823" s="102">
        <f>IF(B823="Total",SUM(K$8:K822)+0.0001,IF(OR(B823="",J823&lt;&gt;0),0,VLOOKUP(A823,Journal!$B$7:M$84,8)))</f>
        <v>0</v>
      </c>
      <c r="L823" s="87">
        <f t="shared" si="84"/>
        <v>0</v>
      </c>
      <c r="P823">
        <f t="shared" si="87"/>
        <v>1.0000000000000001E-5</v>
      </c>
      <c r="R823" s="15">
        <f t="shared" si="88"/>
        <v>816</v>
      </c>
      <c r="S823" s="126">
        <f>IF(VLOOKUP(A823,Journal!$A$7:$E$70,5)=0,S822+1,VLOOKUP(A823,Journal!$A$7:$E$70,5))</f>
        <v>46473</v>
      </c>
      <c r="T823" s="125">
        <f>IF(H$2=VLOOKUP(A823,Journal!$A$7:$F$70,6),VLOOKUP(A823,Journal!$A$7:M$70,9),0)</f>
        <v>0</v>
      </c>
      <c r="U823" s="125">
        <f>IF(H$2=VLOOKUP(A823,Journal!$A$7:$G$70,7),VLOOKUP(A823,Journal!$A$7:M$70,9),0)</f>
        <v>0</v>
      </c>
      <c r="V823" s="125">
        <f t="shared" si="89"/>
        <v>40</v>
      </c>
      <c r="X823">
        <f t="shared" si="86"/>
        <v>0</v>
      </c>
      <c r="Y823" s="143">
        <f t="shared" si="85"/>
        <v>-978.60526315792879</v>
      </c>
    </row>
    <row r="824" spans="1:25" x14ac:dyDescent="0.25">
      <c r="A824">
        <f t="shared" si="90"/>
        <v>817</v>
      </c>
      <c r="B824" s="88" t="str">
        <f>IF(OR(B823="Total",B823=""),"",IF(VLOOKUP(A824,Journal!$B$7:$E$84,4)=0,"Total",VLOOKUP(A824,Journal!$B$7:$D$84,3)))</f>
        <v/>
      </c>
      <c r="C824" s="86" t="str">
        <f>IF(B824="","",VLOOKUP(A824,Journal!$B$7:$E$84,4))</f>
        <v/>
      </c>
      <c r="D824" s="114" t="str">
        <f>IF(B824="","",VLOOKUP(A824,Journal!$B$7:$J$84,9))</f>
        <v/>
      </c>
      <c r="E824" s="116"/>
      <c r="F824" s="116"/>
      <c r="G824" s="115"/>
      <c r="H824" s="84" t="str">
        <f>IF(B824="","",VLOOKUP(A824,Journal!$B$7:$L$84,11))</f>
        <v/>
      </c>
      <c r="I824" s="84" t="str">
        <f>IF(B824="","",VLOOKUP(A824,Journal!$B$7:$M$84,12))</f>
        <v/>
      </c>
      <c r="J824" s="105">
        <f>IF(B824="Total",SUM(J$8:J823)+0.0001,IF(OR(B824="",I$2=I824),0,VLOOKUP(A824,Journal!$B$7:M$84,8)))</f>
        <v>0</v>
      </c>
      <c r="K824" s="102">
        <f>IF(B824="Total",SUM(K$8:K823)+0.0001,IF(OR(B824="",J824&lt;&gt;0),0,VLOOKUP(A824,Journal!$B$7:M$84,8)))</f>
        <v>0</v>
      </c>
      <c r="L824" s="87">
        <f t="shared" si="84"/>
        <v>0</v>
      </c>
      <c r="P824">
        <f t="shared" si="87"/>
        <v>1.0000000000000001E-5</v>
      </c>
      <c r="R824" s="15">
        <f t="shared" si="88"/>
        <v>817</v>
      </c>
      <c r="S824" s="126">
        <f>IF(VLOOKUP(A824,Journal!$A$7:$E$70,5)=0,S823+1,VLOOKUP(A824,Journal!$A$7:$E$70,5))</f>
        <v>46474</v>
      </c>
      <c r="T824" s="125">
        <f>IF(H$2=VLOOKUP(A824,Journal!$A$7:$F$70,6),VLOOKUP(A824,Journal!$A$7:M$70,9),0)</f>
        <v>0</v>
      </c>
      <c r="U824" s="125">
        <f>IF(H$2=VLOOKUP(A824,Journal!$A$7:$G$70,7),VLOOKUP(A824,Journal!$A$7:M$70,9),0)</f>
        <v>0</v>
      </c>
      <c r="V824" s="125">
        <f t="shared" si="89"/>
        <v>40</v>
      </c>
      <c r="X824">
        <f t="shared" si="86"/>
        <v>0</v>
      </c>
      <c r="Y824" s="143">
        <f t="shared" si="85"/>
        <v>-978.57894736845515</v>
      </c>
    </row>
    <row r="825" spans="1:25" x14ac:dyDescent="0.25">
      <c r="A825">
        <f t="shared" si="90"/>
        <v>818</v>
      </c>
      <c r="B825" s="88" t="str">
        <f>IF(OR(B824="Total",B824=""),"",IF(VLOOKUP(A825,Journal!$B$7:$E$84,4)=0,"Total",VLOOKUP(A825,Journal!$B$7:$D$84,3)))</f>
        <v/>
      </c>
      <c r="C825" s="86" t="str">
        <f>IF(B825="","",VLOOKUP(A825,Journal!$B$7:$E$84,4))</f>
        <v/>
      </c>
      <c r="D825" s="114" t="str">
        <f>IF(B825="","",VLOOKUP(A825,Journal!$B$7:$J$84,9))</f>
        <v/>
      </c>
      <c r="E825" s="116"/>
      <c r="F825" s="116"/>
      <c r="G825" s="115"/>
      <c r="H825" s="84" t="str">
        <f>IF(B825="","",VLOOKUP(A825,Journal!$B$7:$L$84,11))</f>
        <v/>
      </c>
      <c r="I825" s="84" t="str">
        <f>IF(B825="","",VLOOKUP(A825,Journal!$B$7:$M$84,12))</f>
        <v/>
      </c>
      <c r="J825" s="105">
        <f>IF(B825="Total",SUM(J$8:J824)+0.0001,IF(OR(B825="",I$2=I825),0,VLOOKUP(A825,Journal!$B$7:M$84,8)))</f>
        <v>0</v>
      </c>
      <c r="K825" s="102">
        <f>IF(B825="Total",SUM(K$8:K824)+0.0001,IF(OR(B825="",J825&lt;&gt;0),0,VLOOKUP(A825,Journal!$B$7:M$84,8)))</f>
        <v>0</v>
      </c>
      <c r="L825" s="87">
        <f t="shared" si="84"/>
        <v>0</v>
      </c>
      <c r="P825">
        <f t="shared" si="87"/>
        <v>1.0000000000000001E-5</v>
      </c>
      <c r="R825" s="15">
        <f t="shared" si="88"/>
        <v>818</v>
      </c>
      <c r="S825" s="126">
        <f>IF(VLOOKUP(A825,Journal!$A$7:$E$70,5)=0,S824+1,VLOOKUP(A825,Journal!$A$7:$E$70,5))</f>
        <v>46475</v>
      </c>
      <c r="T825" s="125">
        <f>IF(H$2=VLOOKUP(A825,Journal!$A$7:$F$70,6),VLOOKUP(A825,Journal!$A$7:M$70,9),0)</f>
        <v>0</v>
      </c>
      <c r="U825" s="125">
        <f>IF(H$2=VLOOKUP(A825,Journal!$A$7:$G$70,7),VLOOKUP(A825,Journal!$A$7:M$70,9),0)</f>
        <v>0</v>
      </c>
      <c r="V825" s="125">
        <f t="shared" si="89"/>
        <v>40</v>
      </c>
      <c r="X825">
        <f t="shared" si="86"/>
        <v>0</v>
      </c>
      <c r="Y825" s="143">
        <f t="shared" si="85"/>
        <v>-978.5526315789815</v>
      </c>
    </row>
    <row r="826" spans="1:25" x14ac:dyDescent="0.25">
      <c r="A826">
        <f t="shared" si="90"/>
        <v>819</v>
      </c>
      <c r="B826" s="88" t="str">
        <f>IF(OR(B825="Total",B825=""),"",IF(VLOOKUP(A826,Journal!$B$7:$E$84,4)=0,"Total",VLOOKUP(A826,Journal!$B$7:$D$84,3)))</f>
        <v/>
      </c>
      <c r="C826" s="86" t="str">
        <f>IF(B826="","",VLOOKUP(A826,Journal!$B$7:$E$84,4))</f>
        <v/>
      </c>
      <c r="D826" s="114" t="str">
        <f>IF(B826="","",VLOOKUP(A826,Journal!$B$7:$J$84,9))</f>
        <v/>
      </c>
      <c r="E826" s="116"/>
      <c r="F826" s="116"/>
      <c r="G826" s="115"/>
      <c r="H826" s="84" t="str">
        <f>IF(B826="","",VLOOKUP(A826,Journal!$B$7:$L$84,11))</f>
        <v/>
      </c>
      <c r="I826" s="84" t="str">
        <f>IF(B826="","",VLOOKUP(A826,Journal!$B$7:$M$84,12))</f>
        <v/>
      </c>
      <c r="J826" s="105">
        <f>IF(B826="Total",SUM(J$8:J825)+0.0001,IF(OR(B826="",I$2=I826),0,VLOOKUP(A826,Journal!$B$7:M$84,8)))</f>
        <v>0</v>
      </c>
      <c r="K826" s="102">
        <f>IF(B826="Total",SUM(K$8:K825)+0.0001,IF(OR(B826="",J826&lt;&gt;0),0,VLOOKUP(A826,Journal!$B$7:M$84,8)))</f>
        <v>0</v>
      </c>
      <c r="L826" s="87">
        <f t="shared" si="84"/>
        <v>0</v>
      </c>
      <c r="P826">
        <f t="shared" si="87"/>
        <v>1.0000000000000001E-5</v>
      </c>
      <c r="R826" s="15">
        <f t="shared" si="88"/>
        <v>819</v>
      </c>
      <c r="S826" s="126">
        <f>IF(VLOOKUP(A826,Journal!$A$7:$E$70,5)=0,S825+1,VLOOKUP(A826,Journal!$A$7:$E$70,5))</f>
        <v>46476</v>
      </c>
      <c r="T826" s="125">
        <f>IF(H$2=VLOOKUP(A826,Journal!$A$7:$F$70,6),VLOOKUP(A826,Journal!$A$7:M$70,9),0)</f>
        <v>0</v>
      </c>
      <c r="U826" s="125">
        <f>IF(H$2=VLOOKUP(A826,Journal!$A$7:$G$70,7),VLOOKUP(A826,Journal!$A$7:M$70,9),0)</f>
        <v>0</v>
      </c>
      <c r="V826" s="125">
        <f t="shared" si="89"/>
        <v>40</v>
      </c>
      <c r="X826">
        <f t="shared" si="86"/>
        <v>0</v>
      </c>
      <c r="Y826" s="143">
        <f t="shared" si="85"/>
        <v>-978.52631578950786</v>
      </c>
    </row>
    <row r="827" spans="1:25" x14ac:dyDescent="0.25">
      <c r="A827">
        <f t="shared" si="90"/>
        <v>820</v>
      </c>
      <c r="B827" s="88" t="str">
        <f>IF(OR(B826="Total",B826=""),"",IF(VLOOKUP(A827,Journal!$B$7:$E$84,4)=0,"Total",VLOOKUP(A827,Journal!$B$7:$D$84,3)))</f>
        <v/>
      </c>
      <c r="C827" s="86" t="str">
        <f>IF(B827="","",VLOOKUP(A827,Journal!$B$7:$E$84,4))</f>
        <v/>
      </c>
      <c r="D827" s="114" t="str">
        <f>IF(B827="","",VLOOKUP(A827,Journal!$B$7:$J$84,9))</f>
        <v/>
      </c>
      <c r="E827" s="116"/>
      <c r="F827" s="116"/>
      <c r="G827" s="115"/>
      <c r="H827" s="84" t="str">
        <f>IF(B827="","",VLOOKUP(A827,Journal!$B$7:$L$84,11))</f>
        <v/>
      </c>
      <c r="I827" s="84" t="str">
        <f>IF(B827="","",VLOOKUP(A827,Journal!$B$7:$M$84,12))</f>
        <v/>
      </c>
      <c r="J827" s="105">
        <f>IF(B827="Total",SUM(J$8:J826)+0.0001,IF(OR(B827="",I$2=I827),0,VLOOKUP(A827,Journal!$B$7:M$84,8)))</f>
        <v>0</v>
      </c>
      <c r="K827" s="102">
        <f>IF(B827="Total",SUM(K$8:K826)+0.0001,IF(OR(B827="",J827&lt;&gt;0),0,VLOOKUP(A827,Journal!$B$7:M$84,8)))</f>
        <v>0</v>
      </c>
      <c r="L827" s="87">
        <f t="shared" si="84"/>
        <v>0</v>
      </c>
      <c r="P827">
        <f t="shared" si="87"/>
        <v>1.0000000000000001E-5</v>
      </c>
      <c r="R827" s="15">
        <f t="shared" si="88"/>
        <v>820</v>
      </c>
      <c r="S827" s="126">
        <f>IF(VLOOKUP(A827,Journal!$A$7:$E$70,5)=0,S826+1,VLOOKUP(A827,Journal!$A$7:$E$70,5))</f>
        <v>46477</v>
      </c>
      <c r="T827" s="125">
        <f>IF(H$2=VLOOKUP(A827,Journal!$A$7:$F$70,6),VLOOKUP(A827,Journal!$A$7:M$70,9),0)</f>
        <v>0</v>
      </c>
      <c r="U827" s="125">
        <f>IF(H$2=VLOOKUP(A827,Journal!$A$7:$G$70,7),VLOOKUP(A827,Journal!$A$7:M$70,9),0)</f>
        <v>0</v>
      </c>
      <c r="V827" s="125">
        <f t="shared" si="89"/>
        <v>40</v>
      </c>
      <c r="X827">
        <f t="shared" si="86"/>
        <v>0</v>
      </c>
      <c r="Y827" s="143">
        <f t="shared" si="85"/>
        <v>-978.50000000003422</v>
      </c>
    </row>
    <row r="828" spans="1:25" x14ac:dyDescent="0.25">
      <c r="A828">
        <f t="shared" si="90"/>
        <v>821</v>
      </c>
      <c r="B828" s="88" t="str">
        <f>IF(OR(B827="Total",B827=""),"",IF(VLOOKUP(A828,Journal!$B$7:$E$84,4)=0,"Total",VLOOKUP(A828,Journal!$B$7:$D$84,3)))</f>
        <v/>
      </c>
      <c r="C828" s="86" t="str">
        <f>IF(B828="","",VLOOKUP(A828,Journal!$B$7:$E$84,4))</f>
        <v/>
      </c>
      <c r="D828" s="114" t="str">
        <f>IF(B828="","",VLOOKUP(A828,Journal!$B$7:$J$84,9))</f>
        <v/>
      </c>
      <c r="E828" s="116"/>
      <c r="F828" s="116"/>
      <c r="G828" s="115"/>
      <c r="H828" s="84" t="str">
        <f>IF(B828="","",VLOOKUP(A828,Journal!$B$7:$L$84,11))</f>
        <v/>
      </c>
      <c r="I828" s="84" t="str">
        <f>IF(B828="","",VLOOKUP(A828,Journal!$B$7:$M$84,12))</f>
        <v/>
      </c>
      <c r="J828" s="105">
        <f>IF(B828="Total",SUM(J$8:J827)+0.0001,IF(OR(B828="",I$2=I828),0,VLOOKUP(A828,Journal!$B$7:M$84,8)))</f>
        <v>0</v>
      </c>
      <c r="K828" s="102">
        <f>IF(B828="Total",SUM(K$8:K827)+0.0001,IF(OR(B828="",J828&lt;&gt;0),0,VLOOKUP(A828,Journal!$B$7:M$84,8)))</f>
        <v>0</v>
      </c>
      <c r="L828" s="87">
        <f t="shared" si="84"/>
        <v>0</v>
      </c>
      <c r="P828">
        <f t="shared" si="87"/>
        <v>1.0000000000000001E-5</v>
      </c>
      <c r="R828" s="15">
        <f t="shared" si="88"/>
        <v>821</v>
      </c>
      <c r="S828" s="126">
        <f>IF(VLOOKUP(A828,Journal!$A$7:$E$70,5)=0,S827+1,VLOOKUP(A828,Journal!$A$7:$E$70,5))</f>
        <v>46478</v>
      </c>
      <c r="T828" s="125">
        <f>IF(H$2=VLOOKUP(A828,Journal!$A$7:$F$70,6),VLOOKUP(A828,Journal!$A$7:M$70,9),0)</f>
        <v>0</v>
      </c>
      <c r="U828" s="125">
        <f>IF(H$2=VLOOKUP(A828,Journal!$A$7:$G$70,7),VLOOKUP(A828,Journal!$A$7:M$70,9),0)</f>
        <v>0</v>
      </c>
      <c r="V828" s="125">
        <f t="shared" si="89"/>
        <v>40</v>
      </c>
      <c r="X828">
        <f t="shared" si="86"/>
        <v>0</v>
      </c>
      <c r="Y828" s="143">
        <f t="shared" si="85"/>
        <v>-978.47368421056058</v>
      </c>
    </row>
    <row r="829" spans="1:25" x14ac:dyDescent="0.25">
      <c r="A829">
        <f t="shared" si="90"/>
        <v>822</v>
      </c>
      <c r="B829" s="88" t="str">
        <f>IF(OR(B828="Total",B828=""),"",IF(VLOOKUP(A829,Journal!$B$7:$E$84,4)=0,"Total",VLOOKUP(A829,Journal!$B$7:$D$84,3)))</f>
        <v/>
      </c>
      <c r="C829" s="86" t="str">
        <f>IF(B829="","",VLOOKUP(A829,Journal!$B$7:$E$84,4))</f>
        <v/>
      </c>
      <c r="D829" s="114" t="str">
        <f>IF(B829="","",VLOOKUP(A829,Journal!$B$7:$J$84,9))</f>
        <v/>
      </c>
      <c r="E829" s="116"/>
      <c r="F829" s="116"/>
      <c r="G829" s="115"/>
      <c r="H829" s="84" t="str">
        <f>IF(B829="","",VLOOKUP(A829,Journal!$B$7:$L$84,11))</f>
        <v/>
      </c>
      <c r="I829" s="84" t="str">
        <f>IF(B829="","",VLOOKUP(A829,Journal!$B$7:$M$84,12))</f>
        <v/>
      </c>
      <c r="J829" s="105">
        <f>IF(B829="Total",SUM(J$8:J828)+0.0001,IF(OR(B829="",I$2=I829),0,VLOOKUP(A829,Journal!$B$7:M$84,8)))</f>
        <v>0</v>
      </c>
      <c r="K829" s="102">
        <f>IF(B829="Total",SUM(K$8:K828)+0.0001,IF(OR(B829="",J829&lt;&gt;0),0,VLOOKUP(A829,Journal!$B$7:M$84,8)))</f>
        <v>0</v>
      </c>
      <c r="L829" s="87">
        <f t="shared" si="84"/>
        <v>0</v>
      </c>
      <c r="P829">
        <f t="shared" si="87"/>
        <v>1.0000000000000001E-5</v>
      </c>
      <c r="R829" s="15">
        <f t="shared" si="88"/>
        <v>822</v>
      </c>
      <c r="S829" s="126">
        <f>IF(VLOOKUP(A829,Journal!$A$7:$E$70,5)=0,S828+1,VLOOKUP(A829,Journal!$A$7:$E$70,5))</f>
        <v>46479</v>
      </c>
      <c r="T829" s="125">
        <f>IF(H$2=VLOOKUP(A829,Journal!$A$7:$F$70,6),VLOOKUP(A829,Journal!$A$7:M$70,9),0)</f>
        <v>0</v>
      </c>
      <c r="U829" s="125">
        <f>IF(H$2=VLOOKUP(A829,Journal!$A$7:$G$70,7),VLOOKUP(A829,Journal!$A$7:M$70,9),0)</f>
        <v>0</v>
      </c>
      <c r="V829" s="125">
        <f t="shared" si="89"/>
        <v>40</v>
      </c>
      <c r="X829">
        <f t="shared" si="86"/>
        <v>0</v>
      </c>
      <c r="Y829" s="143">
        <f t="shared" si="85"/>
        <v>-978.44736842108694</v>
      </c>
    </row>
    <row r="830" spans="1:25" x14ac:dyDescent="0.25">
      <c r="A830">
        <f t="shared" si="90"/>
        <v>823</v>
      </c>
      <c r="B830" s="88" t="str">
        <f>IF(OR(B829="Total",B829=""),"",IF(VLOOKUP(A830,Journal!$B$7:$E$84,4)=0,"Total",VLOOKUP(A830,Journal!$B$7:$D$84,3)))</f>
        <v/>
      </c>
      <c r="C830" s="86" t="str">
        <f>IF(B830="","",VLOOKUP(A830,Journal!$B$7:$E$84,4))</f>
        <v/>
      </c>
      <c r="D830" s="114" t="str">
        <f>IF(B830="","",VLOOKUP(A830,Journal!$B$7:$J$84,9))</f>
        <v/>
      </c>
      <c r="E830" s="116"/>
      <c r="F830" s="116"/>
      <c r="G830" s="115"/>
      <c r="H830" s="84" t="str">
        <f>IF(B830="","",VLOOKUP(A830,Journal!$B$7:$L$84,11))</f>
        <v/>
      </c>
      <c r="I830" s="84" t="str">
        <f>IF(B830="","",VLOOKUP(A830,Journal!$B$7:$M$84,12))</f>
        <v/>
      </c>
      <c r="J830" s="105">
        <f>IF(B830="Total",SUM(J$8:J829)+0.0001,IF(OR(B830="",I$2=I830),0,VLOOKUP(A830,Journal!$B$7:M$84,8)))</f>
        <v>0</v>
      </c>
      <c r="K830" s="102">
        <f>IF(B830="Total",SUM(K$8:K829)+0.0001,IF(OR(B830="",J830&lt;&gt;0),0,VLOOKUP(A830,Journal!$B$7:M$84,8)))</f>
        <v>0</v>
      </c>
      <c r="L830" s="87">
        <f t="shared" si="84"/>
        <v>0</v>
      </c>
      <c r="P830">
        <f t="shared" si="87"/>
        <v>1.0000000000000001E-5</v>
      </c>
      <c r="R830" s="15">
        <f t="shared" si="88"/>
        <v>823</v>
      </c>
      <c r="S830" s="126">
        <f>IF(VLOOKUP(A830,Journal!$A$7:$E$70,5)=0,S829+1,VLOOKUP(A830,Journal!$A$7:$E$70,5))</f>
        <v>46480</v>
      </c>
      <c r="T830" s="125">
        <f>IF(H$2=VLOOKUP(A830,Journal!$A$7:$F$70,6),VLOOKUP(A830,Journal!$A$7:M$70,9),0)</f>
        <v>0</v>
      </c>
      <c r="U830" s="125">
        <f>IF(H$2=VLOOKUP(A830,Journal!$A$7:$G$70,7),VLOOKUP(A830,Journal!$A$7:M$70,9),0)</f>
        <v>0</v>
      </c>
      <c r="V830" s="125">
        <f t="shared" si="89"/>
        <v>40</v>
      </c>
      <c r="X830">
        <f t="shared" si="86"/>
        <v>0</v>
      </c>
      <c r="Y830" s="143">
        <f t="shared" si="85"/>
        <v>-978.42105263161329</v>
      </c>
    </row>
    <row r="831" spans="1:25" x14ac:dyDescent="0.25">
      <c r="A831">
        <f t="shared" si="90"/>
        <v>824</v>
      </c>
      <c r="B831" s="88" t="str">
        <f>IF(OR(B830="Total",B830=""),"",IF(VLOOKUP(A831,Journal!$B$7:$E$84,4)=0,"Total",VLOOKUP(A831,Journal!$B$7:$D$84,3)))</f>
        <v/>
      </c>
      <c r="C831" s="86" t="str">
        <f>IF(B831="","",VLOOKUP(A831,Journal!$B$7:$E$84,4))</f>
        <v/>
      </c>
      <c r="D831" s="114" t="str">
        <f>IF(B831="","",VLOOKUP(A831,Journal!$B$7:$J$84,9))</f>
        <v/>
      </c>
      <c r="E831" s="116"/>
      <c r="F831" s="116"/>
      <c r="G831" s="115"/>
      <c r="H831" s="84" t="str">
        <f>IF(B831="","",VLOOKUP(A831,Journal!$B$7:$L$84,11))</f>
        <v/>
      </c>
      <c r="I831" s="84" t="str">
        <f>IF(B831="","",VLOOKUP(A831,Journal!$B$7:$M$84,12))</f>
        <v/>
      </c>
      <c r="J831" s="105">
        <f>IF(B831="Total",SUM(J$8:J830)+0.0001,IF(OR(B831="",I$2=I831),0,VLOOKUP(A831,Journal!$B$7:M$84,8)))</f>
        <v>0</v>
      </c>
      <c r="K831" s="102">
        <f>IF(B831="Total",SUM(K$8:K830)+0.0001,IF(OR(B831="",J831&lt;&gt;0),0,VLOOKUP(A831,Journal!$B$7:M$84,8)))</f>
        <v>0</v>
      </c>
      <c r="L831" s="87">
        <f t="shared" si="84"/>
        <v>0</v>
      </c>
      <c r="P831">
        <f t="shared" si="87"/>
        <v>1.0000000000000001E-5</v>
      </c>
      <c r="R831" s="15">
        <f t="shared" si="88"/>
        <v>824</v>
      </c>
      <c r="S831" s="126">
        <f>IF(VLOOKUP(A831,Journal!$A$7:$E$70,5)=0,S830+1,VLOOKUP(A831,Journal!$A$7:$E$70,5))</f>
        <v>46481</v>
      </c>
      <c r="T831" s="125">
        <f>IF(H$2=VLOOKUP(A831,Journal!$A$7:$F$70,6),VLOOKUP(A831,Journal!$A$7:M$70,9),0)</f>
        <v>0</v>
      </c>
      <c r="U831" s="125">
        <f>IF(H$2=VLOOKUP(A831,Journal!$A$7:$G$70,7),VLOOKUP(A831,Journal!$A$7:M$70,9),0)</f>
        <v>0</v>
      </c>
      <c r="V831" s="125">
        <f t="shared" si="89"/>
        <v>40</v>
      </c>
      <c r="X831">
        <f t="shared" si="86"/>
        <v>0</v>
      </c>
      <c r="Y831" s="143">
        <f t="shared" si="85"/>
        <v>-978.39473684213965</v>
      </c>
    </row>
    <row r="832" spans="1:25" x14ac:dyDescent="0.25">
      <c r="A832">
        <f t="shared" si="90"/>
        <v>825</v>
      </c>
      <c r="B832" s="88" t="str">
        <f>IF(OR(B831="Total",B831=""),"",IF(VLOOKUP(A832,Journal!$B$7:$E$84,4)=0,"Total",VLOOKUP(A832,Journal!$B$7:$D$84,3)))</f>
        <v/>
      </c>
      <c r="C832" s="86" t="str">
        <f>IF(B832="","",VLOOKUP(A832,Journal!$B$7:$E$84,4))</f>
        <v/>
      </c>
      <c r="D832" s="114" t="str">
        <f>IF(B832="","",VLOOKUP(A832,Journal!$B$7:$J$84,9))</f>
        <v/>
      </c>
      <c r="E832" s="116"/>
      <c r="F832" s="116"/>
      <c r="G832" s="115"/>
      <c r="H832" s="84" t="str">
        <f>IF(B832="","",VLOOKUP(A832,Journal!$B$7:$L$84,11))</f>
        <v/>
      </c>
      <c r="I832" s="84" t="str">
        <f>IF(B832="","",VLOOKUP(A832,Journal!$B$7:$M$84,12))</f>
        <v/>
      </c>
      <c r="J832" s="105">
        <f>IF(B832="Total",SUM(J$8:J831)+0.0001,IF(OR(B832="",I$2=I832),0,VLOOKUP(A832,Journal!$B$7:M$84,8)))</f>
        <v>0</v>
      </c>
      <c r="K832" s="102">
        <f>IF(B832="Total",SUM(K$8:K831)+0.0001,IF(OR(B832="",J832&lt;&gt;0),0,VLOOKUP(A832,Journal!$B$7:M$84,8)))</f>
        <v>0</v>
      </c>
      <c r="L832" s="87">
        <f t="shared" si="84"/>
        <v>0</v>
      </c>
      <c r="P832">
        <f t="shared" si="87"/>
        <v>1.0000000000000001E-5</v>
      </c>
      <c r="R832" s="15">
        <f t="shared" si="88"/>
        <v>825</v>
      </c>
      <c r="S832" s="126">
        <f>IF(VLOOKUP(A832,Journal!$A$7:$E$70,5)=0,S831+1,VLOOKUP(A832,Journal!$A$7:$E$70,5))</f>
        <v>46482</v>
      </c>
      <c r="T832" s="125">
        <f>IF(H$2=VLOOKUP(A832,Journal!$A$7:$F$70,6),VLOOKUP(A832,Journal!$A$7:M$70,9),0)</f>
        <v>0</v>
      </c>
      <c r="U832" s="125">
        <f>IF(H$2=VLOOKUP(A832,Journal!$A$7:$G$70,7),VLOOKUP(A832,Journal!$A$7:M$70,9),0)</f>
        <v>0</v>
      </c>
      <c r="V832" s="125">
        <f t="shared" si="89"/>
        <v>40</v>
      </c>
      <c r="X832">
        <f t="shared" si="86"/>
        <v>0</v>
      </c>
      <c r="Y832" s="143">
        <f t="shared" si="85"/>
        <v>-978.36842105266601</v>
      </c>
    </row>
    <row r="833" spans="1:25" x14ac:dyDescent="0.25">
      <c r="A833">
        <f t="shared" si="90"/>
        <v>826</v>
      </c>
      <c r="B833" s="88" t="str">
        <f>IF(OR(B832="Total",B832=""),"",IF(VLOOKUP(A833,Journal!$B$7:$E$84,4)=0,"Total",VLOOKUP(A833,Journal!$B$7:$D$84,3)))</f>
        <v/>
      </c>
      <c r="C833" s="86" t="str">
        <f>IF(B833="","",VLOOKUP(A833,Journal!$B$7:$E$84,4))</f>
        <v/>
      </c>
      <c r="D833" s="114" t="str">
        <f>IF(B833="","",VLOOKUP(A833,Journal!$B$7:$J$84,9))</f>
        <v/>
      </c>
      <c r="E833" s="116"/>
      <c r="F833" s="116"/>
      <c r="G833" s="115"/>
      <c r="H833" s="84" t="str">
        <f>IF(B833="","",VLOOKUP(A833,Journal!$B$7:$L$84,11))</f>
        <v/>
      </c>
      <c r="I833" s="84" t="str">
        <f>IF(B833="","",VLOOKUP(A833,Journal!$B$7:$M$84,12))</f>
        <v/>
      </c>
      <c r="J833" s="105">
        <f>IF(B833="Total",SUM(J$8:J832)+0.0001,IF(OR(B833="",I$2=I833),0,VLOOKUP(A833,Journal!$B$7:M$84,8)))</f>
        <v>0</v>
      </c>
      <c r="K833" s="102">
        <f>IF(B833="Total",SUM(K$8:K832)+0.0001,IF(OR(B833="",J833&lt;&gt;0),0,VLOOKUP(A833,Journal!$B$7:M$84,8)))</f>
        <v>0</v>
      </c>
      <c r="L833" s="87">
        <f t="shared" si="84"/>
        <v>0</v>
      </c>
      <c r="P833">
        <f t="shared" si="87"/>
        <v>1.0000000000000001E-5</v>
      </c>
      <c r="R833" s="15">
        <f t="shared" si="88"/>
        <v>826</v>
      </c>
      <c r="S833" s="126">
        <f>IF(VLOOKUP(A833,Journal!$A$7:$E$70,5)=0,S832+1,VLOOKUP(A833,Journal!$A$7:$E$70,5))</f>
        <v>46483</v>
      </c>
      <c r="T833" s="125">
        <f>IF(H$2=VLOOKUP(A833,Journal!$A$7:$F$70,6),VLOOKUP(A833,Journal!$A$7:M$70,9),0)</f>
        <v>0</v>
      </c>
      <c r="U833" s="125">
        <f>IF(H$2=VLOOKUP(A833,Journal!$A$7:$G$70,7),VLOOKUP(A833,Journal!$A$7:M$70,9),0)</f>
        <v>0</v>
      </c>
      <c r="V833" s="125">
        <f t="shared" si="89"/>
        <v>40</v>
      </c>
      <c r="X833">
        <f t="shared" si="86"/>
        <v>0</v>
      </c>
      <c r="Y833" s="143">
        <f t="shared" si="85"/>
        <v>-978.34210526319237</v>
      </c>
    </row>
    <row r="834" spans="1:25" x14ac:dyDescent="0.25">
      <c r="A834">
        <f t="shared" si="90"/>
        <v>827</v>
      </c>
      <c r="B834" s="88" t="str">
        <f>IF(OR(B833="Total",B833=""),"",IF(VLOOKUP(A834,Journal!$B$7:$E$84,4)=0,"Total",VLOOKUP(A834,Journal!$B$7:$D$84,3)))</f>
        <v/>
      </c>
      <c r="C834" s="86" t="str">
        <f>IF(B834="","",VLOOKUP(A834,Journal!$B$7:$E$84,4))</f>
        <v/>
      </c>
      <c r="D834" s="114" t="str">
        <f>IF(B834="","",VLOOKUP(A834,Journal!$B$7:$J$84,9))</f>
        <v/>
      </c>
      <c r="E834" s="116"/>
      <c r="F834" s="116"/>
      <c r="G834" s="115"/>
      <c r="H834" s="84" t="str">
        <f>IF(B834="","",VLOOKUP(A834,Journal!$B$7:$L$84,11))</f>
        <v/>
      </c>
      <c r="I834" s="84" t="str">
        <f>IF(B834="","",VLOOKUP(A834,Journal!$B$7:$M$84,12))</f>
        <v/>
      </c>
      <c r="J834" s="105">
        <f>IF(B834="Total",SUM(J$8:J833)+0.0001,IF(OR(B834="",I$2=I834),0,VLOOKUP(A834,Journal!$B$7:M$84,8)))</f>
        <v>0</v>
      </c>
      <c r="K834" s="102">
        <f>IF(B834="Total",SUM(K$8:K833)+0.0001,IF(OR(B834="",J834&lt;&gt;0),0,VLOOKUP(A834,Journal!$B$7:M$84,8)))</f>
        <v>0</v>
      </c>
      <c r="L834" s="87">
        <f t="shared" si="84"/>
        <v>0</v>
      </c>
      <c r="P834">
        <f t="shared" si="87"/>
        <v>1.0000000000000001E-5</v>
      </c>
      <c r="R834" s="15">
        <f t="shared" si="88"/>
        <v>827</v>
      </c>
      <c r="S834" s="126">
        <f>IF(VLOOKUP(A834,Journal!$A$7:$E$70,5)=0,S833+1,VLOOKUP(A834,Journal!$A$7:$E$70,5))</f>
        <v>46484</v>
      </c>
      <c r="T834" s="125">
        <f>IF(H$2=VLOOKUP(A834,Journal!$A$7:$F$70,6),VLOOKUP(A834,Journal!$A$7:M$70,9),0)</f>
        <v>0</v>
      </c>
      <c r="U834" s="125">
        <f>IF(H$2=VLOOKUP(A834,Journal!$A$7:$G$70,7),VLOOKUP(A834,Journal!$A$7:M$70,9),0)</f>
        <v>0</v>
      </c>
      <c r="V834" s="125">
        <f t="shared" si="89"/>
        <v>40</v>
      </c>
      <c r="X834">
        <f t="shared" si="86"/>
        <v>0</v>
      </c>
      <c r="Y834" s="143">
        <f t="shared" si="85"/>
        <v>-978.31578947371872</v>
      </c>
    </row>
    <row r="835" spans="1:25" x14ac:dyDescent="0.25">
      <c r="A835">
        <f t="shared" si="90"/>
        <v>828</v>
      </c>
      <c r="B835" s="88" t="str">
        <f>IF(OR(B834="Total",B834=""),"",IF(VLOOKUP(A835,Journal!$B$7:$E$84,4)=0,"Total",VLOOKUP(A835,Journal!$B$7:$D$84,3)))</f>
        <v/>
      </c>
      <c r="C835" s="86" t="str">
        <f>IF(B835="","",VLOOKUP(A835,Journal!$B$7:$E$84,4))</f>
        <v/>
      </c>
      <c r="D835" s="114" t="str">
        <f>IF(B835="","",VLOOKUP(A835,Journal!$B$7:$J$84,9))</f>
        <v/>
      </c>
      <c r="E835" s="116"/>
      <c r="F835" s="116"/>
      <c r="G835" s="115"/>
      <c r="H835" s="84" t="str">
        <f>IF(B835="","",VLOOKUP(A835,Journal!$B$7:$L$84,11))</f>
        <v/>
      </c>
      <c r="I835" s="84" t="str">
        <f>IF(B835="","",VLOOKUP(A835,Journal!$B$7:$M$84,12))</f>
        <v/>
      </c>
      <c r="J835" s="105">
        <f>IF(B835="Total",SUM(J$8:J834)+0.0001,IF(OR(B835="",I$2=I835),0,VLOOKUP(A835,Journal!$B$7:M$84,8)))</f>
        <v>0</v>
      </c>
      <c r="K835" s="102">
        <f>IF(B835="Total",SUM(K$8:K834)+0.0001,IF(OR(B835="",J835&lt;&gt;0),0,VLOOKUP(A835,Journal!$B$7:M$84,8)))</f>
        <v>0</v>
      </c>
      <c r="L835" s="87">
        <f t="shared" si="84"/>
        <v>0</v>
      </c>
      <c r="P835">
        <f t="shared" si="87"/>
        <v>1.0000000000000001E-5</v>
      </c>
      <c r="R835" s="15">
        <f t="shared" si="88"/>
        <v>828</v>
      </c>
      <c r="S835" s="126">
        <f>IF(VLOOKUP(A835,Journal!$A$7:$E$70,5)=0,S834+1,VLOOKUP(A835,Journal!$A$7:$E$70,5))</f>
        <v>46485</v>
      </c>
      <c r="T835" s="125">
        <f>IF(H$2=VLOOKUP(A835,Journal!$A$7:$F$70,6),VLOOKUP(A835,Journal!$A$7:M$70,9),0)</f>
        <v>0</v>
      </c>
      <c r="U835" s="125">
        <f>IF(H$2=VLOOKUP(A835,Journal!$A$7:$G$70,7),VLOOKUP(A835,Journal!$A$7:M$70,9),0)</f>
        <v>0</v>
      </c>
      <c r="V835" s="125">
        <f t="shared" si="89"/>
        <v>40</v>
      </c>
      <c r="X835">
        <f t="shared" si="86"/>
        <v>0</v>
      </c>
      <c r="Y835" s="143">
        <f t="shared" si="85"/>
        <v>-978.28947368424508</v>
      </c>
    </row>
    <row r="836" spans="1:25" x14ac:dyDescent="0.25">
      <c r="A836">
        <f t="shared" si="90"/>
        <v>829</v>
      </c>
      <c r="B836" s="88" t="str">
        <f>IF(OR(B835="Total",B835=""),"",IF(VLOOKUP(A836,Journal!$B$7:$E$84,4)=0,"Total",VLOOKUP(A836,Journal!$B$7:$D$84,3)))</f>
        <v/>
      </c>
      <c r="C836" s="86" t="str">
        <f>IF(B836="","",VLOOKUP(A836,Journal!$B$7:$E$84,4))</f>
        <v/>
      </c>
      <c r="D836" s="114" t="str">
        <f>IF(B836="","",VLOOKUP(A836,Journal!$B$7:$J$84,9))</f>
        <v/>
      </c>
      <c r="E836" s="116"/>
      <c r="F836" s="116"/>
      <c r="G836" s="115"/>
      <c r="H836" s="84" t="str">
        <f>IF(B836="","",VLOOKUP(A836,Journal!$B$7:$L$84,11))</f>
        <v/>
      </c>
      <c r="I836" s="84" t="str">
        <f>IF(B836="","",VLOOKUP(A836,Journal!$B$7:$M$84,12))</f>
        <v/>
      </c>
      <c r="J836" s="105">
        <f>IF(B836="Total",SUM(J$8:J835)+0.0001,IF(OR(B836="",I$2=I836),0,VLOOKUP(A836,Journal!$B$7:M$84,8)))</f>
        <v>0</v>
      </c>
      <c r="K836" s="102">
        <f>IF(B836="Total",SUM(K$8:K835)+0.0001,IF(OR(B836="",J836&lt;&gt;0),0,VLOOKUP(A836,Journal!$B$7:M$84,8)))</f>
        <v>0</v>
      </c>
      <c r="L836" s="87">
        <f t="shared" si="84"/>
        <v>0</v>
      </c>
      <c r="P836">
        <f t="shared" si="87"/>
        <v>1.0000000000000001E-5</v>
      </c>
      <c r="R836" s="15">
        <f t="shared" si="88"/>
        <v>829</v>
      </c>
      <c r="S836" s="126">
        <f>IF(VLOOKUP(A836,Journal!$A$7:$E$70,5)=0,S835+1,VLOOKUP(A836,Journal!$A$7:$E$70,5))</f>
        <v>46486</v>
      </c>
      <c r="T836" s="125">
        <f>IF(H$2=VLOOKUP(A836,Journal!$A$7:$F$70,6),VLOOKUP(A836,Journal!$A$7:M$70,9),0)</f>
        <v>0</v>
      </c>
      <c r="U836" s="125">
        <f>IF(H$2=VLOOKUP(A836,Journal!$A$7:$G$70,7),VLOOKUP(A836,Journal!$A$7:M$70,9),0)</f>
        <v>0</v>
      </c>
      <c r="V836" s="125">
        <f t="shared" si="89"/>
        <v>40</v>
      </c>
      <c r="X836">
        <f t="shared" si="86"/>
        <v>0</v>
      </c>
      <c r="Y836" s="143">
        <f t="shared" si="85"/>
        <v>-978.26315789477144</v>
      </c>
    </row>
    <row r="837" spans="1:25" x14ac:dyDescent="0.25">
      <c r="A837">
        <f t="shared" si="90"/>
        <v>830</v>
      </c>
      <c r="B837" s="88" t="str">
        <f>IF(OR(B836="Total",B836=""),"",IF(VLOOKUP(A837,Journal!$B$7:$E$84,4)=0,"Total",VLOOKUP(A837,Journal!$B$7:$D$84,3)))</f>
        <v/>
      </c>
      <c r="C837" s="86" t="str">
        <f>IF(B837="","",VLOOKUP(A837,Journal!$B$7:$E$84,4))</f>
        <v/>
      </c>
      <c r="D837" s="114" t="str">
        <f>IF(B837="","",VLOOKUP(A837,Journal!$B$7:$J$84,9))</f>
        <v/>
      </c>
      <c r="E837" s="116"/>
      <c r="F837" s="116"/>
      <c r="G837" s="115"/>
      <c r="H837" s="84" t="str">
        <f>IF(B837="","",VLOOKUP(A837,Journal!$B$7:$L$84,11))</f>
        <v/>
      </c>
      <c r="I837" s="84" t="str">
        <f>IF(B837="","",VLOOKUP(A837,Journal!$B$7:$M$84,12))</f>
        <v/>
      </c>
      <c r="J837" s="105">
        <f>IF(B837="Total",SUM(J$8:J836)+0.0001,IF(OR(B837="",I$2=I837),0,VLOOKUP(A837,Journal!$B$7:M$84,8)))</f>
        <v>0</v>
      </c>
      <c r="K837" s="102">
        <f>IF(B837="Total",SUM(K$8:K836)+0.0001,IF(OR(B837="",J837&lt;&gt;0),0,VLOOKUP(A837,Journal!$B$7:M$84,8)))</f>
        <v>0</v>
      </c>
      <c r="L837" s="87">
        <f t="shared" si="84"/>
        <v>0</v>
      </c>
      <c r="P837">
        <f t="shared" si="87"/>
        <v>1.0000000000000001E-5</v>
      </c>
      <c r="R837" s="15">
        <f t="shared" si="88"/>
        <v>830</v>
      </c>
      <c r="S837" s="126">
        <f>IF(VLOOKUP(A837,Journal!$A$7:$E$70,5)=0,S836+1,VLOOKUP(A837,Journal!$A$7:$E$70,5))</f>
        <v>46487</v>
      </c>
      <c r="T837" s="125">
        <f>IF(H$2=VLOOKUP(A837,Journal!$A$7:$F$70,6),VLOOKUP(A837,Journal!$A$7:M$70,9),0)</f>
        <v>0</v>
      </c>
      <c r="U837" s="125">
        <f>IF(H$2=VLOOKUP(A837,Journal!$A$7:$G$70,7),VLOOKUP(A837,Journal!$A$7:M$70,9),0)</f>
        <v>0</v>
      </c>
      <c r="V837" s="125">
        <f t="shared" si="89"/>
        <v>40</v>
      </c>
      <c r="X837">
        <f t="shared" si="86"/>
        <v>0</v>
      </c>
      <c r="Y837" s="143">
        <f t="shared" si="85"/>
        <v>-978.2368421052978</v>
      </c>
    </row>
    <row r="838" spans="1:25" x14ac:dyDescent="0.25">
      <c r="A838">
        <f t="shared" si="90"/>
        <v>831</v>
      </c>
      <c r="B838" s="88" t="str">
        <f>IF(OR(B837="Total",B837=""),"",IF(VLOOKUP(A838,Journal!$B$7:$E$84,4)=0,"Total",VLOOKUP(A838,Journal!$B$7:$D$84,3)))</f>
        <v/>
      </c>
      <c r="C838" s="86" t="str">
        <f>IF(B838="","",VLOOKUP(A838,Journal!$B$7:$E$84,4))</f>
        <v/>
      </c>
      <c r="D838" s="114" t="str">
        <f>IF(B838="","",VLOOKUP(A838,Journal!$B$7:$J$84,9))</f>
        <v/>
      </c>
      <c r="E838" s="116"/>
      <c r="F838" s="116"/>
      <c r="G838" s="115"/>
      <c r="H838" s="84" t="str">
        <f>IF(B838="","",VLOOKUP(A838,Journal!$B$7:$L$84,11))</f>
        <v/>
      </c>
      <c r="I838" s="84" t="str">
        <f>IF(B838="","",VLOOKUP(A838,Journal!$B$7:$M$84,12))</f>
        <v/>
      </c>
      <c r="J838" s="105">
        <f>IF(B838="Total",SUM(J$8:J837)+0.0001,IF(OR(B838="",I$2=I838),0,VLOOKUP(A838,Journal!$B$7:M$84,8)))</f>
        <v>0</v>
      </c>
      <c r="K838" s="102">
        <f>IF(B838="Total",SUM(K$8:K837)+0.0001,IF(OR(B838="",J838&lt;&gt;0),0,VLOOKUP(A838,Journal!$B$7:M$84,8)))</f>
        <v>0</v>
      </c>
      <c r="L838" s="87">
        <f t="shared" si="84"/>
        <v>0</v>
      </c>
      <c r="P838">
        <f t="shared" si="87"/>
        <v>1.0000000000000001E-5</v>
      </c>
      <c r="R838" s="15">
        <f t="shared" si="88"/>
        <v>831</v>
      </c>
      <c r="S838" s="126">
        <f>IF(VLOOKUP(A838,Journal!$A$7:$E$70,5)=0,S837+1,VLOOKUP(A838,Journal!$A$7:$E$70,5))</f>
        <v>46488</v>
      </c>
      <c r="T838" s="125">
        <f>IF(H$2=VLOOKUP(A838,Journal!$A$7:$F$70,6),VLOOKUP(A838,Journal!$A$7:M$70,9),0)</f>
        <v>0</v>
      </c>
      <c r="U838" s="125">
        <f>IF(H$2=VLOOKUP(A838,Journal!$A$7:$G$70,7),VLOOKUP(A838,Journal!$A$7:M$70,9),0)</f>
        <v>0</v>
      </c>
      <c r="V838" s="125">
        <f t="shared" si="89"/>
        <v>40</v>
      </c>
      <c r="X838">
        <f t="shared" si="86"/>
        <v>0</v>
      </c>
      <c r="Y838" s="143">
        <f t="shared" si="85"/>
        <v>-978.21052631582415</v>
      </c>
    </row>
    <row r="839" spans="1:25" x14ac:dyDescent="0.25">
      <c r="A839">
        <f t="shared" si="90"/>
        <v>832</v>
      </c>
      <c r="B839" s="88" t="str">
        <f>IF(OR(B838="Total",B838=""),"",IF(VLOOKUP(A839,Journal!$B$7:$E$84,4)=0,"Total",VLOOKUP(A839,Journal!$B$7:$D$84,3)))</f>
        <v/>
      </c>
      <c r="C839" s="86" t="str">
        <f>IF(B839="","",VLOOKUP(A839,Journal!$B$7:$E$84,4))</f>
        <v/>
      </c>
      <c r="D839" s="114" t="str">
        <f>IF(B839="","",VLOOKUP(A839,Journal!$B$7:$J$84,9))</f>
        <v/>
      </c>
      <c r="E839" s="116"/>
      <c r="F839" s="116"/>
      <c r="G839" s="115"/>
      <c r="H839" s="84" t="str">
        <f>IF(B839="","",VLOOKUP(A839,Journal!$B$7:$L$84,11))</f>
        <v/>
      </c>
      <c r="I839" s="84" t="str">
        <f>IF(B839="","",VLOOKUP(A839,Journal!$B$7:$M$84,12))</f>
        <v/>
      </c>
      <c r="J839" s="105">
        <f>IF(B839="Total",SUM(J$8:J838)+0.0001,IF(OR(B839="",I$2=I839),0,VLOOKUP(A839,Journal!$B$7:M$84,8)))</f>
        <v>0</v>
      </c>
      <c r="K839" s="102">
        <f>IF(B839="Total",SUM(K$8:K838)+0.0001,IF(OR(B839="",J839&lt;&gt;0),0,VLOOKUP(A839,Journal!$B$7:M$84,8)))</f>
        <v>0</v>
      </c>
      <c r="L839" s="87">
        <f t="shared" si="84"/>
        <v>0</v>
      </c>
      <c r="P839">
        <f t="shared" si="87"/>
        <v>1.0000000000000001E-5</v>
      </c>
      <c r="R839" s="15">
        <f t="shared" si="88"/>
        <v>832</v>
      </c>
      <c r="S839" s="126">
        <f>IF(VLOOKUP(A839,Journal!$A$7:$E$70,5)=0,S838+1,VLOOKUP(A839,Journal!$A$7:$E$70,5))</f>
        <v>46489</v>
      </c>
      <c r="T839" s="125">
        <f>IF(H$2=VLOOKUP(A839,Journal!$A$7:$F$70,6),VLOOKUP(A839,Journal!$A$7:M$70,9),0)</f>
        <v>0</v>
      </c>
      <c r="U839" s="125">
        <f>IF(H$2=VLOOKUP(A839,Journal!$A$7:$G$70,7),VLOOKUP(A839,Journal!$A$7:M$70,9),0)</f>
        <v>0</v>
      </c>
      <c r="V839" s="125">
        <f t="shared" si="89"/>
        <v>40</v>
      </c>
      <c r="X839">
        <f t="shared" si="86"/>
        <v>0</v>
      </c>
      <c r="Y839" s="143">
        <f t="shared" si="85"/>
        <v>-978.18421052635051</v>
      </c>
    </row>
    <row r="840" spans="1:25" x14ac:dyDescent="0.25">
      <c r="A840">
        <f t="shared" si="90"/>
        <v>833</v>
      </c>
      <c r="B840" s="88" t="str">
        <f>IF(OR(B839="Total",B839=""),"",IF(VLOOKUP(A840,Journal!$B$7:$E$84,4)=0,"Total",VLOOKUP(A840,Journal!$B$7:$D$84,3)))</f>
        <v/>
      </c>
      <c r="C840" s="86" t="str">
        <f>IF(B840="","",VLOOKUP(A840,Journal!$B$7:$E$84,4))</f>
        <v/>
      </c>
      <c r="D840" s="114" t="str">
        <f>IF(B840="","",VLOOKUP(A840,Journal!$B$7:$J$84,9))</f>
        <v/>
      </c>
      <c r="E840" s="116"/>
      <c r="F840" s="116"/>
      <c r="G840" s="115"/>
      <c r="H840" s="84" t="str">
        <f>IF(B840="","",VLOOKUP(A840,Journal!$B$7:$L$84,11))</f>
        <v/>
      </c>
      <c r="I840" s="84" t="str">
        <f>IF(B840="","",VLOOKUP(A840,Journal!$B$7:$M$84,12))</f>
        <v/>
      </c>
      <c r="J840" s="105">
        <f>IF(B840="Total",SUM(J$8:J839)+0.0001,IF(OR(B840="",I$2=I840),0,VLOOKUP(A840,Journal!$B$7:M$84,8)))</f>
        <v>0</v>
      </c>
      <c r="K840" s="102">
        <f>IF(B840="Total",SUM(K$8:K839)+0.0001,IF(OR(B840="",J840&lt;&gt;0),0,VLOOKUP(A840,Journal!$B$7:M$84,8)))</f>
        <v>0</v>
      </c>
      <c r="L840" s="87">
        <f t="shared" ref="L840:L849" si="91">IF(B840="Total",L839,IF(B840="",0,IF($M$1=1,L839+J840-K840,L839-J840+K840)))</f>
        <v>0</v>
      </c>
      <c r="P840">
        <f t="shared" si="87"/>
        <v>1.0000000000000001E-5</v>
      </c>
      <c r="R840" s="15">
        <f t="shared" si="88"/>
        <v>833</v>
      </c>
      <c r="S840" s="126">
        <f>IF(VLOOKUP(A840,Journal!$A$7:$E$70,5)=0,S839+1,VLOOKUP(A840,Journal!$A$7:$E$70,5))</f>
        <v>46490</v>
      </c>
      <c r="T840" s="125">
        <f>IF(H$2=VLOOKUP(A840,Journal!$A$7:$F$70,6),VLOOKUP(A840,Journal!$A$7:M$70,9),0)</f>
        <v>0</v>
      </c>
      <c r="U840" s="125">
        <f>IF(H$2=VLOOKUP(A840,Journal!$A$7:$G$70,7),VLOOKUP(A840,Journal!$A$7:M$70,9),0)</f>
        <v>0</v>
      </c>
      <c r="V840" s="125">
        <f t="shared" si="89"/>
        <v>40</v>
      </c>
      <c r="X840">
        <f t="shared" si="86"/>
        <v>0</v>
      </c>
      <c r="Y840" s="143">
        <f t="shared" ref="Y840:Y903" si="92">IF(B839="Total",-1000,Y839+Y$4)</f>
        <v>-978.15789473687687</v>
      </c>
    </row>
    <row r="841" spans="1:25" x14ac:dyDescent="0.25">
      <c r="A841">
        <f t="shared" si="90"/>
        <v>834</v>
      </c>
      <c r="B841" s="88" t="str">
        <f>IF(OR(B840="Total",B840=""),"",IF(VLOOKUP(A841,Journal!$B$7:$E$84,4)=0,"Total",VLOOKUP(A841,Journal!$B$7:$D$84,3)))</f>
        <v/>
      </c>
      <c r="C841" s="86" t="str">
        <f>IF(B841="","",VLOOKUP(A841,Journal!$B$7:$E$84,4))</f>
        <v/>
      </c>
      <c r="D841" s="114" t="str">
        <f>IF(B841="","",VLOOKUP(A841,Journal!$B$7:$J$84,9))</f>
        <v/>
      </c>
      <c r="E841" s="116"/>
      <c r="F841" s="116"/>
      <c r="G841" s="115"/>
      <c r="H841" s="84" t="str">
        <f>IF(B841="","",VLOOKUP(A841,Journal!$B$7:$L$84,11))</f>
        <v/>
      </c>
      <c r="I841" s="84" t="str">
        <f>IF(B841="","",VLOOKUP(A841,Journal!$B$7:$M$84,12))</f>
        <v/>
      </c>
      <c r="J841" s="105">
        <f>IF(B841="Total",SUM(J$8:J840)+0.0001,IF(OR(B841="",I$2=I841),0,VLOOKUP(A841,Journal!$B$7:M$84,8)))</f>
        <v>0</v>
      </c>
      <c r="K841" s="102">
        <f>IF(B841="Total",SUM(K$8:K840)+0.0001,IF(OR(B841="",J841&lt;&gt;0),0,VLOOKUP(A841,Journal!$B$7:M$84,8)))</f>
        <v>0</v>
      </c>
      <c r="L841" s="87">
        <f t="shared" si="91"/>
        <v>0</v>
      </c>
      <c r="P841">
        <f t="shared" si="87"/>
        <v>1.0000000000000001E-5</v>
      </c>
      <c r="R841" s="15">
        <f t="shared" si="88"/>
        <v>834</v>
      </c>
      <c r="S841" s="126">
        <f>IF(VLOOKUP(A841,Journal!$A$7:$E$70,5)=0,S840+1,VLOOKUP(A841,Journal!$A$7:$E$70,5))</f>
        <v>46491</v>
      </c>
      <c r="T841" s="125">
        <f>IF(H$2=VLOOKUP(A841,Journal!$A$7:$F$70,6),VLOOKUP(A841,Journal!$A$7:M$70,9),0)</f>
        <v>0</v>
      </c>
      <c r="U841" s="125">
        <f>IF(H$2=VLOOKUP(A841,Journal!$A$7:$G$70,7),VLOOKUP(A841,Journal!$A$7:M$70,9),0)</f>
        <v>0</v>
      </c>
      <c r="V841" s="125">
        <f t="shared" si="89"/>
        <v>40</v>
      </c>
      <c r="X841">
        <f t="shared" ref="X841:X849" si="93">IF(J$2&gt;S841,1,0)</f>
        <v>0</v>
      </c>
      <c r="Y841" s="143">
        <f t="shared" si="92"/>
        <v>-978.13157894740323</v>
      </c>
    </row>
    <row r="842" spans="1:25" x14ac:dyDescent="0.25">
      <c r="A842">
        <f t="shared" si="90"/>
        <v>835</v>
      </c>
      <c r="B842" s="88" t="str">
        <f>IF(OR(B841="Total",B841=""),"",IF(VLOOKUP(A842,Journal!$B$7:$E$84,4)=0,"Total",VLOOKUP(A842,Journal!$B$7:$D$84,3)))</f>
        <v/>
      </c>
      <c r="C842" s="86" t="str">
        <f>IF(B842="","",VLOOKUP(A842,Journal!$B$7:$E$84,4))</f>
        <v/>
      </c>
      <c r="D842" s="114" t="str">
        <f>IF(B842="","",VLOOKUP(A842,Journal!$B$7:$J$84,9))</f>
        <v/>
      </c>
      <c r="E842" s="116"/>
      <c r="F842" s="116"/>
      <c r="G842" s="115"/>
      <c r="H842" s="84" t="str">
        <f>IF(B842="","",VLOOKUP(A842,Journal!$B$7:$L$84,11))</f>
        <v/>
      </c>
      <c r="I842" s="84" t="str">
        <f>IF(B842="","",VLOOKUP(A842,Journal!$B$7:$M$84,12))</f>
        <v/>
      </c>
      <c r="J842" s="105">
        <f>IF(B842="Total",SUM(J$8:J841)+0.0001,IF(OR(B842="",I$2=I842),0,VLOOKUP(A842,Journal!$B$7:M$84,8)))</f>
        <v>0</v>
      </c>
      <c r="K842" s="102">
        <f>IF(B842="Total",SUM(K$8:K841)+0.0001,IF(OR(B842="",J842&lt;&gt;0),0,VLOOKUP(A842,Journal!$B$7:M$84,8)))</f>
        <v>0</v>
      </c>
      <c r="L842" s="87">
        <f t="shared" si="91"/>
        <v>0</v>
      </c>
      <c r="P842">
        <f t="shared" ref="P842:P849" si="94">IF(L841=L842,L841+0.00001,L842)</f>
        <v>1.0000000000000001E-5</v>
      </c>
      <c r="R842" s="15">
        <f t="shared" ref="R842:R873" si="95">R841+1</f>
        <v>835</v>
      </c>
      <c r="S842" s="126">
        <f>IF(VLOOKUP(A842,Journal!$A$7:$E$70,5)=0,S841+1,VLOOKUP(A842,Journal!$A$7:$E$70,5))</f>
        <v>46492</v>
      </c>
      <c r="T842" s="125">
        <f>IF(H$2=VLOOKUP(A842,Journal!$A$7:$F$70,6),VLOOKUP(A842,Journal!$A$7:M$70,9),0)</f>
        <v>0</v>
      </c>
      <c r="U842" s="125">
        <f>IF(H$2=VLOOKUP(A842,Journal!$A$7:$G$70,7),VLOOKUP(A842,Journal!$A$7:M$70,9),0)</f>
        <v>0</v>
      </c>
      <c r="V842" s="125">
        <f t="shared" ref="V842:V905" si="96">IF($M$1=1,V841+T842-U842,V841-T842+U842)</f>
        <v>40</v>
      </c>
      <c r="X842">
        <f t="shared" si="93"/>
        <v>0</v>
      </c>
      <c r="Y842" s="143">
        <f t="shared" si="92"/>
        <v>-978.10526315792958</v>
      </c>
    </row>
    <row r="843" spans="1:25" x14ac:dyDescent="0.25">
      <c r="A843">
        <f t="shared" ref="A843:A874" si="97">A842+1</f>
        <v>836</v>
      </c>
      <c r="B843" s="88" t="str">
        <f>IF(OR(B842="Total",B842=""),"",IF(VLOOKUP(A843,Journal!$B$7:$E$84,4)=0,"Total",VLOOKUP(A843,Journal!$B$7:$D$84,3)))</f>
        <v/>
      </c>
      <c r="C843" s="86" t="str">
        <f>IF(B843="","",VLOOKUP(A843,Journal!$B$7:$E$84,4))</f>
        <v/>
      </c>
      <c r="D843" s="114" t="str">
        <f>IF(B843="","",VLOOKUP(A843,Journal!$B$7:$J$84,9))</f>
        <v/>
      </c>
      <c r="E843" s="116"/>
      <c r="F843" s="116"/>
      <c r="G843" s="115"/>
      <c r="H843" s="84" t="str">
        <f>IF(B843="","",VLOOKUP(A843,Journal!$B$7:$L$84,11))</f>
        <v/>
      </c>
      <c r="I843" s="84" t="str">
        <f>IF(B843="","",VLOOKUP(A843,Journal!$B$7:$M$84,12))</f>
        <v/>
      </c>
      <c r="J843" s="105">
        <f>IF(B843="Total",SUM(J$8:J842)+0.0001,IF(OR(B843="",I$2=I843),0,VLOOKUP(A843,Journal!$B$7:M$84,8)))</f>
        <v>0</v>
      </c>
      <c r="K843" s="102">
        <f>IF(B843="Total",SUM(K$8:K842)+0.0001,IF(OR(B843="",J843&lt;&gt;0),0,VLOOKUP(A843,Journal!$B$7:M$84,8)))</f>
        <v>0</v>
      </c>
      <c r="L843" s="87">
        <f t="shared" si="91"/>
        <v>0</v>
      </c>
      <c r="P843">
        <f t="shared" si="94"/>
        <v>1.0000000000000001E-5</v>
      </c>
      <c r="R843" s="15">
        <f t="shared" si="95"/>
        <v>836</v>
      </c>
      <c r="S843" s="126">
        <f>IF(VLOOKUP(A843,Journal!$A$7:$E$70,5)=0,S842+1,VLOOKUP(A843,Journal!$A$7:$E$70,5))</f>
        <v>46493</v>
      </c>
      <c r="T843" s="125">
        <f>IF(H$2=VLOOKUP(A843,Journal!$A$7:$F$70,6),VLOOKUP(A843,Journal!$A$7:M$70,9),0)</f>
        <v>0</v>
      </c>
      <c r="U843" s="125">
        <f>IF(H$2=VLOOKUP(A843,Journal!$A$7:$G$70,7),VLOOKUP(A843,Journal!$A$7:M$70,9),0)</f>
        <v>0</v>
      </c>
      <c r="V843" s="125">
        <f t="shared" si="96"/>
        <v>40</v>
      </c>
      <c r="X843">
        <f t="shared" si="93"/>
        <v>0</v>
      </c>
      <c r="Y843" s="143">
        <f t="shared" si="92"/>
        <v>-978.07894736845594</v>
      </c>
    </row>
    <row r="844" spans="1:25" x14ac:dyDescent="0.25">
      <c r="A844">
        <f t="shared" si="97"/>
        <v>837</v>
      </c>
      <c r="B844" s="88" t="str">
        <f>IF(OR(B843="Total",B843=""),"",IF(VLOOKUP(A844,Journal!$B$7:$E$84,4)=0,"Total",VLOOKUP(A844,Journal!$B$7:$D$84,3)))</f>
        <v/>
      </c>
      <c r="C844" s="86" t="str">
        <f>IF(B844="","",VLOOKUP(A844,Journal!$B$7:$E$84,4))</f>
        <v/>
      </c>
      <c r="D844" s="114" t="str">
        <f>IF(B844="","",VLOOKUP(A844,Journal!$B$7:$J$84,9))</f>
        <v/>
      </c>
      <c r="E844" s="116"/>
      <c r="F844" s="116"/>
      <c r="G844" s="115"/>
      <c r="H844" s="84" t="str">
        <f>IF(B844="","",VLOOKUP(A844,Journal!$B$7:$L$84,11))</f>
        <v/>
      </c>
      <c r="I844" s="84" t="str">
        <f>IF(B844="","",VLOOKUP(A844,Journal!$B$7:$M$84,12))</f>
        <v/>
      </c>
      <c r="J844" s="105">
        <f>IF(B844="Total",SUM(J$8:J843)+0.0001,IF(OR(B844="",I$2=I844),0,VLOOKUP(A844,Journal!$B$7:M$84,8)))</f>
        <v>0</v>
      </c>
      <c r="K844" s="102">
        <f>IF(B844="Total",SUM(K$8:K843)+0.0001,IF(OR(B844="",J844&lt;&gt;0),0,VLOOKUP(A844,Journal!$B$7:M$84,8)))</f>
        <v>0</v>
      </c>
      <c r="L844" s="87">
        <f t="shared" si="91"/>
        <v>0</v>
      </c>
      <c r="P844">
        <f t="shared" si="94"/>
        <v>1.0000000000000001E-5</v>
      </c>
      <c r="R844" s="15">
        <f t="shared" si="95"/>
        <v>837</v>
      </c>
      <c r="S844" s="126">
        <f>IF(VLOOKUP(A844,Journal!$A$7:$E$70,5)=0,S843+1,VLOOKUP(A844,Journal!$A$7:$E$70,5))</f>
        <v>46494</v>
      </c>
      <c r="T844" s="125">
        <f>IF(H$2=VLOOKUP(A844,Journal!$A$7:$F$70,6),VLOOKUP(A844,Journal!$A$7:M$70,9),0)</f>
        <v>0</v>
      </c>
      <c r="U844" s="125">
        <f>IF(H$2=VLOOKUP(A844,Journal!$A$7:$G$70,7),VLOOKUP(A844,Journal!$A$7:M$70,9),0)</f>
        <v>0</v>
      </c>
      <c r="V844" s="125">
        <f t="shared" si="96"/>
        <v>40</v>
      </c>
      <c r="X844">
        <f t="shared" si="93"/>
        <v>0</v>
      </c>
      <c r="Y844" s="143">
        <f t="shared" si="92"/>
        <v>-978.0526315789823</v>
      </c>
    </row>
    <row r="845" spans="1:25" x14ac:dyDescent="0.25">
      <c r="A845">
        <f t="shared" si="97"/>
        <v>838</v>
      </c>
      <c r="B845" s="88" t="str">
        <f>IF(OR(B844="Total",B844=""),"",IF(VLOOKUP(A845,Journal!$B$7:$E$84,4)=0,"Total",VLOOKUP(A845,Journal!$B$7:$D$84,3)))</f>
        <v/>
      </c>
      <c r="C845" s="86" t="str">
        <f>IF(B845="","",VLOOKUP(A845,Journal!$B$7:$E$84,4))</f>
        <v/>
      </c>
      <c r="D845" s="114" t="str">
        <f>IF(B845="","",VLOOKUP(A845,Journal!$B$7:$J$84,9))</f>
        <v/>
      </c>
      <c r="E845" s="116"/>
      <c r="F845" s="116"/>
      <c r="G845" s="115"/>
      <c r="H845" s="84" t="str">
        <f>IF(B845="","",VLOOKUP(A845,Journal!$B$7:$L$84,11))</f>
        <v/>
      </c>
      <c r="I845" s="84" t="str">
        <f>IF(B845="","",VLOOKUP(A845,Journal!$B$7:$M$84,12))</f>
        <v/>
      </c>
      <c r="J845" s="105">
        <f>IF(B845="Total",SUM(J$8:J844)+0.0001,IF(OR(B845="",I$2=I845),0,VLOOKUP(A845,Journal!$B$7:M$84,8)))</f>
        <v>0</v>
      </c>
      <c r="K845" s="102">
        <f>IF(B845="Total",SUM(K$8:K844)+0.0001,IF(OR(B845="",J845&lt;&gt;0),0,VLOOKUP(A845,Journal!$B$7:M$84,8)))</f>
        <v>0</v>
      </c>
      <c r="L845" s="87">
        <f t="shared" si="91"/>
        <v>0</v>
      </c>
      <c r="P845">
        <f t="shared" si="94"/>
        <v>1.0000000000000001E-5</v>
      </c>
      <c r="R845" s="15">
        <f t="shared" si="95"/>
        <v>838</v>
      </c>
      <c r="S845" s="126">
        <f>IF(VLOOKUP(A845,Journal!$A$7:$E$70,5)=0,S844+1,VLOOKUP(A845,Journal!$A$7:$E$70,5))</f>
        <v>46495</v>
      </c>
      <c r="T845" s="125">
        <f>IF(H$2=VLOOKUP(A845,Journal!$A$7:$F$70,6),VLOOKUP(A845,Journal!$A$7:M$70,9),0)</f>
        <v>0</v>
      </c>
      <c r="U845" s="125">
        <f>IF(H$2=VLOOKUP(A845,Journal!$A$7:$G$70,7),VLOOKUP(A845,Journal!$A$7:M$70,9),0)</f>
        <v>0</v>
      </c>
      <c r="V845" s="125">
        <f t="shared" si="96"/>
        <v>40</v>
      </c>
      <c r="X845">
        <f t="shared" si="93"/>
        <v>0</v>
      </c>
      <c r="Y845" s="143">
        <f t="shared" si="92"/>
        <v>-978.02631578950866</v>
      </c>
    </row>
    <row r="846" spans="1:25" x14ac:dyDescent="0.25">
      <c r="A846">
        <f t="shared" si="97"/>
        <v>839</v>
      </c>
      <c r="B846" s="88" t="str">
        <f>IF(OR(B845="Total",B845=""),"",IF(VLOOKUP(A846,Journal!$B$7:$E$84,4)=0,"Total",VLOOKUP(A846,Journal!$B$7:$D$84,3)))</f>
        <v/>
      </c>
      <c r="C846" s="86" t="str">
        <f>IF(B846="","",VLOOKUP(A846,Journal!$B$7:$E$84,4))</f>
        <v/>
      </c>
      <c r="D846" s="114" t="str">
        <f>IF(B846="","",VLOOKUP(A846,Journal!$B$7:$J$84,9))</f>
        <v/>
      </c>
      <c r="E846" s="116"/>
      <c r="F846" s="116"/>
      <c r="G846" s="115"/>
      <c r="H846" s="84" t="str">
        <f>IF(B846="","",VLOOKUP(A846,Journal!$B$7:$L$84,11))</f>
        <v/>
      </c>
      <c r="I846" s="84" t="str">
        <f>IF(B846="","",VLOOKUP(A846,Journal!$B$7:$M$84,12))</f>
        <v/>
      </c>
      <c r="J846" s="105">
        <f>IF(B846="Total",SUM(J$8:J845)+0.0001,IF(OR(B846="",I$2=I846),0,VLOOKUP(A846,Journal!$B$7:M$84,8)))</f>
        <v>0</v>
      </c>
      <c r="K846" s="102">
        <f>IF(B846="Total",SUM(K$8:K845)+0.0001,IF(OR(B846="",J846&lt;&gt;0),0,VLOOKUP(A846,Journal!$B$7:M$84,8)))</f>
        <v>0</v>
      </c>
      <c r="L846" s="87">
        <f t="shared" si="91"/>
        <v>0</v>
      </c>
      <c r="P846">
        <f t="shared" si="94"/>
        <v>1.0000000000000001E-5</v>
      </c>
      <c r="R846" s="15">
        <f t="shared" si="95"/>
        <v>839</v>
      </c>
      <c r="S846" s="126">
        <f>IF(VLOOKUP(A846,Journal!$A$7:$E$70,5)=0,S845+1,VLOOKUP(A846,Journal!$A$7:$E$70,5))</f>
        <v>46496</v>
      </c>
      <c r="T846" s="125">
        <f>IF(H$2=VLOOKUP(A846,Journal!$A$7:$F$70,6),VLOOKUP(A846,Journal!$A$7:M$70,9),0)</f>
        <v>0</v>
      </c>
      <c r="U846" s="125">
        <f>IF(H$2=VLOOKUP(A846,Journal!$A$7:$G$70,7),VLOOKUP(A846,Journal!$A$7:M$70,9),0)</f>
        <v>0</v>
      </c>
      <c r="V846" s="125">
        <f t="shared" si="96"/>
        <v>40</v>
      </c>
      <c r="X846">
        <f t="shared" si="93"/>
        <v>0</v>
      </c>
      <c r="Y846" s="143">
        <f t="shared" si="92"/>
        <v>-978.00000000003502</v>
      </c>
    </row>
    <row r="847" spans="1:25" x14ac:dyDescent="0.25">
      <c r="A847">
        <f t="shared" si="97"/>
        <v>840</v>
      </c>
      <c r="B847" s="88" t="str">
        <f>IF(OR(B846="Total",B846=""),"",IF(VLOOKUP(A847,Journal!$B$7:$E$84,4)=0,"Total",VLOOKUP(A847,Journal!$B$7:$D$84,3)))</f>
        <v/>
      </c>
      <c r="C847" s="86" t="str">
        <f>IF(B847="","",VLOOKUP(A847,Journal!$B$7:$E$84,4))</f>
        <v/>
      </c>
      <c r="D847" s="114" t="str">
        <f>IF(B847="","",VLOOKUP(A847,Journal!$B$7:$J$84,9))</f>
        <v/>
      </c>
      <c r="E847" s="116"/>
      <c r="F847" s="116"/>
      <c r="G847" s="115"/>
      <c r="H847" s="84" t="str">
        <f>IF(B847="","",VLOOKUP(A847,Journal!$B$7:$L$84,11))</f>
        <v/>
      </c>
      <c r="I847" s="84" t="str">
        <f>IF(B847="","",VLOOKUP(A847,Journal!$B$7:$M$84,12))</f>
        <v/>
      </c>
      <c r="J847" s="105">
        <f>IF(B847="Total",SUM(J$8:J846)+0.0001,IF(OR(B847="",I$2=I847),0,VLOOKUP(A847,Journal!$B$7:M$84,8)))</f>
        <v>0</v>
      </c>
      <c r="K847" s="102">
        <f>IF(B847="Total",SUM(K$8:K846)+0.0001,IF(OR(B847="",J847&lt;&gt;0),0,VLOOKUP(A847,Journal!$B$7:M$84,8)))</f>
        <v>0</v>
      </c>
      <c r="L847" s="87">
        <f t="shared" si="91"/>
        <v>0</v>
      </c>
      <c r="P847">
        <f t="shared" si="94"/>
        <v>1.0000000000000001E-5</v>
      </c>
      <c r="R847" s="15">
        <f t="shared" si="95"/>
        <v>840</v>
      </c>
      <c r="S847" s="126">
        <f>IF(VLOOKUP(A847,Journal!$A$7:$E$70,5)=0,S846+1,VLOOKUP(A847,Journal!$A$7:$E$70,5))</f>
        <v>46497</v>
      </c>
      <c r="T847" s="125">
        <f>IF(H$2=VLOOKUP(A847,Journal!$A$7:$F$70,6),VLOOKUP(A847,Journal!$A$7:M$70,9),0)</f>
        <v>0</v>
      </c>
      <c r="U847" s="125">
        <f>IF(H$2=VLOOKUP(A847,Journal!$A$7:$G$70,7),VLOOKUP(A847,Journal!$A$7:M$70,9),0)</f>
        <v>0</v>
      </c>
      <c r="V847" s="125">
        <f t="shared" si="96"/>
        <v>40</v>
      </c>
      <c r="X847">
        <f t="shared" si="93"/>
        <v>0</v>
      </c>
      <c r="Y847" s="143">
        <f t="shared" si="92"/>
        <v>-977.97368421056137</v>
      </c>
    </row>
    <row r="848" spans="1:25" x14ac:dyDescent="0.25">
      <c r="A848">
        <f t="shared" si="97"/>
        <v>841</v>
      </c>
      <c r="B848" s="88" t="str">
        <f>IF(OR(B847="Total",B847=""),"",IF(VLOOKUP(A848,Journal!$B$7:$E$84,4)=0,"Total",VLOOKUP(A848,Journal!$B$7:$D$84,3)))</f>
        <v/>
      </c>
      <c r="C848" s="86" t="str">
        <f>IF(B848="","",VLOOKUP(A848,Journal!$B$7:$E$84,4))</f>
        <v/>
      </c>
      <c r="D848" s="114" t="str">
        <f>IF(B848="","",VLOOKUP(A848,Journal!$B$7:$J$84,9))</f>
        <v/>
      </c>
      <c r="E848" s="116"/>
      <c r="F848" s="116"/>
      <c r="G848" s="115"/>
      <c r="H848" s="84" t="str">
        <f>IF(B848="","",VLOOKUP(A848,Journal!$B$7:$L$84,11))</f>
        <v/>
      </c>
      <c r="I848" s="84" t="str">
        <f>IF(B848="","",VLOOKUP(A848,Journal!$B$7:$M$84,12))</f>
        <v/>
      </c>
      <c r="J848" s="105">
        <f>IF(B848="Total",SUM(J$8:J847)+0.0001,IF(OR(B848="",I$2=I848),0,VLOOKUP(A848,Journal!$B$7:M$84,8)))</f>
        <v>0</v>
      </c>
      <c r="K848" s="102">
        <f>IF(B848="Total",SUM(K$8:K847)+0.0001,IF(OR(B848="",J848&lt;&gt;0),0,VLOOKUP(A848,Journal!$B$7:M$84,8)))</f>
        <v>0</v>
      </c>
      <c r="L848" s="87">
        <f t="shared" si="91"/>
        <v>0</v>
      </c>
      <c r="P848">
        <f t="shared" si="94"/>
        <v>1.0000000000000001E-5</v>
      </c>
      <c r="R848" s="15">
        <f t="shared" si="95"/>
        <v>841</v>
      </c>
      <c r="S848" s="126">
        <f>IF(VLOOKUP(A848,Journal!$A$7:$E$70,5)=0,S847+1,VLOOKUP(A848,Journal!$A$7:$E$70,5))</f>
        <v>46498</v>
      </c>
      <c r="T848" s="125">
        <f>IF(H$2=VLOOKUP(A848,Journal!$A$7:$F$70,6),VLOOKUP(A848,Journal!$A$7:M$70,9),0)</f>
        <v>0</v>
      </c>
      <c r="U848" s="125">
        <f>IF(H$2=VLOOKUP(A848,Journal!$A$7:$G$70,7),VLOOKUP(A848,Journal!$A$7:M$70,9),0)</f>
        <v>0</v>
      </c>
      <c r="V848" s="125">
        <f t="shared" si="96"/>
        <v>40</v>
      </c>
      <c r="X848">
        <f t="shared" si="93"/>
        <v>0</v>
      </c>
      <c r="Y848" s="143">
        <f t="shared" si="92"/>
        <v>-977.94736842108773</v>
      </c>
    </row>
    <row r="849" spans="1:25" x14ac:dyDescent="0.25">
      <c r="A849">
        <f t="shared" si="97"/>
        <v>842</v>
      </c>
      <c r="B849" s="88" t="str">
        <f>IF(OR(B848="Total",B848=""),"",IF(VLOOKUP(A849,Journal!$B$7:$E$84,4)=0,"Total",VLOOKUP(A849,Journal!$B$7:$D$84,3)))</f>
        <v/>
      </c>
      <c r="C849" s="86" t="str">
        <f>IF(B849="","",VLOOKUP(A849,Journal!$B$7:$E$84,4))</f>
        <v/>
      </c>
      <c r="D849" s="114" t="str">
        <f>IF(B849="","",VLOOKUP(A849,Journal!$B$7:$J$84,9))</f>
        <v/>
      </c>
      <c r="E849" s="116"/>
      <c r="F849" s="116"/>
      <c r="G849" s="115"/>
      <c r="H849" s="84" t="str">
        <f>IF(B849="","",VLOOKUP(A849,Journal!$B$7:$L$84,11))</f>
        <v/>
      </c>
      <c r="I849" s="84" t="str">
        <f>IF(B849="","",VLOOKUP(A849,Journal!$B$7:$M$84,12))</f>
        <v/>
      </c>
      <c r="J849" s="105">
        <f>IF(B849="Total",SUM(J$8:J848)+0.0001,IF(OR(B849="",I$2=I849),0,VLOOKUP(A849,Journal!$B$7:M$84,8)))</f>
        <v>0</v>
      </c>
      <c r="K849" s="102">
        <f>IF(B849="Total",SUM(K$8:K848)+0.0001,IF(OR(B849="",J849&lt;&gt;0),0,VLOOKUP(A849,Journal!$B$7:M$84,8)))</f>
        <v>0</v>
      </c>
      <c r="L849" s="87">
        <f t="shared" si="91"/>
        <v>0</v>
      </c>
      <c r="P849">
        <f t="shared" si="94"/>
        <v>1.0000000000000001E-5</v>
      </c>
      <c r="R849" s="15">
        <f t="shared" si="95"/>
        <v>842</v>
      </c>
      <c r="S849" s="126">
        <f>IF(VLOOKUP(A849,Journal!$A$7:$E$70,5)=0,S848+1,VLOOKUP(A849,Journal!$A$7:$E$70,5))</f>
        <v>46499</v>
      </c>
      <c r="T849" s="125">
        <f>IF(H$2=VLOOKUP(A849,Journal!$A$7:$F$70,6),VLOOKUP(A849,Journal!$A$7:M$70,9),0)</f>
        <v>0</v>
      </c>
      <c r="U849" s="125">
        <f>IF(H$2=VLOOKUP(A849,Journal!$A$7:$G$70,7),VLOOKUP(A849,Journal!$A$7:M$70,9),0)</f>
        <v>0</v>
      </c>
      <c r="V849" s="125">
        <f t="shared" si="96"/>
        <v>40</v>
      </c>
      <c r="X849">
        <f t="shared" si="93"/>
        <v>0</v>
      </c>
      <c r="Y849" s="143">
        <f t="shared" si="92"/>
        <v>-977.92105263161409</v>
      </c>
    </row>
    <row r="850" spans="1:25" x14ac:dyDescent="0.25">
      <c r="A850">
        <f t="shared" si="97"/>
        <v>843</v>
      </c>
      <c r="B850" s="88" t="str">
        <f>IF(OR(B849="Total",B849=""),"",IF(VLOOKUP(A850,Journal!$B$7:$E$84,4)=0,"Total",VLOOKUP(A850,Journal!$B$7:$D$84,3)))</f>
        <v/>
      </c>
      <c r="C850" s="86" t="str">
        <f>IF(B850="","",VLOOKUP(A850,Journal!$B$7:$E$84,4))</f>
        <v/>
      </c>
      <c r="D850" s="114" t="str">
        <f>IF(B850="","",VLOOKUP(A850,Journal!$B$7:$J$84,9))</f>
        <v/>
      </c>
      <c r="E850" s="116"/>
      <c r="F850" s="116"/>
      <c r="G850" s="115"/>
      <c r="H850" s="84" t="str">
        <f>IF(B850="","",VLOOKUP(A850,Journal!$B$7:$L$84,11))</f>
        <v/>
      </c>
      <c r="I850" s="84" t="str">
        <f>IF(B850="","",VLOOKUP(A850,Journal!$B$7:$M$84,12))</f>
        <v/>
      </c>
      <c r="J850" s="105">
        <f>IF(B850="Total",SUM(J$8:J849)+0.0001,IF(OR(B850="",I$2=I850),0,VLOOKUP(A850,Journal!$B$7:M$84,8)))</f>
        <v>0</v>
      </c>
      <c r="K850" s="102">
        <f>IF(B850="Total",SUM(K$8:K849)+0.0001,IF(OR(B850="",J850&lt;&gt;0),0,VLOOKUP(A850,Journal!$B$7:M$84,8)))</f>
        <v>0</v>
      </c>
      <c r="L850" s="87">
        <f t="shared" ref="L850:L913" si="98">IF(B850="Total",L849,IF(B850="",0,IF($M$1=1,L849+J850-K850,L849-J850+K850)))</f>
        <v>0</v>
      </c>
      <c r="P850">
        <f t="shared" ref="P850:P913" si="99">IF(L849=L850,L849+0.00001,L850)</f>
        <v>1.0000000000000001E-5</v>
      </c>
      <c r="R850" s="15">
        <f t="shared" si="95"/>
        <v>843</v>
      </c>
      <c r="S850" s="126">
        <f>IF(VLOOKUP(A850,Journal!$A$7:$E$70,5)=0,S849+1,VLOOKUP(A850,Journal!$A$7:$E$70,5))</f>
        <v>46500</v>
      </c>
      <c r="T850" s="125">
        <f>IF(H$2=VLOOKUP(A850,Journal!$A$7:$F$70,6),VLOOKUP(A850,Journal!$A$7:M$70,9),0)</f>
        <v>0</v>
      </c>
      <c r="U850" s="125">
        <f>IF(H$2=VLOOKUP(A850,Journal!$A$7:$G$70,7),VLOOKUP(A850,Journal!$A$7:M$70,9),0)</f>
        <v>0</v>
      </c>
      <c r="V850" s="125">
        <f t="shared" si="96"/>
        <v>40</v>
      </c>
      <c r="X850">
        <f t="shared" ref="X850:X913" si="100">IF(J$2&gt;S850,1,0)</f>
        <v>0</v>
      </c>
      <c r="Y850" s="143">
        <f t="shared" si="92"/>
        <v>-977.89473684214045</v>
      </c>
    </row>
    <row r="851" spans="1:25" x14ac:dyDescent="0.25">
      <c r="A851">
        <f t="shared" si="97"/>
        <v>844</v>
      </c>
      <c r="B851" s="88" t="str">
        <f>IF(OR(B850="Total",B850=""),"",IF(VLOOKUP(A851,Journal!$B$7:$E$84,4)=0,"Total",VLOOKUP(A851,Journal!$B$7:$D$84,3)))</f>
        <v/>
      </c>
      <c r="C851" s="86" t="str">
        <f>IF(B851="","",VLOOKUP(A851,Journal!$B$7:$E$84,4))</f>
        <v/>
      </c>
      <c r="D851" s="114" t="str">
        <f>IF(B851="","",VLOOKUP(A851,Journal!$B$7:$J$84,9))</f>
        <v/>
      </c>
      <c r="E851" s="116"/>
      <c r="F851" s="116"/>
      <c r="G851" s="115"/>
      <c r="H851" s="84" t="str">
        <f>IF(B851="","",VLOOKUP(A851,Journal!$B$7:$L$84,11))</f>
        <v/>
      </c>
      <c r="I851" s="84" t="str">
        <f>IF(B851="","",VLOOKUP(A851,Journal!$B$7:$M$84,12))</f>
        <v/>
      </c>
      <c r="J851" s="105">
        <f>IF(B851="Total",SUM(J$8:J850)+0.0001,IF(OR(B851="",I$2=I851),0,VLOOKUP(A851,Journal!$B$7:M$84,8)))</f>
        <v>0</v>
      </c>
      <c r="K851" s="102">
        <f>IF(B851="Total",SUM(K$8:K850)+0.0001,IF(OR(B851="",J851&lt;&gt;0),0,VLOOKUP(A851,Journal!$B$7:M$84,8)))</f>
        <v>0</v>
      </c>
      <c r="L851" s="87">
        <f t="shared" si="98"/>
        <v>0</v>
      </c>
      <c r="P851">
        <f t="shared" si="99"/>
        <v>1.0000000000000001E-5</v>
      </c>
      <c r="R851" s="15">
        <f t="shared" si="95"/>
        <v>844</v>
      </c>
      <c r="S851" s="126">
        <f>IF(VLOOKUP(A851,Journal!$A$7:$E$70,5)=0,S850+1,VLOOKUP(A851,Journal!$A$7:$E$70,5))</f>
        <v>46501</v>
      </c>
      <c r="T851" s="125">
        <f>IF(H$2=VLOOKUP(A851,Journal!$A$7:$F$70,6),VLOOKUP(A851,Journal!$A$7:M$70,9),0)</f>
        <v>0</v>
      </c>
      <c r="U851" s="125">
        <f>IF(H$2=VLOOKUP(A851,Journal!$A$7:$G$70,7),VLOOKUP(A851,Journal!$A$7:M$70,9),0)</f>
        <v>0</v>
      </c>
      <c r="V851" s="125">
        <f t="shared" si="96"/>
        <v>40</v>
      </c>
      <c r="X851">
        <f t="shared" si="100"/>
        <v>0</v>
      </c>
      <c r="Y851" s="143">
        <f t="shared" si="92"/>
        <v>-977.8684210526668</v>
      </c>
    </row>
    <row r="852" spans="1:25" x14ac:dyDescent="0.25">
      <c r="A852">
        <f t="shared" si="97"/>
        <v>845</v>
      </c>
      <c r="B852" s="88" t="str">
        <f>IF(OR(B851="Total",B851=""),"",IF(VLOOKUP(A852,Journal!$B$7:$E$84,4)=0,"Total",VLOOKUP(A852,Journal!$B$7:$D$84,3)))</f>
        <v/>
      </c>
      <c r="C852" s="86" t="str">
        <f>IF(B852="","",VLOOKUP(A852,Journal!$B$7:$E$84,4))</f>
        <v/>
      </c>
      <c r="D852" s="114" t="str">
        <f>IF(B852="","",VLOOKUP(A852,Journal!$B$7:$J$84,9))</f>
        <v/>
      </c>
      <c r="E852" s="116"/>
      <c r="F852" s="116"/>
      <c r="G852" s="115"/>
      <c r="H852" s="84" t="str">
        <f>IF(B852="","",VLOOKUP(A852,Journal!$B$7:$L$84,11))</f>
        <v/>
      </c>
      <c r="I852" s="84" t="str">
        <f>IF(B852="","",VLOOKUP(A852,Journal!$B$7:$M$84,12))</f>
        <v/>
      </c>
      <c r="J852" s="105">
        <f>IF(B852="Total",SUM(J$8:J851)+0.0001,IF(OR(B852="",I$2=I852),0,VLOOKUP(A852,Journal!$B$7:M$84,8)))</f>
        <v>0</v>
      </c>
      <c r="K852" s="102">
        <f>IF(B852="Total",SUM(K$8:K851)+0.0001,IF(OR(B852="",J852&lt;&gt;0),0,VLOOKUP(A852,Journal!$B$7:M$84,8)))</f>
        <v>0</v>
      </c>
      <c r="L852" s="87">
        <f t="shared" si="98"/>
        <v>0</v>
      </c>
      <c r="P852">
        <f t="shared" si="99"/>
        <v>1.0000000000000001E-5</v>
      </c>
      <c r="R852" s="15">
        <f t="shared" si="95"/>
        <v>845</v>
      </c>
      <c r="S852" s="126">
        <f>IF(VLOOKUP(A852,Journal!$A$7:$E$70,5)=0,S851+1,VLOOKUP(A852,Journal!$A$7:$E$70,5))</f>
        <v>46502</v>
      </c>
      <c r="T852" s="125">
        <f>IF(H$2=VLOOKUP(A852,Journal!$A$7:$F$70,6),VLOOKUP(A852,Journal!$A$7:M$70,9),0)</f>
        <v>0</v>
      </c>
      <c r="U852" s="125">
        <f>IF(H$2=VLOOKUP(A852,Journal!$A$7:$G$70,7),VLOOKUP(A852,Journal!$A$7:M$70,9),0)</f>
        <v>0</v>
      </c>
      <c r="V852" s="125">
        <f t="shared" si="96"/>
        <v>40</v>
      </c>
      <c r="X852">
        <f t="shared" si="100"/>
        <v>0</v>
      </c>
      <c r="Y852" s="143">
        <f t="shared" si="92"/>
        <v>-977.84210526319316</v>
      </c>
    </row>
    <row r="853" spans="1:25" x14ac:dyDescent="0.25">
      <c r="A853">
        <f t="shared" si="97"/>
        <v>846</v>
      </c>
      <c r="B853" s="88" t="str">
        <f>IF(OR(B852="Total",B852=""),"",IF(VLOOKUP(A853,Journal!$B$7:$E$84,4)=0,"Total",VLOOKUP(A853,Journal!$B$7:$D$84,3)))</f>
        <v/>
      </c>
      <c r="C853" s="86" t="str">
        <f>IF(B853="","",VLOOKUP(A853,Journal!$B$7:$E$84,4))</f>
        <v/>
      </c>
      <c r="D853" s="114" t="str">
        <f>IF(B853="","",VLOOKUP(A853,Journal!$B$7:$J$84,9))</f>
        <v/>
      </c>
      <c r="E853" s="116"/>
      <c r="F853" s="116"/>
      <c r="G853" s="115"/>
      <c r="H853" s="84" t="str">
        <f>IF(B853="","",VLOOKUP(A853,Journal!$B$7:$L$84,11))</f>
        <v/>
      </c>
      <c r="I853" s="84" t="str">
        <f>IF(B853="","",VLOOKUP(A853,Journal!$B$7:$M$84,12))</f>
        <v/>
      </c>
      <c r="J853" s="105">
        <f>IF(B853="Total",SUM(J$8:J852)+0.0001,IF(OR(B853="",I$2=I853),0,VLOOKUP(A853,Journal!$B$7:M$84,8)))</f>
        <v>0</v>
      </c>
      <c r="K853" s="102">
        <f>IF(B853="Total",SUM(K$8:K852)+0.0001,IF(OR(B853="",J853&lt;&gt;0),0,VLOOKUP(A853,Journal!$B$7:M$84,8)))</f>
        <v>0</v>
      </c>
      <c r="L853" s="87">
        <f t="shared" si="98"/>
        <v>0</v>
      </c>
      <c r="P853">
        <f t="shared" si="99"/>
        <v>1.0000000000000001E-5</v>
      </c>
      <c r="R853" s="15">
        <f t="shared" si="95"/>
        <v>846</v>
      </c>
      <c r="S853" s="126">
        <f>IF(VLOOKUP(A853,Journal!$A$7:$E$70,5)=0,S852+1,VLOOKUP(A853,Journal!$A$7:$E$70,5))</f>
        <v>46503</v>
      </c>
      <c r="T853" s="125">
        <f>IF(H$2=VLOOKUP(A853,Journal!$A$7:$F$70,6),VLOOKUP(A853,Journal!$A$7:M$70,9),0)</f>
        <v>0</v>
      </c>
      <c r="U853" s="125">
        <f>IF(H$2=VLOOKUP(A853,Journal!$A$7:$G$70,7),VLOOKUP(A853,Journal!$A$7:M$70,9),0)</f>
        <v>0</v>
      </c>
      <c r="V853" s="125">
        <f t="shared" si="96"/>
        <v>40</v>
      </c>
      <c r="X853">
        <f t="shared" si="100"/>
        <v>0</v>
      </c>
      <c r="Y853" s="143">
        <f t="shared" si="92"/>
        <v>-977.81578947371952</v>
      </c>
    </row>
    <row r="854" spans="1:25" x14ac:dyDescent="0.25">
      <c r="A854">
        <f t="shared" si="97"/>
        <v>847</v>
      </c>
      <c r="B854" s="88" t="str">
        <f>IF(OR(B853="Total",B853=""),"",IF(VLOOKUP(A854,Journal!$B$7:$E$84,4)=0,"Total",VLOOKUP(A854,Journal!$B$7:$D$84,3)))</f>
        <v/>
      </c>
      <c r="C854" s="86" t="str">
        <f>IF(B854="","",VLOOKUP(A854,Journal!$B$7:$E$84,4))</f>
        <v/>
      </c>
      <c r="D854" s="114" t="str">
        <f>IF(B854="","",VLOOKUP(A854,Journal!$B$7:$J$84,9))</f>
        <v/>
      </c>
      <c r="E854" s="116"/>
      <c r="F854" s="116"/>
      <c r="G854" s="115"/>
      <c r="H854" s="84" t="str">
        <f>IF(B854="","",VLOOKUP(A854,Journal!$B$7:$L$84,11))</f>
        <v/>
      </c>
      <c r="I854" s="84" t="str">
        <f>IF(B854="","",VLOOKUP(A854,Journal!$B$7:$M$84,12))</f>
        <v/>
      </c>
      <c r="J854" s="105">
        <f>IF(B854="Total",SUM(J$8:J853)+0.0001,IF(OR(B854="",I$2=I854),0,VLOOKUP(A854,Journal!$B$7:M$84,8)))</f>
        <v>0</v>
      </c>
      <c r="K854" s="102">
        <f>IF(B854="Total",SUM(K$8:K853)+0.0001,IF(OR(B854="",J854&lt;&gt;0),0,VLOOKUP(A854,Journal!$B$7:M$84,8)))</f>
        <v>0</v>
      </c>
      <c r="L854" s="87">
        <f t="shared" si="98"/>
        <v>0</v>
      </c>
      <c r="P854">
        <f t="shared" si="99"/>
        <v>1.0000000000000001E-5</v>
      </c>
      <c r="R854" s="15">
        <f t="shared" si="95"/>
        <v>847</v>
      </c>
      <c r="S854" s="126">
        <f>IF(VLOOKUP(A854,Journal!$A$7:$E$70,5)=0,S853+1,VLOOKUP(A854,Journal!$A$7:$E$70,5))</f>
        <v>46504</v>
      </c>
      <c r="T854" s="125">
        <f>IF(H$2=VLOOKUP(A854,Journal!$A$7:$F$70,6),VLOOKUP(A854,Journal!$A$7:M$70,9),0)</f>
        <v>0</v>
      </c>
      <c r="U854" s="125">
        <f>IF(H$2=VLOOKUP(A854,Journal!$A$7:$G$70,7),VLOOKUP(A854,Journal!$A$7:M$70,9),0)</f>
        <v>0</v>
      </c>
      <c r="V854" s="125">
        <f t="shared" si="96"/>
        <v>40</v>
      </c>
      <c r="X854">
        <f t="shared" si="100"/>
        <v>0</v>
      </c>
      <c r="Y854" s="143">
        <f t="shared" si="92"/>
        <v>-977.78947368424588</v>
      </c>
    </row>
    <row r="855" spans="1:25" x14ac:dyDescent="0.25">
      <c r="A855">
        <f t="shared" si="97"/>
        <v>848</v>
      </c>
      <c r="B855" s="88" t="str">
        <f>IF(OR(B854="Total",B854=""),"",IF(VLOOKUP(A855,Journal!$B$7:$E$84,4)=0,"Total",VLOOKUP(A855,Journal!$B$7:$D$84,3)))</f>
        <v/>
      </c>
      <c r="C855" s="86" t="str">
        <f>IF(B855="","",VLOOKUP(A855,Journal!$B$7:$E$84,4))</f>
        <v/>
      </c>
      <c r="D855" s="114" t="str">
        <f>IF(B855="","",VLOOKUP(A855,Journal!$B$7:$J$84,9))</f>
        <v/>
      </c>
      <c r="E855" s="116"/>
      <c r="F855" s="116"/>
      <c r="G855" s="115"/>
      <c r="H855" s="84" t="str">
        <f>IF(B855="","",VLOOKUP(A855,Journal!$B$7:$L$84,11))</f>
        <v/>
      </c>
      <c r="I855" s="84" t="str">
        <f>IF(B855="","",VLOOKUP(A855,Journal!$B$7:$M$84,12))</f>
        <v/>
      </c>
      <c r="J855" s="105">
        <f>IF(B855="Total",SUM(J$8:J854)+0.0001,IF(OR(B855="",I$2=I855),0,VLOOKUP(A855,Journal!$B$7:M$84,8)))</f>
        <v>0</v>
      </c>
      <c r="K855" s="102">
        <f>IF(B855="Total",SUM(K$8:K854)+0.0001,IF(OR(B855="",J855&lt;&gt;0),0,VLOOKUP(A855,Journal!$B$7:M$84,8)))</f>
        <v>0</v>
      </c>
      <c r="L855" s="87">
        <f t="shared" si="98"/>
        <v>0</v>
      </c>
      <c r="P855">
        <f t="shared" si="99"/>
        <v>1.0000000000000001E-5</v>
      </c>
      <c r="R855" s="15">
        <f t="shared" si="95"/>
        <v>848</v>
      </c>
      <c r="S855" s="126">
        <f>IF(VLOOKUP(A855,Journal!$A$7:$E$70,5)=0,S854+1,VLOOKUP(A855,Journal!$A$7:$E$70,5))</f>
        <v>46505</v>
      </c>
      <c r="T855" s="125">
        <f>IF(H$2=VLOOKUP(A855,Journal!$A$7:$F$70,6),VLOOKUP(A855,Journal!$A$7:M$70,9),0)</f>
        <v>0</v>
      </c>
      <c r="U855" s="125">
        <f>IF(H$2=VLOOKUP(A855,Journal!$A$7:$G$70,7),VLOOKUP(A855,Journal!$A$7:M$70,9),0)</f>
        <v>0</v>
      </c>
      <c r="V855" s="125">
        <f t="shared" si="96"/>
        <v>40</v>
      </c>
      <c r="X855">
        <f t="shared" si="100"/>
        <v>0</v>
      </c>
      <c r="Y855" s="143">
        <f t="shared" si="92"/>
        <v>-977.76315789477223</v>
      </c>
    </row>
    <row r="856" spans="1:25" x14ac:dyDescent="0.25">
      <c r="A856">
        <f t="shared" si="97"/>
        <v>849</v>
      </c>
      <c r="B856" s="88" t="str">
        <f>IF(OR(B855="Total",B855=""),"",IF(VLOOKUP(A856,Journal!$B$7:$E$84,4)=0,"Total",VLOOKUP(A856,Journal!$B$7:$D$84,3)))</f>
        <v/>
      </c>
      <c r="C856" s="86" t="str">
        <f>IF(B856="","",VLOOKUP(A856,Journal!$B$7:$E$84,4))</f>
        <v/>
      </c>
      <c r="D856" s="114" t="str">
        <f>IF(B856="","",VLOOKUP(A856,Journal!$B$7:$J$84,9))</f>
        <v/>
      </c>
      <c r="E856" s="116"/>
      <c r="F856" s="116"/>
      <c r="G856" s="115"/>
      <c r="H856" s="84" t="str">
        <f>IF(B856="","",VLOOKUP(A856,Journal!$B$7:$L$84,11))</f>
        <v/>
      </c>
      <c r="I856" s="84" t="str">
        <f>IF(B856="","",VLOOKUP(A856,Journal!$B$7:$M$84,12))</f>
        <v/>
      </c>
      <c r="J856" s="105">
        <f>IF(B856="Total",SUM(J$8:J855)+0.0001,IF(OR(B856="",I$2=I856),0,VLOOKUP(A856,Journal!$B$7:M$84,8)))</f>
        <v>0</v>
      </c>
      <c r="K856" s="102">
        <f>IF(B856="Total",SUM(K$8:K855)+0.0001,IF(OR(B856="",J856&lt;&gt;0),0,VLOOKUP(A856,Journal!$B$7:M$84,8)))</f>
        <v>0</v>
      </c>
      <c r="L856" s="87">
        <f t="shared" si="98"/>
        <v>0</v>
      </c>
      <c r="P856">
        <f t="shared" si="99"/>
        <v>1.0000000000000001E-5</v>
      </c>
      <c r="R856" s="15">
        <f t="shared" si="95"/>
        <v>849</v>
      </c>
      <c r="S856" s="126">
        <f>IF(VLOOKUP(A856,Journal!$A$7:$E$70,5)=0,S855+1,VLOOKUP(A856,Journal!$A$7:$E$70,5))</f>
        <v>46506</v>
      </c>
      <c r="T856" s="125">
        <f>IF(H$2=VLOOKUP(A856,Journal!$A$7:$F$70,6),VLOOKUP(A856,Journal!$A$7:M$70,9),0)</f>
        <v>0</v>
      </c>
      <c r="U856" s="125">
        <f>IF(H$2=VLOOKUP(A856,Journal!$A$7:$G$70,7),VLOOKUP(A856,Journal!$A$7:M$70,9),0)</f>
        <v>0</v>
      </c>
      <c r="V856" s="125">
        <f t="shared" si="96"/>
        <v>40</v>
      </c>
      <c r="X856">
        <f t="shared" si="100"/>
        <v>0</v>
      </c>
      <c r="Y856" s="143">
        <f t="shared" si="92"/>
        <v>-977.73684210529859</v>
      </c>
    </row>
    <row r="857" spans="1:25" x14ac:dyDescent="0.25">
      <c r="A857">
        <f t="shared" si="97"/>
        <v>850</v>
      </c>
      <c r="B857" s="88" t="str">
        <f>IF(OR(B856="Total",B856=""),"",IF(VLOOKUP(A857,Journal!$B$7:$E$84,4)=0,"Total",VLOOKUP(A857,Journal!$B$7:$D$84,3)))</f>
        <v/>
      </c>
      <c r="C857" s="86" t="str">
        <f>IF(B857="","",VLOOKUP(A857,Journal!$B$7:$E$84,4))</f>
        <v/>
      </c>
      <c r="D857" s="114" t="str">
        <f>IF(B857="","",VLOOKUP(A857,Journal!$B$7:$J$84,9))</f>
        <v/>
      </c>
      <c r="E857" s="116"/>
      <c r="F857" s="116"/>
      <c r="G857" s="115"/>
      <c r="H857" s="84" t="str">
        <f>IF(B857="","",VLOOKUP(A857,Journal!$B$7:$L$84,11))</f>
        <v/>
      </c>
      <c r="I857" s="84" t="str">
        <f>IF(B857="","",VLOOKUP(A857,Journal!$B$7:$M$84,12))</f>
        <v/>
      </c>
      <c r="J857" s="105">
        <f>IF(B857="Total",SUM(J$8:J856)+0.0001,IF(OR(B857="",I$2=I857),0,VLOOKUP(A857,Journal!$B$7:M$84,8)))</f>
        <v>0</v>
      </c>
      <c r="K857" s="102">
        <f>IF(B857="Total",SUM(K$8:K856)+0.0001,IF(OR(B857="",J857&lt;&gt;0),0,VLOOKUP(A857,Journal!$B$7:M$84,8)))</f>
        <v>0</v>
      </c>
      <c r="L857" s="87">
        <f t="shared" si="98"/>
        <v>0</v>
      </c>
      <c r="P857">
        <f t="shared" si="99"/>
        <v>1.0000000000000001E-5</v>
      </c>
      <c r="R857" s="15">
        <f t="shared" si="95"/>
        <v>850</v>
      </c>
      <c r="S857" s="126">
        <f>IF(VLOOKUP(A857,Journal!$A$7:$E$70,5)=0,S856+1,VLOOKUP(A857,Journal!$A$7:$E$70,5))</f>
        <v>46507</v>
      </c>
      <c r="T857" s="125">
        <f>IF(H$2=VLOOKUP(A857,Journal!$A$7:$F$70,6),VLOOKUP(A857,Journal!$A$7:M$70,9),0)</f>
        <v>0</v>
      </c>
      <c r="U857" s="125">
        <f>IF(H$2=VLOOKUP(A857,Journal!$A$7:$G$70,7),VLOOKUP(A857,Journal!$A$7:M$70,9),0)</f>
        <v>0</v>
      </c>
      <c r="V857" s="125">
        <f t="shared" si="96"/>
        <v>40</v>
      </c>
      <c r="X857">
        <f t="shared" si="100"/>
        <v>0</v>
      </c>
      <c r="Y857" s="143">
        <f t="shared" si="92"/>
        <v>-977.71052631582495</v>
      </c>
    </row>
    <row r="858" spans="1:25" x14ac:dyDescent="0.25">
      <c r="A858">
        <f t="shared" si="97"/>
        <v>851</v>
      </c>
      <c r="B858" s="88" t="str">
        <f>IF(OR(B857="Total",B857=""),"",IF(VLOOKUP(A858,Journal!$B$7:$E$84,4)=0,"Total",VLOOKUP(A858,Journal!$B$7:$D$84,3)))</f>
        <v/>
      </c>
      <c r="C858" s="86" t="str">
        <f>IF(B858="","",VLOOKUP(A858,Journal!$B$7:$E$84,4))</f>
        <v/>
      </c>
      <c r="D858" s="114" t="str">
        <f>IF(B858="","",VLOOKUP(A858,Journal!$B$7:$J$84,9))</f>
        <v/>
      </c>
      <c r="E858" s="116"/>
      <c r="F858" s="116"/>
      <c r="G858" s="115"/>
      <c r="H858" s="84" t="str">
        <f>IF(B858="","",VLOOKUP(A858,Journal!$B$7:$L$84,11))</f>
        <v/>
      </c>
      <c r="I858" s="84" t="str">
        <f>IF(B858="","",VLOOKUP(A858,Journal!$B$7:$M$84,12))</f>
        <v/>
      </c>
      <c r="J858" s="105">
        <f>IF(B858="Total",SUM(J$8:J857)+0.0001,IF(OR(B858="",I$2=I858),0,VLOOKUP(A858,Journal!$B$7:M$84,8)))</f>
        <v>0</v>
      </c>
      <c r="K858" s="102">
        <f>IF(B858="Total",SUM(K$8:K857)+0.0001,IF(OR(B858="",J858&lt;&gt;0),0,VLOOKUP(A858,Journal!$B$7:M$84,8)))</f>
        <v>0</v>
      </c>
      <c r="L858" s="87">
        <f t="shared" si="98"/>
        <v>0</v>
      </c>
      <c r="P858">
        <f t="shared" si="99"/>
        <v>1.0000000000000001E-5</v>
      </c>
      <c r="R858" s="15">
        <f t="shared" si="95"/>
        <v>851</v>
      </c>
      <c r="S858" s="126">
        <f>IF(VLOOKUP(A858,Journal!$A$7:$E$70,5)=0,S857+1,VLOOKUP(A858,Journal!$A$7:$E$70,5))</f>
        <v>46508</v>
      </c>
      <c r="T858" s="125">
        <f>IF(H$2=VLOOKUP(A858,Journal!$A$7:$F$70,6),VLOOKUP(A858,Journal!$A$7:M$70,9),0)</f>
        <v>0</v>
      </c>
      <c r="U858" s="125">
        <f>IF(H$2=VLOOKUP(A858,Journal!$A$7:$G$70,7),VLOOKUP(A858,Journal!$A$7:M$70,9),0)</f>
        <v>0</v>
      </c>
      <c r="V858" s="125">
        <f t="shared" si="96"/>
        <v>40</v>
      </c>
      <c r="X858">
        <f t="shared" si="100"/>
        <v>0</v>
      </c>
      <c r="Y858" s="143">
        <f t="shared" si="92"/>
        <v>-977.68421052635131</v>
      </c>
    </row>
    <row r="859" spans="1:25" x14ac:dyDescent="0.25">
      <c r="A859">
        <f t="shared" si="97"/>
        <v>852</v>
      </c>
      <c r="B859" s="88" t="str">
        <f>IF(OR(B858="Total",B858=""),"",IF(VLOOKUP(A859,Journal!$B$7:$E$84,4)=0,"Total",VLOOKUP(A859,Journal!$B$7:$D$84,3)))</f>
        <v/>
      </c>
      <c r="C859" s="86" t="str">
        <f>IF(B859="","",VLOOKUP(A859,Journal!$B$7:$E$84,4))</f>
        <v/>
      </c>
      <c r="D859" s="114" t="str">
        <f>IF(B859="","",VLOOKUP(A859,Journal!$B$7:$J$84,9))</f>
        <v/>
      </c>
      <c r="E859" s="116"/>
      <c r="F859" s="116"/>
      <c r="G859" s="115"/>
      <c r="H859" s="84" t="str">
        <f>IF(B859="","",VLOOKUP(A859,Journal!$B$7:$L$84,11))</f>
        <v/>
      </c>
      <c r="I859" s="84" t="str">
        <f>IF(B859="","",VLOOKUP(A859,Journal!$B$7:$M$84,12))</f>
        <v/>
      </c>
      <c r="J859" s="105">
        <f>IF(B859="Total",SUM(J$8:J858)+0.0001,IF(OR(B859="",I$2=I859),0,VLOOKUP(A859,Journal!$B$7:M$84,8)))</f>
        <v>0</v>
      </c>
      <c r="K859" s="102">
        <f>IF(B859="Total",SUM(K$8:K858)+0.0001,IF(OR(B859="",J859&lt;&gt;0),0,VLOOKUP(A859,Journal!$B$7:M$84,8)))</f>
        <v>0</v>
      </c>
      <c r="L859" s="87">
        <f t="shared" si="98"/>
        <v>0</v>
      </c>
      <c r="P859">
        <f t="shared" si="99"/>
        <v>1.0000000000000001E-5</v>
      </c>
      <c r="R859" s="15">
        <f t="shared" si="95"/>
        <v>852</v>
      </c>
      <c r="S859" s="126">
        <f>IF(VLOOKUP(A859,Journal!$A$7:$E$70,5)=0,S858+1,VLOOKUP(A859,Journal!$A$7:$E$70,5))</f>
        <v>46509</v>
      </c>
      <c r="T859" s="125">
        <f>IF(H$2=VLOOKUP(A859,Journal!$A$7:$F$70,6),VLOOKUP(A859,Journal!$A$7:M$70,9),0)</f>
        <v>0</v>
      </c>
      <c r="U859" s="125">
        <f>IF(H$2=VLOOKUP(A859,Journal!$A$7:$G$70,7),VLOOKUP(A859,Journal!$A$7:M$70,9),0)</f>
        <v>0</v>
      </c>
      <c r="V859" s="125">
        <f t="shared" si="96"/>
        <v>40</v>
      </c>
      <c r="X859">
        <f t="shared" si="100"/>
        <v>0</v>
      </c>
      <c r="Y859" s="143">
        <f t="shared" si="92"/>
        <v>-977.65789473687767</v>
      </c>
    </row>
    <row r="860" spans="1:25" x14ac:dyDescent="0.25">
      <c r="A860">
        <f t="shared" si="97"/>
        <v>853</v>
      </c>
      <c r="B860" s="88" t="str">
        <f>IF(OR(B859="Total",B859=""),"",IF(VLOOKUP(A860,Journal!$B$7:$E$84,4)=0,"Total",VLOOKUP(A860,Journal!$B$7:$D$84,3)))</f>
        <v/>
      </c>
      <c r="C860" s="86" t="str">
        <f>IF(B860="","",VLOOKUP(A860,Journal!$B$7:$E$84,4))</f>
        <v/>
      </c>
      <c r="D860" s="114" t="str">
        <f>IF(B860="","",VLOOKUP(A860,Journal!$B$7:$J$84,9))</f>
        <v/>
      </c>
      <c r="E860" s="116"/>
      <c r="F860" s="116"/>
      <c r="G860" s="115"/>
      <c r="H860" s="84" t="str">
        <f>IF(B860="","",VLOOKUP(A860,Journal!$B$7:$L$84,11))</f>
        <v/>
      </c>
      <c r="I860" s="84" t="str">
        <f>IF(B860="","",VLOOKUP(A860,Journal!$B$7:$M$84,12))</f>
        <v/>
      </c>
      <c r="J860" s="105">
        <f>IF(B860="Total",SUM(J$8:J859)+0.0001,IF(OR(B860="",I$2=I860),0,VLOOKUP(A860,Journal!$B$7:M$84,8)))</f>
        <v>0</v>
      </c>
      <c r="K860" s="102">
        <f>IF(B860="Total",SUM(K$8:K859)+0.0001,IF(OR(B860="",J860&lt;&gt;0),0,VLOOKUP(A860,Journal!$B$7:M$84,8)))</f>
        <v>0</v>
      </c>
      <c r="L860" s="87">
        <f t="shared" si="98"/>
        <v>0</v>
      </c>
      <c r="P860">
        <f t="shared" si="99"/>
        <v>1.0000000000000001E-5</v>
      </c>
      <c r="R860" s="15">
        <f t="shared" si="95"/>
        <v>853</v>
      </c>
      <c r="S860" s="126">
        <f>IF(VLOOKUP(A860,Journal!$A$7:$E$70,5)=0,S859+1,VLOOKUP(A860,Journal!$A$7:$E$70,5))</f>
        <v>46510</v>
      </c>
      <c r="T860" s="125">
        <f>IF(H$2=VLOOKUP(A860,Journal!$A$7:$F$70,6),VLOOKUP(A860,Journal!$A$7:M$70,9),0)</f>
        <v>0</v>
      </c>
      <c r="U860" s="125">
        <f>IF(H$2=VLOOKUP(A860,Journal!$A$7:$G$70,7),VLOOKUP(A860,Journal!$A$7:M$70,9),0)</f>
        <v>0</v>
      </c>
      <c r="V860" s="125">
        <f t="shared" si="96"/>
        <v>40</v>
      </c>
      <c r="X860">
        <f t="shared" si="100"/>
        <v>0</v>
      </c>
      <c r="Y860" s="143">
        <f t="shared" si="92"/>
        <v>-977.63157894740402</v>
      </c>
    </row>
    <row r="861" spans="1:25" x14ac:dyDescent="0.25">
      <c r="A861">
        <f t="shared" si="97"/>
        <v>854</v>
      </c>
      <c r="B861" s="88" t="str">
        <f>IF(OR(B860="Total",B860=""),"",IF(VLOOKUP(A861,Journal!$B$7:$E$84,4)=0,"Total",VLOOKUP(A861,Journal!$B$7:$D$84,3)))</f>
        <v/>
      </c>
      <c r="C861" s="86" t="str">
        <f>IF(B861="","",VLOOKUP(A861,Journal!$B$7:$E$84,4))</f>
        <v/>
      </c>
      <c r="D861" s="114" t="str">
        <f>IF(B861="","",VLOOKUP(A861,Journal!$B$7:$J$84,9))</f>
        <v/>
      </c>
      <c r="E861" s="116"/>
      <c r="F861" s="116"/>
      <c r="G861" s="115"/>
      <c r="H861" s="84" t="str">
        <f>IF(B861="","",VLOOKUP(A861,Journal!$B$7:$L$84,11))</f>
        <v/>
      </c>
      <c r="I861" s="84" t="str">
        <f>IF(B861="","",VLOOKUP(A861,Journal!$B$7:$M$84,12))</f>
        <v/>
      </c>
      <c r="J861" s="105">
        <f>IF(B861="Total",SUM(J$8:J860)+0.0001,IF(OR(B861="",I$2=I861),0,VLOOKUP(A861,Journal!$B$7:M$84,8)))</f>
        <v>0</v>
      </c>
      <c r="K861" s="102">
        <f>IF(B861="Total",SUM(K$8:K860)+0.0001,IF(OR(B861="",J861&lt;&gt;0),0,VLOOKUP(A861,Journal!$B$7:M$84,8)))</f>
        <v>0</v>
      </c>
      <c r="L861" s="87">
        <f t="shared" si="98"/>
        <v>0</v>
      </c>
      <c r="P861">
        <f t="shared" si="99"/>
        <v>1.0000000000000001E-5</v>
      </c>
      <c r="R861" s="15">
        <f t="shared" si="95"/>
        <v>854</v>
      </c>
      <c r="S861" s="126">
        <f>IF(VLOOKUP(A861,Journal!$A$7:$E$70,5)=0,S860+1,VLOOKUP(A861,Journal!$A$7:$E$70,5))</f>
        <v>46511</v>
      </c>
      <c r="T861" s="125">
        <f>IF(H$2=VLOOKUP(A861,Journal!$A$7:$F$70,6),VLOOKUP(A861,Journal!$A$7:M$70,9),0)</f>
        <v>0</v>
      </c>
      <c r="U861" s="125">
        <f>IF(H$2=VLOOKUP(A861,Journal!$A$7:$G$70,7),VLOOKUP(A861,Journal!$A$7:M$70,9),0)</f>
        <v>0</v>
      </c>
      <c r="V861" s="125">
        <f t="shared" si="96"/>
        <v>40</v>
      </c>
      <c r="X861">
        <f t="shared" si="100"/>
        <v>0</v>
      </c>
      <c r="Y861" s="143">
        <f t="shared" si="92"/>
        <v>-977.60526315793038</v>
      </c>
    </row>
    <row r="862" spans="1:25" x14ac:dyDescent="0.25">
      <c r="A862">
        <f t="shared" si="97"/>
        <v>855</v>
      </c>
      <c r="B862" s="88" t="str">
        <f>IF(OR(B861="Total",B861=""),"",IF(VLOOKUP(A862,Journal!$B$7:$E$84,4)=0,"Total",VLOOKUP(A862,Journal!$B$7:$D$84,3)))</f>
        <v/>
      </c>
      <c r="C862" s="86" t="str">
        <f>IF(B862="","",VLOOKUP(A862,Journal!$B$7:$E$84,4))</f>
        <v/>
      </c>
      <c r="D862" s="114" t="str">
        <f>IF(B862="","",VLOOKUP(A862,Journal!$B$7:$J$84,9))</f>
        <v/>
      </c>
      <c r="E862" s="116"/>
      <c r="F862" s="116"/>
      <c r="G862" s="115"/>
      <c r="H862" s="84" t="str">
        <f>IF(B862="","",VLOOKUP(A862,Journal!$B$7:$L$84,11))</f>
        <v/>
      </c>
      <c r="I862" s="84" t="str">
        <f>IF(B862="","",VLOOKUP(A862,Journal!$B$7:$M$84,12))</f>
        <v/>
      </c>
      <c r="J862" s="105">
        <f>IF(B862="Total",SUM(J$8:J861)+0.0001,IF(OR(B862="",I$2=I862),0,VLOOKUP(A862,Journal!$B$7:M$84,8)))</f>
        <v>0</v>
      </c>
      <c r="K862" s="102">
        <f>IF(B862="Total",SUM(K$8:K861)+0.0001,IF(OR(B862="",J862&lt;&gt;0),0,VLOOKUP(A862,Journal!$B$7:M$84,8)))</f>
        <v>0</v>
      </c>
      <c r="L862" s="87">
        <f t="shared" si="98"/>
        <v>0</v>
      </c>
      <c r="P862">
        <f t="shared" si="99"/>
        <v>1.0000000000000001E-5</v>
      </c>
      <c r="R862" s="15">
        <f t="shared" si="95"/>
        <v>855</v>
      </c>
      <c r="S862" s="126">
        <f>IF(VLOOKUP(A862,Journal!$A$7:$E$70,5)=0,S861+1,VLOOKUP(A862,Journal!$A$7:$E$70,5))</f>
        <v>46512</v>
      </c>
      <c r="T862" s="125">
        <f>IF(H$2=VLOOKUP(A862,Journal!$A$7:$F$70,6),VLOOKUP(A862,Journal!$A$7:M$70,9),0)</f>
        <v>0</v>
      </c>
      <c r="U862" s="125">
        <f>IF(H$2=VLOOKUP(A862,Journal!$A$7:$G$70,7),VLOOKUP(A862,Journal!$A$7:M$70,9),0)</f>
        <v>0</v>
      </c>
      <c r="V862" s="125">
        <f t="shared" si="96"/>
        <v>40</v>
      </c>
      <c r="X862">
        <f t="shared" si="100"/>
        <v>0</v>
      </c>
      <c r="Y862" s="143">
        <f t="shared" si="92"/>
        <v>-977.57894736845674</v>
      </c>
    </row>
    <row r="863" spans="1:25" x14ac:dyDescent="0.25">
      <c r="A863">
        <f t="shared" si="97"/>
        <v>856</v>
      </c>
      <c r="B863" s="88" t="str">
        <f>IF(OR(B862="Total",B862=""),"",IF(VLOOKUP(A863,Journal!$B$7:$E$84,4)=0,"Total",VLOOKUP(A863,Journal!$B$7:$D$84,3)))</f>
        <v/>
      </c>
      <c r="C863" s="86" t="str">
        <f>IF(B863="","",VLOOKUP(A863,Journal!$B$7:$E$84,4))</f>
        <v/>
      </c>
      <c r="D863" s="114" t="str">
        <f>IF(B863="","",VLOOKUP(A863,Journal!$B$7:$J$84,9))</f>
        <v/>
      </c>
      <c r="E863" s="116"/>
      <c r="F863" s="116"/>
      <c r="G863" s="115"/>
      <c r="H863" s="84" t="str">
        <f>IF(B863="","",VLOOKUP(A863,Journal!$B$7:$L$84,11))</f>
        <v/>
      </c>
      <c r="I863" s="84" t="str">
        <f>IF(B863="","",VLOOKUP(A863,Journal!$B$7:$M$84,12))</f>
        <v/>
      </c>
      <c r="J863" s="105">
        <f>IF(B863="Total",SUM(J$8:J862)+0.0001,IF(OR(B863="",I$2=I863),0,VLOOKUP(A863,Journal!$B$7:M$84,8)))</f>
        <v>0</v>
      </c>
      <c r="K863" s="102">
        <f>IF(B863="Total",SUM(K$8:K862)+0.0001,IF(OR(B863="",J863&lt;&gt;0),0,VLOOKUP(A863,Journal!$B$7:M$84,8)))</f>
        <v>0</v>
      </c>
      <c r="L863" s="87">
        <f t="shared" si="98"/>
        <v>0</v>
      </c>
      <c r="P863">
        <f t="shared" si="99"/>
        <v>1.0000000000000001E-5</v>
      </c>
      <c r="R863" s="15">
        <f t="shared" si="95"/>
        <v>856</v>
      </c>
      <c r="S863" s="126">
        <f>IF(VLOOKUP(A863,Journal!$A$7:$E$70,5)=0,S862+1,VLOOKUP(A863,Journal!$A$7:$E$70,5))</f>
        <v>46513</v>
      </c>
      <c r="T863" s="125">
        <f>IF(H$2=VLOOKUP(A863,Journal!$A$7:$F$70,6),VLOOKUP(A863,Journal!$A$7:M$70,9),0)</f>
        <v>0</v>
      </c>
      <c r="U863" s="125">
        <f>IF(H$2=VLOOKUP(A863,Journal!$A$7:$G$70,7),VLOOKUP(A863,Journal!$A$7:M$70,9),0)</f>
        <v>0</v>
      </c>
      <c r="V863" s="125">
        <f t="shared" si="96"/>
        <v>40</v>
      </c>
      <c r="X863">
        <f t="shared" si="100"/>
        <v>0</v>
      </c>
      <c r="Y863" s="143">
        <f t="shared" si="92"/>
        <v>-977.5526315789831</v>
      </c>
    </row>
    <row r="864" spans="1:25" x14ac:dyDescent="0.25">
      <c r="A864">
        <f t="shared" si="97"/>
        <v>857</v>
      </c>
      <c r="B864" s="88" t="str">
        <f>IF(OR(B863="Total",B863=""),"",IF(VLOOKUP(A864,Journal!$B$7:$E$84,4)=0,"Total",VLOOKUP(A864,Journal!$B$7:$D$84,3)))</f>
        <v/>
      </c>
      <c r="C864" s="86" t="str">
        <f>IF(B864="","",VLOOKUP(A864,Journal!$B$7:$E$84,4))</f>
        <v/>
      </c>
      <c r="D864" s="114" t="str">
        <f>IF(B864="","",VLOOKUP(A864,Journal!$B$7:$J$84,9))</f>
        <v/>
      </c>
      <c r="E864" s="116"/>
      <c r="F864" s="116"/>
      <c r="G864" s="115"/>
      <c r="H864" s="84" t="str">
        <f>IF(B864="","",VLOOKUP(A864,Journal!$B$7:$L$84,11))</f>
        <v/>
      </c>
      <c r="I864" s="84" t="str">
        <f>IF(B864="","",VLOOKUP(A864,Journal!$B$7:$M$84,12))</f>
        <v/>
      </c>
      <c r="J864" s="105">
        <f>IF(B864="Total",SUM(J$8:J863)+0.0001,IF(OR(B864="",I$2=I864),0,VLOOKUP(A864,Journal!$B$7:M$84,8)))</f>
        <v>0</v>
      </c>
      <c r="K864" s="102">
        <f>IF(B864="Total",SUM(K$8:K863)+0.0001,IF(OR(B864="",J864&lt;&gt;0),0,VLOOKUP(A864,Journal!$B$7:M$84,8)))</f>
        <v>0</v>
      </c>
      <c r="L864" s="87">
        <f t="shared" si="98"/>
        <v>0</v>
      </c>
      <c r="P864">
        <f t="shared" si="99"/>
        <v>1.0000000000000001E-5</v>
      </c>
      <c r="R864" s="15">
        <f t="shared" si="95"/>
        <v>857</v>
      </c>
      <c r="S864" s="126">
        <f>IF(VLOOKUP(A864,Journal!$A$7:$E$70,5)=0,S863+1,VLOOKUP(A864,Journal!$A$7:$E$70,5))</f>
        <v>46514</v>
      </c>
      <c r="T864" s="125">
        <f>IF(H$2=VLOOKUP(A864,Journal!$A$7:$F$70,6),VLOOKUP(A864,Journal!$A$7:M$70,9),0)</f>
        <v>0</v>
      </c>
      <c r="U864" s="125">
        <f>IF(H$2=VLOOKUP(A864,Journal!$A$7:$G$70,7),VLOOKUP(A864,Journal!$A$7:M$70,9),0)</f>
        <v>0</v>
      </c>
      <c r="V864" s="125">
        <f t="shared" si="96"/>
        <v>40</v>
      </c>
      <c r="X864">
        <f t="shared" si="100"/>
        <v>0</v>
      </c>
      <c r="Y864" s="143">
        <f t="shared" si="92"/>
        <v>-977.52631578950945</v>
      </c>
    </row>
    <row r="865" spans="1:25" x14ac:dyDescent="0.25">
      <c r="A865">
        <f t="shared" si="97"/>
        <v>858</v>
      </c>
      <c r="B865" s="88" t="str">
        <f>IF(OR(B864="Total",B864=""),"",IF(VLOOKUP(A865,Journal!$B$7:$E$84,4)=0,"Total",VLOOKUP(A865,Journal!$B$7:$D$84,3)))</f>
        <v/>
      </c>
      <c r="C865" s="86" t="str">
        <f>IF(B865="","",VLOOKUP(A865,Journal!$B$7:$E$84,4))</f>
        <v/>
      </c>
      <c r="D865" s="114" t="str">
        <f>IF(B865="","",VLOOKUP(A865,Journal!$B$7:$J$84,9))</f>
        <v/>
      </c>
      <c r="E865" s="116"/>
      <c r="F865" s="116"/>
      <c r="G865" s="115"/>
      <c r="H865" s="84" t="str">
        <f>IF(B865="","",VLOOKUP(A865,Journal!$B$7:$L$84,11))</f>
        <v/>
      </c>
      <c r="I865" s="84" t="str">
        <f>IF(B865="","",VLOOKUP(A865,Journal!$B$7:$M$84,12))</f>
        <v/>
      </c>
      <c r="J865" s="105">
        <f>IF(B865="Total",SUM(J$8:J864)+0.0001,IF(OR(B865="",I$2=I865),0,VLOOKUP(A865,Journal!$B$7:M$84,8)))</f>
        <v>0</v>
      </c>
      <c r="K865" s="102">
        <f>IF(B865="Total",SUM(K$8:K864)+0.0001,IF(OR(B865="",J865&lt;&gt;0),0,VLOOKUP(A865,Journal!$B$7:M$84,8)))</f>
        <v>0</v>
      </c>
      <c r="L865" s="87">
        <f t="shared" si="98"/>
        <v>0</v>
      </c>
      <c r="P865">
        <f t="shared" si="99"/>
        <v>1.0000000000000001E-5</v>
      </c>
      <c r="R865" s="15">
        <f t="shared" si="95"/>
        <v>858</v>
      </c>
      <c r="S865" s="126">
        <f>IF(VLOOKUP(A865,Journal!$A$7:$E$70,5)=0,S864+1,VLOOKUP(A865,Journal!$A$7:$E$70,5))</f>
        <v>46515</v>
      </c>
      <c r="T865" s="125">
        <f>IF(H$2=VLOOKUP(A865,Journal!$A$7:$F$70,6),VLOOKUP(A865,Journal!$A$7:M$70,9),0)</f>
        <v>0</v>
      </c>
      <c r="U865" s="125">
        <f>IF(H$2=VLOOKUP(A865,Journal!$A$7:$G$70,7),VLOOKUP(A865,Journal!$A$7:M$70,9),0)</f>
        <v>0</v>
      </c>
      <c r="V865" s="125">
        <f t="shared" si="96"/>
        <v>40</v>
      </c>
      <c r="X865">
        <f t="shared" si="100"/>
        <v>0</v>
      </c>
      <c r="Y865" s="143">
        <f t="shared" si="92"/>
        <v>-977.50000000003581</v>
      </c>
    </row>
    <row r="866" spans="1:25" x14ac:dyDescent="0.25">
      <c r="A866">
        <f t="shared" si="97"/>
        <v>859</v>
      </c>
      <c r="B866" s="88" t="str">
        <f>IF(OR(B865="Total",B865=""),"",IF(VLOOKUP(A866,Journal!$B$7:$E$84,4)=0,"Total",VLOOKUP(A866,Journal!$B$7:$D$84,3)))</f>
        <v/>
      </c>
      <c r="C866" s="86" t="str">
        <f>IF(B866="","",VLOOKUP(A866,Journal!$B$7:$E$84,4))</f>
        <v/>
      </c>
      <c r="D866" s="114" t="str">
        <f>IF(B866="","",VLOOKUP(A866,Journal!$B$7:$J$84,9))</f>
        <v/>
      </c>
      <c r="E866" s="116"/>
      <c r="F866" s="116"/>
      <c r="G866" s="115"/>
      <c r="H866" s="84" t="str">
        <f>IF(B866="","",VLOOKUP(A866,Journal!$B$7:$L$84,11))</f>
        <v/>
      </c>
      <c r="I866" s="84" t="str">
        <f>IF(B866="","",VLOOKUP(A866,Journal!$B$7:$M$84,12))</f>
        <v/>
      </c>
      <c r="J866" s="105">
        <f>IF(B866="Total",SUM(J$8:J865)+0.0001,IF(OR(B866="",I$2=I866),0,VLOOKUP(A866,Journal!$B$7:M$84,8)))</f>
        <v>0</v>
      </c>
      <c r="K866" s="102">
        <f>IF(B866="Total",SUM(K$8:K865)+0.0001,IF(OR(B866="",J866&lt;&gt;0),0,VLOOKUP(A866,Journal!$B$7:M$84,8)))</f>
        <v>0</v>
      </c>
      <c r="L866" s="87">
        <f t="shared" si="98"/>
        <v>0</v>
      </c>
      <c r="P866">
        <f t="shared" si="99"/>
        <v>1.0000000000000001E-5</v>
      </c>
      <c r="R866" s="15">
        <f t="shared" si="95"/>
        <v>859</v>
      </c>
      <c r="S866" s="126">
        <f>IF(VLOOKUP(A866,Journal!$A$7:$E$70,5)=0,S865+1,VLOOKUP(A866,Journal!$A$7:$E$70,5))</f>
        <v>46516</v>
      </c>
      <c r="T866" s="125">
        <f>IF(H$2=VLOOKUP(A866,Journal!$A$7:$F$70,6),VLOOKUP(A866,Journal!$A$7:M$70,9),0)</f>
        <v>0</v>
      </c>
      <c r="U866" s="125">
        <f>IF(H$2=VLOOKUP(A866,Journal!$A$7:$G$70,7),VLOOKUP(A866,Journal!$A$7:M$70,9),0)</f>
        <v>0</v>
      </c>
      <c r="V866" s="125">
        <f t="shared" si="96"/>
        <v>40</v>
      </c>
      <c r="X866">
        <f t="shared" si="100"/>
        <v>0</v>
      </c>
      <c r="Y866" s="143">
        <f t="shared" si="92"/>
        <v>-977.47368421056217</v>
      </c>
    </row>
    <row r="867" spans="1:25" x14ac:dyDescent="0.25">
      <c r="A867">
        <f t="shared" si="97"/>
        <v>860</v>
      </c>
      <c r="B867" s="88" t="str">
        <f>IF(OR(B866="Total",B866=""),"",IF(VLOOKUP(A867,Journal!$B$7:$E$84,4)=0,"Total",VLOOKUP(A867,Journal!$B$7:$D$84,3)))</f>
        <v/>
      </c>
      <c r="C867" s="86" t="str">
        <f>IF(B867="","",VLOOKUP(A867,Journal!$B$7:$E$84,4))</f>
        <v/>
      </c>
      <c r="D867" s="114" t="str">
        <f>IF(B867="","",VLOOKUP(A867,Journal!$B$7:$J$84,9))</f>
        <v/>
      </c>
      <c r="E867" s="116"/>
      <c r="F867" s="116"/>
      <c r="G867" s="115"/>
      <c r="H867" s="84" t="str">
        <f>IF(B867="","",VLOOKUP(A867,Journal!$B$7:$L$84,11))</f>
        <v/>
      </c>
      <c r="I867" s="84" t="str">
        <f>IF(B867="","",VLOOKUP(A867,Journal!$B$7:$M$84,12))</f>
        <v/>
      </c>
      <c r="J867" s="105">
        <f>IF(B867="Total",SUM(J$8:J866)+0.0001,IF(OR(B867="",I$2=I867),0,VLOOKUP(A867,Journal!$B$7:M$84,8)))</f>
        <v>0</v>
      </c>
      <c r="K867" s="102">
        <f>IF(B867="Total",SUM(K$8:K866)+0.0001,IF(OR(B867="",J867&lt;&gt;0),0,VLOOKUP(A867,Journal!$B$7:M$84,8)))</f>
        <v>0</v>
      </c>
      <c r="L867" s="87">
        <f t="shared" si="98"/>
        <v>0</v>
      </c>
      <c r="P867">
        <f t="shared" si="99"/>
        <v>1.0000000000000001E-5</v>
      </c>
      <c r="R867" s="15">
        <f t="shared" si="95"/>
        <v>860</v>
      </c>
      <c r="S867" s="126">
        <f>IF(VLOOKUP(A867,Journal!$A$7:$E$70,5)=0,S866+1,VLOOKUP(A867,Journal!$A$7:$E$70,5))</f>
        <v>46517</v>
      </c>
      <c r="T867" s="125">
        <f>IF(H$2=VLOOKUP(A867,Journal!$A$7:$F$70,6),VLOOKUP(A867,Journal!$A$7:M$70,9),0)</f>
        <v>0</v>
      </c>
      <c r="U867" s="125">
        <f>IF(H$2=VLOOKUP(A867,Journal!$A$7:$G$70,7),VLOOKUP(A867,Journal!$A$7:M$70,9),0)</f>
        <v>0</v>
      </c>
      <c r="V867" s="125">
        <f t="shared" si="96"/>
        <v>40</v>
      </c>
      <c r="X867">
        <f t="shared" si="100"/>
        <v>0</v>
      </c>
      <c r="Y867" s="143">
        <f t="shared" si="92"/>
        <v>-977.44736842108853</v>
      </c>
    </row>
    <row r="868" spans="1:25" x14ac:dyDescent="0.25">
      <c r="A868">
        <f t="shared" si="97"/>
        <v>861</v>
      </c>
      <c r="B868" s="88" t="str">
        <f>IF(OR(B867="Total",B867=""),"",IF(VLOOKUP(A868,Journal!$B$7:$E$84,4)=0,"Total",VLOOKUP(A868,Journal!$B$7:$D$84,3)))</f>
        <v/>
      </c>
      <c r="C868" s="86" t="str">
        <f>IF(B868="","",VLOOKUP(A868,Journal!$B$7:$E$84,4))</f>
        <v/>
      </c>
      <c r="D868" s="114" t="str">
        <f>IF(B868="","",VLOOKUP(A868,Journal!$B$7:$J$84,9))</f>
        <v/>
      </c>
      <c r="E868" s="116"/>
      <c r="F868" s="116"/>
      <c r="G868" s="115"/>
      <c r="H868" s="84" t="str">
        <f>IF(B868="","",VLOOKUP(A868,Journal!$B$7:$L$84,11))</f>
        <v/>
      </c>
      <c r="I868" s="84" t="str">
        <f>IF(B868="","",VLOOKUP(A868,Journal!$B$7:$M$84,12))</f>
        <v/>
      </c>
      <c r="J868" s="105">
        <f>IF(B868="Total",SUM(J$8:J867)+0.0001,IF(OR(B868="",I$2=I868),0,VLOOKUP(A868,Journal!$B$7:M$84,8)))</f>
        <v>0</v>
      </c>
      <c r="K868" s="102">
        <f>IF(B868="Total",SUM(K$8:K867)+0.0001,IF(OR(B868="",J868&lt;&gt;0),0,VLOOKUP(A868,Journal!$B$7:M$84,8)))</f>
        <v>0</v>
      </c>
      <c r="L868" s="87">
        <f t="shared" si="98"/>
        <v>0</v>
      </c>
      <c r="P868">
        <f t="shared" si="99"/>
        <v>1.0000000000000001E-5</v>
      </c>
      <c r="R868" s="15">
        <f t="shared" si="95"/>
        <v>861</v>
      </c>
      <c r="S868" s="126">
        <f>IF(VLOOKUP(A868,Journal!$A$7:$E$70,5)=0,S867+1,VLOOKUP(A868,Journal!$A$7:$E$70,5))</f>
        <v>46518</v>
      </c>
      <c r="T868" s="125">
        <f>IF(H$2=VLOOKUP(A868,Journal!$A$7:$F$70,6),VLOOKUP(A868,Journal!$A$7:M$70,9),0)</f>
        <v>0</v>
      </c>
      <c r="U868" s="125">
        <f>IF(H$2=VLOOKUP(A868,Journal!$A$7:$G$70,7),VLOOKUP(A868,Journal!$A$7:M$70,9),0)</f>
        <v>0</v>
      </c>
      <c r="V868" s="125">
        <f t="shared" si="96"/>
        <v>40</v>
      </c>
      <c r="X868">
        <f t="shared" si="100"/>
        <v>0</v>
      </c>
      <c r="Y868" s="143">
        <f t="shared" si="92"/>
        <v>-977.42105263161488</v>
      </c>
    </row>
    <row r="869" spans="1:25" x14ac:dyDescent="0.25">
      <c r="A869">
        <f t="shared" si="97"/>
        <v>862</v>
      </c>
      <c r="B869" s="88" t="str">
        <f>IF(OR(B868="Total",B868=""),"",IF(VLOOKUP(A869,Journal!$B$7:$E$84,4)=0,"Total",VLOOKUP(A869,Journal!$B$7:$D$84,3)))</f>
        <v/>
      </c>
      <c r="C869" s="86" t="str">
        <f>IF(B869="","",VLOOKUP(A869,Journal!$B$7:$E$84,4))</f>
        <v/>
      </c>
      <c r="D869" s="114" t="str">
        <f>IF(B869="","",VLOOKUP(A869,Journal!$B$7:$J$84,9))</f>
        <v/>
      </c>
      <c r="E869" s="116"/>
      <c r="F869" s="116"/>
      <c r="G869" s="115"/>
      <c r="H869" s="84" t="str">
        <f>IF(B869="","",VLOOKUP(A869,Journal!$B$7:$L$84,11))</f>
        <v/>
      </c>
      <c r="I869" s="84" t="str">
        <f>IF(B869="","",VLOOKUP(A869,Journal!$B$7:$M$84,12))</f>
        <v/>
      </c>
      <c r="J869" s="105">
        <f>IF(B869="Total",SUM(J$8:J868)+0.0001,IF(OR(B869="",I$2=I869),0,VLOOKUP(A869,Journal!$B$7:M$84,8)))</f>
        <v>0</v>
      </c>
      <c r="K869" s="102">
        <f>IF(B869="Total",SUM(K$8:K868)+0.0001,IF(OR(B869="",J869&lt;&gt;0),0,VLOOKUP(A869,Journal!$B$7:M$84,8)))</f>
        <v>0</v>
      </c>
      <c r="L869" s="87">
        <f t="shared" si="98"/>
        <v>0</v>
      </c>
      <c r="P869">
        <f t="shared" si="99"/>
        <v>1.0000000000000001E-5</v>
      </c>
      <c r="R869" s="15">
        <f t="shared" si="95"/>
        <v>862</v>
      </c>
      <c r="S869" s="126">
        <f>IF(VLOOKUP(A869,Journal!$A$7:$E$70,5)=0,S868+1,VLOOKUP(A869,Journal!$A$7:$E$70,5))</f>
        <v>46519</v>
      </c>
      <c r="T869" s="125">
        <f>IF(H$2=VLOOKUP(A869,Journal!$A$7:$F$70,6),VLOOKUP(A869,Journal!$A$7:M$70,9),0)</f>
        <v>0</v>
      </c>
      <c r="U869" s="125">
        <f>IF(H$2=VLOOKUP(A869,Journal!$A$7:$G$70,7),VLOOKUP(A869,Journal!$A$7:M$70,9),0)</f>
        <v>0</v>
      </c>
      <c r="V869" s="125">
        <f t="shared" si="96"/>
        <v>40</v>
      </c>
      <c r="X869">
        <f t="shared" si="100"/>
        <v>0</v>
      </c>
      <c r="Y869" s="143">
        <f t="shared" si="92"/>
        <v>-977.39473684214124</v>
      </c>
    </row>
    <row r="870" spans="1:25" x14ac:dyDescent="0.25">
      <c r="A870">
        <f t="shared" si="97"/>
        <v>863</v>
      </c>
      <c r="B870" s="88" t="str">
        <f>IF(OR(B869="Total",B869=""),"",IF(VLOOKUP(A870,Journal!$B$7:$E$84,4)=0,"Total",VLOOKUP(A870,Journal!$B$7:$D$84,3)))</f>
        <v/>
      </c>
      <c r="C870" s="86" t="str">
        <f>IF(B870="","",VLOOKUP(A870,Journal!$B$7:$E$84,4))</f>
        <v/>
      </c>
      <c r="D870" s="114" t="str">
        <f>IF(B870="","",VLOOKUP(A870,Journal!$B$7:$J$84,9))</f>
        <v/>
      </c>
      <c r="E870" s="116"/>
      <c r="F870" s="116"/>
      <c r="G870" s="115"/>
      <c r="H870" s="84" t="str">
        <f>IF(B870="","",VLOOKUP(A870,Journal!$B$7:$L$84,11))</f>
        <v/>
      </c>
      <c r="I870" s="84" t="str">
        <f>IF(B870="","",VLOOKUP(A870,Journal!$B$7:$M$84,12))</f>
        <v/>
      </c>
      <c r="J870" s="105">
        <f>IF(B870="Total",SUM(J$8:J869)+0.0001,IF(OR(B870="",I$2=I870),0,VLOOKUP(A870,Journal!$B$7:M$84,8)))</f>
        <v>0</v>
      </c>
      <c r="K870" s="102">
        <f>IF(B870="Total",SUM(K$8:K869)+0.0001,IF(OR(B870="",J870&lt;&gt;0),0,VLOOKUP(A870,Journal!$B$7:M$84,8)))</f>
        <v>0</v>
      </c>
      <c r="L870" s="87">
        <f t="shared" si="98"/>
        <v>0</v>
      </c>
      <c r="P870">
        <f t="shared" si="99"/>
        <v>1.0000000000000001E-5</v>
      </c>
      <c r="R870" s="15">
        <f t="shared" si="95"/>
        <v>863</v>
      </c>
      <c r="S870" s="126">
        <f>IF(VLOOKUP(A870,Journal!$A$7:$E$70,5)=0,S869+1,VLOOKUP(A870,Journal!$A$7:$E$70,5))</f>
        <v>46520</v>
      </c>
      <c r="T870" s="125">
        <f>IF(H$2=VLOOKUP(A870,Journal!$A$7:$F$70,6),VLOOKUP(A870,Journal!$A$7:M$70,9),0)</f>
        <v>0</v>
      </c>
      <c r="U870" s="125">
        <f>IF(H$2=VLOOKUP(A870,Journal!$A$7:$G$70,7),VLOOKUP(A870,Journal!$A$7:M$70,9),0)</f>
        <v>0</v>
      </c>
      <c r="V870" s="125">
        <f t="shared" si="96"/>
        <v>40</v>
      </c>
      <c r="X870">
        <f t="shared" si="100"/>
        <v>0</v>
      </c>
      <c r="Y870" s="143">
        <f t="shared" si="92"/>
        <v>-977.3684210526676</v>
      </c>
    </row>
    <row r="871" spans="1:25" x14ac:dyDescent="0.25">
      <c r="A871">
        <f t="shared" si="97"/>
        <v>864</v>
      </c>
      <c r="B871" s="88" t="str">
        <f>IF(OR(B870="Total",B870=""),"",IF(VLOOKUP(A871,Journal!$B$7:$E$84,4)=0,"Total",VLOOKUP(A871,Journal!$B$7:$D$84,3)))</f>
        <v/>
      </c>
      <c r="C871" s="86" t="str">
        <f>IF(B871="","",VLOOKUP(A871,Journal!$B$7:$E$84,4))</f>
        <v/>
      </c>
      <c r="D871" s="114" t="str">
        <f>IF(B871="","",VLOOKUP(A871,Journal!$B$7:$J$84,9))</f>
        <v/>
      </c>
      <c r="E871" s="116"/>
      <c r="F871" s="116"/>
      <c r="G871" s="115"/>
      <c r="H871" s="84" t="str">
        <f>IF(B871="","",VLOOKUP(A871,Journal!$B$7:$L$84,11))</f>
        <v/>
      </c>
      <c r="I871" s="84" t="str">
        <f>IF(B871="","",VLOOKUP(A871,Journal!$B$7:$M$84,12))</f>
        <v/>
      </c>
      <c r="J871" s="105">
        <f>IF(B871="Total",SUM(J$8:J870)+0.0001,IF(OR(B871="",I$2=I871),0,VLOOKUP(A871,Journal!$B$7:M$84,8)))</f>
        <v>0</v>
      </c>
      <c r="K871" s="102">
        <f>IF(B871="Total",SUM(K$8:K870)+0.0001,IF(OR(B871="",J871&lt;&gt;0),0,VLOOKUP(A871,Journal!$B$7:M$84,8)))</f>
        <v>0</v>
      </c>
      <c r="L871" s="87">
        <f t="shared" si="98"/>
        <v>0</v>
      </c>
      <c r="P871">
        <f t="shared" si="99"/>
        <v>1.0000000000000001E-5</v>
      </c>
      <c r="R871" s="15">
        <f t="shared" si="95"/>
        <v>864</v>
      </c>
      <c r="S871" s="126">
        <f>IF(VLOOKUP(A871,Journal!$A$7:$E$70,5)=0,S870+1,VLOOKUP(A871,Journal!$A$7:$E$70,5))</f>
        <v>46521</v>
      </c>
      <c r="T871" s="125">
        <f>IF(H$2=VLOOKUP(A871,Journal!$A$7:$F$70,6),VLOOKUP(A871,Journal!$A$7:M$70,9),0)</f>
        <v>0</v>
      </c>
      <c r="U871" s="125">
        <f>IF(H$2=VLOOKUP(A871,Journal!$A$7:$G$70,7),VLOOKUP(A871,Journal!$A$7:M$70,9),0)</f>
        <v>0</v>
      </c>
      <c r="V871" s="125">
        <f t="shared" si="96"/>
        <v>40</v>
      </c>
      <c r="X871">
        <f t="shared" si="100"/>
        <v>0</v>
      </c>
      <c r="Y871" s="143">
        <f t="shared" si="92"/>
        <v>-977.34210526319396</v>
      </c>
    </row>
    <row r="872" spans="1:25" x14ac:dyDescent="0.25">
      <c r="A872">
        <f t="shared" si="97"/>
        <v>865</v>
      </c>
      <c r="B872" s="88" t="str">
        <f>IF(OR(B871="Total",B871=""),"",IF(VLOOKUP(A872,Journal!$B$7:$E$84,4)=0,"Total",VLOOKUP(A872,Journal!$B$7:$D$84,3)))</f>
        <v/>
      </c>
      <c r="C872" s="86" t="str">
        <f>IF(B872="","",VLOOKUP(A872,Journal!$B$7:$E$84,4))</f>
        <v/>
      </c>
      <c r="D872" s="114" t="str">
        <f>IF(B872="","",VLOOKUP(A872,Journal!$B$7:$J$84,9))</f>
        <v/>
      </c>
      <c r="E872" s="116"/>
      <c r="F872" s="116"/>
      <c r="G872" s="115"/>
      <c r="H872" s="84" t="str">
        <f>IF(B872="","",VLOOKUP(A872,Journal!$B$7:$L$84,11))</f>
        <v/>
      </c>
      <c r="I872" s="84" t="str">
        <f>IF(B872="","",VLOOKUP(A872,Journal!$B$7:$M$84,12))</f>
        <v/>
      </c>
      <c r="J872" s="105">
        <f>IF(B872="Total",SUM(J$8:J871)+0.0001,IF(OR(B872="",I$2=I872),0,VLOOKUP(A872,Journal!$B$7:M$84,8)))</f>
        <v>0</v>
      </c>
      <c r="K872" s="102">
        <f>IF(B872="Total",SUM(K$8:K871)+0.0001,IF(OR(B872="",J872&lt;&gt;0),0,VLOOKUP(A872,Journal!$B$7:M$84,8)))</f>
        <v>0</v>
      </c>
      <c r="L872" s="87">
        <f t="shared" si="98"/>
        <v>0</v>
      </c>
      <c r="P872">
        <f t="shared" si="99"/>
        <v>1.0000000000000001E-5</v>
      </c>
      <c r="R872" s="15">
        <f t="shared" si="95"/>
        <v>865</v>
      </c>
      <c r="S872" s="126">
        <f>IF(VLOOKUP(A872,Journal!$A$7:$E$70,5)=0,S871+1,VLOOKUP(A872,Journal!$A$7:$E$70,5))</f>
        <v>46522</v>
      </c>
      <c r="T872" s="125">
        <f>IF(H$2=VLOOKUP(A872,Journal!$A$7:$F$70,6),VLOOKUP(A872,Journal!$A$7:M$70,9),0)</f>
        <v>0</v>
      </c>
      <c r="U872" s="125">
        <f>IF(H$2=VLOOKUP(A872,Journal!$A$7:$G$70,7),VLOOKUP(A872,Journal!$A$7:M$70,9),0)</f>
        <v>0</v>
      </c>
      <c r="V872" s="125">
        <f t="shared" si="96"/>
        <v>40</v>
      </c>
      <c r="X872">
        <f t="shared" si="100"/>
        <v>0</v>
      </c>
      <c r="Y872" s="143">
        <f t="shared" si="92"/>
        <v>-977.31578947372032</v>
      </c>
    </row>
    <row r="873" spans="1:25" x14ac:dyDescent="0.25">
      <c r="A873">
        <f t="shared" si="97"/>
        <v>866</v>
      </c>
      <c r="B873" s="88" t="str">
        <f>IF(OR(B872="Total",B872=""),"",IF(VLOOKUP(A873,Journal!$B$7:$E$84,4)=0,"Total",VLOOKUP(A873,Journal!$B$7:$D$84,3)))</f>
        <v/>
      </c>
      <c r="C873" s="86" t="str">
        <f>IF(B873="","",VLOOKUP(A873,Journal!$B$7:$E$84,4))</f>
        <v/>
      </c>
      <c r="D873" s="114" t="str">
        <f>IF(B873="","",VLOOKUP(A873,Journal!$B$7:$J$84,9))</f>
        <v/>
      </c>
      <c r="E873" s="116"/>
      <c r="F873" s="116"/>
      <c r="G873" s="115"/>
      <c r="H873" s="84" t="str">
        <f>IF(B873="","",VLOOKUP(A873,Journal!$B$7:$L$84,11))</f>
        <v/>
      </c>
      <c r="I873" s="84" t="str">
        <f>IF(B873="","",VLOOKUP(A873,Journal!$B$7:$M$84,12))</f>
        <v/>
      </c>
      <c r="J873" s="105">
        <f>IF(B873="Total",SUM(J$8:J872)+0.0001,IF(OR(B873="",I$2=I873),0,VLOOKUP(A873,Journal!$B$7:M$84,8)))</f>
        <v>0</v>
      </c>
      <c r="K873" s="102">
        <f>IF(B873="Total",SUM(K$8:K872)+0.0001,IF(OR(B873="",J873&lt;&gt;0),0,VLOOKUP(A873,Journal!$B$7:M$84,8)))</f>
        <v>0</v>
      </c>
      <c r="L873" s="87">
        <f t="shared" si="98"/>
        <v>0</v>
      </c>
      <c r="P873">
        <f t="shared" si="99"/>
        <v>1.0000000000000001E-5</v>
      </c>
      <c r="R873" s="15">
        <f t="shared" si="95"/>
        <v>866</v>
      </c>
      <c r="S873" s="126">
        <f>IF(VLOOKUP(A873,Journal!$A$7:$E$70,5)=0,S872+1,VLOOKUP(A873,Journal!$A$7:$E$70,5))</f>
        <v>46523</v>
      </c>
      <c r="T873" s="125">
        <f>IF(H$2=VLOOKUP(A873,Journal!$A$7:$F$70,6),VLOOKUP(A873,Journal!$A$7:M$70,9),0)</f>
        <v>0</v>
      </c>
      <c r="U873" s="125">
        <f>IF(H$2=VLOOKUP(A873,Journal!$A$7:$G$70,7),VLOOKUP(A873,Journal!$A$7:M$70,9),0)</f>
        <v>0</v>
      </c>
      <c r="V873" s="125">
        <f t="shared" si="96"/>
        <v>40</v>
      </c>
      <c r="X873">
        <f t="shared" si="100"/>
        <v>0</v>
      </c>
      <c r="Y873" s="143">
        <f t="shared" si="92"/>
        <v>-977.28947368424667</v>
      </c>
    </row>
    <row r="874" spans="1:25" x14ac:dyDescent="0.25">
      <c r="A874">
        <f t="shared" si="97"/>
        <v>867</v>
      </c>
      <c r="B874" s="88" t="str">
        <f>IF(OR(B873="Total",B873=""),"",IF(VLOOKUP(A874,Journal!$B$7:$E$84,4)=0,"Total",VLOOKUP(A874,Journal!$B$7:$D$84,3)))</f>
        <v/>
      </c>
      <c r="C874" s="86" t="str">
        <f>IF(B874="","",VLOOKUP(A874,Journal!$B$7:$E$84,4))</f>
        <v/>
      </c>
      <c r="D874" s="114" t="str">
        <f>IF(B874="","",VLOOKUP(A874,Journal!$B$7:$J$84,9))</f>
        <v/>
      </c>
      <c r="E874" s="116"/>
      <c r="F874" s="116"/>
      <c r="G874" s="115"/>
      <c r="H874" s="84" t="str">
        <f>IF(B874="","",VLOOKUP(A874,Journal!$B$7:$L$84,11))</f>
        <v/>
      </c>
      <c r="I874" s="84" t="str">
        <f>IF(B874="","",VLOOKUP(A874,Journal!$B$7:$M$84,12))</f>
        <v/>
      </c>
      <c r="J874" s="105">
        <f>IF(B874="Total",SUM(J$8:J873)+0.0001,IF(OR(B874="",I$2=I874),0,VLOOKUP(A874,Journal!$B$7:M$84,8)))</f>
        <v>0</v>
      </c>
      <c r="K874" s="102">
        <f>IF(B874="Total",SUM(K$8:K873)+0.0001,IF(OR(B874="",J874&lt;&gt;0),0,VLOOKUP(A874,Journal!$B$7:M$84,8)))</f>
        <v>0</v>
      </c>
      <c r="L874" s="87">
        <f t="shared" si="98"/>
        <v>0</v>
      </c>
      <c r="P874">
        <f t="shared" si="99"/>
        <v>1.0000000000000001E-5</v>
      </c>
      <c r="R874" s="15">
        <f t="shared" ref="R874:R905" si="101">R873+1</f>
        <v>867</v>
      </c>
      <c r="S874" s="126">
        <f>IF(VLOOKUP(A874,Journal!$A$7:$E$70,5)=0,S873+1,VLOOKUP(A874,Journal!$A$7:$E$70,5))</f>
        <v>46524</v>
      </c>
      <c r="T874" s="125">
        <f>IF(H$2=VLOOKUP(A874,Journal!$A$7:$F$70,6),VLOOKUP(A874,Journal!$A$7:M$70,9),0)</f>
        <v>0</v>
      </c>
      <c r="U874" s="125">
        <f>IF(H$2=VLOOKUP(A874,Journal!$A$7:$G$70,7),VLOOKUP(A874,Journal!$A$7:M$70,9),0)</f>
        <v>0</v>
      </c>
      <c r="V874" s="125">
        <f t="shared" si="96"/>
        <v>40</v>
      </c>
      <c r="X874">
        <f t="shared" si="100"/>
        <v>0</v>
      </c>
      <c r="Y874" s="143">
        <f t="shared" si="92"/>
        <v>-977.26315789477303</v>
      </c>
    </row>
    <row r="875" spans="1:25" x14ac:dyDescent="0.25">
      <c r="A875">
        <f t="shared" ref="A875:A906" si="102">A874+1</f>
        <v>868</v>
      </c>
      <c r="B875" s="88" t="str">
        <f>IF(OR(B874="Total",B874=""),"",IF(VLOOKUP(A875,Journal!$B$7:$E$84,4)=0,"Total",VLOOKUP(A875,Journal!$B$7:$D$84,3)))</f>
        <v/>
      </c>
      <c r="C875" s="86" t="str">
        <f>IF(B875="","",VLOOKUP(A875,Journal!$B$7:$E$84,4))</f>
        <v/>
      </c>
      <c r="D875" s="114" t="str">
        <f>IF(B875="","",VLOOKUP(A875,Journal!$B$7:$J$84,9))</f>
        <v/>
      </c>
      <c r="E875" s="116"/>
      <c r="F875" s="116"/>
      <c r="G875" s="115"/>
      <c r="H875" s="84" t="str">
        <f>IF(B875="","",VLOOKUP(A875,Journal!$B$7:$L$84,11))</f>
        <v/>
      </c>
      <c r="I875" s="84" t="str">
        <f>IF(B875="","",VLOOKUP(A875,Journal!$B$7:$M$84,12))</f>
        <v/>
      </c>
      <c r="J875" s="105">
        <f>IF(B875="Total",SUM(J$8:J874)+0.0001,IF(OR(B875="",I$2=I875),0,VLOOKUP(A875,Journal!$B$7:M$84,8)))</f>
        <v>0</v>
      </c>
      <c r="K875" s="102">
        <f>IF(B875="Total",SUM(K$8:K874)+0.0001,IF(OR(B875="",J875&lt;&gt;0),0,VLOOKUP(A875,Journal!$B$7:M$84,8)))</f>
        <v>0</v>
      </c>
      <c r="L875" s="87">
        <f t="shared" si="98"/>
        <v>0</v>
      </c>
      <c r="P875">
        <f t="shared" si="99"/>
        <v>1.0000000000000001E-5</v>
      </c>
      <c r="R875" s="15">
        <f t="shared" si="101"/>
        <v>868</v>
      </c>
      <c r="S875" s="126">
        <f>IF(VLOOKUP(A875,Journal!$A$7:$E$70,5)=0,S874+1,VLOOKUP(A875,Journal!$A$7:$E$70,5))</f>
        <v>46525</v>
      </c>
      <c r="T875" s="125">
        <f>IF(H$2=VLOOKUP(A875,Journal!$A$7:$F$70,6),VLOOKUP(A875,Journal!$A$7:M$70,9),0)</f>
        <v>0</v>
      </c>
      <c r="U875" s="125">
        <f>IF(H$2=VLOOKUP(A875,Journal!$A$7:$G$70,7),VLOOKUP(A875,Journal!$A$7:M$70,9),0)</f>
        <v>0</v>
      </c>
      <c r="V875" s="125">
        <f t="shared" si="96"/>
        <v>40</v>
      </c>
      <c r="X875">
        <f t="shared" si="100"/>
        <v>0</v>
      </c>
      <c r="Y875" s="143">
        <f t="shared" si="92"/>
        <v>-977.23684210529939</v>
      </c>
    </row>
    <row r="876" spans="1:25" x14ac:dyDescent="0.25">
      <c r="A876">
        <f t="shared" si="102"/>
        <v>869</v>
      </c>
      <c r="B876" s="88" t="str">
        <f>IF(OR(B875="Total",B875=""),"",IF(VLOOKUP(A876,Journal!$B$7:$E$84,4)=0,"Total",VLOOKUP(A876,Journal!$B$7:$D$84,3)))</f>
        <v/>
      </c>
      <c r="C876" s="86" t="str">
        <f>IF(B876="","",VLOOKUP(A876,Journal!$B$7:$E$84,4))</f>
        <v/>
      </c>
      <c r="D876" s="114" t="str">
        <f>IF(B876="","",VLOOKUP(A876,Journal!$B$7:$J$84,9))</f>
        <v/>
      </c>
      <c r="E876" s="116"/>
      <c r="F876" s="116"/>
      <c r="G876" s="115"/>
      <c r="H876" s="84" t="str">
        <f>IF(B876="","",VLOOKUP(A876,Journal!$B$7:$L$84,11))</f>
        <v/>
      </c>
      <c r="I876" s="84" t="str">
        <f>IF(B876="","",VLOOKUP(A876,Journal!$B$7:$M$84,12))</f>
        <v/>
      </c>
      <c r="J876" s="105">
        <f>IF(B876="Total",SUM(J$8:J875)+0.0001,IF(OR(B876="",I$2=I876),0,VLOOKUP(A876,Journal!$B$7:M$84,8)))</f>
        <v>0</v>
      </c>
      <c r="K876" s="102">
        <f>IF(B876="Total",SUM(K$8:K875)+0.0001,IF(OR(B876="",J876&lt;&gt;0),0,VLOOKUP(A876,Journal!$B$7:M$84,8)))</f>
        <v>0</v>
      </c>
      <c r="L876" s="87">
        <f t="shared" si="98"/>
        <v>0</v>
      </c>
      <c r="P876">
        <f t="shared" si="99"/>
        <v>1.0000000000000001E-5</v>
      </c>
      <c r="R876" s="15">
        <f t="shared" si="101"/>
        <v>869</v>
      </c>
      <c r="S876" s="126">
        <f>IF(VLOOKUP(A876,Journal!$A$7:$E$70,5)=0,S875+1,VLOOKUP(A876,Journal!$A$7:$E$70,5))</f>
        <v>46526</v>
      </c>
      <c r="T876" s="125">
        <f>IF(H$2=VLOOKUP(A876,Journal!$A$7:$F$70,6),VLOOKUP(A876,Journal!$A$7:M$70,9),0)</f>
        <v>0</v>
      </c>
      <c r="U876" s="125">
        <f>IF(H$2=VLOOKUP(A876,Journal!$A$7:$G$70,7),VLOOKUP(A876,Journal!$A$7:M$70,9),0)</f>
        <v>0</v>
      </c>
      <c r="V876" s="125">
        <f t="shared" si="96"/>
        <v>40</v>
      </c>
      <c r="X876">
        <f t="shared" si="100"/>
        <v>0</v>
      </c>
      <c r="Y876" s="143">
        <f t="shared" si="92"/>
        <v>-977.21052631582575</v>
      </c>
    </row>
    <row r="877" spans="1:25" x14ac:dyDescent="0.25">
      <c r="A877">
        <f t="shared" si="102"/>
        <v>870</v>
      </c>
      <c r="B877" s="88" t="str">
        <f>IF(OR(B876="Total",B876=""),"",IF(VLOOKUP(A877,Journal!$B$7:$E$84,4)=0,"Total",VLOOKUP(A877,Journal!$B$7:$D$84,3)))</f>
        <v/>
      </c>
      <c r="C877" s="86" t="str">
        <f>IF(B877="","",VLOOKUP(A877,Journal!$B$7:$E$84,4))</f>
        <v/>
      </c>
      <c r="D877" s="114" t="str">
        <f>IF(B877="","",VLOOKUP(A877,Journal!$B$7:$J$84,9))</f>
        <v/>
      </c>
      <c r="E877" s="116"/>
      <c r="F877" s="116"/>
      <c r="G877" s="115"/>
      <c r="H877" s="84" t="str">
        <f>IF(B877="","",VLOOKUP(A877,Journal!$B$7:$L$84,11))</f>
        <v/>
      </c>
      <c r="I877" s="84" t="str">
        <f>IF(B877="","",VLOOKUP(A877,Journal!$B$7:$M$84,12))</f>
        <v/>
      </c>
      <c r="J877" s="105">
        <f>IF(B877="Total",SUM(J$8:J876)+0.0001,IF(OR(B877="",I$2=I877),0,VLOOKUP(A877,Journal!$B$7:M$84,8)))</f>
        <v>0</v>
      </c>
      <c r="K877" s="102">
        <f>IF(B877="Total",SUM(K$8:K876)+0.0001,IF(OR(B877="",J877&lt;&gt;0),0,VLOOKUP(A877,Journal!$B$7:M$84,8)))</f>
        <v>0</v>
      </c>
      <c r="L877" s="87">
        <f t="shared" si="98"/>
        <v>0</v>
      </c>
      <c r="P877">
        <f t="shared" si="99"/>
        <v>1.0000000000000001E-5</v>
      </c>
      <c r="R877" s="15">
        <f t="shared" si="101"/>
        <v>870</v>
      </c>
      <c r="S877" s="126">
        <f>IF(VLOOKUP(A877,Journal!$A$7:$E$70,5)=0,S876+1,VLOOKUP(A877,Journal!$A$7:$E$70,5))</f>
        <v>46527</v>
      </c>
      <c r="T877" s="125">
        <f>IF(H$2=VLOOKUP(A877,Journal!$A$7:$F$70,6),VLOOKUP(A877,Journal!$A$7:M$70,9),0)</f>
        <v>0</v>
      </c>
      <c r="U877" s="125">
        <f>IF(H$2=VLOOKUP(A877,Journal!$A$7:$G$70,7),VLOOKUP(A877,Journal!$A$7:M$70,9),0)</f>
        <v>0</v>
      </c>
      <c r="V877" s="125">
        <f t="shared" si="96"/>
        <v>40</v>
      </c>
      <c r="X877">
        <f t="shared" si="100"/>
        <v>0</v>
      </c>
      <c r="Y877" s="143">
        <f t="shared" si="92"/>
        <v>-977.1842105263521</v>
      </c>
    </row>
    <row r="878" spans="1:25" x14ac:dyDescent="0.25">
      <c r="A878">
        <f t="shared" si="102"/>
        <v>871</v>
      </c>
      <c r="B878" s="88" t="str">
        <f>IF(OR(B877="Total",B877=""),"",IF(VLOOKUP(A878,Journal!$B$7:$E$84,4)=0,"Total",VLOOKUP(A878,Journal!$B$7:$D$84,3)))</f>
        <v/>
      </c>
      <c r="C878" s="86" t="str">
        <f>IF(B878="","",VLOOKUP(A878,Journal!$B$7:$E$84,4))</f>
        <v/>
      </c>
      <c r="D878" s="114" t="str">
        <f>IF(B878="","",VLOOKUP(A878,Journal!$B$7:$J$84,9))</f>
        <v/>
      </c>
      <c r="E878" s="116"/>
      <c r="F878" s="116"/>
      <c r="G878" s="115"/>
      <c r="H878" s="84" t="str">
        <f>IF(B878="","",VLOOKUP(A878,Journal!$B$7:$L$84,11))</f>
        <v/>
      </c>
      <c r="I878" s="84" t="str">
        <f>IF(B878="","",VLOOKUP(A878,Journal!$B$7:$M$84,12))</f>
        <v/>
      </c>
      <c r="J878" s="105">
        <f>IF(B878="Total",SUM(J$8:J877)+0.0001,IF(OR(B878="",I$2=I878),0,VLOOKUP(A878,Journal!$B$7:M$84,8)))</f>
        <v>0</v>
      </c>
      <c r="K878" s="102">
        <f>IF(B878="Total",SUM(K$8:K877)+0.0001,IF(OR(B878="",J878&lt;&gt;0),0,VLOOKUP(A878,Journal!$B$7:M$84,8)))</f>
        <v>0</v>
      </c>
      <c r="L878" s="87">
        <f t="shared" si="98"/>
        <v>0</v>
      </c>
      <c r="P878">
        <f t="shared" si="99"/>
        <v>1.0000000000000001E-5</v>
      </c>
      <c r="R878" s="15">
        <f t="shared" si="101"/>
        <v>871</v>
      </c>
      <c r="S878" s="126">
        <f>IF(VLOOKUP(A878,Journal!$A$7:$E$70,5)=0,S877+1,VLOOKUP(A878,Journal!$A$7:$E$70,5))</f>
        <v>46528</v>
      </c>
      <c r="T878" s="125">
        <f>IF(H$2=VLOOKUP(A878,Journal!$A$7:$F$70,6),VLOOKUP(A878,Journal!$A$7:M$70,9),0)</f>
        <v>0</v>
      </c>
      <c r="U878" s="125">
        <f>IF(H$2=VLOOKUP(A878,Journal!$A$7:$G$70,7),VLOOKUP(A878,Journal!$A$7:M$70,9),0)</f>
        <v>0</v>
      </c>
      <c r="V878" s="125">
        <f t="shared" si="96"/>
        <v>40</v>
      </c>
      <c r="X878">
        <f t="shared" si="100"/>
        <v>0</v>
      </c>
      <c r="Y878" s="143">
        <f t="shared" si="92"/>
        <v>-977.15789473687846</v>
      </c>
    </row>
    <row r="879" spans="1:25" x14ac:dyDescent="0.25">
      <c r="A879">
        <f t="shared" si="102"/>
        <v>872</v>
      </c>
      <c r="B879" s="88" t="str">
        <f>IF(OR(B878="Total",B878=""),"",IF(VLOOKUP(A879,Journal!$B$7:$E$84,4)=0,"Total",VLOOKUP(A879,Journal!$B$7:$D$84,3)))</f>
        <v/>
      </c>
      <c r="C879" s="86" t="str">
        <f>IF(B879="","",VLOOKUP(A879,Journal!$B$7:$E$84,4))</f>
        <v/>
      </c>
      <c r="D879" s="114" t="str">
        <f>IF(B879="","",VLOOKUP(A879,Journal!$B$7:$J$84,9))</f>
        <v/>
      </c>
      <c r="E879" s="116"/>
      <c r="F879" s="116"/>
      <c r="G879" s="115"/>
      <c r="H879" s="84" t="str">
        <f>IF(B879="","",VLOOKUP(A879,Journal!$B$7:$L$84,11))</f>
        <v/>
      </c>
      <c r="I879" s="84" t="str">
        <f>IF(B879="","",VLOOKUP(A879,Journal!$B$7:$M$84,12))</f>
        <v/>
      </c>
      <c r="J879" s="105">
        <f>IF(B879="Total",SUM(J$8:J878)+0.0001,IF(OR(B879="",I$2=I879),0,VLOOKUP(A879,Journal!$B$7:M$84,8)))</f>
        <v>0</v>
      </c>
      <c r="K879" s="102">
        <f>IF(B879="Total",SUM(K$8:K878)+0.0001,IF(OR(B879="",J879&lt;&gt;0),0,VLOOKUP(A879,Journal!$B$7:M$84,8)))</f>
        <v>0</v>
      </c>
      <c r="L879" s="87">
        <f t="shared" si="98"/>
        <v>0</v>
      </c>
      <c r="P879">
        <f t="shared" si="99"/>
        <v>1.0000000000000001E-5</v>
      </c>
      <c r="R879" s="15">
        <f t="shared" si="101"/>
        <v>872</v>
      </c>
      <c r="S879" s="126">
        <f>IF(VLOOKUP(A879,Journal!$A$7:$E$70,5)=0,S878+1,VLOOKUP(A879,Journal!$A$7:$E$70,5))</f>
        <v>46529</v>
      </c>
      <c r="T879" s="125">
        <f>IF(H$2=VLOOKUP(A879,Journal!$A$7:$F$70,6),VLOOKUP(A879,Journal!$A$7:M$70,9),0)</f>
        <v>0</v>
      </c>
      <c r="U879" s="125">
        <f>IF(H$2=VLOOKUP(A879,Journal!$A$7:$G$70,7),VLOOKUP(A879,Journal!$A$7:M$70,9),0)</f>
        <v>0</v>
      </c>
      <c r="V879" s="125">
        <f t="shared" si="96"/>
        <v>40</v>
      </c>
      <c r="X879">
        <f t="shared" si="100"/>
        <v>0</v>
      </c>
      <c r="Y879" s="143">
        <f t="shared" si="92"/>
        <v>-977.13157894740482</v>
      </c>
    </row>
    <row r="880" spans="1:25" x14ac:dyDescent="0.25">
      <c r="A880">
        <f t="shared" si="102"/>
        <v>873</v>
      </c>
      <c r="B880" s="88" t="str">
        <f>IF(OR(B879="Total",B879=""),"",IF(VLOOKUP(A880,Journal!$B$7:$E$84,4)=0,"Total",VLOOKUP(A880,Journal!$B$7:$D$84,3)))</f>
        <v/>
      </c>
      <c r="C880" s="86" t="str">
        <f>IF(B880="","",VLOOKUP(A880,Journal!$B$7:$E$84,4))</f>
        <v/>
      </c>
      <c r="D880" s="114" t="str">
        <f>IF(B880="","",VLOOKUP(A880,Journal!$B$7:$J$84,9))</f>
        <v/>
      </c>
      <c r="E880" s="116"/>
      <c r="F880" s="116"/>
      <c r="G880" s="115"/>
      <c r="H880" s="84" t="str">
        <f>IF(B880="","",VLOOKUP(A880,Journal!$B$7:$L$84,11))</f>
        <v/>
      </c>
      <c r="I880" s="84" t="str">
        <f>IF(B880="","",VLOOKUP(A880,Journal!$B$7:$M$84,12))</f>
        <v/>
      </c>
      <c r="J880" s="105">
        <f>IF(B880="Total",SUM(J$8:J879)+0.0001,IF(OR(B880="",I$2=I880),0,VLOOKUP(A880,Journal!$B$7:M$84,8)))</f>
        <v>0</v>
      </c>
      <c r="K880" s="102">
        <f>IF(B880="Total",SUM(K$8:K879)+0.0001,IF(OR(B880="",J880&lt;&gt;0),0,VLOOKUP(A880,Journal!$B$7:M$84,8)))</f>
        <v>0</v>
      </c>
      <c r="L880" s="87">
        <f t="shared" si="98"/>
        <v>0</v>
      </c>
      <c r="P880">
        <f t="shared" si="99"/>
        <v>1.0000000000000001E-5</v>
      </c>
      <c r="R880" s="15">
        <f t="shared" si="101"/>
        <v>873</v>
      </c>
      <c r="S880" s="126">
        <f>IF(VLOOKUP(A880,Journal!$A$7:$E$70,5)=0,S879+1,VLOOKUP(A880,Journal!$A$7:$E$70,5))</f>
        <v>46530</v>
      </c>
      <c r="T880" s="125">
        <f>IF(H$2=VLOOKUP(A880,Journal!$A$7:$F$70,6),VLOOKUP(A880,Journal!$A$7:M$70,9),0)</f>
        <v>0</v>
      </c>
      <c r="U880" s="125">
        <f>IF(H$2=VLOOKUP(A880,Journal!$A$7:$G$70,7),VLOOKUP(A880,Journal!$A$7:M$70,9),0)</f>
        <v>0</v>
      </c>
      <c r="V880" s="125">
        <f t="shared" si="96"/>
        <v>40</v>
      </c>
      <c r="X880">
        <f t="shared" si="100"/>
        <v>0</v>
      </c>
      <c r="Y880" s="143">
        <f t="shared" si="92"/>
        <v>-977.10526315793118</v>
      </c>
    </row>
    <row r="881" spans="1:25" x14ac:dyDescent="0.25">
      <c r="A881">
        <f t="shared" si="102"/>
        <v>874</v>
      </c>
      <c r="B881" s="88" t="str">
        <f>IF(OR(B880="Total",B880=""),"",IF(VLOOKUP(A881,Journal!$B$7:$E$84,4)=0,"Total",VLOOKUP(A881,Journal!$B$7:$D$84,3)))</f>
        <v/>
      </c>
      <c r="C881" s="86" t="str">
        <f>IF(B881="","",VLOOKUP(A881,Journal!$B$7:$E$84,4))</f>
        <v/>
      </c>
      <c r="D881" s="114" t="str">
        <f>IF(B881="","",VLOOKUP(A881,Journal!$B$7:$J$84,9))</f>
        <v/>
      </c>
      <c r="E881" s="116"/>
      <c r="F881" s="116"/>
      <c r="G881" s="115"/>
      <c r="H881" s="84" t="str">
        <f>IF(B881="","",VLOOKUP(A881,Journal!$B$7:$L$84,11))</f>
        <v/>
      </c>
      <c r="I881" s="84" t="str">
        <f>IF(B881="","",VLOOKUP(A881,Journal!$B$7:$M$84,12))</f>
        <v/>
      </c>
      <c r="J881" s="105">
        <f>IF(B881="Total",SUM(J$8:J880)+0.0001,IF(OR(B881="",I$2=I881),0,VLOOKUP(A881,Journal!$B$7:M$84,8)))</f>
        <v>0</v>
      </c>
      <c r="K881" s="102">
        <f>IF(B881="Total",SUM(K$8:K880)+0.0001,IF(OR(B881="",J881&lt;&gt;0),0,VLOOKUP(A881,Journal!$B$7:M$84,8)))</f>
        <v>0</v>
      </c>
      <c r="L881" s="87">
        <f t="shared" si="98"/>
        <v>0</v>
      </c>
      <c r="P881">
        <f t="shared" si="99"/>
        <v>1.0000000000000001E-5</v>
      </c>
      <c r="R881" s="15">
        <f t="shared" si="101"/>
        <v>874</v>
      </c>
      <c r="S881" s="126">
        <f>IF(VLOOKUP(A881,Journal!$A$7:$E$70,5)=0,S880+1,VLOOKUP(A881,Journal!$A$7:$E$70,5))</f>
        <v>46531</v>
      </c>
      <c r="T881" s="125">
        <f>IF(H$2=VLOOKUP(A881,Journal!$A$7:$F$70,6),VLOOKUP(A881,Journal!$A$7:M$70,9),0)</f>
        <v>0</v>
      </c>
      <c r="U881" s="125">
        <f>IF(H$2=VLOOKUP(A881,Journal!$A$7:$G$70,7),VLOOKUP(A881,Journal!$A$7:M$70,9),0)</f>
        <v>0</v>
      </c>
      <c r="V881" s="125">
        <f t="shared" si="96"/>
        <v>40</v>
      </c>
      <c r="X881">
        <f t="shared" si="100"/>
        <v>0</v>
      </c>
      <c r="Y881" s="143">
        <f t="shared" si="92"/>
        <v>-977.07894736845753</v>
      </c>
    </row>
    <row r="882" spans="1:25" x14ac:dyDescent="0.25">
      <c r="A882">
        <f t="shared" si="102"/>
        <v>875</v>
      </c>
      <c r="B882" s="88" t="str">
        <f>IF(OR(B881="Total",B881=""),"",IF(VLOOKUP(A882,Journal!$B$7:$E$84,4)=0,"Total",VLOOKUP(A882,Journal!$B$7:$D$84,3)))</f>
        <v/>
      </c>
      <c r="C882" s="86" t="str">
        <f>IF(B882="","",VLOOKUP(A882,Journal!$B$7:$E$84,4))</f>
        <v/>
      </c>
      <c r="D882" s="114" t="str">
        <f>IF(B882="","",VLOOKUP(A882,Journal!$B$7:$J$84,9))</f>
        <v/>
      </c>
      <c r="E882" s="116"/>
      <c r="F882" s="116"/>
      <c r="G882" s="115"/>
      <c r="H882" s="84" t="str">
        <f>IF(B882="","",VLOOKUP(A882,Journal!$B$7:$L$84,11))</f>
        <v/>
      </c>
      <c r="I882" s="84" t="str">
        <f>IF(B882="","",VLOOKUP(A882,Journal!$B$7:$M$84,12))</f>
        <v/>
      </c>
      <c r="J882" s="105">
        <f>IF(B882="Total",SUM(J$8:J881)+0.0001,IF(OR(B882="",I$2=I882),0,VLOOKUP(A882,Journal!$B$7:M$84,8)))</f>
        <v>0</v>
      </c>
      <c r="K882" s="102">
        <f>IF(B882="Total",SUM(K$8:K881)+0.0001,IF(OR(B882="",J882&lt;&gt;0),0,VLOOKUP(A882,Journal!$B$7:M$84,8)))</f>
        <v>0</v>
      </c>
      <c r="L882" s="87">
        <f t="shared" si="98"/>
        <v>0</v>
      </c>
      <c r="P882">
        <f t="shared" si="99"/>
        <v>1.0000000000000001E-5</v>
      </c>
      <c r="R882" s="15">
        <f t="shared" si="101"/>
        <v>875</v>
      </c>
      <c r="S882" s="126">
        <f>IF(VLOOKUP(A882,Journal!$A$7:$E$70,5)=0,S881+1,VLOOKUP(A882,Journal!$A$7:$E$70,5))</f>
        <v>46532</v>
      </c>
      <c r="T882" s="125">
        <f>IF(H$2=VLOOKUP(A882,Journal!$A$7:$F$70,6),VLOOKUP(A882,Journal!$A$7:M$70,9),0)</f>
        <v>0</v>
      </c>
      <c r="U882" s="125">
        <f>IF(H$2=VLOOKUP(A882,Journal!$A$7:$G$70,7),VLOOKUP(A882,Journal!$A$7:M$70,9),0)</f>
        <v>0</v>
      </c>
      <c r="V882" s="125">
        <f t="shared" si="96"/>
        <v>40</v>
      </c>
      <c r="X882">
        <f t="shared" si="100"/>
        <v>0</v>
      </c>
      <c r="Y882" s="143">
        <f t="shared" si="92"/>
        <v>-977.05263157898389</v>
      </c>
    </row>
    <row r="883" spans="1:25" x14ac:dyDescent="0.25">
      <c r="A883">
        <f t="shared" si="102"/>
        <v>876</v>
      </c>
      <c r="B883" s="88" t="str">
        <f>IF(OR(B882="Total",B882=""),"",IF(VLOOKUP(A883,Journal!$B$7:$E$84,4)=0,"Total",VLOOKUP(A883,Journal!$B$7:$D$84,3)))</f>
        <v/>
      </c>
      <c r="C883" s="86" t="str">
        <f>IF(B883="","",VLOOKUP(A883,Journal!$B$7:$E$84,4))</f>
        <v/>
      </c>
      <c r="D883" s="114" t="str">
        <f>IF(B883="","",VLOOKUP(A883,Journal!$B$7:$J$84,9))</f>
        <v/>
      </c>
      <c r="E883" s="116"/>
      <c r="F883" s="116"/>
      <c r="G883" s="115"/>
      <c r="H883" s="84" t="str">
        <f>IF(B883="","",VLOOKUP(A883,Journal!$B$7:$L$84,11))</f>
        <v/>
      </c>
      <c r="I883" s="84" t="str">
        <f>IF(B883="","",VLOOKUP(A883,Journal!$B$7:$M$84,12))</f>
        <v/>
      </c>
      <c r="J883" s="105">
        <f>IF(B883="Total",SUM(J$8:J882)+0.0001,IF(OR(B883="",I$2=I883),0,VLOOKUP(A883,Journal!$B$7:M$84,8)))</f>
        <v>0</v>
      </c>
      <c r="K883" s="102">
        <f>IF(B883="Total",SUM(K$8:K882)+0.0001,IF(OR(B883="",J883&lt;&gt;0),0,VLOOKUP(A883,Journal!$B$7:M$84,8)))</f>
        <v>0</v>
      </c>
      <c r="L883" s="87">
        <f t="shared" si="98"/>
        <v>0</v>
      </c>
      <c r="P883">
        <f t="shared" si="99"/>
        <v>1.0000000000000001E-5</v>
      </c>
      <c r="R883" s="15">
        <f t="shared" si="101"/>
        <v>876</v>
      </c>
      <c r="S883" s="126">
        <f>IF(VLOOKUP(A883,Journal!$A$7:$E$70,5)=0,S882+1,VLOOKUP(A883,Journal!$A$7:$E$70,5))</f>
        <v>46533</v>
      </c>
      <c r="T883" s="125">
        <f>IF(H$2=VLOOKUP(A883,Journal!$A$7:$F$70,6),VLOOKUP(A883,Journal!$A$7:M$70,9),0)</f>
        <v>0</v>
      </c>
      <c r="U883" s="125">
        <f>IF(H$2=VLOOKUP(A883,Journal!$A$7:$G$70,7),VLOOKUP(A883,Journal!$A$7:M$70,9),0)</f>
        <v>0</v>
      </c>
      <c r="V883" s="125">
        <f t="shared" si="96"/>
        <v>40</v>
      </c>
      <c r="X883">
        <f t="shared" si="100"/>
        <v>0</v>
      </c>
      <c r="Y883" s="143">
        <f t="shared" si="92"/>
        <v>-977.02631578951025</v>
      </c>
    </row>
    <row r="884" spans="1:25" x14ac:dyDescent="0.25">
      <c r="A884">
        <f t="shared" si="102"/>
        <v>877</v>
      </c>
      <c r="B884" s="88" t="str">
        <f>IF(OR(B883="Total",B883=""),"",IF(VLOOKUP(A884,Journal!$B$7:$E$84,4)=0,"Total",VLOOKUP(A884,Journal!$B$7:$D$84,3)))</f>
        <v/>
      </c>
      <c r="C884" s="86" t="str">
        <f>IF(B884="","",VLOOKUP(A884,Journal!$B$7:$E$84,4))</f>
        <v/>
      </c>
      <c r="D884" s="114" t="str">
        <f>IF(B884="","",VLOOKUP(A884,Journal!$B$7:$J$84,9))</f>
        <v/>
      </c>
      <c r="E884" s="116"/>
      <c r="F884" s="116"/>
      <c r="G884" s="115"/>
      <c r="H884" s="84" t="str">
        <f>IF(B884="","",VLOOKUP(A884,Journal!$B$7:$L$84,11))</f>
        <v/>
      </c>
      <c r="I884" s="84" t="str">
        <f>IF(B884="","",VLOOKUP(A884,Journal!$B$7:$M$84,12))</f>
        <v/>
      </c>
      <c r="J884" s="105">
        <f>IF(B884="Total",SUM(J$8:J883)+0.0001,IF(OR(B884="",I$2=I884),0,VLOOKUP(A884,Journal!$B$7:M$84,8)))</f>
        <v>0</v>
      </c>
      <c r="K884" s="102">
        <f>IF(B884="Total",SUM(K$8:K883)+0.0001,IF(OR(B884="",J884&lt;&gt;0),0,VLOOKUP(A884,Journal!$B$7:M$84,8)))</f>
        <v>0</v>
      </c>
      <c r="L884" s="87">
        <f t="shared" si="98"/>
        <v>0</v>
      </c>
      <c r="P884">
        <f t="shared" si="99"/>
        <v>1.0000000000000001E-5</v>
      </c>
      <c r="R884" s="15">
        <f t="shared" si="101"/>
        <v>877</v>
      </c>
      <c r="S884" s="126">
        <f>IF(VLOOKUP(A884,Journal!$A$7:$E$70,5)=0,S883+1,VLOOKUP(A884,Journal!$A$7:$E$70,5))</f>
        <v>46534</v>
      </c>
      <c r="T884" s="125">
        <f>IF(H$2=VLOOKUP(A884,Journal!$A$7:$F$70,6),VLOOKUP(A884,Journal!$A$7:M$70,9),0)</f>
        <v>0</v>
      </c>
      <c r="U884" s="125">
        <f>IF(H$2=VLOOKUP(A884,Journal!$A$7:$G$70,7),VLOOKUP(A884,Journal!$A$7:M$70,9),0)</f>
        <v>0</v>
      </c>
      <c r="V884" s="125">
        <f t="shared" si="96"/>
        <v>40</v>
      </c>
      <c r="X884">
        <f t="shared" si="100"/>
        <v>0</v>
      </c>
      <c r="Y884" s="143">
        <f t="shared" si="92"/>
        <v>-977.00000000003661</v>
      </c>
    </row>
    <row r="885" spans="1:25" x14ac:dyDescent="0.25">
      <c r="A885">
        <f t="shared" si="102"/>
        <v>878</v>
      </c>
      <c r="B885" s="88" t="str">
        <f>IF(OR(B884="Total",B884=""),"",IF(VLOOKUP(A885,Journal!$B$7:$E$84,4)=0,"Total",VLOOKUP(A885,Journal!$B$7:$D$84,3)))</f>
        <v/>
      </c>
      <c r="C885" s="86" t="str">
        <f>IF(B885="","",VLOOKUP(A885,Journal!$B$7:$E$84,4))</f>
        <v/>
      </c>
      <c r="D885" s="114" t="str">
        <f>IF(B885="","",VLOOKUP(A885,Journal!$B$7:$J$84,9))</f>
        <v/>
      </c>
      <c r="E885" s="116"/>
      <c r="F885" s="116"/>
      <c r="G885" s="115"/>
      <c r="H885" s="84" t="str">
        <f>IF(B885="","",VLOOKUP(A885,Journal!$B$7:$L$84,11))</f>
        <v/>
      </c>
      <c r="I885" s="84" t="str">
        <f>IF(B885="","",VLOOKUP(A885,Journal!$B$7:$M$84,12))</f>
        <v/>
      </c>
      <c r="J885" s="105">
        <f>IF(B885="Total",SUM(J$8:J884)+0.0001,IF(OR(B885="",I$2=I885),0,VLOOKUP(A885,Journal!$B$7:M$84,8)))</f>
        <v>0</v>
      </c>
      <c r="K885" s="102">
        <f>IF(B885="Total",SUM(K$8:K884)+0.0001,IF(OR(B885="",J885&lt;&gt;0),0,VLOOKUP(A885,Journal!$B$7:M$84,8)))</f>
        <v>0</v>
      </c>
      <c r="L885" s="87">
        <f t="shared" si="98"/>
        <v>0</v>
      </c>
      <c r="P885">
        <f t="shared" si="99"/>
        <v>1.0000000000000001E-5</v>
      </c>
      <c r="R885" s="15">
        <f t="shared" si="101"/>
        <v>878</v>
      </c>
      <c r="S885" s="126">
        <f>IF(VLOOKUP(A885,Journal!$A$7:$E$70,5)=0,S884+1,VLOOKUP(A885,Journal!$A$7:$E$70,5))</f>
        <v>46535</v>
      </c>
      <c r="T885" s="125">
        <f>IF(H$2=VLOOKUP(A885,Journal!$A$7:$F$70,6),VLOOKUP(A885,Journal!$A$7:M$70,9),0)</f>
        <v>0</v>
      </c>
      <c r="U885" s="125">
        <f>IF(H$2=VLOOKUP(A885,Journal!$A$7:$G$70,7),VLOOKUP(A885,Journal!$A$7:M$70,9),0)</f>
        <v>0</v>
      </c>
      <c r="V885" s="125">
        <f t="shared" si="96"/>
        <v>40</v>
      </c>
      <c r="X885">
        <f t="shared" si="100"/>
        <v>0</v>
      </c>
      <c r="Y885" s="143">
        <f t="shared" si="92"/>
        <v>-976.97368421056296</v>
      </c>
    </row>
    <row r="886" spans="1:25" x14ac:dyDescent="0.25">
      <c r="A886">
        <f t="shared" si="102"/>
        <v>879</v>
      </c>
      <c r="B886" s="88" t="str">
        <f>IF(OR(B885="Total",B885=""),"",IF(VLOOKUP(A886,Journal!$B$7:$E$84,4)=0,"Total",VLOOKUP(A886,Journal!$B$7:$D$84,3)))</f>
        <v/>
      </c>
      <c r="C886" s="86" t="str">
        <f>IF(B886="","",VLOOKUP(A886,Journal!$B$7:$E$84,4))</f>
        <v/>
      </c>
      <c r="D886" s="114" t="str">
        <f>IF(B886="","",VLOOKUP(A886,Journal!$B$7:$J$84,9))</f>
        <v/>
      </c>
      <c r="E886" s="116"/>
      <c r="F886" s="116"/>
      <c r="G886" s="115"/>
      <c r="H886" s="84" t="str">
        <f>IF(B886="","",VLOOKUP(A886,Journal!$B$7:$L$84,11))</f>
        <v/>
      </c>
      <c r="I886" s="84" t="str">
        <f>IF(B886="","",VLOOKUP(A886,Journal!$B$7:$M$84,12))</f>
        <v/>
      </c>
      <c r="J886" s="105">
        <f>IF(B886="Total",SUM(J$8:J885)+0.0001,IF(OR(B886="",I$2=I886),0,VLOOKUP(A886,Journal!$B$7:M$84,8)))</f>
        <v>0</v>
      </c>
      <c r="K886" s="102">
        <f>IF(B886="Total",SUM(K$8:K885)+0.0001,IF(OR(B886="",J886&lt;&gt;0),0,VLOOKUP(A886,Journal!$B$7:M$84,8)))</f>
        <v>0</v>
      </c>
      <c r="L886" s="87">
        <f t="shared" si="98"/>
        <v>0</v>
      </c>
      <c r="P886">
        <f t="shared" si="99"/>
        <v>1.0000000000000001E-5</v>
      </c>
      <c r="R886" s="15">
        <f t="shared" si="101"/>
        <v>879</v>
      </c>
      <c r="S886" s="126">
        <f>IF(VLOOKUP(A886,Journal!$A$7:$E$70,5)=0,S885+1,VLOOKUP(A886,Journal!$A$7:$E$70,5))</f>
        <v>46536</v>
      </c>
      <c r="T886" s="125">
        <f>IF(H$2=VLOOKUP(A886,Journal!$A$7:$F$70,6),VLOOKUP(A886,Journal!$A$7:M$70,9),0)</f>
        <v>0</v>
      </c>
      <c r="U886" s="125">
        <f>IF(H$2=VLOOKUP(A886,Journal!$A$7:$G$70,7),VLOOKUP(A886,Journal!$A$7:M$70,9),0)</f>
        <v>0</v>
      </c>
      <c r="V886" s="125">
        <f t="shared" si="96"/>
        <v>40</v>
      </c>
      <c r="X886">
        <f t="shared" si="100"/>
        <v>0</v>
      </c>
      <c r="Y886" s="143">
        <f t="shared" si="92"/>
        <v>-976.94736842108932</v>
      </c>
    </row>
    <row r="887" spans="1:25" x14ac:dyDescent="0.25">
      <c r="A887">
        <f t="shared" si="102"/>
        <v>880</v>
      </c>
      <c r="B887" s="88" t="str">
        <f>IF(OR(B886="Total",B886=""),"",IF(VLOOKUP(A887,Journal!$B$7:$E$84,4)=0,"Total",VLOOKUP(A887,Journal!$B$7:$D$84,3)))</f>
        <v/>
      </c>
      <c r="C887" s="86" t="str">
        <f>IF(B887="","",VLOOKUP(A887,Journal!$B$7:$E$84,4))</f>
        <v/>
      </c>
      <c r="D887" s="114" t="str">
        <f>IF(B887="","",VLOOKUP(A887,Journal!$B$7:$J$84,9))</f>
        <v/>
      </c>
      <c r="E887" s="116"/>
      <c r="F887" s="116"/>
      <c r="G887" s="115"/>
      <c r="H887" s="84" t="str">
        <f>IF(B887="","",VLOOKUP(A887,Journal!$B$7:$L$84,11))</f>
        <v/>
      </c>
      <c r="I887" s="84" t="str">
        <f>IF(B887="","",VLOOKUP(A887,Journal!$B$7:$M$84,12))</f>
        <v/>
      </c>
      <c r="J887" s="105">
        <f>IF(B887="Total",SUM(J$8:J886)+0.0001,IF(OR(B887="",I$2=I887),0,VLOOKUP(A887,Journal!$B$7:M$84,8)))</f>
        <v>0</v>
      </c>
      <c r="K887" s="102">
        <f>IF(B887="Total",SUM(K$8:K886)+0.0001,IF(OR(B887="",J887&lt;&gt;0),0,VLOOKUP(A887,Journal!$B$7:M$84,8)))</f>
        <v>0</v>
      </c>
      <c r="L887" s="87">
        <f t="shared" si="98"/>
        <v>0</v>
      </c>
      <c r="P887">
        <f t="shared" si="99"/>
        <v>1.0000000000000001E-5</v>
      </c>
      <c r="R887" s="15">
        <f t="shared" si="101"/>
        <v>880</v>
      </c>
      <c r="S887" s="126">
        <f>IF(VLOOKUP(A887,Journal!$A$7:$E$70,5)=0,S886+1,VLOOKUP(A887,Journal!$A$7:$E$70,5))</f>
        <v>46537</v>
      </c>
      <c r="T887" s="125">
        <f>IF(H$2=VLOOKUP(A887,Journal!$A$7:$F$70,6),VLOOKUP(A887,Journal!$A$7:M$70,9),0)</f>
        <v>0</v>
      </c>
      <c r="U887" s="125">
        <f>IF(H$2=VLOOKUP(A887,Journal!$A$7:$G$70,7),VLOOKUP(A887,Journal!$A$7:M$70,9),0)</f>
        <v>0</v>
      </c>
      <c r="V887" s="125">
        <f t="shared" si="96"/>
        <v>40</v>
      </c>
      <c r="X887">
        <f t="shared" si="100"/>
        <v>0</v>
      </c>
      <c r="Y887" s="143">
        <f t="shared" si="92"/>
        <v>-976.92105263161568</v>
      </c>
    </row>
    <row r="888" spans="1:25" x14ac:dyDescent="0.25">
      <c r="A888">
        <f t="shared" si="102"/>
        <v>881</v>
      </c>
      <c r="B888" s="88" t="str">
        <f>IF(OR(B887="Total",B887=""),"",IF(VLOOKUP(A888,Journal!$B$7:$E$84,4)=0,"Total",VLOOKUP(A888,Journal!$B$7:$D$84,3)))</f>
        <v/>
      </c>
      <c r="C888" s="86" t="str">
        <f>IF(B888="","",VLOOKUP(A888,Journal!$B$7:$E$84,4))</f>
        <v/>
      </c>
      <c r="D888" s="114" t="str">
        <f>IF(B888="","",VLOOKUP(A888,Journal!$B$7:$J$84,9))</f>
        <v/>
      </c>
      <c r="E888" s="116"/>
      <c r="F888" s="116"/>
      <c r="G888" s="115"/>
      <c r="H888" s="84" t="str">
        <f>IF(B888="","",VLOOKUP(A888,Journal!$B$7:$L$84,11))</f>
        <v/>
      </c>
      <c r="I888" s="84" t="str">
        <f>IF(B888="","",VLOOKUP(A888,Journal!$B$7:$M$84,12))</f>
        <v/>
      </c>
      <c r="J888" s="105">
        <f>IF(B888="Total",SUM(J$8:J887)+0.0001,IF(OR(B888="",I$2=I888),0,VLOOKUP(A888,Journal!$B$7:M$84,8)))</f>
        <v>0</v>
      </c>
      <c r="K888" s="102">
        <f>IF(B888="Total",SUM(K$8:K887)+0.0001,IF(OR(B888="",J888&lt;&gt;0),0,VLOOKUP(A888,Journal!$B$7:M$84,8)))</f>
        <v>0</v>
      </c>
      <c r="L888" s="87">
        <f t="shared" si="98"/>
        <v>0</v>
      </c>
      <c r="P888">
        <f t="shared" si="99"/>
        <v>1.0000000000000001E-5</v>
      </c>
      <c r="R888" s="15">
        <f t="shared" si="101"/>
        <v>881</v>
      </c>
      <c r="S888" s="126">
        <f>IF(VLOOKUP(A888,Journal!$A$7:$E$70,5)=0,S887+1,VLOOKUP(A888,Journal!$A$7:$E$70,5))</f>
        <v>46538</v>
      </c>
      <c r="T888" s="125">
        <f>IF(H$2=VLOOKUP(A888,Journal!$A$7:$F$70,6),VLOOKUP(A888,Journal!$A$7:M$70,9),0)</f>
        <v>0</v>
      </c>
      <c r="U888" s="125">
        <f>IF(H$2=VLOOKUP(A888,Journal!$A$7:$G$70,7),VLOOKUP(A888,Journal!$A$7:M$70,9),0)</f>
        <v>0</v>
      </c>
      <c r="V888" s="125">
        <f t="shared" si="96"/>
        <v>40</v>
      </c>
      <c r="X888">
        <f t="shared" si="100"/>
        <v>0</v>
      </c>
      <c r="Y888" s="143">
        <f t="shared" si="92"/>
        <v>-976.89473684214204</v>
      </c>
    </row>
    <row r="889" spans="1:25" x14ac:dyDescent="0.25">
      <c r="A889">
        <f t="shared" si="102"/>
        <v>882</v>
      </c>
      <c r="B889" s="88" t="str">
        <f>IF(OR(B888="Total",B888=""),"",IF(VLOOKUP(A889,Journal!$B$7:$E$84,4)=0,"Total",VLOOKUP(A889,Journal!$B$7:$D$84,3)))</f>
        <v/>
      </c>
      <c r="C889" s="86" t="str">
        <f>IF(B889="","",VLOOKUP(A889,Journal!$B$7:$E$84,4))</f>
        <v/>
      </c>
      <c r="D889" s="114" t="str">
        <f>IF(B889="","",VLOOKUP(A889,Journal!$B$7:$J$84,9))</f>
        <v/>
      </c>
      <c r="E889" s="116"/>
      <c r="F889" s="116"/>
      <c r="G889" s="115"/>
      <c r="H889" s="84" t="str">
        <f>IF(B889="","",VLOOKUP(A889,Journal!$B$7:$L$84,11))</f>
        <v/>
      </c>
      <c r="I889" s="84" t="str">
        <f>IF(B889="","",VLOOKUP(A889,Journal!$B$7:$M$84,12))</f>
        <v/>
      </c>
      <c r="J889" s="105">
        <f>IF(B889="Total",SUM(J$8:J888)+0.0001,IF(OR(B889="",I$2=I889),0,VLOOKUP(A889,Journal!$B$7:M$84,8)))</f>
        <v>0</v>
      </c>
      <c r="K889" s="102">
        <f>IF(B889="Total",SUM(K$8:K888)+0.0001,IF(OR(B889="",J889&lt;&gt;0),0,VLOOKUP(A889,Journal!$B$7:M$84,8)))</f>
        <v>0</v>
      </c>
      <c r="L889" s="87">
        <f t="shared" si="98"/>
        <v>0</v>
      </c>
      <c r="P889">
        <f t="shared" si="99"/>
        <v>1.0000000000000001E-5</v>
      </c>
      <c r="R889" s="15">
        <f t="shared" si="101"/>
        <v>882</v>
      </c>
      <c r="S889" s="126">
        <f>IF(VLOOKUP(A889,Journal!$A$7:$E$70,5)=0,S888+1,VLOOKUP(A889,Journal!$A$7:$E$70,5))</f>
        <v>46539</v>
      </c>
      <c r="T889" s="125">
        <f>IF(H$2=VLOOKUP(A889,Journal!$A$7:$F$70,6),VLOOKUP(A889,Journal!$A$7:M$70,9),0)</f>
        <v>0</v>
      </c>
      <c r="U889" s="125">
        <f>IF(H$2=VLOOKUP(A889,Journal!$A$7:$G$70,7),VLOOKUP(A889,Journal!$A$7:M$70,9),0)</f>
        <v>0</v>
      </c>
      <c r="V889" s="125">
        <f t="shared" si="96"/>
        <v>40</v>
      </c>
      <c r="X889">
        <f t="shared" si="100"/>
        <v>0</v>
      </c>
      <c r="Y889" s="143">
        <f t="shared" si="92"/>
        <v>-976.8684210526684</v>
      </c>
    </row>
    <row r="890" spans="1:25" x14ac:dyDescent="0.25">
      <c r="A890">
        <f t="shared" si="102"/>
        <v>883</v>
      </c>
      <c r="B890" s="88" t="str">
        <f>IF(OR(B889="Total",B889=""),"",IF(VLOOKUP(A890,Journal!$B$7:$E$84,4)=0,"Total",VLOOKUP(A890,Journal!$B$7:$D$84,3)))</f>
        <v/>
      </c>
      <c r="C890" s="86" t="str">
        <f>IF(B890="","",VLOOKUP(A890,Journal!$B$7:$E$84,4))</f>
        <v/>
      </c>
      <c r="D890" s="114" t="str">
        <f>IF(B890="","",VLOOKUP(A890,Journal!$B$7:$J$84,9))</f>
        <v/>
      </c>
      <c r="E890" s="116"/>
      <c r="F890" s="116"/>
      <c r="G890" s="115"/>
      <c r="H890" s="84" t="str">
        <f>IF(B890="","",VLOOKUP(A890,Journal!$B$7:$L$84,11))</f>
        <v/>
      </c>
      <c r="I890" s="84" t="str">
        <f>IF(B890="","",VLOOKUP(A890,Journal!$B$7:$M$84,12))</f>
        <v/>
      </c>
      <c r="J890" s="105">
        <f>IF(B890="Total",SUM(J$8:J889)+0.0001,IF(OR(B890="",I$2=I890),0,VLOOKUP(A890,Journal!$B$7:M$84,8)))</f>
        <v>0</v>
      </c>
      <c r="K890" s="102">
        <f>IF(B890="Total",SUM(K$8:K889)+0.0001,IF(OR(B890="",J890&lt;&gt;0),0,VLOOKUP(A890,Journal!$B$7:M$84,8)))</f>
        <v>0</v>
      </c>
      <c r="L890" s="87">
        <f t="shared" si="98"/>
        <v>0</v>
      </c>
      <c r="P890">
        <f t="shared" si="99"/>
        <v>1.0000000000000001E-5</v>
      </c>
      <c r="R890" s="15">
        <f t="shared" si="101"/>
        <v>883</v>
      </c>
      <c r="S890" s="126">
        <f>IF(VLOOKUP(A890,Journal!$A$7:$E$70,5)=0,S889+1,VLOOKUP(A890,Journal!$A$7:$E$70,5))</f>
        <v>46540</v>
      </c>
      <c r="T890" s="125">
        <f>IF(H$2=VLOOKUP(A890,Journal!$A$7:$F$70,6),VLOOKUP(A890,Journal!$A$7:M$70,9),0)</f>
        <v>0</v>
      </c>
      <c r="U890" s="125">
        <f>IF(H$2=VLOOKUP(A890,Journal!$A$7:$G$70,7),VLOOKUP(A890,Journal!$A$7:M$70,9),0)</f>
        <v>0</v>
      </c>
      <c r="V890" s="125">
        <f t="shared" si="96"/>
        <v>40</v>
      </c>
      <c r="X890">
        <f t="shared" si="100"/>
        <v>0</v>
      </c>
      <c r="Y890" s="143">
        <f t="shared" si="92"/>
        <v>-976.84210526319475</v>
      </c>
    </row>
    <row r="891" spans="1:25" x14ac:dyDescent="0.25">
      <c r="A891">
        <f t="shared" si="102"/>
        <v>884</v>
      </c>
      <c r="B891" s="88" t="str">
        <f>IF(OR(B890="Total",B890=""),"",IF(VLOOKUP(A891,Journal!$B$7:$E$84,4)=0,"Total",VLOOKUP(A891,Journal!$B$7:$D$84,3)))</f>
        <v/>
      </c>
      <c r="C891" s="86" t="str">
        <f>IF(B891="","",VLOOKUP(A891,Journal!$B$7:$E$84,4))</f>
        <v/>
      </c>
      <c r="D891" s="114" t="str">
        <f>IF(B891="","",VLOOKUP(A891,Journal!$B$7:$J$84,9))</f>
        <v/>
      </c>
      <c r="E891" s="116"/>
      <c r="F891" s="116"/>
      <c r="G891" s="115"/>
      <c r="H891" s="84" t="str">
        <f>IF(B891="","",VLOOKUP(A891,Journal!$B$7:$L$84,11))</f>
        <v/>
      </c>
      <c r="I891" s="84" t="str">
        <f>IF(B891="","",VLOOKUP(A891,Journal!$B$7:$M$84,12))</f>
        <v/>
      </c>
      <c r="J891" s="105">
        <f>IF(B891="Total",SUM(J$8:J890)+0.0001,IF(OR(B891="",I$2=I891),0,VLOOKUP(A891,Journal!$B$7:M$84,8)))</f>
        <v>0</v>
      </c>
      <c r="K891" s="102">
        <f>IF(B891="Total",SUM(K$8:K890)+0.0001,IF(OR(B891="",J891&lt;&gt;0),0,VLOOKUP(A891,Journal!$B$7:M$84,8)))</f>
        <v>0</v>
      </c>
      <c r="L891" s="87">
        <f t="shared" si="98"/>
        <v>0</v>
      </c>
      <c r="P891">
        <f t="shared" si="99"/>
        <v>1.0000000000000001E-5</v>
      </c>
      <c r="R891" s="15">
        <f t="shared" si="101"/>
        <v>884</v>
      </c>
      <c r="S891" s="126">
        <f>IF(VLOOKUP(A891,Journal!$A$7:$E$70,5)=0,S890+1,VLOOKUP(A891,Journal!$A$7:$E$70,5))</f>
        <v>46541</v>
      </c>
      <c r="T891" s="125">
        <f>IF(H$2=VLOOKUP(A891,Journal!$A$7:$F$70,6),VLOOKUP(A891,Journal!$A$7:M$70,9),0)</f>
        <v>0</v>
      </c>
      <c r="U891" s="125">
        <f>IF(H$2=VLOOKUP(A891,Journal!$A$7:$G$70,7),VLOOKUP(A891,Journal!$A$7:M$70,9),0)</f>
        <v>0</v>
      </c>
      <c r="V891" s="125">
        <f t="shared" si="96"/>
        <v>40</v>
      </c>
      <c r="X891">
        <f t="shared" si="100"/>
        <v>0</v>
      </c>
      <c r="Y891" s="143">
        <f t="shared" si="92"/>
        <v>-976.81578947372111</v>
      </c>
    </row>
    <row r="892" spans="1:25" x14ac:dyDescent="0.25">
      <c r="A892">
        <f t="shared" si="102"/>
        <v>885</v>
      </c>
      <c r="B892" s="88" t="str">
        <f>IF(OR(B891="Total",B891=""),"",IF(VLOOKUP(A892,Journal!$B$7:$E$84,4)=0,"Total",VLOOKUP(A892,Journal!$B$7:$D$84,3)))</f>
        <v/>
      </c>
      <c r="C892" s="86" t="str">
        <f>IF(B892="","",VLOOKUP(A892,Journal!$B$7:$E$84,4))</f>
        <v/>
      </c>
      <c r="D892" s="114" t="str">
        <f>IF(B892="","",VLOOKUP(A892,Journal!$B$7:$J$84,9))</f>
        <v/>
      </c>
      <c r="E892" s="116"/>
      <c r="F892" s="116"/>
      <c r="G892" s="115"/>
      <c r="H892" s="84" t="str">
        <f>IF(B892="","",VLOOKUP(A892,Journal!$B$7:$L$84,11))</f>
        <v/>
      </c>
      <c r="I892" s="84" t="str">
        <f>IF(B892="","",VLOOKUP(A892,Journal!$B$7:$M$84,12))</f>
        <v/>
      </c>
      <c r="J892" s="105">
        <f>IF(B892="Total",SUM(J$8:J891)+0.0001,IF(OR(B892="",I$2=I892),0,VLOOKUP(A892,Journal!$B$7:M$84,8)))</f>
        <v>0</v>
      </c>
      <c r="K892" s="102">
        <f>IF(B892="Total",SUM(K$8:K891)+0.0001,IF(OR(B892="",J892&lt;&gt;0),0,VLOOKUP(A892,Journal!$B$7:M$84,8)))</f>
        <v>0</v>
      </c>
      <c r="L892" s="87">
        <f t="shared" si="98"/>
        <v>0</v>
      </c>
      <c r="P892">
        <f t="shared" si="99"/>
        <v>1.0000000000000001E-5</v>
      </c>
      <c r="R892" s="15">
        <f t="shared" si="101"/>
        <v>885</v>
      </c>
      <c r="S892" s="126">
        <f>IF(VLOOKUP(A892,Journal!$A$7:$E$70,5)=0,S891+1,VLOOKUP(A892,Journal!$A$7:$E$70,5))</f>
        <v>46542</v>
      </c>
      <c r="T892" s="125">
        <f>IF(H$2=VLOOKUP(A892,Journal!$A$7:$F$70,6),VLOOKUP(A892,Journal!$A$7:M$70,9),0)</f>
        <v>0</v>
      </c>
      <c r="U892" s="125">
        <f>IF(H$2=VLOOKUP(A892,Journal!$A$7:$G$70,7),VLOOKUP(A892,Journal!$A$7:M$70,9),0)</f>
        <v>0</v>
      </c>
      <c r="V892" s="125">
        <f t="shared" si="96"/>
        <v>40</v>
      </c>
      <c r="X892">
        <f t="shared" si="100"/>
        <v>0</v>
      </c>
      <c r="Y892" s="143">
        <f t="shared" si="92"/>
        <v>-976.78947368424747</v>
      </c>
    </row>
    <row r="893" spans="1:25" x14ac:dyDescent="0.25">
      <c r="A893">
        <f t="shared" si="102"/>
        <v>886</v>
      </c>
      <c r="B893" s="88" t="str">
        <f>IF(OR(B892="Total",B892=""),"",IF(VLOOKUP(A893,Journal!$B$7:$E$84,4)=0,"Total",VLOOKUP(A893,Journal!$B$7:$D$84,3)))</f>
        <v/>
      </c>
      <c r="C893" s="86" t="str">
        <f>IF(B893="","",VLOOKUP(A893,Journal!$B$7:$E$84,4))</f>
        <v/>
      </c>
      <c r="D893" s="114" t="str">
        <f>IF(B893="","",VLOOKUP(A893,Journal!$B$7:$J$84,9))</f>
        <v/>
      </c>
      <c r="E893" s="116"/>
      <c r="F893" s="116"/>
      <c r="G893" s="115"/>
      <c r="H893" s="84" t="str">
        <f>IF(B893="","",VLOOKUP(A893,Journal!$B$7:$L$84,11))</f>
        <v/>
      </c>
      <c r="I893" s="84" t="str">
        <f>IF(B893="","",VLOOKUP(A893,Journal!$B$7:$M$84,12))</f>
        <v/>
      </c>
      <c r="J893" s="105">
        <f>IF(B893="Total",SUM(J$8:J892)+0.0001,IF(OR(B893="",I$2=I893),0,VLOOKUP(A893,Journal!$B$7:M$84,8)))</f>
        <v>0</v>
      </c>
      <c r="K893" s="102">
        <f>IF(B893="Total",SUM(K$8:K892)+0.0001,IF(OR(B893="",J893&lt;&gt;0),0,VLOOKUP(A893,Journal!$B$7:M$84,8)))</f>
        <v>0</v>
      </c>
      <c r="L893" s="87">
        <f t="shared" si="98"/>
        <v>0</v>
      </c>
      <c r="P893">
        <f t="shared" si="99"/>
        <v>1.0000000000000001E-5</v>
      </c>
      <c r="R893" s="15">
        <f t="shared" si="101"/>
        <v>886</v>
      </c>
      <c r="S893" s="126">
        <f>IF(VLOOKUP(A893,Journal!$A$7:$E$70,5)=0,S892+1,VLOOKUP(A893,Journal!$A$7:$E$70,5))</f>
        <v>46543</v>
      </c>
      <c r="T893" s="125">
        <f>IF(H$2=VLOOKUP(A893,Journal!$A$7:$F$70,6),VLOOKUP(A893,Journal!$A$7:M$70,9),0)</f>
        <v>0</v>
      </c>
      <c r="U893" s="125">
        <f>IF(H$2=VLOOKUP(A893,Journal!$A$7:$G$70,7),VLOOKUP(A893,Journal!$A$7:M$70,9),0)</f>
        <v>0</v>
      </c>
      <c r="V893" s="125">
        <f t="shared" si="96"/>
        <v>40</v>
      </c>
      <c r="X893">
        <f t="shared" si="100"/>
        <v>0</v>
      </c>
      <c r="Y893" s="143">
        <f t="shared" si="92"/>
        <v>-976.76315789477383</v>
      </c>
    </row>
    <row r="894" spans="1:25" x14ac:dyDescent="0.25">
      <c r="A894">
        <f t="shared" si="102"/>
        <v>887</v>
      </c>
      <c r="B894" s="88" t="str">
        <f>IF(OR(B893="Total",B893=""),"",IF(VLOOKUP(A894,Journal!$B$7:$E$84,4)=0,"Total",VLOOKUP(A894,Journal!$B$7:$D$84,3)))</f>
        <v/>
      </c>
      <c r="C894" s="86" t="str">
        <f>IF(B894="","",VLOOKUP(A894,Journal!$B$7:$E$84,4))</f>
        <v/>
      </c>
      <c r="D894" s="114" t="str">
        <f>IF(B894="","",VLOOKUP(A894,Journal!$B$7:$J$84,9))</f>
        <v/>
      </c>
      <c r="E894" s="116"/>
      <c r="F894" s="116"/>
      <c r="G894" s="115"/>
      <c r="H894" s="84" t="str">
        <f>IF(B894="","",VLOOKUP(A894,Journal!$B$7:$L$84,11))</f>
        <v/>
      </c>
      <c r="I894" s="84" t="str">
        <f>IF(B894="","",VLOOKUP(A894,Journal!$B$7:$M$84,12))</f>
        <v/>
      </c>
      <c r="J894" s="105">
        <f>IF(B894="Total",SUM(J$8:J893)+0.0001,IF(OR(B894="",I$2=I894),0,VLOOKUP(A894,Journal!$B$7:M$84,8)))</f>
        <v>0</v>
      </c>
      <c r="K894" s="102">
        <f>IF(B894="Total",SUM(K$8:K893)+0.0001,IF(OR(B894="",J894&lt;&gt;0),0,VLOOKUP(A894,Journal!$B$7:M$84,8)))</f>
        <v>0</v>
      </c>
      <c r="L894" s="87">
        <f t="shared" si="98"/>
        <v>0</v>
      </c>
      <c r="P894">
        <f t="shared" si="99"/>
        <v>1.0000000000000001E-5</v>
      </c>
      <c r="R894" s="15">
        <f t="shared" si="101"/>
        <v>887</v>
      </c>
      <c r="S894" s="126">
        <f>IF(VLOOKUP(A894,Journal!$A$7:$E$70,5)=0,S893+1,VLOOKUP(A894,Journal!$A$7:$E$70,5))</f>
        <v>46544</v>
      </c>
      <c r="T894" s="125">
        <f>IF(H$2=VLOOKUP(A894,Journal!$A$7:$F$70,6),VLOOKUP(A894,Journal!$A$7:M$70,9),0)</f>
        <v>0</v>
      </c>
      <c r="U894" s="125">
        <f>IF(H$2=VLOOKUP(A894,Journal!$A$7:$G$70,7),VLOOKUP(A894,Journal!$A$7:M$70,9),0)</f>
        <v>0</v>
      </c>
      <c r="V894" s="125">
        <f t="shared" si="96"/>
        <v>40</v>
      </c>
      <c r="X894">
        <f t="shared" si="100"/>
        <v>0</v>
      </c>
      <c r="Y894" s="143">
        <f t="shared" si="92"/>
        <v>-976.73684210530018</v>
      </c>
    </row>
    <row r="895" spans="1:25" x14ac:dyDescent="0.25">
      <c r="A895">
        <f t="shared" si="102"/>
        <v>888</v>
      </c>
      <c r="B895" s="88" t="str">
        <f>IF(OR(B894="Total",B894=""),"",IF(VLOOKUP(A895,Journal!$B$7:$E$84,4)=0,"Total",VLOOKUP(A895,Journal!$B$7:$D$84,3)))</f>
        <v/>
      </c>
      <c r="C895" s="86" t="str">
        <f>IF(B895="","",VLOOKUP(A895,Journal!$B$7:$E$84,4))</f>
        <v/>
      </c>
      <c r="D895" s="114" t="str">
        <f>IF(B895="","",VLOOKUP(A895,Journal!$B$7:$J$84,9))</f>
        <v/>
      </c>
      <c r="E895" s="116"/>
      <c r="F895" s="116"/>
      <c r="G895" s="115"/>
      <c r="H895" s="84" t="str">
        <f>IF(B895="","",VLOOKUP(A895,Journal!$B$7:$L$84,11))</f>
        <v/>
      </c>
      <c r="I895" s="84" t="str">
        <f>IF(B895="","",VLOOKUP(A895,Journal!$B$7:$M$84,12))</f>
        <v/>
      </c>
      <c r="J895" s="105">
        <f>IF(B895="Total",SUM(J$8:J894)+0.0001,IF(OR(B895="",I$2=I895),0,VLOOKUP(A895,Journal!$B$7:M$84,8)))</f>
        <v>0</v>
      </c>
      <c r="K895" s="102">
        <f>IF(B895="Total",SUM(K$8:K894)+0.0001,IF(OR(B895="",J895&lt;&gt;0),0,VLOOKUP(A895,Journal!$B$7:M$84,8)))</f>
        <v>0</v>
      </c>
      <c r="L895" s="87">
        <f t="shared" si="98"/>
        <v>0</v>
      </c>
      <c r="P895">
        <f t="shared" si="99"/>
        <v>1.0000000000000001E-5</v>
      </c>
      <c r="R895" s="15">
        <f t="shared" si="101"/>
        <v>888</v>
      </c>
      <c r="S895" s="126">
        <f>IF(VLOOKUP(A895,Journal!$A$7:$E$70,5)=0,S894+1,VLOOKUP(A895,Journal!$A$7:$E$70,5))</f>
        <v>46545</v>
      </c>
      <c r="T895" s="125">
        <f>IF(H$2=VLOOKUP(A895,Journal!$A$7:$F$70,6),VLOOKUP(A895,Journal!$A$7:M$70,9),0)</f>
        <v>0</v>
      </c>
      <c r="U895" s="125">
        <f>IF(H$2=VLOOKUP(A895,Journal!$A$7:$G$70,7),VLOOKUP(A895,Journal!$A$7:M$70,9),0)</f>
        <v>0</v>
      </c>
      <c r="V895" s="125">
        <f t="shared" si="96"/>
        <v>40</v>
      </c>
      <c r="X895">
        <f t="shared" si="100"/>
        <v>0</v>
      </c>
      <c r="Y895" s="143">
        <f t="shared" si="92"/>
        <v>-976.71052631582654</v>
      </c>
    </row>
    <row r="896" spans="1:25" x14ac:dyDescent="0.25">
      <c r="A896">
        <f t="shared" si="102"/>
        <v>889</v>
      </c>
      <c r="B896" s="88" t="str">
        <f>IF(OR(B895="Total",B895=""),"",IF(VLOOKUP(A896,Journal!$B$7:$E$84,4)=0,"Total",VLOOKUP(A896,Journal!$B$7:$D$84,3)))</f>
        <v/>
      </c>
      <c r="C896" s="86" t="str">
        <f>IF(B896="","",VLOOKUP(A896,Journal!$B$7:$E$84,4))</f>
        <v/>
      </c>
      <c r="D896" s="114" t="str">
        <f>IF(B896="","",VLOOKUP(A896,Journal!$B$7:$J$84,9))</f>
        <v/>
      </c>
      <c r="E896" s="116"/>
      <c r="F896" s="116"/>
      <c r="G896" s="115"/>
      <c r="H896" s="84" t="str">
        <f>IF(B896="","",VLOOKUP(A896,Journal!$B$7:$L$84,11))</f>
        <v/>
      </c>
      <c r="I896" s="84" t="str">
        <f>IF(B896="","",VLOOKUP(A896,Journal!$B$7:$M$84,12))</f>
        <v/>
      </c>
      <c r="J896" s="105">
        <f>IF(B896="Total",SUM(J$8:J895)+0.0001,IF(OR(B896="",I$2=I896),0,VLOOKUP(A896,Journal!$B$7:M$84,8)))</f>
        <v>0</v>
      </c>
      <c r="K896" s="102">
        <f>IF(B896="Total",SUM(K$8:K895)+0.0001,IF(OR(B896="",J896&lt;&gt;0),0,VLOOKUP(A896,Journal!$B$7:M$84,8)))</f>
        <v>0</v>
      </c>
      <c r="L896" s="87">
        <f t="shared" si="98"/>
        <v>0</v>
      </c>
      <c r="P896">
        <f t="shared" si="99"/>
        <v>1.0000000000000001E-5</v>
      </c>
      <c r="R896" s="15">
        <f t="shared" si="101"/>
        <v>889</v>
      </c>
      <c r="S896" s="126">
        <f>IF(VLOOKUP(A896,Journal!$A$7:$E$70,5)=0,S895+1,VLOOKUP(A896,Journal!$A$7:$E$70,5))</f>
        <v>46546</v>
      </c>
      <c r="T896" s="125">
        <f>IF(H$2=VLOOKUP(A896,Journal!$A$7:$F$70,6),VLOOKUP(A896,Journal!$A$7:M$70,9),0)</f>
        <v>0</v>
      </c>
      <c r="U896" s="125">
        <f>IF(H$2=VLOOKUP(A896,Journal!$A$7:$G$70,7),VLOOKUP(A896,Journal!$A$7:M$70,9),0)</f>
        <v>0</v>
      </c>
      <c r="V896" s="125">
        <f t="shared" si="96"/>
        <v>40</v>
      </c>
      <c r="X896">
        <f t="shared" si="100"/>
        <v>0</v>
      </c>
      <c r="Y896" s="143">
        <f t="shared" si="92"/>
        <v>-976.6842105263529</v>
      </c>
    </row>
    <row r="897" spans="1:25" x14ac:dyDescent="0.25">
      <c r="A897">
        <f t="shared" si="102"/>
        <v>890</v>
      </c>
      <c r="B897" s="88" t="str">
        <f>IF(OR(B896="Total",B896=""),"",IF(VLOOKUP(A897,Journal!$B$7:$E$84,4)=0,"Total",VLOOKUP(A897,Journal!$B$7:$D$84,3)))</f>
        <v/>
      </c>
      <c r="C897" s="86" t="str">
        <f>IF(B897="","",VLOOKUP(A897,Journal!$B$7:$E$84,4))</f>
        <v/>
      </c>
      <c r="D897" s="114" t="str">
        <f>IF(B897="","",VLOOKUP(A897,Journal!$B$7:$J$84,9))</f>
        <v/>
      </c>
      <c r="E897" s="116"/>
      <c r="F897" s="116"/>
      <c r="G897" s="115"/>
      <c r="H897" s="84" t="str">
        <f>IF(B897="","",VLOOKUP(A897,Journal!$B$7:$L$84,11))</f>
        <v/>
      </c>
      <c r="I897" s="84" t="str">
        <f>IF(B897="","",VLOOKUP(A897,Journal!$B$7:$M$84,12))</f>
        <v/>
      </c>
      <c r="J897" s="105">
        <f>IF(B897="Total",SUM(J$8:J896)+0.0001,IF(OR(B897="",I$2=I897),0,VLOOKUP(A897,Journal!$B$7:M$84,8)))</f>
        <v>0</v>
      </c>
      <c r="K897" s="102">
        <f>IF(B897="Total",SUM(K$8:K896)+0.0001,IF(OR(B897="",J897&lt;&gt;0),0,VLOOKUP(A897,Journal!$B$7:M$84,8)))</f>
        <v>0</v>
      </c>
      <c r="L897" s="87">
        <f t="shared" si="98"/>
        <v>0</v>
      </c>
      <c r="P897">
        <f t="shared" si="99"/>
        <v>1.0000000000000001E-5</v>
      </c>
      <c r="R897" s="15">
        <f t="shared" si="101"/>
        <v>890</v>
      </c>
      <c r="S897" s="126">
        <f>IF(VLOOKUP(A897,Journal!$A$7:$E$70,5)=0,S896+1,VLOOKUP(A897,Journal!$A$7:$E$70,5))</f>
        <v>46547</v>
      </c>
      <c r="T897" s="125">
        <f>IF(H$2=VLOOKUP(A897,Journal!$A$7:$F$70,6),VLOOKUP(A897,Journal!$A$7:M$70,9),0)</f>
        <v>0</v>
      </c>
      <c r="U897" s="125">
        <f>IF(H$2=VLOOKUP(A897,Journal!$A$7:$G$70,7),VLOOKUP(A897,Journal!$A$7:M$70,9),0)</f>
        <v>0</v>
      </c>
      <c r="V897" s="125">
        <f t="shared" si="96"/>
        <v>40</v>
      </c>
      <c r="X897">
        <f t="shared" si="100"/>
        <v>0</v>
      </c>
      <c r="Y897" s="143">
        <f t="shared" si="92"/>
        <v>-976.65789473687926</v>
      </c>
    </row>
    <row r="898" spans="1:25" x14ac:dyDescent="0.25">
      <c r="A898">
        <f t="shared" si="102"/>
        <v>891</v>
      </c>
      <c r="B898" s="88" t="str">
        <f>IF(OR(B897="Total",B897=""),"",IF(VLOOKUP(A898,Journal!$B$7:$E$84,4)=0,"Total",VLOOKUP(A898,Journal!$B$7:$D$84,3)))</f>
        <v/>
      </c>
      <c r="C898" s="86" t="str">
        <f>IF(B898="","",VLOOKUP(A898,Journal!$B$7:$E$84,4))</f>
        <v/>
      </c>
      <c r="D898" s="114" t="str">
        <f>IF(B898="","",VLOOKUP(A898,Journal!$B$7:$J$84,9))</f>
        <v/>
      </c>
      <c r="E898" s="116"/>
      <c r="F898" s="116"/>
      <c r="G898" s="115"/>
      <c r="H898" s="84" t="str">
        <f>IF(B898="","",VLOOKUP(A898,Journal!$B$7:$L$84,11))</f>
        <v/>
      </c>
      <c r="I898" s="84" t="str">
        <f>IF(B898="","",VLOOKUP(A898,Journal!$B$7:$M$84,12))</f>
        <v/>
      </c>
      <c r="J898" s="105">
        <f>IF(B898="Total",SUM(J$8:J897)+0.0001,IF(OR(B898="",I$2=I898),0,VLOOKUP(A898,Journal!$B$7:M$84,8)))</f>
        <v>0</v>
      </c>
      <c r="K898" s="102">
        <f>IF(B898="Total",SUM(K$8:K897)+0.0001,IF(OR(B898="",J898&lt;&gt;0),0,VLOOKUP(A898,Journal!$B$7:M$84,8)))</f>
        <v>0</v>
      </c>
      <c r="L898" s="87">
        <f t="shared" si="98"/>
        <v>0</v>
      </c>
      <c r="P898">
        <f t="shared" si="99"/>
        <v>1.0000000000000001E-5</v>
      </c>
      <c r="R898" s="15">
        <f t="shared" si="101"/>
        <v>891</v>
      </c>
      <c r="S898" s="126">
        <f>IF(VLOOKUP(A898,Journal!$A$7:$E$70,5)=0,S897+1,VLOOKUP(A898,Journal!$A$7:$E$70,5))</f>
        <v>46548</v>
      </c>
      <c r="T898" s="125">
        <f>IF(H$2=VLOOKUP(A898,Journal!$A$7:$F$70,6),VLOOKUP(A898,Journal!$A$7:M$70,9),0)</f>
        <v>0</v>
      </c>
      <c r="U898" s="125">
        <f>IF(H$2=VLOOKUP(A898,Journal!$A$7:$G$70,7),VLOOKUP(A898,Journal!$A$7:M$70,9),0)</f>
        <v>0</v>
      </c>
      <c r="V898" s="125">
        <f t="shared" si="96"/>
        <v>40</v>
      </c>
      <c r="X898">
        <f t="shared" si="100"/>
        <v>0</v>
      </c>
      <c r="Y898" s="143">
        <f t="shared" si="92"/>
        <v>-976.63157894740561</v>
      </c>
    </row>
    <row r="899" spans="1:25" x14ac:dyDescent="0.25">
      <c r="A899">
        <f t="shared" si="102"/>
        <v>892</v>
      </c>
      <c r="B899" s="88" t="str">
        <f>IF(OR(B898="Total",B898=""),"",IF(VLOOKUP(A899,Journal!$B$7:$E$84,4)=0,"Total",VLOOKUP(A899,Journal!$B$7:$D$84,3)))</f>
        <v/>
      </c>
      <c r="C899" s="86" t="str">
        <f>IF(B899="","",VLOOKUP(A899,Journal!$B$7:$E$84,4))</f>
        <v/>
      </c>
      <c r="D899" s="114" t="str">
        <f>IF(B899="","",VLOOKUP(A899,Journal!$B$7:$J$84,9))</f>
        <v/>
      </c>
      <c r="E899" s="116"/>
      <c r="F899" s="116"/>
      <c r="G899" s="115"/>
      <c r="H899" s="84" t="str">
        <f>IF(B899="","",VLOOKUP(A899,Journal!$B$7:$L$84,11))</f>
        <v/>
      </c>
      <c r="I899" s="84" t="str">
        <f>IF(B899="","",VLOOKUP(A899,Journal!$B$7:$M$84,12))</f>
        <v/>
      </c>
      <c r="J899" s="105">
        <f>IF(B899="Total",SUM(J$8:J898)+0.0001,IF(OR(B899="",I$2=I899),0,VLOOKUP(A899,Journal!$B$7:M$84,8)))</f>
        <v>0</v>
      </c>
      <c r="K899" s="102">
        <f>IF(B899="Total",SUM(K$8:K898)+0.0001,IF(OR(B899="",J899&lt;&gt;0),0,VLOOKUP(A899,Journal!$B$7:M$84,8)))</f>
        <v>0</v>
      </c>
      <c r="L899" s="87">
        <f t="shared" si="98"/>
        <v>0</v>
      </c>
      <c r="P899">
        <f t="shared" si="99"/>
        <v>1.0000000000000001E-5</v>
      </c>
      <c r="R899" s="15">
        <f t="shared" si="101"/>
        <v>892</v>
      </c>
      <c r="S899" s="126">
        <f>IF(VLOOKUP(A899,Journal!$A$7:$E$70,5)=0,S898+1,VLOOKUP(A899,Journal!$A$7:$E$70,5))</f>
        <v>46549</v>
      </c>
      <c r="T899" s="125">
        <f>IF(H$2=VLOOKUP(A899,Journal!$A$7:$F$70,6),VLOOKUP(A899,Journal!$A$7:M$70,9),0)</f>
        <v>0</v>
      </c>
      <c r="U899" s="125">
        <f>IF(H$2=VLOOKUP(A899,Journal!$A$7:$G$70,7),VLOOKUP(A899,Journal!$A$7:M$70,9),0)</f>
        <v>0</v>
      </c>
      <c r="V899" s="125">
        <f t="shared" si="96"/>
        <v>40</v>
      </c>
      <c r="X899">
        <f t="shared" si="100"/>
        <v>0</v>
      </c>
      <c r="Y899" s="143">
        <f t="shared" si="92"/>
        <v>-976.60526315793197</v>
      </c>
    </row>
    <row r="900" spans="1:25" x14ac:dyDescent="0.25">
      <c r="A900">
        <f t="shared" si="102"/>
        <v>893</v>
      </c>
      <c r="B900" s="88" t="str">
        <f>IF(OR(B899="Total",B899=""),"",IF(VLOOKUP(A900,Journal!$B$7:$E$84,4)=0,"Total",VLOOKUP(A900,Journal!$B$7:$D$84,3)))</f>
        <v/>
      </c>
      <c r="C900" s="86" t="str">
        <f>IF(B900="","",VLOOKUP(A900,Journal!$B$7:$E$84,4))</f>
        <v/>
      </c>
      <c r="D900" s="114" t="str">
        <f>IF(B900="","",VLOOKUP(A900,Journal!$B$7:$J$84,9))</f>
        <v/>
      </c>
      <c r="E900" s="116"/>
      <c r="F900" s="116"/>
      <c r="G900" s="115"/>
      <c r="H900" s="84" t="str">
        <f>IF(B900="","",VLOOKUP(A900,Journal!$B$7:$L$84,11))</f>
        <v/>
      </c>
      <c r="I900" s="84" t="str">
        <f>IF(B900="","",VLOOKUP(A900,Journal!$B$7:$M$84,12))</f>
        <v/>
      </c>
      <c r="J900" s="105">
        <f>IF(B900="Total",SUM(J$8:J899)+0.0001,IF(OR(B900="",I$2=I900),0,VLOOKUP(A900,Journal!$B$7:M$84,8)))</f>
        <v>0</v>
      </c>
      <c r="K900" s="102">
        <f>IF(B900="Total",SUM(K$8:K899)+0.0001,IF(OR(B900="",J900&lt;&gt;0),0,VLOOKUP(A900,Journal!$B$7:M$84,8)))</f>
        <v>0</v>
      </c>
      <c r="L900" s="87">
        <f t="shared" si="98"/>
        <v>0</v>
      </c>
      <c r="P900">
        <f t="shared" si="99"/>
        <v>1.0000000000000001E-5</v>
      </c>
      <c r="R900" s="15">
        <f t="shared" si="101"/>
        <v>893</v>
      </c>
      <c r="S900" s="126">
        <f>IF(VLOOKUP(A900,Journal!$A$7:$E$70,5)=0,S899+1,VLOOKUP(A900,Journal!$A$7:$E$70,5))</f>
        <v>46550</v>
      </c>
      <c r="T900" s="125">
        <f>IF(H$2=VLOOKUP(A900,Journal!$A$7:$F$70,6),VLOOKUP(A900,Journal!$A$7:M$70,9),0)</f>
        <v>0</v>
      </c>
      <c r="U900" s="125">
        <f>IF(H$2=VLOOKUP(A900,Journal!$A$7:$G$70,7),VLOOKUP(A900,Journal!$A$7:M$70,9),0)</f>
        <v>0</v>
      </c>
      <c r="V900" s="125">
        <f t="shared" si="96"/>
        <v>40</v>
      </c>
      <c r="X900">
        <f t="shared" si="100"/>
        <v>0</v>
      </c>
      <c r="Y900" s="143">
        <f t="shared" si="92"/>
        <v>-976.57894736845833</v>
      </c>
    </row>
    <row r="901" spans="1:25" x14ac:dyDescent="0.25">
      <c r="A901">
        <f t="shared" si="102"/>
        <v>894</v>
      </c>
      <c r="B901" s="88" t="str">
        <f>IF(OR(B900="Total",B900=""),"",IF(VLOOKUP(A901,Journal!$B$7:$E$84,4)=0,"Total",VLOOKUP(A901,Journal!$B$7:$D$84,3)))</f>
        <v/>
      </c>
      <c r="C901" s="86" t="str">
        <f>IF(B901="","",VLOOKUP(A901,Journal!$B$7:$E$84,4))</f>
        <v/>
      </c>
      <c r="D901" s="114" t="str">
        <f>IF(B901="","",VLOOKUP(A901,Journal!$B$7:$J$84,9))</f>
        <v/>
      </c>
      <c r="E901" s="116"/>
      <c r="F901" s="116"/>
      <c r="G901" s="115"/>
      <c r="H901" s="84" t="str">
        <f>IF(B901="","",VLOOKUP(A901,Journal!$B$7:$L$84,11))</f>
        <v/>
      </c>
      <c r="I901" s="84" t="str">
        <f>IF(B901="","",VLOOKUP(A901,Journal!$B$7:$M$84,12))</f>
        <v/>
      </c>
      <c r="J901" s="105">
        <f>IF(B901="Total",SUM(J$8:J900)+0.0001,IF(OR(B901="",I$2=I901),0,VLOOKUP(A901,Journal!$B$7:M$84,8)))</f>
        <v>0</v>
      </c>
      <c r="K901" s="102">
        <f>IF(B901="Total",SUM(K$8:K900)+0.0001,IF(OR(B901="",J901&lt;&gt;0),0,VLOOKUP(A901,Journal!$B$7:M$84,8)))</f>
        <v>0</v>
      </c>
      <c r="L901" s="87">
        <f t="shared" si="98"/>
        <v>0</v>
      </c>
      <c r="P901">
        <f t="shared" si="99"/>
        <v>1.0000000000000001E-5</v>
      </c>
      <c r="R901" s="15">
        <f t="shared" si="101"/>
        <v>894</v>
      </c>
      <c r="S901" s="126">
        <f>IF(VLOOKUP(A901,Journal!$A$7:$E$70,5)=0,S900+1,VLOOKUP(A901,Journal!$A$7:$E$70,5))</f>
        <v>46551</v>
      </c>
      <c r="T901" s="125">
        <f>IF(H$2=VLOOKUP(A901,Journal!$A$7:$F$70,6),VLOOKUP(A901,Journal!$A$7:M$70,9),0)</f>
        <v>0</v>
      </c>
      <c r="U901" s="125">
        <f>IF(H$2=VLOOKUP(A901,Journal!$A$7:$G$70,7),VLOOKUP(A901,Journal!$A$7:M$70,9),0)</f>
        <v>0</v>
      </c>
      <c r="V901" s="125">
        <f t="shared" si="96"/>
        <v>40</v>
      </c>
      <c r="X901">
        <f t="shared" si="100"/>
        <v>0</v>
      </c>
      <c r="Y901" s="143">
        <f t="shared" si="92"/>
        <v>-976.55263157898469</v>
      </c>
    </row>
    <row r="902" spans="1:25" x14ac:dyDescent="0.25">
      <c r="A902">
        <f t="shared" si="102"/>
        <v>895</v>
      </c>
      <c r="B902" s="88" t="str">
        <f>IF(OR(B901="Total",B901=""),"",IF(VLOOKUP(A902,Journal!$B$7:$E$84,4)=0,"Total",VLOOKUP(A902,Journal!$B$7:$D$84,3)))</f>
        <v/>
      </c>
      <c r="C902" s="86" t="str">
        <f>IF(B902="","",VLOOKUP(A902,Journal!$B$7:$E$84,4))</f>
        <v/>
      </c>
      <c r="D902" s="114" t="str">
        <f>IF(B902="","",VLOOKUP(A902,Journal!$B$7:$J$84,9))</f>
        <v/>
      </c>
      <c r="E902" s="116"/>
      <c r="F902" s="116"/>
      <c r="G902" s="115"/>
      <c r="H902" s="84" t="str">
        <f>IF(B902="","",VLOOKUP(A902,Journal!$B$7:$L$84,11))</f>
        <v/>
      </c>
      <c r="I902" s="84" t="str">
        <f>IF(B902="","",VLOOKUP(A902,Journal!$B$7:$M$84,12))</f>
        <v/>
      </c>
      <c r="J902" s="105">
        <f>IF(B902="Total",SUM(J$8:J901)+0.0001,IF(OR(B902="",I$2=I902),0,VLOOKUP(A902,Journal!$B$7:M$84,8)))</f>
        <v>0</v>
      </c>
      <c r="K902" s="102">
        <f>IF(B902="Total",SUM(K$8:K901)+0.0001,IF(OR(B902="",J902&lt;&gt;0),0,VLOOKUP(A902,Journal!$B$7:M$84,8)))</f>
        <v>0</v>
      </c>
      <c r="L902" s="87">
        <f t="shared" si="98"/>
        <v>0</v>
      </c>
      <c r="P902">
        <f t="shared" si="99"/>
        <v>1.0000000000000001E-5</v>
      </c>
      <c r="R902" s="15">
        <f t="shared" si="101"/>
        <v>895</v>
      </c>
      <c r="S902" s="126">
        <f>IF(VLOOKUP(A902,Journal!$A$7:$E$70,5)=0,S901+1,VLOOKUP(A902,Journal!$A$7:$E$70,5))</f>
        <v>46552</v>
      </c>
      <c r="T902" s="125">
        <f>IF(H$2=VLOOKUP(A902,Journal!$A$7:$F$70,6),VLOOKUP(A902,Journal!$A$7:M$70,9),0)</f>
        <v>0</v>
      </c>
      <c r="U902" s="125">
        <f>IF(H$2=VLOOKUP(A902,Journal!$A$7:$G$70,7),VLOOKUP(A902,Journal!$A$7:M$70,9),0)</f>
        <v>0</v>
      </c>
      <c r="V902" s="125">
        <f t="shared" si="96"/>
        <v>40</v>
      </c>
      <c r="X902">
        <f t="shared" si="100"/>
        <v>0</v>
      </c>
      <c r="Y902" s="143">
        <f t="shared" si="92"/>
        <v>-976.52631578951105</v>
      </c>
    </row>
    <row r="903" spans="1:25" x14ac:dyDescent="0.25">
      <c r="A903">
        <f t="shared" si="102"/>
        <v>896</v>
      </c>
      <c r="B903" s="88" t="str">
        <f>IF(OR(B902="Total",B902=""),"",IF(VLOOKUP(A903,Journal!$B$7:$E$84,4)=0,"Total",VLOOKUP(A903,Journal!$B$7:$D$84,3)))</f>
        <v/>
      </c>
      <c r="C903" s="86" t="str">
        <f>IF(B903="","",VLOOKUP(A903,Journal!$B$7:$E$84,4))</f>
        <v/>
      </c>
      <c r="D903" s="114" t="str">
        <f>IF(B903="","",VLOOKUP(A903,Journal!$B$7:$J$84,9))</f>
        <v/>
      </c>
      <c r="E903" s="116"/>
      <c r="F903" s="116"/>
      <c r="G903" s="115"/>
      <c r="H903" s="84" t="str">
        <f>IF(B903="","",VLOOKUP(A903,Journal!$B$7:$L$84,11))</f>
        <v/>
      </c>
      <c r="I903" s="84" t="str">
        <f>IF(B903="","",VLOOKUP(A903,Journal!$B$7:$M$84,12))</f>
        <v/>
      </c>
      <c r="J903" s="105">
        <f>IF(B903="Total",SUM(J$8:J902)+0.0001,IF(OR(B903="",I$2=I903),0,VLOOKUP(A903,Journal!$B$7:M$84,8)))</f>
        <v>0</v>
      </c>
      <c r="K903" s="102">
        <f>IF(B903="Total",SUM(K$8:K902)+0.0001,IF(OR(B903="",J903&lt;&gt;0),0,VLOOKUP(A903,Journal!$B$7:M$84,8)))</f>
        <v>0</v>
      </c>
      <c r="L903" s="87">
        <f t="shared" si="98"/>
        <v>0</v>
      </c>
      <c r="P903">
        <f t="shared" si="99"/>
        <v>1.0000000000000001E-5</v>
      </c>
      <c r="R903" s="15">
        <f t="shared" si="101"/>
        <v>896</v>
      </c>
      <c r="S903" s="126">
        <f>IF(VLOOKUP(A903,Journal!$A$7:$E$70,5)=0,S902+1,VLOOKUP(A903,Journal!$A$7:$E$70,5))</f>
        <v>46553</v>
      </c>
      <c r="T903" s="125">
        <f>IF(H$2=VLOOKUP(A903,Journal!$A$7:$F$70,6),VLOOKUP(A903,Journal!$A$7:M$70,9),0)</f>
        <v>0</v>
      </c>
      <c r="U903" s="125">
        <f>IF(H$2=VLOOKUP(A903,Journal!$A$7:$G$70,7),VLOOKUP(A903,Journal!$A$7:M$70,9),0)</f>
        <v>0</v>
      </c>
      <c r="V903" s="125">
        <f t="shared" si="96"/>
        <v>40</v>
      </c>
      <c r="X903">
        <f t="shared" si="100"/>
        <v>0</v>
      </c>
      <c r="Y903" s="143">
        <f t="shared" si="92"/>
        <v>-976.5000000000374</v>
      </c>
    </row>
    <row r="904" spans="1:25" x14ac:dyDescent="0.25">
      <c r="A904">
        <f t="shared" si="102"/>
        <v>897</v>
      </c>
      <c r="B904" s="88" t="str">
        <f>IF(OR(B903="Total",B903=""),"",IF(VLOOKUP(A904,Journal!$B$7:$E$84,4)=0,"Total",VLOOKUP(A904,Journal!$B$7:$D$84,3)))</f>
        <v/>
      </c>
      <c r="C904" s="86" t="str">
        <f>IF(B904="","",VLOOKUP(A904,Journal!$B$7:$E$84,4))</f>
        <v/>
      </c>
      <c r="D904" s="114" t="str">
        <f>IF(B904="","",VLOOKUP(A904,Journal!$B$7:$J$84,9))</f>
        <v/>
      </c>
      <c r="E904" s="116"/>
      <c r="F904" s="116"/>
      <c r="G904" s="115"/>
      <c r="H904" s="84" t="str">
        <f>IF(B904="","",VLOOKUP(A904,Journal!$B$7:$L$84,11))</f>
        <v/>
      </c>
      <c r="I904" s="84" t="str">
        <f>IF(B904="","",VLOOKUP(A904,Journal!$B$7:$M$84,12))</f>
        <v/>
      </c>
      <c r="J904" s="105">
        <f>IF(B904="Total",SUM(J$8:J903)+0.0001,IF(OR(B904="",I$2=I904),0,VLOOKUP(A904,Journal!$B$7:M$84,8)))</f>
        <v>0</v>
      </c>
      <c r="K904" s="102">
        <f>IF(B904="Total",SUM(K$8:K903)+0.0001,IF(OR(B904="",J904&lt;&gt;0),0,VLOOKUP(A904,Journal!$B$7:M$84,8)))</f>
        <v>0</v>
      </c>
      <c r="L904" s="87">
        <f t="shared" si="98"/>
        <v>0</v>
      </c>
      <c r="P904">
        <f t="shared" si="99"/>
        <v>1.0000000000000001E-5</v>
      </c>
      <c r="R904" s="15">
        <f t="shared" si="101"/>
        <v>897</v>
      </c>
      <c r="S904" s="126">
        <f>IF(VLOOKUP(A904,Journal!$A$7:$E$70,5)=0,S903+1,VLOOKUP(A904,Journal!$A$7:$E$70,5))</f>
        <v>46554</v>
      </c>
      <c r="T904" s="125">
        <f>IF(H$2=VLOOKUP(A904,Journal!$A$7:$F$70,6),VLOOKUP(A904,Journal!$A$7:M$70,9),0)</f>
        <v>0</v>
      </c>
      <c r="U904" s="125">
        <f>IF(H$2=VLOOKUP(A904,Journal!$A$7:$G$70,7),VLOOKUP(A904,Journal!$A$7:M$70,9),0)</f>
        <v>0</v>
      </c>
      <c r="V904" s="125">
        <f t="shared" si="96"/>
        <v>40</v>
      </c>
      <c r="X904">
        <f t="shared" si="100"/>
        <v>0</v>
      </c>
      <c r="Y904" s="143">
        <f t="shared" ref="Y904:Y967" si="103">IF(B903="Total",-1000,Y903+Y$4)</f>
        <v>-976.47368421056376</v>
      </c>
    </row>
    <row r="905" spans="1:25" x14ac:dyDescent="0.25">
      <c r="A905">
        <f t="shared" si="102"/>
        <v>898</v>
      </c>
      <c r="B905" s="88" t="str">
        <f>IF(OR(B904="Total",B904=""),"",IF(VLOOKUP(A905,Journal!$B$7:$E$84,4)=0,"Total",VLOOKUP(A905,Journal!$B$7:$D$84,3)))</f>
        <v/>
      </c>
      <c r="C905" s="86" t="str">
        <f>IF(B905="","",VLOOKUP(A905,Journal!$B$7:$E$84,4))</f>
        <v/>
      </c>
      <c r="D905" s="114" t="str">
        <f>IF(B905="","",VLOOKUP(A905,Journal!$B$7:$J$84,9))</f>
        <v/>
      </c>
      <c r="E905" s="116"/>
      <c r="F905" s="116"/>
      <c r="G905" s="115"/>
      <c r="H905" s="84" t="str">
        <f>IF(B905="","",VLOOKUP(A905,Journal!$B$7:$L$84,11))</f>
        <v/>
      </c>
      <c r="I905" s="84" t="str">
        <f>IF(B905="","",VLOOKUP(A905,Journal!$B$7:$M$84,12))</f>
        <v/>
      </c>
      <c r="J905" s="105">
        <f>IF(B905="Total",SUM(J$8:J904)+0.0001,IF(OR(B905="",I$2=I905),0,VLOOKUP(A905,Journal!$B$7:M$84,8)))</f>
        <v>0</v>
      </c>
      <c r="K905" s="102">
        <f>IF(B905="Total",SUM(K$8:K904)+0.0001,IF(OR(B905="",J905&lt;&gt;0),0,VLOOKUP(A905,Journal!$B$7:M$84,8)))</f>
        <v>0</v>
      </c>
      <c r="L905" s="87">
        <f t="shared" si="98"/>
        <v>0</v>
      </c>
      <c r="P905">
        <f t="shared" si="99"/>
        <v>1.0000000000000001E-5</v>
      </c>
      <c r="R905" s="15">
        <f t="shared" si="101"/>
        <v>898</v>
      </c>
      <c r="S905" s="126">
        <f>IF(VLOOKUP(A905,Journal!$A$7:$E$70,5)=0,S904+1,VLOOKUP(A905,Journal!$A$7:$E$70,5))</f>
        <v>46555</v>
      </c>
      <c r="T905" s="125">
        <f>IF(H$2=VLOOKUP(A905,Journal!$A$7:$F$70,6),VLOOKUP(A905,Journal!$A$7:M$70,9),0)</f>
        <v>0</v>
      </c>
      <c r="U905" s="125">
        <f>IF(H$2=VLOOKUP(A905,Journal!$A$7:$G$70,7),VLOOKUP(A905,Journal!$A$7:M$70,9),0)</f>
        <v>0</v>
      </c>
      <c r="V905" s="125">
        <f t="shared" si="96"/>
        <v>40</v>
      </c>
      <c r="X905">
        <f t="shared" si="100"/>
        <v>0</v>
      </c>
      <c r="Y905" s="143">
        <f t="shared" si="103"/>
        <v>-976.44736842109012</v>
      </c>
    </row>
    <row r="906" spans="1:25" x14ac:dyDescent="0.25">
      <c r="A906">
        <f t="shared" si="102"/>
        <v>899</v>
      </c>
      <c r="B906" s="88" t="str">
        <f>IF(OR(B905="Total",B905=""),"",IF(VLOOKUP(A906,Journal!$B$7:$E$84,4)=0,"Total",VLOOKUP(A906,Journal!$B$7:$D$84,3)))</f>
        <v/>
      </c>
      <c r="C906" s="86" t="str">
        <f>IF(B906="","",VLOOKUP(A906,Journal!$B$7:$E$84,4))</f>
        <v/>
      </c>
      <c r="D906" s="114" t="str">
        <f>IF(B906="","",VLOOKUP(A906,Journal!$B$7:$J$84,9))</f>
        <v/>
      </c>
      <c r="E906" s="116"/>
      <c r="F906" s="116"/>
      <c r="G906" s="115"/>
      <c r="H906" s="84" t="str">
        <f>IF(B906="","",VLOOKUP(A906,Journal!$B$7:$L$84,11))</f>
        <v/>
      </c>
      <c r="I906" s="84" t="str">
        <f>IF(B906="","",VLOOKUP(A906,Journal!$B$7:$M$84,12))</f>
        <v/>
      </c>
      <c r="J906" s="105">
        <f>IF(B906="Total",SUM(J$8:J905)+0.0001,IF(OR(B906="",I$2=I906),0,VLOOKUP(A906,Journal!$B$7:M$84,8)))</f>
        <v>0</v>
      </c>
      <c r="K906" s="102">
        <f>IF(B906="Total",SUM(K$8:K905)+0.0001,IF(OR(B906="",J906&lt;&gt;0),0,VLOOKUP(A906,Journal!$B$7:M$84,8)))</f>
        <v>0</v>
      </c>
      <c r="L906" s="87">
        <f t="shared" si="98"/>
        <v>0</v>
      </c>
      <c r="P906">
        <f t="shared" si="99"/>
        <v>1.0000000000000001E-5</v>
      </c>
      <c r="R906" s="15">
        <f t="shared" ref="R906:R937" si="104">R905+1</f>
        <v>899</v>
      </c>
      <c r="S906" s="126">
        <f>IF(VLOOKUP(A906,Journal!$A$7:$E$70,5)=0,S905+1,VLOOKUP(A906,Journal!$A$7:$E$70,5))</f>
        <v>46556</v>
      </c>
      <c r="T906" s="125">
        <f>IF(H$2=VLOOKUP(A906,Journal!$A$7:$F$70,6),VLOOKUP(A906,Journal!$A$7:M$70,9),0)</f>
        <v>0</v>
      </c>
      <c r="U906" s="125">
        <f>IF(H$2=VLOOKUP(A906,Journal!$A$7:$G$70,7),VLOOKUP(A906,Journal!$A$7:M$70,9),0)</f>
        <v>0</v>
      </c>
      <c r="V906" s="125">
        <f t="shared" ref="V906:V969" si="105">IF($M$1=1,V905+T906-U906,V905-T906+U906)</f>
        <v>40</v>
      </c>
      <c r="X906">
        <f t="shared" si="100"/>
        <v>0</v>
      </c>
      <c r="Y906" s="143">
        <f t="shared" si="103"/>
        <v>-976.42105263161648</v>
      </c>
    </row>
    <row r="907" spans="1:25" x14ac:dyDescent="0.25">
      <c r="A907">
        <f t="shared" ref="A907:A938" si="106">A906+1</f>
        <v>900</v>
      </c>
      <c r="B907" s="88" t="str">
        <f>IF(OR(B906="Total",B906=""),"",IF(VLOOKUP(A907,Journal!$B$7:$E$84,4)=0,"Total",VLOOKUP(A907,Journal!$B$7:$D$84,3)))</f>
        <v/>
      </c>
      <c r="C907" s="86" t="str">
        <f>IF(B907="","",VLOOKUP(A907,Journal!$B$7:$E$84,4))</f>
        <v/>
      </c>
      <c r="D907" s="114" t="str">
        <f>IF(B907="","",VLOOKUP(A907,Journal!$B$7:$J$84,9))</f>
        <v/>
      </c>
      <c r="E907" s="116"/>
      <c r="F907" s="116"/>
      <c r="G907" s="115"/>
      <c r="H907" s="84" t="str">
        <f>IF(B907="","",VLOOKUP(A907,Journal!$B$7:$L$84,11))</f>
        <v/>
      </c>
      <c r="I907" s="84" t="str">
        <f>IF(B907="","",VLOOKUP(A907,Journal!$B$7:$M$84,12))</f>
        <v/>
      </c>
      <c r="J907" s="105">
        <f>IF(B907="Total",SUM(J$8:J906)+0.0001,IF(OR(B907="",I$2=I907),0,VLOOKUP(A907,Journal!$B$7:M$84,8)))</f>
        <v>0</v>
      </c>
      <c r="K907" s="102">
        <f>IF(B907="Total",SUM(K$8:K906)+0.0001,IF(OR(B907="",J907&lt;&gt;0),0,VLOOKUP(A907,Journal!$B$7:M$84,8)))</f>
        <v>0</v>
      </c>
      <c r="L907" s="87">
        <f t="shared" si="98"/>
        <v>0</v>
      </c>
      <c r="P907">
        <f t="shared" si="99"/>
        <v>1.0000000000000001E-5</v>
      </c>
      <c r="R907" s="15">
        <f t="shared" si="104"/>
        <v>900</v>
      </c>
      <c r="S907" s="126">
        <f>IF(VLOOKUP(A907,Journal!$A$7:$E$70,5)=0,S906+1,VLOOKUP(A907,Journal!$A$7:$E$70,5))</f>
        <v>46557</v>
      </c>
      <c r="T907" s="125">
        <f>IF(H$2=VLOOKUP(A907,Journal!$A$7:$F$70,6),VLOOKUP(A907,Journal!$A$7:M$70,9),0)</f>
        <v>0</v>
      </c>
      <c r="U907" s="125">
        <f>IF(H$2=VLOOKUP(A907,Journal!$A$7:$G$70,7),VLOOKUP(A907,Journal!$A$7:M$70,9),0)</f>
        <v>0</v>
      </c>
      <c r="V907" s="125">
        <f t="shared" si="105"/>
        <v>40</v>
      </c>
      <c r="X907">
        <f t="shared" si="100"/>
        <v>0</v>
      </c>
      <c r="Y907" s="143">
        <f t="shared" si="103"/>
        <v>-976.39473684214283</v>
      </c>
    </row>
    <row r="908" spans="1:25" x14ac:dyDescent="0.25">
      <c r="A908">
        <f t="shared" si="106"/>
        <v>901</v>
      </c>
      <c r="B908" s="88" t="str">
        <f>IF(OR(B907="Total",B907=""),"",IF(VLOOKUP(A908,Journal!$B$7:$E$84,4)=0,"Total",VLOOKUP(A908,Journal!$B$7:$D$84,3)))</f>
        <v/>
      </c>
      <c r="C908" s="86" t="str">
        <f>IF(B908="","",VLOOKUP(A908,Journal!$B$7:$E$84,4))</f>
        <v/>
      </c>
      <c r="D908" s="114" t="str">
        <f>IF(B908="","",VLOOKUP(A908,Journal!$B$7:$J$84,9))</f>
        <v/>
      </c>
      <c r="E908" s="116"/>
      <c r="F908" s="116"/>
      <c r="G908" s="115"/>
      <c r="H908" s="84" t="str">
        <f>IF(B908="","",VLOOKUP(A908,Journal!$B$7:$L$84,11))</f>
        <v/>
      </c>
      <c r="I908" s="84" t="str">
        <f>IF(B908="","",VLOOKUP(A908,Journal!$B$7:$M$84,12))</f>
        <v/>
      </c>
      <c r="J908" s="105">
        <f>IF(B908="Total",SUM(J$8:J907)+0.0001,IF(OR(B908="",I$2=I908),0,VLOOKUP(A908,Journal!$B$7:M$84,8)))</f>
        <v>0</v>
      </c>
      <c r="K908" s="102">
        <f>IF(B908="Total",SUM(K$8:K907)+0.0001,IF(OR(B908="",J908&lt;&gt;0),0,VLOOKUP(A908,Journal!$B$7:M$84,8)))</f>
        <v>0</v>
      </c>
      <c r="L908" s="87">
        <f t="shared" si="98"/>
        <v>0</v>
      </c>
      <c r="P908">
        <f t="shared" si="99"/>
        <v>1.0000000000000001E-5</v>
      </c>
      <c r="R908" s="15">
        <f t="shared" si="104"/>
        <v>901</v>
      </c>
      <c r="S908" s="126">
        <f>IF(VLOOKUP(A908,Journal!$A$7:$E$70,5)=0,S907+1,VLOOKUP(A908,Journal!$A$7:$E$70,5))</f>
        <v>46558</v>
      </c>
      <c r="T908" s="125">
        <f>IF(H$2=VLOOKUP(A908,Journal!$A$7:$F$70,6),VLOOKUP(A908,Journal!$A$7:M$70,9),0)</f>
        <v>0</v>
      </c>
      <c r="U908" s="125">
        <f>IF(H$2=VLOOKUP(A908,Journal!$A$7:$G$70,7),VLOOKUP(A908,Journal!$A$7:M$70,9),0)</f>
        <v>0</v>
      </c>
      <c r="V908" s="125">
        <f t="shared" si="105"/>
        <v>40</v>
      </c>
      <c r="X908">
        <f t="shared" si="100"/>
        <v>0</v>
      </c>
      <c r="Y908" s="143">
        <f t="shared" si="103"/>
        <v>-976.36842105266919</v>
      </c>
    </row>
    <row r="909" spans="1:25" x14ac:dyDescent="0.25">
      <c r="A909">
        <f t="shared" si="106"/>
        <v>902</v>
      </c>
      <c r="B909" s="88" t="str">
        <f>IF(OR(B908="Total",B908=""),"",IF(VLOOKUP(A909,Journal!$B$7:$E$84,4)=0,"Total",VLOOKUP(A909,Journal!$B$7:$D$84,3)))</f>
        <v/>
      </c>
      <c r="C909" s="86" t="str">
        <f>IF(B909="","",VLOOKUP(A909,Journal!$B$7:$E$84,4))</f>
        <v/>
      </c>
      <c r="D909" s="114" t="str">
        <f>IF(B909="","",VLOOKUP(A909,Journal!$B$7:$J$84,9))</f>
        <v/>
      </c>
      <c r="E909" s="116"/>
      <c r="F909" s="116"/>
      <c r="G909" s="115"/>
      <c r="H909" s="84" t="str">
        <f>IF(B909="","",VLOOKUP(A909,Journal!$B$7:$L$84,11))</f>
        <v/>
      </c>
      <c r="I909" s="84" t="str">
        <f>IF(B909="","",VLOOKUP(A909,Journal!$B$7:$M$84,12))</f>
        <v/>
      </c>
      <c r="J909" s="105">
        <f>IF(B909="Total",SUM(J$8:J908)+0.0001,IF(OR(B909="",I$2=I909),0,VLOOKUP(A909,Journal!$B$7:M$84,8)))</f>
        <v>0</v>
      </c>
      <c r="K909" s="102">
        <f>IF(B909="Total",SUM(K$8:K908)+0.0001,IF(OR(B909="",J909&lt;&gt;0),0,VLOOKUP(A909,Journal!$B$7:M$84,8)))</f>
        <v>0</v>
      </c>
      <c r="L909" s="87">
        <f t="shared" si="98"/>
        <v>0</v>
      </c>
      <c r="P909">
        <f t="shared" si="99"/>
        <v>1.0000000000000001E-5</v>
      </c>
      <c r="R909" s="15">
        <f t="shared" si="104"/>
        <v>902</v>
      </c>
      <c r="S909" s="126">
        <f>IF(VLOOKUP(A909,Journal!$A$7:$E$70,5)=0,S908+1,VLOOKUP(A909,Journal!$A$7:$E$70,5))</f>
        <v>46559</v>
      </c>
      <c r="T909" s="125">
        <f>IF(H$2=VLOOKUP(A909,Journal!$A$7:$F$70,6),VLOOKUP(A909,Journal!$A$7:M$70,9),0)</f>
        <v>0</v>
      </c>
      <c r="U909" s="125">
        <f>IF(H$2=VLOOKUP(A909,Journal!$A$7:$G$70,7),VLOOKUP(A909,Journal!$A$7:M$70,9),0)</f>
        <v>0</v>
      </c>
      <c r="V909" s="125">
        <f t="shared" si="105"/>
        <v>40</v>
      </c>
      <c r="X909">
        <f t="shared" si="100"/>
        <v>0</v>
      </c>
      <c r="Y909" s="143">
        <f t="shared" si="103"/>
        <v>-976.34210526319555</v>
      </c>
    </row>
    <row r="910" spans="1:25" x14ac:dyDescent="0.25">
      <c r="A910">
        <f t="shared" si="106"/>
        <v>903</v>
      </c>
      <c r="B910" s="88" t="str">
        <f>IF(OR(B909="Total",B909=""),"",IF(VLOOKUP(A910,Journal!$B$7:$E$84,4)=0,"Total",VLOOKUP(A910,Journal!$B$7:$D$84,3)))</f>
        <v/>
      </c>
      <c r="C910" s="86" t="str">
        <f>IF(B910="","",VLOOKUP(A910,Journal!$B$7:$E$84,4))</f>
        <v/>
      </c>
      <c r="D910" s="114" t="str">
        <f>IF(B910="","",VLOOKUP(A910,Journal!$B$7:$J$84,9))</f>
        <v/>
      </c>
      <c r="E910" s="116"/>
      <c r="F910" s="116"/>
      <c r="G910" s="115"/>
      <c r="H910" s="84" t="str">
        <f>IF(B910="","",VLOOKUP(A910,Journal!$B$7:$L$84,11))</f>
        <v/>
      </c>
      <c r="I910" s="84" t="str">
        <f>IF(B910="","",VLOOKUP(A910,Journal!$B$7:$M$84,12))</f>
        <v/>
      </c>
      <c r="J910" s="105">
        <f>IF(B910="Total",SUM(J$8:J909)+0.0001,IF(OR(B910="",I$2=I910),0,VLOOKUP(A910,Journal!$B$7:M$84,8)))</f>
        <v>0</v>
      </c>
      <c r="K910" s="102">
        <f>IF(B910="Total",SUM(K$8:K909)+0.0001,IF(OR(B910="",J910&lt;&gt;0),0,VLOOKUP(A910,Journal!$B$7:M$84,8)))</f>
        <v>0</v>
      </c>
      <c r="L910" s="87">
        <f t="shared" si="98"/>
        <v>0</v>
      </c>
      <c r="P910">
        <f t="shared" si="99"/>
        <v>1.0000000000000001E-5</v>
      </c>
      <c r="R910" s="15">
        <f t="shared" si="104"/>
        <v>903</v>
      </c>
      <c r="S910" s="126">
        <f>IF(VLOOKUP(A910,Journal!$A$7:$E$70,5)=0,S909+1,VLOOKUP(A910,Journal!$A$7:$E$70,5))</f>
        <v>46560</v>
      </c>
      <c r="T910" s="125">
        <f>IF(H$2=VLOOKUP(A910,Journal!$A$7:$F$70,6),VLOOKUP(A910,Journal!$A$7:M$70,9),0)</f>
        <v>0</v>
      </c>
      <c r="U910" s="125">
        <f>IF(H$2=VLOOKUP(A910,Journal!$A$7:$G$70,7),VLOOKUP(A910,Journal!$A$7:M$70,9),0)</f>
        <v>0</v>
      </c>
      <c r="V910" s="125">
        <f t="shared" si="105"/>
        <v>40</v>
      </c>
      <c r="X910">
        <f t="shared" si="100"/>
        <v>0</v>
      </c>
      <c r="Y910" s="143">
        <f t="shared" si="103"/>
        <v>-976.31578947372191</v>
      </c>
    </row>
    <row r="911" spans="1:25" x14ac:dyDescent="0.25">
      <c r="A911">
        <f t="shared" si="106"/>
        <v>904</v>
      </c>
      <c r="B911" s="88" t="str">
        <f>IF(OR(B910="Total",B910=""),"",IF(VLOOKUP(A911,Journal!$B$7:$E$84,4)=0,"Total",VLOOKUP(A911,Journal!$B$7:$D$84,3)))</f>
        <v/>
      </c>
      <c r="C911" s="86" t="str">
        <f>IF(B911="","",VLOOKUP(A911,Journal!$B$7:$E$84,4))</f>
        <v/>
      </c>
      <c r="D911" s="114" t="str">
        <f>IF(B911="","",VLOOKUP(A911,Journal!$B$7:$J$84,9))</f>
        <v/>
      </c>
      <c r="E911" s="116"/>
      <c r="F911" s="116"/>
      <c r="G911" s="115"/>
      <c r="H911" s="84" t="str">
        <f>IF(B911="","",VLOOKUP(A911,Journal!$B$7:$L$84,11))</f>
        <v/>
      </c>
      <c r="I911" s="84" t="str">
        <f>IF(B911="","",VLOOKUP(A911,Journal!$B$7:$M$84,12))</f>
        <v/>
      </c>
      <c r="J911" s="105">
        <f>IF(B911="Total",SUM(J$8:J910)+0.0001,IF(OR(B911="",I$2=I911),0,VLOOKUP(A911,Journal!$B$7:M$84,8)))</f>
        <v>0</v>
      </c>
      <c r="K911" s="102">
        <f>IF(B911="Total",SUM(K$8:K910)+0.0001,IF(OR(B911="",J911&lt;&gt;0),0,VLOOKUP(A911,Journal!$B$7:M$84,8)))</f>
        <v>0</v>
      </c>
      <c r="L911" s="87">
        <f t="shared" si="98"/>
        <v>0</v>
      </c>
      <c r="P911">
        <f t="shared" si="99"/>
        <v>1.0000000000000001E-5</v>
      </c>
      <c r="R911" s="15">
        <f t="shared" si="104"/>
        <v>904</v>
      </c>
      <c r="S911" s="126">
        <f>IF(VLOOKUP(A911,Journal!$A$7:$E$70,5)=0,S910+1,VLOOKUP(A911,Journal!$A$7:$E$70,5))</f>
        <v>46561</v>
      </c>
      <c r="T911" s="125">
        <f>IF(H$2=VLOOKUP(A911,Journal!$A$7:$F$70,6),VLOOKUP(A911,Journal!$A$7:M$70,9),0)</f>
        <v>0</v>
      </c>
      <c r="U911" s="125">
        <f>IF(H$2=VLOOKUP(A911,Journal!$A$7:$G$70,7),VLOOKUP(A911,Journal!$A$7:M$70,9),0)</f>
        <v>0</v>
      </c>
      <c r="V911" s="125">
        <f t="shared" si="105"/>
        <v>40</v>
      </c>
      <c r="X911">
        <f t="shared" si="100"/>
        <v>0</v>
      </c>
      <c r="Y911" s="143">
        <f t="shared" si="103"/>
        <v>-976.28947368424826</v>
      </c>
    </row>
    <row r="912" spans="1:25" x14ac:dyDescent="0.25">
      <c r="A912">
        <f t="shared" si="106"/>
        <v>905</v>
      </c>
      <c r="B912" s="88" t="str">
        <f>IF(OR(B911="Total",B911=""),"",IF(VLOOKUP(A912,Journal!$B$7:$E$84,4)=0,"Total",VLOOKUP(A912,Journal!$B$7:$D$84,3)))</f>
        <v/>
      </c>
      <c r="C912" s="86" t="str">
        <f>IF(B912="","",VLOOKUP(A912,Journal!$B$7:$E$84,4))</f>
        <v/>
      </c>
      <c r="D912" s="114" t="str">
        <f>IF(B912="","",VLOOKUP(A912,Journal!$B$7:$J$84,9))</f>
        <v/>
      </c>
      <c r="E912" s="116"/>
      <c r="F912" s="116"/>
      <c r="G912" s="115"/>
      <c r="H912" s="84" t="str">
        <f>IF(B912="","",VLOOKUP(A912,Journal!$B$7:$L$84,11))</f>
        <v/>
      </c>
      <c r="I912" s="84" t="str">
        <f>IF(B912="","",VLOOKUP(A912,Journal!$B$7:$M$84,12))</f>
        <v/>
      </c>
      <c r="J912" s="105">
        <f>IF(B912="Total",SUM(J$8:J911)+0.0001,IF(OR(B912="",I$2=I912),0,VLOOKUP(A912,Journal!$B$7:M$84,8)))</f>
        <v>0</v>
      </c>
      <c r="K912" s="102">
        <f>IF(B912="Total",SUM(K$8:K911)+0.0001,IF(OR(B912="",J912&lt;&gt;0),0,VLOOKUP(A912,Journal!$B$7:M$84,8)))</f>
        <v>0</v>
      </c>
      <c r="L912" s="87">
        <f t="shared" si="98"/>
        <v>0</v>
      </c>
      <c r="P912">
        <f t="shared" si="99"/>
        <v>1.0000000000000001E-5</v>
      </c>
      <c r="R912" s="15">
        <f t="shared" si="104"/>
        <v>905</v>
      </c>
      <c r="S912" s="126">
        <f>IF(VLOOKUP(A912,Journal!$A$7:$E$70,5)=0,S911+1,VLOOKUP(A912,Journal!$A$7:$E$70,5))</f>
        <v>46562</v>
      </c>
      <c r="T912" s="125">
        <f>IF(H$2=VLOOKUP(A912,Journal!$A$7:$F$70,6),VLOOKUP(A912,Journal!$A$7:M$70,9),0)</f>
        <v>0</v>
      </c>
      <c r="U912" s="125">
        <f>IF(H$2=VLOOKUP(A912,Journal!$A$7:$G$70,7),VLOOKUP(A912,Journal!$A$7:M$70,9),0)</f>
        <v>0</v>
      </c>
      <c r="V912" s="125">
        <f t="shared" si="105"/>
        <v>40</v>
      </c>
      <c r="X912">
        <f t="shared" si="100"/>
        <v>0</v>
      </c>
      <c r="Y912" s="143">
        <f t="shared" si="103"/>
        <v>-976.26315789477462</v>
      </c>
    </row>
    <row r="913" spans="1:25" x14ac:dyDescent="0.25">
      <c r="A913">
        <f t="shared" si="106"/>
        <v>906</v>
      </c>
      <c r="B913" s="88" t="str">
        <f>IF(OR(B912="Total",B912=""),"",IF(VLOOKUP(A913,Journal!$B$7:$E$84,4)=0,"Total",VLOOKUP(A913,Journal!$B$7:$D$84,3)))</f>
        <v/>
      </c>
      <c r="C913" s="86" t="str">
        <f>IF(B913="","",VLOOKUP(A913,Journal!$B$7:$E$84,4))</f>
        <v/>
      </c>
      <c r="D913" s="114" t="str">
        <f>IF(B913="","",VLOOKUP(A913,Journal!$B$7:$J$84,9))</f>
        <v/>
      </c>
      <c r="E913" s="116"/>
      <c r="F913" s="116"/>
      <c r="G913" s="115"/>
      <c r="H913" s="84" t="str">
        <f>IF(B913="","",VLOOKUP(A913,Journal!$B$7:$L$84,11))</f>
        <v/>
      </c>
      <c r="I913" s="84" t="str">
        <f>IF(B913="","",VLOOKUP(A913,Journal!$B$7:$M$84,12))</f>
        <v/>
      </c>
      <c r="J913" s="105">
        <f>IF(B913="Total",SUM(J$8:J912)+0.0001,IF(OR(B913="",I$2=I913),0,VLOOKUP(A913,Journal!$B$7:M$84,8)))</f>
        <v>0</v>
      </c>
      <c r="K913" s="102">
        <f>IF(B913="Total",SUM(K$8:K912)+0.0001,IF(OR(B913="",J913&lt;&gt;0),0,VLOOKUP(A913,Journal!$B$7:M$84,8)))</f>
        <v>0</v>
      </c>
      <c r="L913" s="87">
        <f t="shared" si="98"/>
        <v>0</v>
      </c>
      <c r="P913">
        <f t="shared" si="99"/>
        <v>1.0000000000000001E-5</v>
      </c>
      <c r="R913" s="15">
        <f t="shared" si="104"/>
        <v>906</v>
      </c>
      <c r="S913" s="126">
        <f>IF(VLOOKUP(A913,Journal!$A$7:$E$70,5)=0,S912+1,VLOOKUP(A913,Journal!$A$7:$E$70,5))</f>
        <v>46563</v>
      </c>
      <c r="T913" s="125">
        <f>IF(H$2=VLOOKUP(A913,Journal!$A$7:$F$70,6),VLOOKUP(A913,Journal!$A$7:M$70,9),0)</f>
        <v>0</v>
      </c>
      <c r="U913" s="125">
        <f>IF(H$2=VLOOKUP(A913,Journal!$A$7:$G$70,7),VLOOKUP(A913,Journal!$A$7:M$70,9),0)</f>
        <v>0</v>
      </c>
      <c r="V913" s="125">
        <f t="shared" si="105"/>
        <v>40</v>
      </c>
      <c r="X913">
        <f t="shared" si="100"/>
        <v>0</v>
      </c>
      <c r="Y913" s="143">
        <f t="shared" si="103"/>
        <v>-976.23684210530098</v>
      </c>
    </row>
    <row r="914" spans="1:25" x14ac:dyDescent="0.25">
      <c r="A914">
        <f t="shared" si="106"/>
        <v>907</v>
      </c>
      <c r="B914" s="88" t="str">
        <f>IF(OR(B913="Total",B913=""),"",IF(VLOOKUP(A914,Journal!$B$7:$E$84,4)=0,"Total",VLOOKUP(A914,Journal!$B$7:$D$84,3)))</f>
        <v/>
      </c>
      <c r="C914" s="86" t="str">
        <f>IF(B914="","",VLOOKUP(A914,Journal!$B$7:$E$84,4))</f>
        <v/>
      </c>
      <c r="D914" s="114" t="str">
        <f>IF(B914="","",VLOOKUP(A914,Journal!$B$7:$J$84,9))</f>
        <v/>
      </c>
      <c r="E914" s="116"/>
      <c r="F914" s="116"/>
      <c r="G914" s="115"/>
      <c r="H914" s="84" t="str">
        <f>IF(B914="","",VLOOKUP(A914,Journal!$B$7:$L$84,11))</f>
        <v/>
      </c>
      <c r="I914" s="84" t="str">
        <f>IF(B914="","",VLOOKUP(A914,Journal!$B$7:$M$84,12))</f>
        <v/>
      </c>
      <c r="J914" s="105">
        <f>IF(B914="Total",SUM(J$8:J913)+0.0001,IF(OR(B914="",I$2=I914),0,VLOOKUP(A914,Journal!$B$7:M$84,8)))</f>
        <v>0</v>
      </c>
      <c r="K914" s="102">
        <f>IF(B914="Total",SUM(K$8:K913)+0.0001,IF(OR(B914="",J914&lt;&gt;0),0,VLOOKUP(A914,Journal!$B$7:M$84,8)))</f>
        <v>0</v>
      </c>
      <c r="L914" s="87">
        <f t="shared" ref="L914:L977" si="107">IF(B914="Total",L913,IF(B914="",0,IF($M$1=1,L913+J914-K914,L913-J914+K914)))</f>
        <v>0</v>
      </c>
      <c r="P914">
        <f t="shared" ref="P914:P977" si="108">IF(L913=L914,L913+0.00001,L914)</f>
        <v>1.0000000000000001E-5</v>
      </c>
      <c r="R914" s="15">
        <f t="shared" si="104"/>
        <v>907</v>
      </c>
      <c r="S914" s="126">
        <f>IF(VLOOKUP(A914,Journal!$A$7:$E$70,5)=0,S913+1,VLOOKUP(A914,Journal!$A$7:$E$70,5))</f>
        <v>46564</v>
      </c>
      <c r="T914" s="125">
        <f>IF(H$2=VLOOKUP(A914,Journal!$A$7:$F$70,6),VLOOKUP(A914,Journal!$A$7:M$70,9),0)</f>
        <v>0</v>
      </c>
      <c r="U914" s="125">
        <f>IF(H$2=VLOOKUP(A914,Journal!$A$7:$G$70,7),VLOOKUP(A914,Journal!$A$7:M$70,9),0)</f>
        <v>0</v>
      </c>
      <c r="V914" s="125">
        <f t="shared" si="105"/>
        <v>40</v>
      </c>
      <c r="X914">
        <f t="shared" ref="X914:X977" si="109">IF(J$2&gt;S914,1,0)</f>
        <v>0</v>
      </c>
      <c r="Y914" s="143">
        <f t="shared" si="103"/>
        <v>-976.21052631582734</v>
      </c>
    </row>
    <row r="915" spans="1:25" x14ac:dyDescent="0.25">
      <c r="A915">
        <f t="shared" si="106"/>
        <v>908</v>
      </c>
      <c r="B915" s="88" t="str">
        <f>IF(OR(B914="Total",B914=""),"",IF(VLOOKUP(A915,Journal!$B$7:$E$84,4)=0,"Total",VLOOKUP(A915,Journal!$B$7:$D$84,3)))</f>
        <v/>
      </c>
      <c r="C915" s="86" t="str">
        <f>IF(B915="","",VLOOKUP(A915,Journal!$B$7:$E$84,4))</f>
        <v/>
      </c>
      <c r="D915" s="114" t="str">
        <f>IF(B915="","",VLOOKUP(A915,Journal!$B$7:$J$84,9))</f>
        <v/>
      </c>
      <c r="E915" s="116"/>
      <c r="F915" s="116"/>
      <c r="G915" s="115"/>
      <c r="H915" s="84" t="str">
        <f>IF(B915="","",VLOOKUP(A915,Journal!$B$7:$L$84,11))</f>
        <v/>
      </c>
      <c r="I915" s="84" t="str">
        <f>IF(B915="","",VLOOKUP(A915,Journal!$B$7:$M$84,12))</f>
        <v/>
      </c>
      <c r="J915" s="105">
        <f>IF(B915="Total",SUM(J$8:J914)+0.0001,IF(OR(B915="",I$2=I915),0,VLOOKUP(A915,Journal!$B$7:M$84,8)))</f>
        <v>0</v>
      </c>
      <c r="K915" s="102">
        <f>IF(B915="Total",SUM(K$8:K914)+0.0001,IF(OR(B915="",J915&lt;&gt;0),0,VLOOKUP(A915,Journal!$B$7:M$84,8)))</f>
        <v>0</v>
      </c>
      <c r="L915" s="87">
        <f t="shared" si="107"/>
        <v>0</v>
      </c>
      <c r="P915">
        <f t="shared" si="108"/>
        <v>1.0000000000000001E-5</v>
      </c>
      <c r="R915" s="15">
        <f t="shared" si="104"/>
        <v>908</v>
      </c>
      <c r="S915" s="126">
        <f>IF(VLOOKUP(A915,Journal!$A$7:$E$70,5)=0,S914+1,VLOOKUP(A915,Journal!$A$7:$E$70,5))</f>
        <v>46565</v>
      </c>
      <c r="T915" s="125">
        <f>IF(H$2=VLOOKUP(A915,Journal!$A$7:$F$70,6),VLOOKUP(A915,Journal!$A$7:M$70,9),0)</f>
        <v>0</v>
      </c>
      <c r="U915" s="125">
        <f>IF(H$2=VLOOKUP(A915,Journal!$A$7:$G$70,7),VLOOKUP(A915,Journal!$A$7:M$70,9),0)</f>
        <v>0</v>
      </c>
      <c r="V915" s="125">
        <f t="shared" si="105"/>
        <v>40</v>
      </c>
      <c r="X915">
        <f t="shared" si="109"/>
        <v>0</v>
      </c>
      <c r="Y915" s="143">
        <f t="shared" si="103"/>
        <v>-976.1842105263537</v>
      </c>
    </row>
    <row r="916" spans="1:25" x14ac:dyDescent="0.25">
      <c r="A916">
        <f t="shared" si="106"/>
        <v>909</v>
      </c>
      <c r="B916" s="88" t="str">
        <f>IF(OR(B915="Total",B915=""),"",IF(VLOOKUP(A916,Journal!$B$7:$E$84,4)=0,"Total",VLOOKUP(A916,Journal!$B$7:$D$84,3)))</f>
        <v/>
      </c>
      <c r="C916" s="86" t="str">
        <f>IF(B916="","",VLOOKUP(A916,Journal!$B$7:$E$84,4))</f>
        <v/>
      </c>
      <c r="D916" s="114" t="str">
        <f>IF(B916="","",VLOOKUP(A916,Journal!$B$7:$J$84,9))</f>
        <v/>
      </c>
      <c r="E916" s="116"/>
      <c r="F916" s="116"/>
      <c r="G916" s="115"/>
      <c r="H916" s="84" t="str">
        <f>IF(B916="","",VLOOKUP(A916,Journal!$B$7:$L$84,11))</f>
        <v/>
      </c>
      <c r="I916" s="84" t="str">
        <f>IF(B916="","",VLOOKUP(A916,Journal!$B$7:$M$84,12))</f>
        <v/>
      </c>
      <c r="J916" s="105">
        <f>IF(B916="Total",SUM(J$8:J915)+0.0001,IF(OR(B916="",I$2=I916),0,VLOOKUP(A916,Journal!$B$7:M$84,8)))</f>
        <v>0</v>
      </c>
      <c r="K916" s="102">
        <f>IF(B916="Total",SUM(K$8:K915)+0.0001,IF(OR(B916="",J916&lt;&gt;0),0,VLOOKUP(A916,Journal!$B$7:M$84,8)))</f>
        <v>0</v>
      </c>
      <c r="L916" s="87">
        <f t="shared" si="107"/>
        <v>0</v>
      </c>
      <c r="P916">
        <f t="shared" si="108"/>
        <v>1.0000000000000001E-5</v>
      </c>
      <c r="R916" s="15">
        <f t="shared" si="104"/>
        <v>909</v>
      </c>
      <c r="S916" s="126">
        <f>IF(VLOOKUP(A916,Journal!$A$7:$E$70,5)=0,S915+1,VLOOKUP(A916,Journal!$A$7:$E$70,5))</f>
        <v>46566</v>
      </c>
      <c r="T916" s="125">
        <f>IF(H$2=VLOOKUP(A916,Journal!$A$7:$F$70,6),VLOOKUP(A916,Journal!$A$7:M$70,9),0)</f>
        <v>0</v>
      </c>
      <c r="U916" s="125">
        <f>IF(H$2=VLOOKUP(A916,Journal!$A$7:$G$70,7),VLOOKUP(A916,Journal!$A$7:M$70,9),0)</f>
        <v>0</v>
      </c>
      <c r="V916" s="125">
        <f t="shared" si="105"/>
        <v>40</v>
      </c>
      <c r="X916">
        <f t="shared" si="109"/>
        <v>0</v>
      </c>
      <c r="Y916" s="143">
        <f t="shared" si="103"/>
        <v>-976.15789473688005</v>
      </c>
    </row>
    <row r="917" spans="1:25" x14ac:dyDescent="0.25">
      <c r="A917">
        <f t="shared" si="106"/>
        <v>910</v>
      </c>
      <c r="B917" s="88" t="str">
        <f>IF(OR(B916="Total",B916=""),"",IF(VLOOKUP(A917,Journal!$B$7:$E$84,4)=0,"Total",VLOOKUP(A917,Journal!$B$7:$D$84,3)))</f>
        <v/>
      </c>
      <c r="C917" s="86" t="str">
        <f>IF(B917="","",VLOOKUP(A917,Journal!$B$7:$E$84,4))</f>
        <v/>
      </c>
      <c r="D917" s="114" t="str">
        <f>IF(B917="","",VLOOKUP(A917,Journal!$B$7:$J$84,9))</f>
        <v/>
      </c>
      <c r="E917" s="116"/>
      <c r="F917" s="116"/>
      <c r="G917" s="115"/>
      <c r="H917" s="84" t="str">
        <f>IF(B917="","",VLOOKUP(A917,Journal!$B$7:$L$84,11))</f>
        <v/>
      </c>
      <c r="I917" s="84" t="str">
        <f>IF(B917="","",VLOOKUP(A917,Journal!$B$7:$M$84,12))</f>
        <v/>
      </c>
      <c r="J917" s="105">
        <f>IF(B917="Total",SUM(J$8:J916)+0.0001,IF(OR(B917="",I$2=I917),0,VLOOKUP(A917,Journal!$B$7:M$84,8)))</f>
        <v>0</v>
      </c>
      <c r="K917" s="102">
        <f>IF(B917="Total",SUM(K$8:K916)+0.0001,IF(OR(B917="",J917&lt;&gt;0),0,VLOOKUP(A917,Journal!$B$7:M$84,8)))</f>
        <v>0</v>
      </c>
      <c r="L917" s="87">
        <f t="shared" si="107"/>
        <v>0</v>
      </c>
      <c r="P917">
        <f t="shared" si="108"/>
        <v>1.0000000000000001E-5</v>
      </c>
      <c r="R917" s="15">
        <f t="shared" si="104"/>
        <v>910</v>
      </c>
      <c r="S917" s="126">
        <f>IF(VLOOKUP(A917,Journal!$A$7:$E$70,5)=0,S916+1,VLOOKUP(A917,Journal!$A$7:$E$70,5))</f>
        <v>46567</v>
      </c>
      <c r="T917" s="125">
        <f>IF(H$2=VLOOKUP(A917,Journal!$A$7:$F$70,6),VLOOKUP(A917,Journal!$A$7:M$70,9),0)</f>
        <v>0</v>
      </c>
      <c r="U917" s="125">
        <f>IF(H$2=VLOOKUP(A917,Journal!$A$7:$G$70,7),VLOOKUP(A917,Journal!$A$7:M$70,9),0)</f>
        <v>0</v>
      </c>
      <c r="V917" s="125">
        <f t="shared" si="105"/>
        <v>40</v>
      </c>
      <c r="X917">
        <f t="shared" si="109"/>
        <v>0</v>
      </c>
      <c r="Y917" s="143">
        <f t="shared" si="103"/>
        <v>-976.13157894740641</v>
      </c>
    </row>
    <row r="918" spans="1:25" x14ac:dyDescent="0.25">
      <c r="A918">
        <f t="shared" si="106"/>
        <v>911</v>
      </c>
      <c r="B918" s="88" t="str">
        <f>IF(OR(B917="Total",B917=""),"",IF(VLOOKUP(A918,Journal!$B$7:$E$84,4)=0,"Total",VLOOKUP(A918,Journal!$B$7:$D$84,3)))</f>
        <v/>
      </c>
      <c r="C918" s="86" t="str">
        <f>IF(B918="","",VLOOKUP(A918,Journal!$B$7:$E$84,4))</f>
        <v/>
      </c>
      <c r="D918" s="114" t="str">
        <f>IF(B918="","",VLOOKUP(A918,Journal!$B$7:$J$84,9))</f>
        <v/>
      </c>
      <c r="E918" s="116"/>
      <c r="F918" s="116"/>
      <c r="G918" s="115"/>
      <c r="H918" s="84" t="str">
        <f>IF(B918="","",VLOOKUP(A918,Journal!$B$7:$L$84,11))</f>
        <v/>
      </c>
      <c r="I918" s="84" t="str">
        <f>IF(B918="","",VLOOKUP(A918,Journal!$B$7:$M$84,12))</f>
        <v/>
      </c>
      <c r="J918" s="105">
        <f>IF(B918="Total",SUM(J$8:J917)+0.0001,IF(OR(B918="",I$2=I918),0,VLOOKUP(A918,Journal!$B$7:M$84,8)))</f>
        <v>0</v>
      </c>
      <c r="K918" s="102">
        <f>IF(B918="Total",SUM(K$8:K917)+0.0001,IF(OR(B918="",J918&lt;&gt;0),0,VLOOKUP(A918,Journal!$B$7:M$84,8)))</f>
        <v>0</v>
      </c>
      <c r="L918" s="87">
        <f t="shared" si="107"/>
        <v>0</v>
      </c>
      <c r="P918">
        <f t="shared" si="108"/>
        <v>1.0000000000000001E-5</v>
      </c>
      <c r="R918" s="15">
        <f t="shared" si="104"/>
        <v>911</v>
      </c>
      <c r="S918" s="126">
        <f>IF(VLOOKUP(A918,Journal!$A$7:$E$70,5)=0,S917+1,VLOOKUP(A918,Journal!$A$7:$E$70,5))</f>
        <v>46568</v>
      </c>
      <c r="T918" s="125">
        <f>IF(H$2=VLOOKUP(A918,Journal!$A$7:$F$70,6),VLOOKUP(A918,Journal!$A$7:M$70,9),0)</f>
        <v>0</v>
      </c>
      <c r="U918" s="125">
        <f>IF(H$2=VLOOKUP(A918,Journal!$A$7:$G$70,7),VLOOKUP(A918,Journal!$A$7:M$70,9),0)</f>
        <v>0</v>
      </c>
      <c r="V918" s="125">
        <f t="shared" si="105"/>
        <v>40</v>
      </c>
      <c r="X918">
        <f t="shared" si="109"/>
        <v>0</v>
      </c>
      <c r="Y918" s="143">
        <f t="shared" si="103"/>
        <v>-976.10526315793277</v>
      </c>
    </row>
    <row r="919" spans="1:25" x14ac:dyDescent="0.25">
      <c r="A919">
        <f t="shared" si="106"/>
        <v>912</v>
      </c>
      <c r="B919" s="88" t="str">
        <f>IF(OR(B918="Total",B918=""),"",IF(VLOOKUP(A919,Journal!$B$7:$E$84,4)=0,"Total",VLOOKUP(A919,Journal!$B$7:$D$84,3)))</f>
        <v/>
      </c>
      <c r="C919" s="86" t="str">
        <f>IF(B919="","",VLOOKUP(A919,Journal!$B$7:$E$84,4))</f>
        <v/>
      </c>
      <c r="D919" s="114" t="str">
        <f>IF(B919="","",VLOOKUP(A919,Journal!$B$7:$J$84,9))</f>
        <v/>
      </c>
      <c r="E919" s="116"/>
      <c r="F919" s="116"/>
      <c r="G919" s="115"/>
      <c r="H919" s="84" t="str">
        <f>IF(B919="","",VLOOKUP(A919,Journal!$B$7:$L$84,11))</f>
        <v/>
      </c>
      <c r="I919" s="84" t="str">
        <f>IF(B919="","",VLOOKUP(A919,Journal!$B$7:$M$84,12))</f>
        <v/>
      </c>
      <c r="J919" s="105">
        <f>IF(B919="Total",SUM(J$8:J918)+0.0001,IF(OR(B919="",I$2=I919),0,VLOOKUP(A919,Journal!$B$7:M$84,8)))</f>
        <v>0</v>
      </c>
      <c r="K919" s="102">
        <f>IF(B919="Total",SUM(K$8:K918)+0.0001,IF(OR(B919="",J919&lt;&gt;0),0,VLOOKUP(A919,Journal!$B$7:M$84,8)))</f>
        <v>0</v>
      </c>
      <c r="L919" s="87">
        <f t="shared" si="107"/>
        <v>0</v>
      </c>
      <c r="P919">
        <f t="shared" si="108"/>
        <v>1.0000000000000001E-5</v>
      </c>
      <c r="R919" s="15">
        <f t="shared" si="104"/>
        <v>912</v>
      </c>
      <c r="S919" s="126">
        <f>IF(VLOOKUP(A919,Journal!$A$7:$E$70,5)=0,S918+1,VLOOKUP(A919,Journal!$A$7:$E$70,5))</f>
        <v>46569</v>
      </c>
      <c r="T919" s="125">
        <f>IF(H$2=VLOOKUP(A919,Journal!$A$7:$F$70,6),VLOOKUP(A919,Journal!$A$7:M$70,9),0)</f>
        <v>0</v>
      </c>
      <c r="U919" s="125">
        <f>IF(H$2=VLOOKUP(A919,Journal!$A$7:$G$70,7),VLOOKUP(A919,Journal!$A$7:M$70,9),0)</f>
        <v>0</v>
      </c>
      <c r="V919" s="125">
        <f t="shared" si="105"/>
        <v>40</v>
      </c>
      <c r="X919">
        <f t="shared" si="109"/>
        <v>0</v>
      </c>
      <c r="Y919" s="143">
        <f t="shared" si="103"/>
        <v>-976.07894736845913</v>
      </c>
    </row>
    <row r="920" spans="1:25" x14ac:dyDescent="0.25">
      <c r="A920">
        <f t="shared" si="106"/>
        <v>913</v>
      </c>
      <c r="B920" s="88" t="str">
        <f>IF(OR(B919="Total",B919=""),"",IF(VLOOKUP(A920,Journal!$B$7:$E$84,4)=0,"Total",VLOOKUP(A920,Journal!$B$7:$D$84,3)))</f>
        <v/>
      </c>
      <c r="C920" s="86" t="str">
        <f>IF(B920="","",VLOOKUP(A920,Journal!$B$7:$E$84,4))</f>
        <v/>
      </c>
      <c r="D920" s="114" t="str">
        <f>IF(B920="","",VLOOKUP(A920,Journal!$B$7:$J$84,9))</f>
        <v/>
      </c>
      <c r="E920" s="116"/>
      <c r="F920" s="116"/>
      <c r="G920" s="115"/>
      <c r="H920" s="84" t="str">
        <f>IF(B920="","",VLOOKUP(A920,Journal!$B$7:$L$84,11))</f>
        <v/>
      </c>
      <c r="I920" s="84" t="str">
        <f>IF(B920="","",VLOOKUP(A920,Journal!$B$7:$M$84,12))</f>
        <v/>
      </c>
      <c r="J920" s="105">
        <f>IF(B920="Total",SUM(J$8:J919)+0.0001,IF(OR(B920="",I$2=I920),0,VLOOKUP(A920,Journal!$B$7:M$84,8)))</f>
        <v>0</v>
      </c>
      <c r="K920" s="102">
        <f>IF(B920="Total",SUM(K$8:K919)+0.0001,IF(OR(B920="",J920&lt;&gt;0),0,VLOOKUP(A920,Journal!$B$7:M$84,8)))</f>
        <v>0</v>
      </c>
      <c r="L920" s="87">
        <f t="shared" si="107"/>
        <v>0</v>
      </c>
      <c r="P920">
        <f t="shared" si="108"/>
        <v>1.0000000000000001E-5</v>
      </c>
      <c r="R920" s="15">
        <f t="shared" si="104"/>
        <v>913</v>
      </c>
      <c r="S920" s="126">
        <f>IF(VLOOKUP(A920,Journal!$A$7:$E$70,5)=0,S919+1,VLOOKUP(A920,Journal!$A$7:$E$70,5))</f>
        <v>46570</v>
      </c>
      <c r="T920" s="125">
        <f>IF(H$2=VLOOKUP(A920,Journal!$A$7:$F$70,6),VLOOKUP(A920,Journal!$A$7:M$70,9),0)</f>
        <v>0</v>
      </c>
      <c r="U920" s="125">
        <f>IF(H$2=VLOOKUP(A920,Journal!$A$7:$G$70,7),VLOOKUP(A920,Journal!$A$7:M$70,9),0)</f>
        <v>0</v>
      </c>
      <c r="V920" s="125">
        <f t="shared" si="105"/>
        <v>40</v>
      </c>
      <c r="X920">
        <f t="shared" si="109"/>
        <v>0</v>
      </c>
      <c r="Y920" s="143">
        <f t="shared" si="103"/>
        <v>-976.05263157898548</v>
      </c>
    </row>
    <row r="921" spans="1:25" x14ac:dyDescent="0.25">
      <c r="A921">
        <f t="shared" si="106"/>
        <v>914</v>
      </c>
      <c r="B921" s="88" t="str">
        <f>IF(OR(B920="Total",B920=""),"",IF(VLOOKUP(A921,Journal!$B$7:$E$84,4)=0,"Total",VLOOKUP(A921,Journal!$B$7:$D$84,3)))</f>
        <v/>
      </c>
      <c r="C921" s="86" t="str">
        <f>IF(B921="","",VLOOKUP(A921,Journal!$B$7:$E$84,4))</f>
        <v/>
      </c>
      <c r="D921" s="114" t="str">
        <f>IF(B921="","",VLOOKUP(A921,Journal!$B$7:$J$84,9))</f>
        <v/>
      </c>
      <c r="E921" s="116"/>
      <c r="F921" s="116"/>
      <c r="G921" s="115"/>
      <c r="H921" s="84" t="str">
        <f>IF(B921="","",VLOOKUP(A921,Journal!$B$7:$L$84,11))</f>
        <v/>
      </c>
      <c r="I921" s="84" t="str">
        <f>IF(B921="","",VLOOKUP(A921,Journal!$B$7:$M$84,12))</f>
        <v/>
      </c>
      <c r="J921" s="105">
        <f>IF(B921="Total",SUM(J$8:J920)+0.0001,IF(OR(B921="",I$2=I921),0,VLOOKUP(A921,Journal!$B$7:M$84,8)))</f>
        <v>0</v>
      </c>
      <c r="K921" s="102">
        <f>IF(B921="Total",SUM(K$8:K920)+0.0001,IF(OR(B921="",J921&lt;&gt;0),0,VLOOKUP(A921,Journal!$B$7:M$84,8)))</f>
        <v>0</v>
      </c>
      <c r="L921" s="87">
        <f t="shared" si="107"/>
        <v>0</v>
      </c>
      <c r="P921">
        <f t="shared" si="108"/>
        <v>1.0000000000000001E-5</v>
      </c>
      <c r="R921" s="15">
        <f t="shared" si="104"/>
        <v>914</v>
      </c>
      <c r="S921" s="126">
        <f>IF(VLOOKUP(A921,Journal!$A$7:$E$70,5)=0,S920+1,VLOOKUP(A921,Journal!$A$7:$E$70,5))</f>
        <v>46571</v>
      </c>
      <c r="T921" s="125">
        <f>IF(H$2=VLOOKUP(A921,Journal!$A$7:$F$70,6),VLOOKUP(A921,Journal!$A$7:M$70,9),0)</f>
        <v>0</v>
      </c>
      <c r="U921" s="125">
        <f>IF(H$2=VLOOKUP(A921,Journal!$A$7:$G$70,7),VLOOKUP(A921,Journal!$A$7:M$70,9),0)</f>
        <v>0</v>
      </c>
      <c r="V921" s="125">
        <f t="shared" si="105"/>
        <v>40</v>
      </c>
      <c r="X921">
        <f t="shared" si="109"/>
        <v>0</v>
      </c>
      <c r="Y921" s="143">
        <f t="shared" si="103"/>
        <v>-976.02631578951184</v>
      </c>
    </row>
    <row r="922" spans="1:25" x14ac:dyDescent="0.25">
      <c r="A922">
        <f t="shared" si="106"/>
        <v>915</v>
      </c>
      <c r="B922" s="88" t="str">
        <f>IF(OR(B921="Total",B921=""),"",IF(VLOOKUP(A922,Journal!$B$7:$E$84,4)=0,"Total",VLOOKUP(A922,Journal!$B$7:$D$84,3)))</f>
        <v/>
      </c>
      <c r="C922" s="86" t="str">
        <f>IF(B922="","",VLOOKUP(A922,Journal!$B$7:$E$84,4))</f>
        <v/>
      </c>
      <c r="D922" s="114" t="str">
        <f>IF(B922="","",VLOOKUP(A922,Journal!$B$7:$J$84,9))</f>
        <v/>
      </c>
      <c r="E922" s="116"/>
      <c r="F922" s="116"/>
      <c r="G922" s="115"/>
      <c r="H922" s="84" t="str">
        <f>IF(B922="","",VLOOKUP(A922,Journal!$B$7:$L$84,11))</f>
        <v/>
      </c>
      <c r="I922" s="84" t="str">
        <f>IF(B922="","",VLOOKUP(A922,Journal!$B$7:$M$84,12))</f>
        <v/>
      </c>
      <c r="J922" s="105">
        <f>IF(B922="Total",SUM(J$8:J921)+0.0001,IF(OR(B922="",I$2=I922),0,VLOOKUP(A922,Journal!$B$7:M$84,8)))</f>
        <v>0</v>
      </c>
      <c r="K922" s="102">
        <f>IF(B922="Total",SUM(K$8:K921)+0.0001,IF(OR(B922="",J922&lt;&gt;0),0,VLOOKUP(A922,Journal!$B$7:M$84,8)))</f>
        <v>0</v>
      </c>
      <c r="L922" s="87">
        <f t="shared" si="107"/>
        <v>0</v>
      </c>
      <c r="P922">
        <f t="shared" si="108"/>
        <v>1.0000000000000001E-5</v>
      </c>
      <c r="R922" s="15">
        <f t="shared" si="104"/>
        <v>915</v>
      </c>
      <c r="S922" s="126">
        <f>IF(VLOOKUP(A922,Journal!$A$7:$E$70,5)=0,S921+1,VLOOKUP(A922,Journal!$A$7:$E$70,5))</f>
        <v>46572</v>
      </c>
      <c r="T922" s="125">
        <f>IF(H$2=VLOOKUP(A922,Journal!$A$7:$F$70,6),VLOOKUP(A922,Journal!$A$7:M$70,9),0)</f>
        <v>0</v>
      </c>
      <c r="U922" s="125">
        <f>IF(H$2=VLOOKUP(A922,Journal!$A$7:$G$70,7),VLOOKUP(A922,Journal!$A$7:M$70,9),0)</f>
        <v>0</v>
      </c>
      <c r="V922" s="125">
        <f t="shared" si="105"/>
        <v>40</v>
      </c>
      <c r="X922">
        <f t="shared" si="109"/>
        <v>0</v>
      </c>
      <c r="Y922" s="143">
        <f t="shared" si="103"/>
        <v>-976.0000000000382</v>
      </c>
    </row>
    <row r="923" spans="1:25" x14ac:dyDescent="0.25">
      <c r="A923">
        <f t="shared" si="106"/>
        <v>916</v>
      </c>
      <c r="B923" s="88" t="str">
        <f>IF(OR(B922="Total",B922=""),"",IF(VLOOKUP(A923,Journal!$B$7:$E$84,4)=0,"Total",VLOOKUP(A923,Journal!$B$7:$D$84,3)))</f>
        <v/>
      </c>
      <c r="C923" s="86" t="str">
        <f>IF(B923="","",VLOOKUP(A923,Journal!$B$7:$E$84,4))</f>
        <v/>
      </c>
      <c r="D923" s="114" t="str">
        <f>IF(B923="","",VLOOKUP(A923,Journal!$B$7:$J$84,9))</f>
        <v/>
      </c>
      <c r="E923" s="116"/>
      <c r="F923" s="116"/>
      <c r="G923" s="115"/>
      <c r="H923" s="84" t="str">
        <f>IF(B923="","",VLOOKUP(A923,Journal!$B$7:$L$84,11))</f>
        <v/>
      </c>
      <c r="I923" s="84" t="str">
        <f>IF(B923="","",VLOOKUP(A923,Journal!$B$7:$M$84,12))</f>
        <v/>
      </c>
      <c r="J923" s="105">
        <f>IF(B923="Total",SUM(J$8:J922)+0.0001,IF(OR(B923="",I$2=I923),0,VLOOKUP(A923,Journal!$B$7:M$84,8)))</f>
        <v>0</v>
      </c>
      <c r="K923" s="102">
        <f>IF(B923="Total",SUM(K$8:K922)+0.0001,IF(OR(B923="",J923&lt;&gt;0),0,VLOOKUP(A923,Journal!$B$7:M$84,8)))</f>
        <v>0</v>
      </c>
      <c r="L923" s="87">
        <f t="shared" si="107"/>
        <v>0</v>
      </c>
      <c r="P923">
        <f t="shared" si="108"/>
        <v>1.0000000000000001E-5</v>
      </c>
      <c r="R923" s="15">
        <f t="shared" si="104"/>
        <v>916</v>
      </c>
      <c r="S923" s="126">
        <f>IF(VLOOKUP(A923,Journal!$A$7:$E$70,5)=0,S922+1,VLOOKUP(A923,Journal!$A$7:$E$70,5))</f>
        <v>46573</v>
      </c>
      <c r="T923" s="125">
        <f>IF(H$2=VLOOKUP(A923,Journal!$A$7:$F$70,6),VLOOKUP(A923,Journal!$A$7:M$70,9),0)</f>
        <v>0</v>
      </c>
      <c r="U923" s="125">
        <f>IF(H$2=VLOOKUP(A923,Journal!$A$7:$G$70,7),VLOOKUP(A923,Journal!$A$7:M$70,9),0)</f>
        <v>0</v>
      </c>
      <c r="V923" s="125">
        <f t="shared" si="105"/>
        <v>40</v>
      </c>
      <c r="X923">
        <f t="shared" si="109"/>
        <v>0</v>
      </c>
      <c r="Y923" s="143">
        <f t="shared" si="103"/>
        <v>-975.97368421056456</v>
      </c>
    </row>
    <row r="924" spans="1:25" x14ac:dyDescent="0.25">
      <c r="A924">
        <f t="shared" si="106"/>
        <v>917</v>
      </c>
      <c r="B924" s="88" t="str">
        <f>IF(OR(B923="Total",B923=""),"",IF(VLOOKUP(A924,Journal!$B$7:$E$84,4)=0,"Total",VLOOKUP(A924,Journal!$B$7:$D$84,3)))</f>
        <v/>
      </c>
      <c r="C924" s="86" t="str">
        <f>IF(B924="","",VLOOKUP(A924,Journal!$B$7:$E$84,4))</f>
        <v/>
      </c>
      <c r="D924" s="114" t="str">
        <f>IF(B924="","",VLOOKUP(A924,Journal!$B$7:$J$84,9))</f>
        <v/>
      </c>
      <c r="E924" s="116"/>
      <c r="F924" s="116"/>
      <c r="G924" s="115"/>
      <c r="H924" s="84" t="str">
        <f>IF(B924="","",VLOOKUP(A924,Journal!$B$7:$L$84,11))</f>
        <v/>
      </c>
      <c r="I924" s="84" t="str">
        <f>IF(B924="","",VLOOKUP(A924,Journal!$B$7:$M$84,12))</f>
        <v/>
      </c>
      <c r="J924" s="105">
        <f>IF(B924="Total",SUM(J$8:J923)+0.0001,IF(OR(B924="",I$2=I924),0,VLOOKUP(A924,Journal!$B$7:M$84,8)))</f>
        <v>0</v>
      </c>
      <c r="K924" s="102">
        <f>IF(B924="Total",SUM(K$8:K923)+0.0001,IF(OR(B924="",J924&lt;&gt;0),0,VLOOKUP(A924,Journal!$B$7:M$84,8)))</f>
        <v>0</v>
      </c>
      <c r="L924" s="87">
        <f t="shared" si="107"/>
        <v>0</v>
      </c>
      <c r="P924">
        <f t="shared" si="108"/>
        <v>1.0000000000000001E-5</v>
      </c>
      <c r="R924" s="15">
        <f t="shared" si="104"/>
        <v>917</v>
      </c>
      <c r="S924" s="126">
        <f>IF(VLOOKUP(A924,Journal!$A$7:$E$70,5)=0,S923+1,VLOOKUP(A924,Journal!$A$7:$E$70,5))</f>
        <v>46574</v>
      </c>
      <c r="T924" s="125">
        <f>IF(H$2=VLOOKUP(A924,Journal!$A$7:$F$70,6),VLOOKUP(A924,Journal!$A$7:M$70,9),0)</f>
        <v>0</v>
      </c>
      <c r="U924" s="125">
        <f>IF(H$2=VLOOKUP(A924,Journal!$A$7:$G$70,7),VLOOKUP(A924,Journal!$A$7:M$70,9),0)</f>
        <v>0</v>
      </c>
      <c r="V924" s="125">
        <f t="shared" si="105"/>
        <v>40</v>
      </c>
      <c r="X924">
        <f t="shared" si="109"/>
        <v>0</v>
      </c>
      <c r="Y924" s="143">
        <f t="shared" si="103"/>
        <v>-975.94736842109091</v>
      </c>
    </row>
    <row r="925" spans="1:25" x14ac:dyDescent="0.25">
      <c r="A925">
        <f t="shared" si="106"/>
        <v>918</v>
      </c>
      <c r="B925" s="88" t="str">
        <f>IF(OR(B924="Total",B924=""),"",IF(VLOOKUP(A925,Journal!$B$7:$E$84,4)=0,"Total",VLOOKUP(A925,Journal!$B$7:$D$84,3)))</f>
        <v/>
      </c>
      <c r="C925" s="86" t="str">
        <f>IF(B925="","",VLOOKUP(A925,Journal!$B$7:$E$84,4))</f>
        <v/>
      </c>
      <c r="D925" s="114" t="str">
        <f>IF(B925="","",VLOOKUP(A925,Journal!$B$7:$J$84,9))</f>
        <v/>
      </c>
      <c r="E925" s="116"/>
      <c r="F925" s="116"/>
      <c r="G925" s="115"/>
      <c r="H925" s="84" t="str">
        <f>IF(B925="","",VLOOKUP(A925,Journal!$B$7:$L$84,11))</f>
        <v/>
      </c>
      <c r="I925" s="84" t="str">
        <f>IF(B925="","",VLOOKUP(A925,Journal!$B$7:$M$84,12))</f>
        <v/>
      </c>
      <c r="J925" s="105">
        <f>IF(B925="Total",SUM(J$8:J924)+0.0001,IF(OR(B925="",I$2=I925),0,VLOOKUP(A925,Journal!$B$7:M$84,8)))</f>
        <v>0</v>
      </c>
      <c r="K925" s="102">
        <f>IF(B925="Total",SUM(K$8:K924)+0.0001,IF(OR(B925="",J925&lt;&gt;0),0,VLOOKUP(A925,Journal!$B$7:M$84,8)))</f>
        <v>0</v>
      </c>
      <c r="L925" s="87">
        <f t="shared" si="107"/>
        <v>0</v>
      </c>
      <c r="P925">
        <f t="shared" si="108"/>
        <v>1.0000000000000001E-5</v>
      </c>
      <c r="R925" s="15">
        <f t="shared" si="104"/>
        <v>918</v>
      </c>
      <c r="S925" s="126">
        <f>IF(VLOOKUP(A925,Journal!$A$7:$E$70,5)=0,S924+1,VLOOKUP(A925,Journal!$A$7:$E$70,5))</f>
        <v>46575</v>
      </c>
      <c r="T925" s="125">
        <f>IF(H$2=VLOOKUP(A925,Journal!$A$7:$F$70,6),VLOOKUP(A925,Journal!$A$7:M$70,9),0)</f>
        <v>0</v>
      </c>
      <c r="U925" s="125">
        <f>IF(H$2=VLOOKUP(A925,Journal!$A$7:$G$70,7),VLOOKUP(A925,Journal!$A$7:M$70,9),0)</f>
        <v>0</v>
      </c>
      <c r="V925" s="125">
        <f t="shared" si="105"/>
        <v>40</v>
      </c>
      <c r="X925">
        <f t="shared" si="109"/>
        <v>0</v>
      </c>
      <c r="Y925" s="143">
        <f t="shared" si="103"/>
        <v>-975.92105263161727</v>
      </c>
    </row>
    <row r="926" spans="1:25" x14ac:dyDescent="0.25">
      <c r="A926">
        <f t="shared" si="106"/>
        <v>919</v>
      </c>
      <c r="B926" s="88" t="str">
        <f>IF(OR(B925="Total",B925=""),"",IF(VLOOKUP(A926,Journal!$B$7:$E$84,4)=0,"Total",VLOOKUP(A926,Journal!$B$7:$D$84,3)))</f>
        <v/>
      </c>
      <c r="C926" s="86" t="str">
        <f>IF(B926="","",VLOOKUP(A926,Journal!$B$7:$E$84,4))</f>
        <v/>
      </c>
      <c r="D926" s="114" t="str">
        <f>IF(B926="","",VLOOKUP(A926,Journal!$B$7:$J$84,9))</f>
        <v/>
      </c>
      <c r="E926" s="116"/>
      <c r="F926" s="116"/>
      <c r="G926" s="115"/>
      <c r="H926" s="84" t="str">
        <f>IF(B926="","",VLOOKUP(A926,Journal!$B$7:$L$84,11))</f>
        <v/>
      </c>
      <c r="I926" s="84" t="str">
        <f>IF(B926="","",VLOOKUP(A926,Journal!$B$7:$M$84,12))</f>
        <v/>
      </c>
      <c r="J926" s="105">
        <f>IF(B926="Total",SUM(J$8:J925)+0.0001,IF(OR(B926="",I$2=I926),0,VLOOKUP(A926,Journal!$B$7:M$84,8)))</f>
        <v>0</v>
      </c>
      <c r="K926" s="102">
        <f>IF(B926="Total",SUM(K$8:K925)+0.0001,IF(OR(B926="",J926&lt;&gt;0),0,VLOOKUP(A926,Journal!$B$7:M$84,8)))</f>
        <v>0</v>
      </c>
      <c r="L926" s="87">
        <f t="shared" si="107"/>
        <v>0</v>
      </c>
      <c r="P926">
        <f t="shared" si="108"/>
        <v>1.0000000000000001E-5</v>
      </c>
      <c r="R926" s="15">
        <f t="shared" si="104"/>
        <v>919</v>
      </c>
      <c r="S926" s="126">
        <f>IF(VLOOKUP(A926,Journal!$A$7:$E$70,5)=0,S925+1,VLOOKUP(A926,Journal!$A$7:$E$70,5))</f>
        <v>46576</v>
      </c>
      <c r="T926" s="125">
        <f>IF(H$2=VLOOKUP(A926,Journal!$A$7:$F$70,6),VLOOKUP(A926,Journal!$A$7:M$70,9),0)</f>
        <v>0</v>
      </c>
      <c r="U926" s="125">
        <f>IF(H$2=VLOOKUP(A926,Journal!$A$7:$G$70,7),VLOOKUP(A926,Journal!$A$7:M$70,9),0)</f>
        <v>0</v>
      </c>
      <c r="V926" s="125">
        <f t="shared" si="105"/>
        <v>40</v>
      </c>
      <c r="X926">
        <f t="shared" si="109"/>
        <v>0</v>
      </c>
      <c r="Y926" s="143">
        <f t="shared" si="103"/>
        <v>-975.89473684214363</v>
      </c>
    </row>
    <row r="927" spans="1:25" x14ac:dyDescent="0.25">
      <c r="A927">
        <f t="shared" si="106"/>
        <v>920</v>
      </c>
      <c r="B927" s="88" t="str">
        <f>IF(OR(B926="Total",B926=""),"",IF(VLOOKUP(A927,Journal!$B$7:$E$84,4)=0,"Total",VLOOKUP(A927,Journal!$B$7:$D$84,3)))</f>
        <v/>
      </c>
      <c r="C927" s="86" t="str">
        <f>IF(B927="","",VLOOKUP(A927,Journal!$B$7:$E$84,4))</f>
        <v/>
      </c>
      <c r="D927" s="114" t="str">
        <f>IF(B927="","",VLOOKUP(A927,Journal!$B$7:$J$84,9))</f>
        <v/>
      </c>
      <c r="E927" s="116"/>
      <c r="F927" s="116"/>
      <c r="G927" s="115"/>
      <c r="H927" s="84" t="str">
        <f>IF(B927="","",VLOOKUP(A927,Journal!$B$7:$L$84,11))</f>
        <v/>
      </c>
      <c r="I927" s="84" t="str">
        <f>IF(B927="","",VLOOKUP(A927,Journal!$B$7:$M$84,12))</f>
        <v/>
      </c>
      <c r="J927" s="105">
        <f>IF(B927="Total",SUM(J$8:J926)+0.0001,IF(OR(B927="",I$2=I927),0,VLOOKUP(A927,Journal!$B$7:M$84,8)))</f>
        <v>0</v>
      </c>
      <c r="K927" s="102">
        <f>IF(B927="Total",SUM(K$8:K926)+0.0001,IF(OR(B927="",J927&lt;&gt;0),0,VLOOKUP(A927,Journal!$B$7:M$84,8)))</f>
        <v>0</v>
      </c>
      <c r="L927" s="87">
        <f t="shared" si="107"/>
        <v>0</v>
      </c>
      <c r="P927">
        <f t="shared" si="108"/>
        <v>1.0000000000000001E-5</v>
      </c>
      <c r="R927" s="15">
        <f t="shared" si="104"/>
        <v>920</v>
      </c>
      <c r="S927" s="126">
        <f>IF(VLOOKUP(A927,Journal!$A$7:$E$70,5)=0,S926+1,VLOOKUP(A927,Journal!$A$7:$E$70,5))</f>
        <v>46577</v>
      </c>
      <c r="T927" s="125">
        <f>IF(H$2=VLOOKUP(A927,Journal!$A$7:$F$70,6),VLOOKUP(A927,Journal!$A$7:M$70,9),0)</f>
        <v>0</v>
      </c>
      <c r="U927" s="125">
        <f>IF(H$2=VLOOKUP(A927,Journal!$A$7:$G$70,7),VLOOKUP(A927,Journal!$A$7:M$70,9),0)</f>
        <v>0</v>
      </c>
      <c r="V927" s="125">
        <f t="shared" si="105"/>
        <v>40</v>
      </c>
      <c r="X927">
        <f t="shared" si="109"/>
        <v>0</v>
      </c>
      <c r="Y927" s="143">
        <f t="shared" si="103"/>
        <v>-975.86842105266999</v>
      </c>
    </row>
    <row r="928" spans="1:25" x14ac:dyDescent="0.25">
      <c r="A928">
        <f t="shared" si="106"/>
        <v>921</v>
      </c>
      <c r="B928" s="88" t="str">
        <f>IF(OR(B927="Total",B927=""),"",IF(VLOOKUP(A928,Journal!$B$7:$E$84,4)=0,"Total",VLOOKUP(A928,Journal!$B$7:$D$84,3)))</f>
        <v/>
      </c>
      <c r="C928" s="86" t="str">
        <f>IF(B928="","",VLOOKUP(A928,Journal!$B$7:$E$84,4))</f>
        <v/>
      </c>
      <c r="D928" s="114" t="str">
        <f>IF(B928="","",VLOOKUP(A928,Journal!$B$7:$J$84,9))</f>
        <v/>
      </c>
      <c r="E928" s="116"/>
      <c r="F928" s="116"/>
      <c r="G928" s="115"/>
      <c r="H928" s="84" t="str">
        <f>IF(B928="","",VLOOKUP(A928,Journal!$B$7:$L$84,11))</f>
        <v/>
      </c>
      <c r="I928" s="84" t="str">
        <f>IF(B928="","",VLOOKUP(A928,Journal!$B$7:$M$84,12))</f>
        <v/>
      </c>
      <c r="J928" s="105">
        <f>IF(B928="Total",SUM(J$8:J927)+0.0001,IF(OR(B928="",I$2=I928),0,VLOOKUP(A928,Journal!$B$7:M$84,8)))</f>
        <v>0</v>
      </c>
      <c r="K928" s="102">
        <f>IF(B928="Total",SUM(K$8:K927)+0.0001,IF(OR(B928="",J928&lt;&gt;0),0,VLOOKUP(A928,Journal!$B$7:M$84,8)))</f>
        <v>0</v>
      </c>
      <c r="L928" s="87">
        <f t="shared" si="107"/>
        <v>0</v>
      </c>
      <c r="P928">
        <f t="shared" si="108"/>
        <v>1.0000000000000001E-5</v>
      </c>
      <c r="R928" s="15">
        <f t="shared" si="104"/>
        <v>921</v>
      </c>
      <c r="S928" s="126">
        <f>IF(VLOOKUP(A928,Journal!$A$7:$E$70,5)=0,S927+1,VLOOKUP(A928,Journal!$A$7:$E$70,5))</f>
        <v>46578</v>
      </c>
      <c r="T928" s="125">
        <f>IF(H$2=VLOOKUP(A928,Journal!$A$7:$F$70,6),VLOOKUP(A928,Journal!$A$7:M$70,9),0)</f>
        <v>0</v>
      </c>
      <c r="U928" s="125">
        <f>IF(H$2=VLOOKUP(A928,Journal!$A$7:$G$70,7),VLOOKUP(A928,Journal!$A$7:M$70,9),0)</f>
        <v>0</v>
      </c>
      <c r="V928" s="125">
        <f t="shared" si="105"/>
        <v>40</v>
      </c>
      <c r="X928">
        <f t="shared" si="109"/>
        <v>0</v>
      </c>
      <c r="Y928" s="143">
        <f t="shared" si="103"/>
        <v>-975.84210526319634</v>
      </c>
    </row>
    <row r="929" spans="1:25" x14ac:dyDescent="0.25">
      <c r="A929">
        <f t="shared" si="106"/>
        <v>922</v>
      </c>
      <c r="B929" s="88" t="str">
        <f>IF(OR(B928="Total",B928=""),"",IF(VLOOKUP(A929,Journal!$B$7:$E$84,4)=0,"Total",VLOOKUP(A929,Journal!$B$7:$D$84,3)))</f>
        <v/>
      </c>
      <c r="C929" s="86" t="str">
        <f>IF(B929="","",VLOOKUP(A929,Journal!$B$7:$E$84,4))</f>
        <v/>
      </c>
      <c r="D929" s="114" t="str">
        <f>IF(B929="","",VLOOKUP(A929,Journal!$B$7:$J$84,9))</f>
        <v/>
      </c>
      <c r="E929" s="116"/>
      <c r="F929" s="116"/>
      <c r="G929" s="115"/>
      <c r="H929" s="84" t="str">
        <f>IF(B929="","",VLOOKUP(A929,Journal!$B$7:$L$84,11))</f>
        <v/>
      </c>
      <c r="I929" s="84" t="str">
        <f>IF(B929="","",VLOOKUP(A929,Journal!$B$7:$M$84,12))</f>
        <v/>
      </c>
      <c r="J929" s="105">
        <f>IF(B929="Total",SUM(J$8:J928)+0.0001,IF(OR(B929="",I$2=I929),0,VLOOKUP(A929,Journal!$B$7:M$84,8)))</f>
        <v>0</v>
      </c>
      <c r="K929" s="102">
        <f>IF(B929="Total",SUM(K$8:K928)+0.0001,IF(OR(B929="",J929&lt;&gt;0),0,VLOOKUP(A929,Journal!$B$7:M$84,8)))</f>
        <v>0</v>
      </c>
      <c r="L929" s="87">
        <f t="shared" si="107"/>
        <v>0</v>
      </c>
      <c r="P929">
        <f t="shared" si="108"/>
        <v>1.0000000000000001E-5</v>
      </c>
      <c r="R929" s="15">
        <f t="shared" si="104"/>
        <v>922</v>
      </c>
      <c r="S929" s="126">
        <f>IF(VLOOKUP(A929,Journal!$A$7:$E$70,5)=0,S928+1,VLOOKUP(A929,Journal!$A$7:$E$70,5))</f>
        <v>46579</v>
      </c>
      <c r="T929" s="125">
        <f>IF(H$2=VLOOKUP(A929,Journal!$A$7:$F$70,6),VLOOKUP(A929,Journal!$A$7:M$70,9),0)</f>
        <v>0</v>
      </c>
      <c r="U929" s="125">
        <f>IF(H$2=VLOOKUP(A929,Journal!$A$7:$G$70,7),VLOOKUP(A929,Journal!$A$7:M$70,9),0)</f>
        <v>0</v>
      </c>
      <c r="V929" s="125">
        <f t="shared" si="105"/>
        <v>40</v>
      </c>
      <c r="X929">
        <f t="shared" si="109"/>
        <v>0</v>
      </c>
      <c r="Y929" s="143">
        <f t="shared" si="103"/>
        <v>-975.8157894737227</v>
      </c>
    </row>
    <row r="930" spans="1:25" x14ac:dyDescent="0.25">
      <c r="A930">
        <f t="shared" si="106"/>
        <v>923</v>
      </c>
      <c r="B930" s="88" t="str">
        <f>IF(OR(B929="Total",B929=""),"",IF(VLOOKUP(A930,Journal!$B$7:$E$84,4)=0,"Total",VLOOKUP(A930,Journal!$B$7:$D$84,3)))</f>
        <v/>
      </c>
      <c r="C930" s="86" t="str">
        <f>IF(B930="","",VLOOKUP(A930,Journal!$B$7:$E$84,4))</f>
        <v/>
      </c>
      <c r="D930" s="114" t="str">
        <f>IF(B930="","",VLOOKUP(A930,Journal!$B$7:$J$84,9))</f>
        <v/>
      </c>
      <c r="E930" s="116"/>
      <c r="F930" s="116"/>
      <c r="G930" s="115"/>
      <c r="H930" s="84" t="str">
        <f>IF(B930="","",VLOOKUP(A930,Journal!$B$7:$L$84,11))</f>
        <v/>
      </c>
      <c r="I930" s="84" t="str">
        <f>IF(B930="","",VLOOKUP(A930,Journal!$B$7:$M$84,12))</f>
        <v/>
      </c>
      <c r="J930" s="105">
        <f>IF(B930="Total",SUM(J$8:J929)+0.0001,IF(OR(B930="",I$2=I930),0,VLOOKUP(A930,Journal!$B$7:M$84,8)))</f>
        <v>0</v>
      </c>
      <c r="K930" s="102">
        <f>IF(B930="Total",SUM(K$8:K929)+0.0001,IF(OR(B930="",J930&lt;&gt;0),0,VLOOKUP(A930,Journal!$B$7:M$84,8)))</f>
        <v>0</v>
      </c>
      <c r="L930" s="87">
        <f t="shared" si="107"/>
        <v>0</v>
      </c>
      <c r="P930">
        <f t="shared" si="108"/>
        <v>1.0000000000000001E-5</v>
      </c>
      <c r="R930" s="15">
        <f t="shared" si="104"/>
        <v>923</v>
      </c>
      <c r="S930" s="126">
        <f>IF(VLOOKUP(A930,Journal!$A$7:$E$70,5)=0,S929+1,VLOOKUP(A930,Journal!$A$7:$E$70,5))</f>
        <v>46580</v>
      </c>
      <c r="T930" s="125">
        <f>IF(H$2=VLOOKUP(A930,Journal!$A$7:$F$70,6),VLOOKUP(A930,Journal!$A$7:M$70,9),0)</f>
        <v>0</v>
      </c>
      <c r="U930" s="125">
        <f>IF(H$2=VLOOKUP(A930,Journal!$A$7:$G$70,7),VLOOKUP(A930,Journal!$A$7:M$70,9),0)</f>
        <v>0</v>
      </c>
      <c r="V930" s="125">
        <f t="shared" si="105"/>
        <v>40</v>
      </c>
      <c r="X930">
        <f t="shared" si="109"/>
        <v>0</v>
      </c>
      <c r="Y930" s="143">
        <f t="shared" si="103"/>
        <v>-975.78947368424906</v>
      </c>
    </row>
    <row r="931" spans="1:25" x14ac:dyDescent="0.25">
      <c r="A931">
        <f t="shared" si="106"/>
        <v>924</v>
      </c>
      <c r="B931" s="88" t="str">
        <f>IF(OR(B930="Total",B930=""),"",IF(VLOOKUP(A931,Journal!$B$7:$E$84,4)=0,"Total",VLOOKUP(A931,Journal!$B$7:$D$84,3)))</f>
        <v/>
      </c>
      <c r="C931" s="86" t="str">
        <f>IF(B931="","",VLOOKUP(A931,Journal!$B$7:$E$84,4))</f>
        <v/>
      </c>
      <c r="D931" s="114" t="str">
        <f>IF(B931="","",VLOOKUP(A931,Journal!$B$7:$J$84,9))</f>
        <v/>
      </c>
      <c r="E931" s="116"/>
      <c r="F931" s="116"/>
      <c r="G931" s="115"/>
      <c r="H931" s="84" t="str">
        <f>IF(B931="","",VLOOKUP(A931,Journal!$B$7:$L$84,11))</f>
        <v/>
      </c>
      <c r="I931" s="84" t="str">
        <f>IF(B931="","",VLOOKUP(A931,Journal!$B$7:$M$84,12))</f>
        <v/>
      </c>
      <c r="J931" s="105">
        <f>IF(B931="Total",SUM(J$8:J930)+0.0001,IF(OR(B931="",I$2=I931),0,VLOOKUP(A931,Journal!$B$7:M$84,8)))</f>
        <v>0</v>
      </c>
      <c r="K931" s="102">
        <f>IF(B931="Total",SUM(K$8:K930)+0.0001,IF(OR(B931="",J931&lt;&gt;0),0,VLOOKUP(A931,Journal!$B$7:M$84,8)))</f>
        <v>0</v>
      </c>
      <c r="L931" s="87">
        <f t="shared" si="107"/>
        <v>0</v>
      </c>
      <c r="P931">
        <f t="shared" si="108"/>
        <v>1.0000000000000001E-5</v>
      </c>
      <c r="R931" s="15">
        <f t="shared" si="104"/>
        <v>924</v>
      </c>
      <c r="S931" s="126">
        <f>IF(VLOOKUP(A931,Journal!$A$7:$E$70,5)=0,S930+1,VLOOKUP(A931,Journal!$A$7:$E$70,5))</f>
        <v>46581</v>
      </c>
      <c r="T931" s="125">
        <f>IF(H$2=VLOOKUP(A931,Journal!$A$7:$F$70,6),VLOOKUP(A931,Journal!$A$7:M$70,9),0)</f>
        <v>0</v>
      </c>
      <c r="U931" s="125">
        <f>IF(H$2=VLOOKUP(A931,Journal!$A$7:$G$70,7),VLOOKUP(A931,Journal!$A$7:M$70,9),0)</f>
        <v>0</v>
      </c>
      <c r="V931" s="125">
        <f t="shared" si="105"/>
        <v>40</v>
      </c>
      <c r="X931">
        <f t="shared" si="109"/>
        <v>0</v>
      </c>
      <c r="Y931" s="143">
        <f t="shared" si="103"/>
        <v>-975.76315789477542</v>
      </c>
    </row>
    <row r="932" spans="1:25" x14ac:dyDescent="0.25">
      <c r="A932">
        <f t="shared" si="106"/>
        <v>925</v>
      </c>
      <c r="B932" s="88" t="str">
        <f>IF(OR(B931="Total",B931=""),"",IF(VLOOKUP(A932,Journal!$B$7:$E$84,4)=0,"Total",VLOOKUP(A932,Journal!$B$7:$D$84,3)))</f>
        <v/>
      </c>
      <c r="C932" s="86" t="str">
        <f>IF(B932="","",VLOOKUP(A932,Journal!$B$7:$E$84,4))</f>
        <v/>
      </c>
      <c r="D932" s="114" t="str">
        <f>IF(B932="","",VLOOKUP(A932,Journal!$B$7:$J$84,9))</f>
        <v/>
      </c>
      <c r="E932" s="116"/>
      <c r="F932" s="116"/>
      <c r="G932" s="115"/>
      <c r="H932" s="84" t="str">
        <f>IF(B932="","",VLOOKUP(A932,Journal!$B$7:$L$84,11))</f>
        <v/>
      </c>
      <c r="I932" s="84" t="str">
        <f>IF(B932="","",VLOOKUP(A932,Journal!$B$7:$M$84,12))</f>
        <v/>
      </c>
      <c r="J932" s="105">
        <f>IF(B932="Total",SUM(J$8:J931)+0.0001,IF(OR(B932="",I$2=I932),0,VLOOKUP(A932,Journal!$B$7:M$84,8)))</f>
        <v>0</v>
      </c>
      <c r="K932" s="102">
        <f>IF(B932="Total",SUM(K$8:K931)+0.0001,IF(OR(B932="",J932&lt;&gt;0),0,VLOOKUP(A932,Journal!$B$7:M$84,8)))</f>
        <v>0</v>
      </c>
      <c r="L932" s="87">
        <f t="shared" si="107"/>
        <v>0</v>
      </c>
      <c r="P932">
        <f t="shared" si="108"/>
        <v>1.0000000000000001E-5</v>
      </c>
      <c r="R932" s="15">
        <f t="shared" si="104"/>
        <v>925</v>
      </c>
      <c r="S932" s="126">
        <f>IF(VLOOKUP(A932,Journal!$A$7:$E$70,5)=0,S931+1,VLOOKUP(A932,Journal!$A$7:$E$70,5))</f>
        <v>46582</v>
      </c>
      <c r="T932" s="125">
        <f>IF(H$2=VLOOKUP(A932,Journal!$A$7:$F$70,6),VLOOKUP(A932,Journal!$A$7:M$70,9),0)</f>
        <v>0</v>
      </c>
      <c r="U932" s="125">
        <f>IF(H$2=VLOOKUP(A932,Journal!$A$7:$G$70,7),VLOOKUP(A932,Journal!$A$7:M$70,9),0)</f>
        <v>0</v>
      </c>
      <c r="V932" s="125">
        <f t="shared" si="105"/>
        <v>40</v>
      </c>
      <c r="X932">
        <f t="shared" si="109"/>
        <v>0</v>
      </c>
      <c r="Y932" s="143">
        <f t="shared" si="103"/>
        <v>-975.73684210530178</v>
      </c>
    </row>
    <row r="933" spans="1:25" x14ac:dyDescent="0.25">
      <c r="A933">
        <f t="shared" si="106"/>
        <v>926</v>
      </c>
      <c r="B933" s="88" t="str">
        <f>IF(OR(B932="Total",B932=""),"",IF(VLOOKUP(A933,Journal!$B$7:$E$84,4)=0,"Total",VLOOKUP(A933,Journal!$B$7:$D$84,3)))</f>
        <v/>
      </c>
      <c r="C933" s="86" t="str">
        <f>IF(B933="","",VLOOKUP(A933,Journal!$B$7:$E$84,4))</f>
        <v/>
      </c>
      <c r="D933" s="114" t="str">
        <f>IF(B933="","",VLOOKUP(A933,Journal!$B$7:$J$84,9))</f>
        <v/>
      </c>
      <c r="E933" s="116"/>
      <c r="F933" s="116"/>
      <c r="G933" s="115"/>
      <c r="H933" s="84" t="str">
        <f>IF(B933="","",VLOOKUP(A933,Journal!$B$7:$L$84,11))</f>
        <v/>
      </c>
      <c r="I933" s="84" t="str">
        <f>IF(B933="","",VLOOKUP(A933,Journal!$B$7:$M$84,12))</f>
        <v/>
      </c>
      <c r="J933" s="105">
        <f>IF(B933="Total",SUM(J$8:J932)+0.0001,IF(OR(B933="",I$2=I933),0,VLOOKUP(A933,Journal!$B$7:M$84,8)))</f>
        <v>0</v>
      </c>
      <c r="K933" s="102">
        <f>IF(B933="Total",SUM(K$8:K932)+0.0001,IF(OR(B933="",J933&lt;&gt;0),0,VLOOKUP(A933,Journal!$B$7:M$84,8)))</f>
        <v>0</v>
      </c>
      <c r="L933" s="87">
        <f t="shared" si="107"/>
        <v>0</v>
      </c>
      <c r="P933">
        <f t="shared" si="108"/>
        <v>1.0000000000000001E-5</v>
      </c>
      <c r="R933" s="15">
        <f t="shared" si="104"/>
        <v>926</v>
      </c>
      <c r="S933" s="126">
        <f>IF(VLOOKUP(A933,Journal!$A$7:$E$70,5)=0,S932+1,VLOOKUP(A933,Journal!$A$7:$E$70,5))</f>
        <v>46583</v>
      </c>
      <c r="T933" s="125">
        <f>IF(H$2=VLOOKUP(A933,Journal!$A$7:$F$70,6),VLOOKUP(A933,Journal!$A$7:M$70,9),0)</f>
        <v>0</v>
      </c>
      <c r="U933" s="125">
        <f>IF(H$2=VLOOKUP(A933,Journal!$A$7:$G$70,7),VLOOKUP(A933,Journal!$A$7:M$70,9),0)</f>
        <v>0</v>
      </c>
      <c r="V933" s="125">
        <f t="shared" si="105"/>
        <v>40</v>
      </c>
      <c r="X933">
        <f t="shared" si="109"/>
        <v>0</v>
      </c>
      <c r="Y933" s="143">
        <f t="shared" si="103"/>
        <v>-975.71052631582813</v>
      </c>
    </row>
    <row r="934" spans="1:25" x14ac:dyDescent="0.25">
      <c r="A934">
        <f t="shared" si="106"/>
        <v>927</v>
      </c>
      <c r="B934" s="88" t="str">
        <f>IF(OR(B933="Total",B933=""),"",IF(VLOOKUP(A934,Journal!$B$7:$E$84,4)=0,"Total",VLOOKUP(A934,Journal!$B$7:$D$84,3)))</f>
        <v/>
      </c>
      <c r="C934" s="86" t="str">
        <f>IF(B934="","",VLOOKUP(A934,Journal!$B$7:$E$84,4))</f>
        <v/>
      </c>
      <c r="D934" s="114" t="str">
        <f>IF(B934="","",VLOOKUP(A934,Journal!$B$7:$J$84,9))</f>
        <v/>
      </c>
      <c r="E934" s="116"/>
      <c r="F934" s="116"/>
      <c r="G934" s="115"/>
      <c r="H934" s="84" t="str">
        <f>IF(B934="","",VLOOKUP(A934,Journal!$B$7:$L$84,11))</f>
        <v/>
      </c>
      <c r="I934" s="84" t="str">
        <f>IF(B934="","",VLOOKUP(A934,Journal!$B$7:$M$84,12))</f>
        <v/>
      </c>
      <c r="J934" s="105">
        <f>IF(B934="Total",SUM(J$8:J933)+0.0001,IF(OR(B934="",I$2=I934),0,VLOOKUP(A934,Journal!$B$7:M$84,8)))</f>
        <v>0</v>
      </c>
      <c r="K934" s="102">
        <f>IF(B934="Total",SUM(K$8:K933)+0.0001,IF(OR(B934="",J934&lt;&gt;0),0,VLOOKUP(A934,Journal!$B$7:M$84,8)))</f>
        <v>0</v>
      </c>
      <c r="L934" s="87">
        <f t="shared" si="107"/>
        <v>0</v>
      </c>
      <c r="P934">
        <f t="shared" si="108"/>
        <v>1.0000000000000001E-5</v>
      </c>
      <c r="R934" s="15">
        <f t="shared" si="104"/>
        <v>927</v>
      </c>
      <c r="S934" s="126">
        <f>IF(VLOOKUP(A934,Journal!$A$7:$E$70,5)=0,S933+1,VLOOKUP(A934,Journal!$A$7:$E$70,5))</f>
        <v>46584</v>
      </c>
      <c r="T934" s="125">
        <f>IF(H$2=VLOOKUP(A934,Journal!$A$7:$F$70,6),VLOOKUP(A934,Journal!$A$7:M$70,9),0)</f>
        <v>0</v>
      </c>
      <c r="U934" s="125">
        <f>IF(H$2=VLOOKUP(A934,Journal!$A$7:$G$70,7),VLOOKUP(A934,Journal!$A$7:M$70,9),0)</f>
        <v>0</v>
      </c>
      <c r="V934" s="125">
        <f t="shared" si="105"/>
        <v>40</v>
      </c>
      <c r="X934">
        <f t="shared" si="109"/>
        <v>0</v>
      </c>
      <c r="Y934" s="143">
        <f t="shared" si="103"/>
        <v>-975.68421052635449</v>
      </c>
    </row>
    <row r="935" spans="1:25" x14ac:dyDescent="0.25">
      <c r="A935">
        <f t="shared" si="106"/>
        <v>928</v>
      </c>
      <c r="B935" s="88" t="str">
        <f>IF(OR(B934="Total",B934=""),"",IF(VLOOKUP(A935,Journal!$B$7:$E$84,4)=0,"Total",VLOOKUP(A935,Journal!$B$7:$D$84,3)))</f>
        <v/>
      </c>
      <c r="C935" s="86" t="str">
        <f>IF(B935="","",VLOOKUP(A935,Journal!$B$7:$E$84,4))</f>
        <v/>
      </c>
      <c r="D935" s="114" t="str">
        <f>IF(B935="","",VLOOKUP(A935,Journal!$B$7:$J$84,9))</f>
        <v/>
      </c>
      <c r="E935" s="116"/>
      <c r="F935" s="116"/>
      <c r="G935" s="115"/>
      <c r="H935" s="84" t="str">
        <f>IF(B935="","",VLOOKUP(A935,Journal!$B$7:$L$84,11))</f>
        <v/>
      </c>
      <c r="I935" s="84" t="str">
        <f>IF(B935="","",VLOOKUP(A935,Journal!$B$7:$M$84,12))</f>
        <v/>
      </c>
      <c r="J935" s="105">
        <f>IF(B935="Total",SUM(J$8:J934)+0.0001,IF(OR(B935="",I$2=I935),0,VLOOKUP(A935,Journal!$B$7:M$84,8)))</f>
        <v>0</v>
      </c>
      <c r="K935" s="102">
        <f>IF(B935="Total",SUM(K$8:K934)+0.0001,IF(OR(B935="",J935&lt;&gt;0),0,VLOOKUP(A935,Journal!$B$7:M$84,8)))</f>
        <v>0</v>
      </c>
      <c r="L935" s="87">
        <f t="shared" si="107"/>
        <v>0</v>
      </c>
      <c r="P935">
        <f t="shared" si="108"/>
        <v>1.0000000000000001E-5</v>
      </c>
      <c r="R935" s="15">
        <f t="shared" si="104"/>
        <v>928</v>
      </c>
      <c r="S935" s="126">
        <f>IF(VLOOKUP(A935,Journal!$A$7:$E$70,5)=0,S934+1,VLOOKUP(A935,Journal!$A$7:$E$70,5))</f>
        <v>46585</v>
      </c>
      <c r="T935" s="125">
        <f>IF(H$2=VLOOKUP(A935,Journal!$A$7:$F$70,6),VLOOKUP(A935,Journal!$A$7:M$70,9),0)</f>
        <v>0</v>
      </c>
      <c r="U935" s="125">
        <f>IF(H$2=VLOOKUP(A935,Journal!$A$7:$G$70,7),VLOOKUP(A935,Journal!$A$7:M$70,9),0)</f>
        <v>0</v>
      </c>
      <c r="V935" s="125">
        <f t="shared" si="105"/>
        <v>40</v>
      </c>
      <c r="X935">
        <f t="shared" si="109"/>
        <v>0</v>
      </c>
      <c r="Y935" s="143">
        <f t="shared" si="103"/>
        <v>-975.65789473688085</v>
      </c>
    </row>
    <row r="936" spans="1:25" x14ac:dyDescent="0.25">
      <c r="A936">
        <f t="shared" si="106"/>
        <v>929</v>
      </c>
      <c r="B936" s="88" t="str">
        <f>IF(OR(B935="Total",B935=""),"",IF(VLOOKUP(A936,Journal!$B$7:$E$84,4)=0,"Total",VLOOKUP(A936,Journal!$B$7:$D$84,3)))</f>
        <v/>
      </c>
      <c r="C936" s="86" t="str">
        <f>IF(B936="","",VLOOKUP(A936,Journal!$B$7:$E$84,4))</f>
        <v/>
      </c>
      <c r="D936" s="114" t="str">
        <f>IF(B936="","",VLOOKUP(A936,Journal!$B$7:$J$84,9))</f>
        <v/>
      </c>
      <c r="E936" s="116"/>
      <c r="F936" s="116"/>
      <c r="G936" s="115"/>
      <c r="H936" s="84" t="str">
        <f>IF(B936="","",VLOOKUP(A936,Journal!$B$7:$L$84,11))</f>
        <v/>
      </c>
      <c r="I936" s="84" t="str">
        <f>IF(B936="","",VLOOKUP(A936,Journal!$B$7:$M$84,12))</f>
        <v/>
      </c>
      <c r="J936" s="105">
        <f>IF(B936="Total",SUM(J$8:J935)+0.0001,IF(OR(B936="",I$2=I936),0,VLOOKUP(A936,Journal!$B$7:M$84,8)))</f>
        <v>0</v>
      </c>
      <c r="K936" s="102">
        <f>IF(B936="Total",SUM(K$8:K935)+0.0001,IF(OR(B936="",J936&lt;&gt;0),0,VLOOKUP(A936,Journal!$B$7:M$84,8)))</f>
        <v>0</v>
      </c>
      <c r="L936" s="87">
        <f t="shared" si="107"/>
        <v>0</v>
      </c>
      <c r="P936">
        <f t="shared" si="108"/>
        <v>1.0000000000000001E-5</v>
      </c>
      <c r="R936" s="15">
        <f t="shared" si="104"/>
        <v>929</v>
      </c>
      <c r="S936" s="126">
        <f>IF(VLOOKUP(A936,Journal!$A$7:$E$70,5)=0,S935+1,VLOOKUP(A936,Journal!$A$7:$E$70,5))</f>
        <v>46586</v>
      </c>
      <c r="T936" s="125">
        <f>IF(H$2=VLOOKUP(A936,Journal!$A$7:$F$70,6),VLOOKUP(A936,Journal!$A$7:M$70,9),0)</f>
        <v>0</v>
      </c>
      <c r="U936" s="125">
        <f>IF(H$2=VLOOKUP(A936,Journal!$A$7:$G$70,7),VLOOKUP(A936,Journal!$A$7:M$70,9),0)</f>
        <v>0</v>
      </c>
      <c r="V936" s="125">
        <f t="shared" si="105"/>
        <v>40</v>
      </c>
      <c r="X936">
        <f t="shared" si="109"/>
        <v>0</v>
      </c>
      <c r="Y936" s="143">
        <f t="shared" si="103"/>
        <v>-975.63157894740721</v>
      </c>
    </row>
    <row r="937" spans="1:25" x14ac:dyDescent="0.25">
      <c r="A937">
        <f t="shared" si="106"/>
        <v>930</v>
      </c>
      <c r="B937" s="88" t="str">
        <f>IF(OR(B936="Total",B936=""),"",IF(VLOOKUP(A937,Journal!$B$7:$E$84,4)=0,"Total",VLOOKUP(A937,Journal!$B$7:$D$84,3)))</f>
        <v/>
      </c>
      <c r="C937" s="86" t="str">
        <f>IF(B937="","",VLOOKUP(A937,Journal!$B$7:$E$84,4))</f>
        <v/>
      </c>
      <c r="D937" s="114" t="str">
        <f>IF(B937="","",VLOOKUP(A937,Journal!$B$7:$J$84,9))</f>
        <v/>
      </c>
      <c r="E937" s="116"/>
      <c r="F937" s="116"/>
      <c r="G937" s="115"/>
      <c r="H937" s="84" t="str">
        <f>IF(B937="","",VLOOKUP(A937,Journal!$B$7:$L$84,11))</f>
        <v/>
      </c>
      <c r="I937" s="84" t="str">
        <f>IF(B937="","",VLOOKUP(A937,Journal!$B$7:$M$84,12))</f>
        <v/>
      </c>
      <c r="J937" s="105">
        <f>IF(B937="Total",SUM(J$8:J936)+0.0001,IF(OR(B937="",I$2=I937),0,VLOOKUP(A937,Journal!$B$7:M$84,8)))</f>
        <v>0</v>
      </c>
      <c r="K937" s="102">
        <f>IF(B937="Total",SUM(K$8:K936)+0.0001,IF(OR(B937="",J937&lt;&gt;0),0,VLOOKUP(A937,Journal!$B$7:M$84,8)))</f>
        <v>0</v>
      </c>
      <c r="L937" s="87">
        <f t="shared" si="107"/>
        <v>0</v>
      </c>
      <c r="P937">
        <f t="shared" si="108"/>
        <v>1.0000000000000001E-5</v>
      </c>
      <c r="R937" s="15">
        <f t="shared" si="104"/>
        <v>930</v>
      </c>
      <c r="S937" s="126">
        <f>IF(VLOOKUP(A937,Journal!$A$7:$E$70,5)=0,S936+1,VLOOKUP(A937,Journal!$A$7:$E$70,5))</f>
        <v>46587</v>
      </c>
      <c r="T937" s="125">
        <f>IF(H$2=VLOOKUP(A937,Journal!$A$7:$F$70,6),VLOOKUP(A937,Journal!$A$7:M$70,9),0)</f>
        <v>0</v>
      </c>
      <c r="U937" s="125">
        <f>IF(H$2=VLOOKUP(A937,Journal!$A$7:$G$70,7),VLOOKUP(A937,Journal!$A$7:M$70,9),0)</f>
        <v>0</v>
      </c>
      <c r="V937" s="125">
        <f t="shared" si="105"/>
        <v>40</v>
      </c>
      <c r="X937">
        <f t="shared" si="109"/>
        <v>0</v>
      </c>
      <c r="Y937" s="143">
        <f t="shared" si="103"/>
        <v>-975.60526315793356</v>
      </c>
    </row>
    <row r="938" spans="1:25" x14ac:dyDescent="0.25">
      <c r="A938">
        <f t="shared" si="106"/>
        <v>931</v>
      </c>
      <c r="B938" s="88" t="str">
        <f>IF(OR(B937="Total",B937=""),"",IF(VLOOKUP(A938,Journal!$B$7:$E$84,4)=0,"Total",VLOOKUP(A938,Journal!$B$7:$D$84,3)))</f>
        <v/>
      </c>
      <c r="C938" s="86" t="str">
        <f>IF(B938="","",VLOOKUP(A938,Journal!$B$7:$E$84,4))</f>
        <v/>
      </c>
      <c r="D938" s="114" t="str">
        <f>IF(B938="","",VLOOKUP(A938,Journal!$B$7:$J$84,9))</f>
        <v/>
      </c>
      <c r="E938" s="116"/>
      <c r="F938" s="116"/>
      <c r="G938" s="115"/>
      <c r="H938" s="84" t="str">
        <f>IF(B938="","",VLOOKUP(A938,Journal!$B$7:$L$84,11))</f>
        <v/>
      </c>
      <c r="I938" s="84" t="str">
        <f>IF(B938="","",VLOOKUP(A938,Journal!$B$7:$M$84,12))</f>
        <v/>
      </c>
      <c r="J938" s="105">
        <f>IF(B938="Total",SUM(J$8:J937)+0.0001,IF(OR(B938="",I$2=I938),0,VLOOKUP(A938,Journal!$B$7:M$84,8)))</f>
        <v>0</v>
      </c>
      <c r="K938" s="102">
        <f>IF(B938="Total",SUM(K$8:K937)+0.0001,IF(OR(B938="",J938&lt;&gt;0),0,VLOOKUP(A938,Journal!$B$7:M$84,8)))</f>
        <v>0</v>
      </c>
      <c r="L938" s="87">
        <f t="shared" si="107"/>
        <v>0</v>
      </c>
      <c r="P938">
        <f t="shared" si="108"/>
        <v>1.0000000000000001E-5</v>
      </c>
      <c r="R938" s="15">
        <f t="shared" ref="R938:R969" si="110">R937+1</f>
        <v>931</v>
      </c>
      <c r="S938" s="126">
        <f>IF(VLOOKUP(A938,Journal!$A$7:$E$70,5)=0,S937+1,VLOOKUP(A938,Journal!$A$7:$E$70,5))</f>
        <v>46588</v>
      </c>
      <c r="T938" s="125">
        <f>IF(H$2=VLOOKUP(A938,Journal!$A$7:$F$70,6),VLOOKUP(A938,Journal!$A$7:M$70,9),0)</f>
        <v>0</v>
      </c>
      <c r="U938" s="125">
        <f>IF(H$2=VLOOKUP(A938,Journal!$A$7:$G$70,7),VLOOKUP(A938,Journal!$A$7:M$70,9),0)</f>
        <v>0</v>
      </c>
      <c r="V938" s="125">
        <f t="shared" si="105"/>
        <v>40</v>
      </c>
      <c r="X938">
        <f t="shared" si="109"/>
        <v>0</v>
      </c>
      <c r="Y938" s="143">
        <f t="shared" si="103"/>
        <v>-975.57894736845992</v>
      </c>
    </row>
    <row r="939" spans="1:25" x14ac:dyDescent="0.25">
      <c r="A939">
        <f t="shared" ref="A939:A970" si="111">A938+1</f>
        <v>932</v>
      </c>
      <c r="B939" s="88" t="str">
        <f>IF(OR(B938="Total",B938=""),"",IF(VLOOKUP(A939,Journal!$B$7:$E$84,4)=0,"Total",VLOOKUP(A939,Journal!$B$7:$D$84,3)))</f>
        <v/>
      </c>
      <c r="C939" s="86" t="str">
        <f>IF(B939="","",VLOOKUP(A939,Journal!$B$7:$E$84,4))</f>
        <v/>
      </c>
      <c r="D939" s="114" t="str">
        <f>IF(B939="","",VLOOKUP(A939,Journal!$B$7:$J$84,9))</f>
        <v/>
      </c>
      <c r="E939" s="116"/>
      <c r="F939" s="116"/>
      <c r="G939" s="115"/>
      <c r="H939" s="84" t="str">
        <f>IF(B939="","",VLOOKUP(A939,Journal!$B$7:$L$84,11))</f>
        <v/>
      </c>
      <c r="I939" s="84" t="str">
        <f>IF(B939="","",VLOOKUP(A939,Journal!$B$7:$M$84,12))</f>
        <v/>
      </c>
      <c r="J939" s="105">
        <f>IF(B939="Total",SUM(J$8:J938)+0.0001,IF(OR(B939="",I$2=I939),0,VLOOKUP(A939,Journal!$B$7:M$84,8)))</f>
        <v>0</v>
      </c>
      <c r="K939" s="102">
        <f>IF(B939="Total",SUM(K$8:K938)+0.0001,IF(OR(B939="",J939&lt;&gt;0),0,VLOOKUP(A939,Journal!$B$7:M$84,8)))</f>
        <v>0</v>
      </c>
      <c r="L939" s="87">
        <f t="shared" si="107"/>
        <v>0</v>
      </c>
      <c r="P939">
        <f t="shared" si="108"/>
        <v>1.0000000000000001E-5</v>
      </c>
      <c r="R939" s="15">
        <f t="shared" si="110"/>
        <v>932</v>
      </c>
      <c r="S939" s="126">
        <f>IF(VLOOKUP(A939,Journal!$A$7:$E$70,5)=0,S938+1,VLOOKUP(A939,Journal!$A$7:$E$70,5))</f>
        <v>46589</v>
      </c>
      <c r="T939" s="125">
        <f>IF(H$2=VLOOKUP(A939,Journal!$A$7:$F$70,6),VLOOKUP(A939,Journal!$A$7:M$70,9),0)</f>
        <v>0</v>
      </c>
      <c r="U939" s="125">
        <f>IF(H$2=VLOOKUP(A939,Journal!$A$7:$G$70,7),VLOOKUP(A939,Journal!$A$7:M$70,9),0)</f>
        <v>0</v>
      </c>
      <c r="V939" s="125">
        <f t="shared" si="105"/>
        <v>40</v>
      </c>
      <c r="X939">
        <f t="shared" si="109"/>
        <v>0</v>
      </c>
      <c r="Y939" s="143">
        <f t="shared" si="103"/>
        <v>-975.55263157898628</v>
      </c>
    </row>
    <row r="940" spans="1:25" x14ac:dyDescent="0.25">
      <c r="A940">
        <f t="shared" si="111"/>
        <v>933</v>
      </c>
      <c r="B940" s="88" t="str">
        <f>IF(OR(B939="Total",B939=""),"",IF(VLOOKUP(A940,Journal!$B$7:$E$84,4)=0,"Total",VLOOKUP(A940,Journal!$B$7:$D$84,3)))</f>
        <v/>
      </c>
      <c r="C940" s="86" t="str">
        <f>IF(B940="","",VLOOKUP(A940,Journal!$B$7:$E$84,4))</f>
        <v/>
      </c>
      <c r="D940" s="114" t="str">
        <f>IF(B940="","",VLOOKUP(A940,Journal!$B$7:$J$84,9))</f>
        <v/>
      </c>
      <c r="E940" s="116"/>
      <c r="F940" s="116"/>
      <c r="G940" s="115"/>
      <c r="H940" s="84" t="str">
        <f>IF(B940="","",VLOOKUP(A940,Journal!$B$7:$L$84,11))</f>
        <v/>
      </c>
      <c r="I940" s="84" t="str">
        <f>IF(B940="","",VLOOKUP(A940,Journal!$B$7:$M$84,12))</f>
        <v/>
      </c>
      <c r="J940" s="105">
        <f>IF(B940="Total",SUM(J$8:J939)+0.0001,IF(OR(B940="",I$2=I940),0,VLOOKUP(A940,Journal!$B$7:M$84,8)))</f>
        <v>0</v>
      </c>
      <c r="K940" s="102">
        <f>IF(B940="Total",SUM(K$8:K939)+0.0001,IF(OR(B940="",J940&lt;&gt;0),0,VLOOKUP(A940,Journal!$B$7:M$84,8)))</f>
        <v>0</v>
      </c>
      <c r="L940" s="87">
        <f t="shared" si="107"/>
        <v>0</v>
      </c>
      <c r="P940">
        <f t="shared" si="108"/>
        <v>1.0000000000000001E-5</v>
      </c>
      <c r="R940" s="15">
        <f t="shared" si="110"/>
        <v>933</v>
      </c>
      <c r="S940" s="126">
        <f>IF(VLOOKUP(A940,Journal!$A$7:$E$70,5)=0,S939+1,VLOOKUP(A940,Journal!$A$7:$E$70,5))</f>
        <v>46590</v>
      </c>
      <c r="T940" s="125">
        <f>IF(H$2=VLOOKUP(A940,Journal!$A$7:$F$70,6),VLOOKUP(A940,Journal!$A$7:M$70,9),0)</f>
        <v>0</v>
      </c>
      <c r="U940" s="125">
        <f>IF(H$2=VLOOKUP(A940,Journal!$A$7:$G$70,7),VLOOKUP(A940,Journal!$A$7:M$70,9),0)</f>
        <v>0</v>
      </c>
      <c r="V940" s="125">
        <f t="shared" si="105"/>
        <v>40</v>
      </c>
      <c r="X940">
        <f t="shared" si="109"/>
        <v>0</v>
      </c>
      <c r="Y940" s="143">
        <f t="shared" si="103"/>
        <v>-975.52631578951264</v>
      </c>
    </row>
    <row r="941" spans="1:25" x14ac:dyDescent="0.25">
      <c r="A941">
        <f t="shared" si="111"/>
        <v>934</v>
      </c>
      <c r="B941" s="88" t="str">
        <f>IF(OR(B940="Total",B940=""),"",IF(VLOOKUP(A941,Journal!$B$7:$E$84,4)=0,"Total",VLOOKUP(A941,Journal!$B$7:$D$84,3)))</f>
        <v/>
      </c>
      <c r="C941" s="86" t="str">
        <f>IF(B941="","",VLOOKUP(A941,Journal!$B$7:$E$84,4))</f>
        <v/>
      </c>
      <c r="D941" s="114" t="str">
        <f>IF(B941="","",VLOOKUP(A941,Journal!$B$7:$J$84,9))</f>
        <v/>
      </c>
      <c r="E941" s="116"/>
      <c r="F941" s="116"/>
      <c r="G941" s="115"/>
      <c r="H941" s="84" t="str">
        <f>IF(B941="","",VLOOKUP(A941,Journal!$B$7:$L$84,11))</f>
        <v/>
      </c>
      <c r="I941" s="84" t="str">
        <f>IF(B941="","",VLOOKUP(A941,Journal!$B$7:$M$84,12))</f>
        <v/>
      </c>
      <c r="J941" s="105">
        <f>IF(B941="Total",SUM(J$8:J940)+0.0001,IF(OR(B941="",I$2=I941),0,VLOOKUP(A941,Journal!$B$7:M$84,8)))</f>
        <v>0</v>
      </c>
      <c r="K941" s="102">
        <f>IF(B941="Total",SUM(K$8:K940)+0.0001,IF(OR(B941="",J941&lt;&gt;0),0,VLOOKUP(A941,Journal!$B$7:M$84,8)))</f>
        <v>0</v>
      </c>
      <c r="L941" s="87">
        <f t="shared" si="107"/>
        <v>0</v>
      </c>
      <c r="P941">
        <f t="shared" si="108"/>
        <v>1.0000000000000001E-5</v>
      </c>
      <c r="R941" s="15">
        <f t="shared" si="110"/>
        <v>934</v>
      </c>
      <c r="S941" s="126">
        <f>IF(VLOOKUP(A941,Journal!$A$7:$E$70,5)=0,S940+1,VLOOKUP(A941,Journal!$A$7:$E$70,5))</f>
        <v>46591</v>
      </c>
      <c r="T941" s="125">
        <f>IF(H$2=VLOOKUP(A941,Journal!$A$7:$F$70,6),VLOOKUP(A941,Journal!$A$7:M$70,9),0)</f>
        <v>0</v>
      </c>
      <c r="U941" s="125">
        <f>IF(H$2=VLOOKUP(A941,Journal!$A$7:$G$70,7),VLOOKUP(A941,Journal!$A$7:M$70,9),0)</f>
        <v>0</v>
      </c>
      <c r="V941" s="125">
        <f t="shared" si="105"/>
        <v>40</v>
      </c>
      <c r="X941">
        <f t="shared" si="109"/>
        <v>0</v>
      </c>
      <c r="Y941" s="143">
        <f t="shared" si="103"/>
        <v>-975.50000000003899</v>
      </c>
    </row>
    <row r="942" spans="1:25" x14ac:dyDescent="0.25">
      <c r="A942">
        <f t="shared" si="111"/>
        <v>935</v>
      </c>
      <c r="B942" s="88" t="str">
        <f>IF(OR(B941="Total",B941=""),"",IF(VLOOKUP(A942,Journal!$B$7:$E$84,4)=0,"Total",VLOOKUP(A942,Journal!$B$7:$D$84,3)))</f>
        <v/>
      </c>
      <c r="C942" s="86" t="str">
        <f>IF(B942="","",VLOOKUP(A942,Journal!$B$7:$E$84,4))</f>
        <v/>
      </c>
      <c r="D942" s="114" t="str">
        <f>IF(B942="","",VLOOKUP(A942,Journal!$B$7:$J$84,9))</f>
        <v/>
      </c>
      <c r="E942" s="116"/>
      <c r="F942" s="116"/>
      <c r="G942" s="115"/>
      <c r="H942" s="84" t="str">
        <f>IF(B942="","",VLOOKUP(A942,Journal!$B$7:$L$84,11))</f>
        <v/>
      </c>
      <c r="I942" s="84" t="str">
        <f>IF(B942="","",VLOOKUP(A942,Journal!$B$7:$M$84,12))</f>
        <v/>
      </c>
      <c r="J942" s="105">
        <f>IF(B942="Total",SUM(J$8:J941)+0.0001,IF(OR(B942="",I$2=I942),0,VLOOKUP(A942,Journal!$B$7:M$84,8)))</f>
        <v>0</v>
      </c>
      <c r="K942" s="102">
        <f>IF(B942="Total",SUM(K$8:K941)+0.0001,IF(OR(B942="",J942&lt;&gt;0),0,VLOOKUP(A942,Journal!$B$7:M$84,8)))</f>
        <v>0</v>
      </c>
      <c r="L942" s="87">
        <f t="shared" si="107"/>
        <v>0</v>
      </c>
      <c r="P942">
        <f t="shared" si="108"/>
        <v>1.0000000000000001E-5</v>
      </c>
      <c r="R942" s="15">
        <f t="shared" si="110"/>
        <v>935</v>
      </c>
      <c r="S942" s="126">
        <f>IF(VLOOKUP(A942,Journal!$A$7:$E$70,5)=0,S941+1,VLOOKUP(A942,Journal!$A$7:$E$70,5))</f>
        <v>46592</v>
      </c>
      <c r="T942" s="125">
        <f>IF(H$2=VLOOKUP(A942,Journal!$A$7:$F$70,6),VLOOKUP(A942,Journal!$A$7:M$70,9),0)</f>
        <v>0</v>
      </c>
      <c r="U942" s="125">
        <f>IF(H$2=VLOOKUP(A942,Journal!$A$7:$G$70,7),VLOOKUP(A942,Journal!$A$7:M$70,9),0)</f>
        <v>0</v>
      </c>
      <c r="V942" s="125">
        <f t="shared" si="105"/>
        <v>40</v>
      </c>
      <c r="X942">
        <f t="shared" si="109"/>
        <v>0</v>
      </c>
      <c r="Y942" s="143">
        <f t="shared" si="103"/>
        <v>-975.47368421056535</v>
      </c>
    </row>
    <row r="943" spans="1:25" x14ac:dyDescent="0.25">
      <c r="A943">
        <f t="shared" si="111"/>
        <v>936</v>
      </c>
      <c r="B943" s="88" t="str">
        <f>IF(OR(B942="Total",B942=""),"",IF(VLOOKUP(A943,Journal!$B$7:$E$84,4)=0,"Total",VLOOKUP(A943,Journal!$B$7:$D$84,3)))</f>
        <v/>
      </c>
      <c r="C943" s="86" t="str">
        <f>IF(B943="","",VLOOKUP(A943,Journal!$B$7:$E$84,4))</f>
        <v/>
      </c>
      <c r="D943" s="114" t="str">
        <f>IF(B943="","",VLOOKUP(A943,Journal!$B$7:$J$84,9))</f>
        <v/>
      </c>
      <c r="E943" s="116"/>
      <c r="F943" s="116"/>
      <c r="G943" s="115"/>
      <c r="H943" s="84" t="str">
        <f>IF(B943="","",VLOOKUP(A943,Journal!$B$7:$L$84,11))</f>
        <v/>
      </c>
      <c r="I943" s="84" t="str">
        <f>IF(B943="","",VLOOKUP(A943,Journal!$B$7:$M$84,12))</f>
        <v/>
      </c>
      <c r="J943" s="105">
        <f>IF(B943="Total",SUM(J$8:J942)+0.0001,IF(OR(B943="",I$2=I943),0,VLOOKUP(A943,Journal!$B$7:M$84,8)))</f>
        <v>0</v>
      </c>
      <c r="K943" s="102">
        <f>IF(B943="Total",SUM(K$8:K942)+0.0001,IF(OR(B943="",J943&lt;&gt;0),0,VLOOKUP(A943,Journal!$B$7:M$84,8)))</f>
        <v>0</v>
      </c>
      <c r="L943" s="87">
        <f t="shared" si="107"/>
        <v>0</v>
      </c>
      <c r="P943">
        <f t="shared" si="108"/>
        <v>1.0000000000000001E-5</v>
      </c>
      <c r="R943" s="15">
        <f t="shared" si="110"/>
        <v>936</v>
      </c>
      <c r="S943" s="126">
        <f>IF(VLOOKUP(A943,Journal!$A$7:$E$70,5)=0,S942+1,VLOOKUP(A943,Journal!$A$7:$E$70,5))</f>
        <v>46593</v>
      </c>
      <c r="T943" s="125">
        <f>IF(H$2=VLOOKUP(A943,Journal!$A$7:$F$70,6),VLOOKUP(A943,Journal!$A$7:M$70,9),0)</f>
        <v>0</v>
      </c>
      <c r="U943" s="125">
        <f>IF(H$2=VLOOKUP(A943,Journal!$A$7:$G$70,7),VLOOKUP(A943,Journal!$A$7:M$70,9),0)</f>
        <v>0</v>
      </c>
      <c r="V943" s="125">
        <f t="shared" si="105"/>
        <v>40</v>
      </c>
      <c r="X943">
        <f t="shared" si="109"/>
        <v>0</v>
      </c>
      <c r="Y943" s="143">
        <f t="shared" si="103"/>
        <v>-975.44736842109171</v>
      </c>
    </row>
    <row r="944" spans="1:25" x14ac:dyDescent="0.25">
      <c r="A944">
        <f t="shared" si="111"/>
        <v>937</v>
      </c>
      <c r="B944" s="88" t="str">
        <f>IF(OR(B943="Total",B943=""),"",IF(VLOOKUP(A944,Journal!$B$7:$E$84,4)=0,"Total",VLOOKUP(A944,Journal!$B$7:$D$84,3)))</f>
        <v/>
      </c>
      <c r="C944" s="86" t="str">
        <f>IF(B944="","",VLOOKUP(A944,Journal!$B$7:$E$84,4))</f>
        <v/>
      </c>
      <c r="D944" s="114" t="str">
        <f>IF(B944="","",VLOOKUP(A944,Journal!$B$7:$J$84,9))</f>
        <v/>
      </c>
      <c r="E944" s="116"/>
      <c r="F944" s="116"/>
      <c r="G944" s="115"/>
      <c r="H944" s="84" t="str">
        <f>IF(B944="","",VLOOKUP(A944,Journal!$B$7:$L$84,11))</f>
        <v/>
      </c>
      <c r="I944" s="84" t="str">
        <f>IF(B944="","",VLOOKUP(A944,Journal!$B$7:$M$84,12))</f>
        <v/>
      </c>
      <c r="J944" s="105">
        <f>IF(B944="Total",SUM(J$8:J943)+0.0001,IF(OR(B944="",I$2=I944),0,VLOOKUP(A944,Journal!$B$7:M$84,8)))</f>
        <v>0</v>
      </c>
      <c r="K944" s="102">
        <f>IF(B944="Total",SUM(K$8:K943)+0.0001,IF(OR(B944="",J944&lt;&gt;0),0,VLOOKUP(A944,Journal!$B$7:M$84,8)))</f>
        <v>0</v>
      </c>
      <c r="L944" s="87">
        <f t="shared" si="107"/>
        <v>0</v>
      </c>
      <c r="P944">
        <f t="shared" si="108"/>
        <v>1.0000000000000001E-5</v>
      </c>
      <c r="R944" s="15">
        <f t="shared" si="110"/>
        <v>937</v>
      </c>
      <c r="S944" s="126">
        <f>IF(VLOOKUP(A944,Journal!$A$7:$E$70,5)=0,S943+1,VLOOKUP(A944,Journal!$A$7:$E$70,5))</f>
        <v>46594</v>
      </c>
      <c r="T944" s="125">
        <f>IF(H$2=VLOOKUP(A944,Journal!$A$7:$F$70,6),VLOOKUP(A944,Journal!$A$7:M$70,9),0)</f>
        <v>0</v>
      </c>
      <c r="U944" s="125">
        <f>IF(H$2=VLOOKUP(A944,Journal!$A$7:$G$70,7),VLOOKUP(A944,Journal!$A$7:M$70,9),0)</f>
        <v>0</v>
      </c>
      <c r="V944" s="125">
        <f t="shared" si="105"/>
        <v>40</v>
      </c>
      <c r="X944">
        <f t="shared" si="109"/>
        <v>0</v>
      </c>
      <c r="Y944" s="143">
        <f t="shared" si="103"/>
        <v>-975.42105263161807</v>
      </c>
    </row>
    <row r="945" spans="1:25" x14ac:dyDescent="0.25">
      <c r="A945">
        <f t="shared" si="111"/>
        <v>938</v>
      </c>
      <c r="B945" s="88" t="str">
        <f>IF(OR(B944="Total",B944=""),"",IF(VLOOKUP(A945,Journal!$B$7:$E$84,4)=0,"Total",VLOOKUP(A945,Journal!$B$7:$D$84,3)))</f>
        <v/>
      </c>
      <c r="C945" s="86" t="str">
        <f>IF(B945="","",VLOOKUP(A945,Journal!$B$7:$E$84,4))</f>
        <v/>
      </c>
      <c r="D945" s="114" t="str">
        <f>IF(B945="","",VLOOKUP(A945,Journal!$B$7:$J$84,9))</f>
        <v/>
      </c>
      <c r="E945" s="116"/>
      <c r="F945" s="116"/>
      <c r="G945" s="115"/>
      <c r="H945" s="84" t="str">
        <f>IF(B945="","",VLOOKUP(A945,Journal!$B$7:$L$84,11))</f>
        <v/>
      </c>
      <c r="I945" s="84" t="str">
        <f>IF(B945="","",VLOOKUP(A945,Journal!$B$7:$M$84,12))</f>
        <v/>
      </c>
      <c r="J945" s="105">
        <f>IF(B945="Total",SUM(J$8:J944)+0.0001,IF(OR(B945="",I$2=I945),0,VLOOKUP(A945,Journal!$B$7:M$84,8)))</f>
        <v>0</v>
      </c>
      <c r="K945" s="102">
        <f>IF(B945="Total",SUM(K$8:K944)+0.0001,IF(OR(B945="",J945&lt;&gt;0),0,VLOOKUP(A945,Journal!$B$7:M$84,8)))</f>
        <v>0</v>
      </c>
      <c r="L945" s="87">
        <f t="shared" si="107"/>
        <v>0</v>
      </c>
      <c r="P945">
        <f t="shared" si="108"/>
        <v>1.0000000000000001E-5</v>
      </c>
      <c r="R945" s="15">
        <f t="shared" si="110"/>
        <v>938</v>
      </c>
      <c r="S945" s="126">
        <f>IF(VLOOKUP(A945,Journal!$A$7:$E$70,5)=0,S944+1,VLOOKUP(A945,Journal!$A$7:$E$70,5))</f>
        <v>46595</v>
      </c>
      <c r="T945" s="125">
        <f>IF(H$2=VLOOKUP(A945,Journal!$A$7:$F$70,6),VLOOKUP(A945,Journal!$A$7:M$70,9),0)</f>
        <v>0</v>
      </c>
      <c r="U945" s="125">
        <f>IF(H$2=VLOOKUP(A945,Journal!$A$7:$G$70,7),VLOOKUP(A945,Journal!$A$7:M$70,9),0)</f>
        <v>0</v>
      </c>
      <c r="V945" s="125">
        <f t="shared" si="105"/>
        <v>40</v>
      </c>
      <c r="X945">
        <f t="shared" si="109"/>
        <v>0</v>
      </c>
      <c r="Y945" s="143">
        <f t="shared" si="103"/>
        <v>-975.39473684214443</v>
      </c>
    </row>
    <row r="946" spans="1:25" x14ac:dyDescent="0.25">
      <c r="A946">
        <f t="shared" si="111"/>
        <v>939</v>
      </c>
      <c r="B946" s="88" t="str">
        <f>IF(OR(B945="Total",B945=""),"",IF(VLOOKUP(A946,Journal!$B$7:$E$84,4)=0,"Total",VLOOKUP(A946,Journal!$B$7:$D$84,3)))</f>
        <v/>
      </c>
      <c r="C946" s="86" t="str">
        <f>IF(B946="","",VLOOKUP(A946,Journal!$B$7:$E$84,4))</f>
        <v/>
      </c>
      <c r="D946" s="114" t="str">
        <f>IF(B946="","",VLOOKUP(A946,Journal!$B$7:$J$84,9))</f>
        <v/>
      </c>
      <c r="E946" s="116"/>
      <c r="F946" s="116"/>
      <c r="G946" s="115"/>
      <c r="H946" s="84" t="str">
        <f>IF(B946="","",VLOOKUP(A946,Journal!$B$7:$L$84,11))</f>
        <v/>
      </c>
      <c r="I946" s="84" t="str">
        <f>IF(B946="","",VLOOKUP(A946,Journal!$B$7:$M$84,12))</f>
        <v/>
      </c>
      <c r="J946" s="105">
        <f>IF(B946="Total",SUM(J$8:J945)+0.0001,IF(OR(B946="",I$2=I946),0,VLOOKUP(A946,Journal!$B$7:M$84,8)))</f>
        <v>0</v>
      </c>
      <c r="K946" s="102">
        <f>IF(B946="Total",SUM(K$8:K945)+0.0001,IF(OR(B946="",J946&lt;&gt;0),0,VLOOKUP(A946,Journal!$B$7:M$84,8)))</f>
        <v>0</v>
      </c>
      <c r="L946" s="87">
        <f t="shared" si="107"/>
        <v>0</v>
      </c>
      <c r="P946">
        <f t="shared" si="108"/>
        <v>1.0000000000000001E-5</v>
      </c>
      <c r="R946" s="15">
        <f t="shared" si="110"/>
        <v>939</v>
      </c>
      <c r="S946" s="126">
        <f>IF(VLOOKUP(A946,Journal!$A$7:$E$70,5)=0,S945+1,VLOOKUP(A946,Journal!$A$7:$E$70,5))</f>
        <v>46596</v>
      </c>
      <c r="T946" s="125">
        <f>IF(H$2=VLOOKUP(A946,Journal!$A$7:$F$70,6),VLOOKUP(A946,Journal!$A$7:M$70,9),0)</f>
        <v>0</v>
      </c>
      <c r="U946" s="125">
        <f>IF(H$2=VLOOKUP(A946,Journal!$A$7:$G$70,7),VLOOKUP(A946,Journal!$A$7:M$70,9),0)</f>
        <v>0</v>
      </c>
      <c r="V946" s="125">
        <f t="shared" si="105"/>
        <v>40</v>
      </c>
      <c r="X946">
        <f t="shared" si="109"/>
        <v>0</v>
      </c>
      <c r="Y946" s="143">
        <f t="shared" si="103"/>
        <v>-975.36842105267078</v>
      </c>
    </row>
    <row r="947" spans="1:25" x14ac:dyDescent="0.25">
      <c r="A947">
        <f t="shared" si="111"/>
        <v>940</v>
      </c>
      <c r="B947" s="88" t="str">
        <f>IF(OR(B946="Total",B946=""),"",IF(VLOOKUP(A947,Journal!$B$7:$E$84,4)=0,"Total",VLOOKUP(A947,Journal!$B$7:$D$84,3)))</f>
        <v/>
      </c>
      <c r="C947" s="86" t="str">
        <f>IF(B947="","",VLOOKUP(A947,Journal!$B$7:$E$84,4))</f>
        <v/>
      </c>
      <c r="D947" s="114" t="str">
        <f>IF(B947="","",VLOOKUP(A947,Journal!$B$7:$J$84,9))</f>
        <v/>
      </c>
      <c r="E947" s="116"/>
      <c r="F947" s="116"/>
      <c r="G947" s="115"/>
      <c r="H947" s="84" t="str">
        <f>IF(B947="","",VLOOKUP(A947,Journal!$B$7:$L$84,11))</f>
        <v/>
      </c>
      <c r="I947" s="84" t="str">
        <f>IF(B947="","",VLOOKUP(A947,Journal!$B$7:$M$84,12))</f>
        <v/>
      </c>
      <c r="J947" s="105">
        <f>IF(B947="Total",SUM(J$8:J946)+0.0001,IF(OR(B947="",I$2=I947),0,VLOOKUP(A947,Journal!$B$7:M$84,8)))</f>
        <v>0</v>
      </c>
      <c r="K947" s="102">
        <f>IF(B947="Total",SUM(K$8:K946)+0.0001,IF(OR(B947="",J947&lt;&gt;0),0,VLOOKUP(A947,Journal!$B$7:M$84,8)))</f>
        <v>0</v>
      </c>
      <c r="L947" s="87">
        <f t="shared" si="107"/>
        <v>0</v>
      </c>
      <c r="P947">
        <f t="shared" si="108"/>
        <v>1.0000000000000001E-5</v>
      </c>
      <c r="R947" s="15">
        <f t="shared" si="110"/>
        <v>940</v>
      </c>
      <c r="S947" s="126">
        <f>IF(VLOOKUP(A947,Journal!$A$7:$E$70,5)=0,S946+1,VLOOKUP(A947,Journal!$A$7:$E$70,5))</f>
        <v>46597</v>
      </c>
      <c r="T947" s="125">
        <f>IF(H$2=VLOOKUP(A947,Journal!$A$7:$F$70,6),VLOOKUP(A947,Journal!$A$7:M$70,9),0)</f>
        <v>0</v>
      </c>
      <c r="U947" s="125">
        <f>IF(H$2=VLOOKUP(A947,Journal!$A$7:$G$70,7),VLOOKUP(A947,Journal!$A$7:M$70,9),0)</f>
        <v>0</v>
      </c>
      <c r="V947" s="125">
        <f t="shared" si="105"/>
        <v>40</v>
      </c>
      <c r="X947">
        <f t="shared" si="109"/>
        <v>0</v>
      </c>
      <c r="Y947" s="143">
        <f t="shared" si="103"/>
        <v>-975.34210526319714</v>
      </c>
    </row>
    <row r="948" spans="1:25" x14ac:dyDescent="0.25">
      <c r="A948">
        <f t="shared" si="111"/>
        <v>941</v>
      </c>
      <c r="B948" s="88" t="str">
        <f>IF(OR(B947="Total",B947=""),"",IF(VLOOKUP(A948,Journal!$B$7:$E$84,4)=0,"Total",VLOOKUP(A948,Journal!$B$7:$D$84,3)))</f>
        <v/>
      </c>
      <c r="C948" s="86" t="str">
        <f>IF(B948="","",VLOOKUP(A948,Journal!$B$7:$E$84,4))</f>
        <v/>
      </c>
      <c r="D948" s="114" t="str">
        <f>IF(B948="","",VLOOKUP(A948,Journal!$B$7:$J$84,9))</f>
        <v/>
      </c>
      <c r="E948" s="116"/>
      <c r="F948" s="116"/>
      <c r="G948" s="115"/>
      <c r="H948" s="84" t="str">
        <f>IF(B948="","",VLOOKUP(A948,Journal!$B$7:$L$84,11))</f>
        <v/>
      </c>
      <c r="I948" s="84" t="str">
        <f>IF(B948="","",VLOOKUP(A948,Journal!$B$7:$M$84,12))</f>
        <v/>
      </c>
      <c r="J948" s="105">
        <f>IF(B948="Total",SUM(J$8:J947)+0.0001,IF(OR(B948="",I$2=I948),0,VLOOKUP(A948,Journal!$B$7:M$84,8)))</f>
        <v>0</v>
      </c>
      <c r="K948" s="102">
        <f>IF(B948="Total",SUM(K$8:K947)+0.0001,IF(OR(B948="",J948&lt;&gt;0),0,VLOOKUP(A948,Journal!$B$7:M$84,8)))</f>
        <v>0</v>
      </c>
      <c r="L948" s="87">
        <f t="shared" si="107"/>
        <v>0</v>
      </c>
      <c r="P948">
        <f t="shared" si="108"/>
        <v>1.0000000000000001E-5</v>
      </c>
      <c r="R948" s="15">
        <f t="shared" si="110"/>
        <v>941</v>
      </c>
      <c r="S948" s="126">
        <f>IF(VLOOKUP(A948,Journal!$A$7:$E$70,5)=0,S947+1,VLOOKUP(A948,Journal!$A$7:$E$70,5))</f>
        <v>46598</v>
      </c>
      <c r="T948" s="125">
        <f>IF(H$2=VLOOKUP(A948,Journal!$A$7:$F$70,6),VLOOKUP(A948,Journal!$A$7:M$70,9),0)</f>
        <v>0</v>
      </c>
      <c r="U948" s="125">
        <f>IF(H$2=VLOOKUP(A948,Journal!$A$7:$G$70,7),VLOOKUP(A948,Journal!$A$7:M$70,9),0)</f>
        <v>0</v>
      </c>
      <c r="V948" s="125">
        <f t="shared" si="105"/>
        <v>40</v>
      </c>
      <c r="X948">
        <f t="shared" si="109"/>
        <v>0</v>
      </c>
      <c r="Y948" s="143">
        <f t="shared" si="103"/>
        <v>-975.3157894737235</v>
      </c>
    </row>
    <row r="949" spans="1:25" x14ac:dyDescent="0.25">
      <c r="A949">
        <f t="shared" si="111"/>
        <v>942</v>
      </c>
      <c r="B949" s="88" t="str">
        <f>IF(OR(B948="Total",B948=""),"",IF(VLOOKUP(A949,Journal!$B$7:$E$84,4)=0,"Total",VLOOKUP(A949,Journal!$B$7:$D$84,3)))</f>
        <v/>
      </c>
      <c r="C949" s="86" t="str">
        <f>IF(B949="","",VLOOKUP(A949,Journal!$B$7:$E$84,4))</f>
        <v/>
      </c>
      <c r="D949" s="114" t="str">
        <f>IF(B949="","",VLOOKUP(A949,Journal!$B$7:$J$84,9))</f>
        <v/>
      </c>
      <c r="E949" s="116"/>
      <c r="F949" s="116"/>
      <c r="G949" s="115"/>
      <c r="H949" s="84" t="str">
        <f>IF(B949="","",VLOOKUP(A949,Journal!$B$7:$L$84,11))</f>
        <v/>
      </c>
      <c r="I949" s="84" t="str">
        <f>IF(B949="","",VLOOKUP(A949,Journal!$B$7:$M$84,12))</f>
        <v/>
      </c>
      <c r="J949" s="105">
        <f>IF(B949="Total",SUM(J$8:J948)+0.0001,IF(OR(B949="",I$2=I949),0,VLOOKUP(A949,Journal!$B$7:M$84,8)))</f>
        <v>0</v>
      </c>
      <c r="K949" s="102">
        <f>IF(B949="Total",SUM(K$8:K948)+0.0001,IF(OR(B949="",J949&lt;&gt;0),0,VLOOKUP(A949,Journal!$B$7:M$84,8)))</f>
        <v>0</v>
      </c>
      <c r="L949" s="87">
        <f t="shared" si="107"/>
        <v>0</v>
      </c>
      <c r="P949">
        <f t="shared" si="108"/>
        <v>1.0000000000000001E-5</v>
      </c>
      <c r="R949" s="15">
        <f t="shared" si="110"/>
        <v>942</v>
      </c>
      <c r="S949" s="126">
        <f>IF(VLOOKUP(A949,Journal!$A$7:$E$70,5)=0,S948+1,VLOOKUP(A949,Journal!$A$7:$E$70,5))</f>
        <v>46599</v>
      </c>
      <c r="T949" s="125">
        <f>IF(H$2=VLOOKUP(A949,Journal!$A$7:$F$70,6),VLOOKUP(A949,Journal!$A$7:M$70,9),0)</f>
        <v>0</v>
      </c>
      <c r="U949" s="125">
        <f>IF(H$2=VLOOKUP(A949,Journal!$A$7:$G$70,7),VLOOKUP(A949,Journal!$A$7:M$70,9),0)</f>
        <v>0</v>
      </c>
      <c r="V949" s="125">
        <f t="shared" si="105"/>
        <v>40</v>
      </c>
      <c r="X949">
        <f t="shared" si="109"/>
        <v>0</v>
      </c>
      <c r="Y949" s="143">
        <f t="shared" si="103"/>
        <v>-975.28947368424986</v>
      </c>
    </row>
    <row r="950" spans="1:25" x14ac:dyDescent="0.25">
      <c r="A950">
        <f t="shared" si="111"/>
        <v>943</v>
      </c>
      <c r="B950" s="88" t="str">
        <f>IF(OR(B949="Total",B949=""),"",IF(VLOOKUP(A950,Journal!$B$7:$E$84,4)=0,"Total",VLOOKUP(A950,Journal!$B$7:$D$84,3)))</f>
        <v/>
      </c>
      <c r="C950" s="86" t="str">
        <f>IF(B950="","",VLOOKUP(A950,Journal!$B$7:$E$84,4))</f>
        <v/>
      </c>
      <c r="D950" s="114" t="str">
        <f>IF(B950="","",VLOOKUP(A950,Journal!$B$7:$J$84,9))</f>
        <v/>
      </c>
      <c r="E950" s="116"/>
      <c r="F950" s="116"/>
      <c r="G950" s="115"/>
      <c r="H950" s="84" t="str">
        <f>IF(B950="","",VLOOKUP(A950,Journal!$B$7:$L$84,11))</f>
        <v/>
      </c>
      <c r="I950" s="84" t="str">
        <f>IF(B950="","",VLOOKUP(A950,Journal!$B$7:$M$84,12))</f>
        <v/>
      </c>
      <c r="J950" s="105">
        <f>IF(B950="Total",SUM(J$8:J949)+0.0001,IF(OR(B950="",I$2=I950),0,VLOOKUP(A950,Journal!$B$7:M$84,8)))</f>
        <v>0</v>
      </c>
      <c r="K950" s="102">
        <f>IF(B950="Total",SUM(K$8:K949)+0.0001,IF(OR(B950="",J950&lt;&gt;0),0,VLOOKUP(A950,Journal!$B$7:M$84,8)))</f>
        <v>0</v>
      </c>
      <c r="L950" s="87">
        <f t="shared" si="107"/>
        <v>0</v>
      </c>
      <c r="P950">
        <f t="shared" si="108"/>
        <v>1.0000000000000001E-5</v>
      </c>
      <c r="R950" s="15">
        <f t="shared" si="110"/>
        <v>943</v>
      </c>
      <c r="S950" s="126">
        <f>IF(VLOOKUP(A950,Journal!$A$7:$E$70,5)=0,S949+1,VLOOKUP(A950,Journal!$A$7:$E$70,5))</f>
        <v>46600</v>
      </c>
      <c r="T950" s="125">
        <f>IF(H$2=VLOOKUP(A950,Journal!$A$7:$F$70,6),VLOOKUP(A950,Journal!$A$7:M$70,9),0)</f>
        <v>0</v>
      </c>
      <c r="U950" s="125">
        <f>IF(H$2=VLOOKUP(A950,Journal!$A$7:$G$70,7),VLOOKUP(A950,Journal!$A$7:M$70,9),0)</f>
        <v>0</v>
      </c>
      <c r="V950" s="125">
        <f t="shared" si="105"/>
        <v>40</v>
      </c>
      <c r="X950">
        <f t="shared" si="109"/>
        <v>0</v>
      </c>
      <c r="Y950" s="143">
        <f t="shared" si="103"/>
        <v>-975.26315789477621</v>
      </c>
    </row>
    <row r="951" spans="1:25" x14ac:dyDescent="0.25">
      <c r="A951">
        <f t="shared" si="111"/>
        <v>944</v>
      </c>
      <c r="B951" s="88" t="str">
        <f>IF(OR(B950="Total",B950=""),"",IF(VLOOKUP(A951,Journal!$B$7:$E$84,4)=0,"Total",VLOOKUP(A951,Journal!$B$7:$D$84,3)))</f>
        <v/>
      </c>
      <c r="C951" s="86" t="str">
        <f>IF(B951="","",VLOOKUP(A951,Journal!$B$7:$E$84,4))</f>
        <v/>
      </c>
      <c r="D951" s="114" t="str">
        <f>IF(B951="","",VLOOKUP(A951,Journal!$B$7:$J$84,9))</f>
        <v/>
      </c>
      <c r="E951" s="116"/>
      <c r="F951" s="116"/>
      <c r="G951" s="115"/>
      <c r="H951" s="84" t="str">
        <f>IF(B951="","",VLOOKUP(A951,Journal!$B$7:$L$84,11))</f>
        <v/>
      </c>
      <c r="I951" s="84" t="str">
        <f>IF(B951="","",VLOOKUP(A951,Journal!$B$7:$M$84,12))</f>
        <v/>
      </c>
      <c r="J951" s="105">
        <f>IF(B951="Total",SUM(J$8:J950)+0.0001,IF(OR(B951="",I$2=I951),0,VLOOKUP(A951,Journal!$B$7:M$84,8)))</f>
        <v>0</v>
      </c>
      <c r="K951" s="102">
        <f>IF(B951="Total",SUM(K$8:K950)+0.0001,IF(OR(B951="",J951&lt;&gt;0),0,VLOOKUP(A951,Journal!$B$7:M$84,8)))</f>
        <v>0</v>
      </c>
      <c r="L951" s="87">
        <f t="shared" si="107"/>
        <v>0</v>
      </c>
      <c r="P951">
        <f t="shared" si="108"/>
        <v>1.0000000000000001E-5</v>
      </c>
      <c r="R951" s="15">
        <f t="shared" si="110"/>
        <v>944</v>
      </c>
      <c r="S951" s="126">
        <f>IF(VLOOKUP(A951,Journal!$A$7:$E$70,5)=0,S950+1,VLOOKUP(A951,Journal!$A$7:$E$70,5))</f>
        <v>46601</v>
      </c>
      <c r="T951" s="125">
        <f>IF(H$2=VLOOKUP(A951,Journal!$A$7:$F$70,6),VLOOKUP(A951,Journal!$A$7:M$70,9),0)</f>
        <v>0</v>
      </c>
      <c r="U951" s="125">
        <f>IF(H$2=VLOOKUP(A951,Journal!$A$7:$G$70,7),VLOOKUP(A951,Journal!$A$7:M$70,9),0)</f>
        <v>0</v>
      </c>
      <c r="V951" s="125">
        <f t="shared" si="105"/>
        <v>40</v>
      </c>
      <c r="X951">
        <f t="shared" si="109"/>
        <v>0</v>
      </c>
      <c r="Y951" s="143">
        <f t="shared" si="103"/>
        <v>-975.23684210530257</v>
      </c>
    </row>
    <row r="952" spans="1:25" x14ac:dyDescent="0.25">
      <c r="A952">
        <f t="shared" si="111"/>
        <v>945</v>
      </c>
      <c r="B952" s="88" t="str">
        <f>IF(OR(B951="Total",B951=""),"",IF(VLOOKUP(A952,Journal!$B$7:$E$84,4)=0,"Total",VLOOKUP(A952,Journal!$B$7:$D$84,3)))</f>
        <v/>
      </c>
      <c r="C952" s="86" t="str">
        <f>IF(B952="","",VLOOKUP(A952,Journal!$B$7:$E$84,4))</f>
        <v/>
      </c>
      <c r="D952" s="114" t="str">
        <f>IF(B952="","",VLOOKUP(A952,Journal!$B$7:$J$84,9))</f>
        <v/>
      </c>
      <c r="E952" s="116"/>
      <c r="F952" s="116"/>
      <c r="G952" s="115"/>
      <c r="H952" s="84" t="str">
        <f>IF(B952="","",VLOOKUP(A952,Journal!$B$7:$L$84,11))</f>
        <v/>
      </c>
      <c r="I952" s="84" t="str">
        <f>IF(B952="","",VLOOKUP(A952,Journal!$B$7:$M$84,12))</f>
        <v/>
      </c>
      <c r="J952" s="105">
        <f>IF(B952="Total",SUM(J$8:J951)+0.0001,IF(OR(B952="",I$2=I952),0,VLOOKUP(A952,Journal!$B$7:M$84,8)))</f>
        <v>0</v>
      </c>
      <c r="K952" s="102">
        <f>IF(B952="Total",SUM(K$8:K951)+0.0001,IF(OR(B952="",J952&lt;&gt;0),0,VLOOKUP(A952,Journal!$B$7:M$84,8)))</f>
        <v>0</v>
      </c>
      <c r="L952" s="87">
        <f t="shared" si="107"/>
        <v>0</v>
      </c>
      <c r="P952">
        <f t="shared" si="108"/>
        <v>1.0000000000000001E-5</v>
      </c>
      <c r="R952" s="15">
        <f t="shared" si="110"/>
        <v>945</v>
      </c>
      <c r="S952" s="126">
        <f>IF(VLOOKUP(A952,Journal!$A$7:$E$70,5)=0,S951+1,VLOOKUP(A952,Journal!$A$7:$E$70,5))</f>
        <v>46602</v>
      </c>
      <c r="T952" s="125">
        <f>IF(H$2=VLOOKUP(A952,Journal!$A$7:$F$70,6),VLOOKUP(A952,Journal!$A$7:M$70,9),0)</f>
        <v>0</v>
      </c>
      <c r="U952" s="125">
        <f>IF(H$2=VLOOKUP(A952,Journal!$A$7:$G$70,7),VLOOKUP(A952,Journal!$A$7:M$70,9),0)</f>
        <v>0</v>
      </c>
      <c r="V952" s="125">
        <f t="shared" si="105"/>
        <v>40</v>
      </c>
      <c r="X952">
        <f t="shared" si="109"/>
        <v>0</v>
      </c>
      <c r="Y952" s="143">
        <f t="shared" si="103"/>
        <v>-975.21052631582893</v>
      </c>
    </row>
    <row r="953" spans="1:25" x14ac:dyDescent="0.25">
      <c r="A953">
        <f t="shared" si="111"/>
        <v>946</v>
      </c>
      <c r="B953" s="88" t="str">
        <f>IF(OR(B952="Total",B952=""),"",IF(VLOOKUP(A953,Journal!$B$7:$E$84,4)=0,"Total",VLOOKUP(A953,Journal!$B$7:$D$84,3)))</f>
        <v/>
      </c>
      <c r="C953" s="86" t="str">
        <f>IF(B953="","",VLOOKUP(A953,Journal!$B$7:$E$84,4))</f>
        <v/>
      </c>
      <c r="D953" s="114" t="str">
        <f>IF(B953="","",VLOOKUP(A953,Journal!$B$7:$J$84,9))</f>
        <v/>
      </c>
      <c r="E953" s="116"/>
      <c r="F953" s="116"/>
      <c r="G953" s="115"/>
      <c r="H953" s="84" t="str">
        <f>IF(B953="","",VLOOKUP(A953,Journal!$B$7:$L$84,11))</f>
        <v/>
      </c>
      <c r="I953" s="84" t="str">
        <f>IF(B953="","",VLOOKUP(A953,Journal!$B$7:$M$84,12))</f>
        <v/>
      </c>
      <c r="J953" s="105">
        <f>IF(B953="Total",SUM(J$8:J952)+0.0001,IF(OR(B953="",I$2=I953),0,VLOOKUP(A953,Journal!$B$7:M$84,8)))</f>
        <v>0</v>
      </c>
      <c r="K953" s="102">
        <f>IF(B953="Total",SUM(K$8:K952)+0.0001,IF(OR(B953="",J953&lt;&gt;0),0,VLOOKUP(A953,Journal!$B$7:M$84,8)))</f>
        <v>0</v>
      </c>
      <c r="L953" s="87">
        <f t="shared" si="107"/>
        <v>0</v>
      </c>
      <c r="P953">
        <f t="shared" si="108"/>
        <v>1.0000000000000001E-5</v>
      </c>
      <c r="R953" s="15">
        <f t="shared" si="110"/>
        <v>946</v>
      </c>
      <c r="S953" s="126">
        <f>IF(VLOOKUP(A953,Journal!$A$7:$E$70,5)=0,S952+1,VLOOKUP(A953,Journal!$A$7:$E$70,5))</f>
        <v>46603</v>
      </c>
      <c r="T953" s="125">
        <f>IF(H$2=VLOOKUP(A953,Journal!$A$7:$F$70,6),VLOOKUP(A953,Journal!$A$7:M$70,9),0)</f>
        <v>0</v>
      </c>
      <c r="U953" s="125">
        <f>IF(H$2=VLOOKUP(A953,Journal!$A$7:$G$70,7),VLOOKUP(A953,Journal!$A$7:M$70,9),0)</f>
        <v>0</v>
      </c>
      <c r="V953" s="125">
        <f t="shared" si="105"/>
        <v>40</v>
      </c>
      <c r="X953">
        <f t="shared" si="109"/>
        <v>0</v>
      </c>
      <c r="Y953" s="143">
        <f t="shared" si="103"/>
        <v>-975.18421052635529</v>
      </c>
    </row>
    <row r="954" spans="1:25" x14ac:dyDescent="0.25">
      <c r="A954">
        <f t="shared" si="111"/>
        <v>947</v>
      </c>
      <c r="B954" s="88" t="str">
        <f>IF(OR(B953="Total",B953=""),"",IF(VLOOKUP(A954,Journal!$B$7:$E$84,4)=0,"Total",VLOOKUP(A954,Journal!$B$7:$D$84,3)))</f>
        <v/>
      </c>
      <c r="C954" s="86" t="str">
        <f>IF(B954="","",VLOOKUP(A954,Journal!$B$7:$E$84,4))</f>
        <v/>
      </c>
      <c r="D954" s="114" t="str">
        <f>IF(B954="","",VLOOKUP(A954,Journal!$B$7:$J$84,9))</f>
        <v/>
      </c>
      <c r="E954" s="116"/>
      <c r="F954" s="116"/>
      <c r="G954" s="115"/>
      <c r="H954" s="84" t="str">
        <f>IF(B954="","",VLOOKUP(A954,Journal!$B$7:$L$84,11))</f>
        <v/>
      </c>
      <c r="I954" s="84" t="str">
        <f>IF(B954="","",VLOOKUP(A954,Journal!$B$7:$M$84,12))</f>
        <v/>
      </c>
      <c r="J954" s="105">
        <f>IF(B954="Total",SUM(J$8:J953)+0.0001,IF(OR(B954="",I$2=I954),0,VLOOKUP(A954,Journal!$B$7:M$84,8)))</f>
        <v>0</v>
      </c>
      <c r="K954" s="102">
        <f>IF(B954="Total",SUM(K$8:K953)+0.0001,IF(OR(B954="",J954&lt;&gt;0),0,VLOOKUP(A954,Journal!$B$7:M$84,8)))</f>
        <v>0</v>
      </c>
      <c r="L954" s="87">
        <f t="shared" si="107"/>
        <v>0</v>
      </c>
      <c r="P954">
        <f t="shared" si="108"/>
        <v>1.0000000000000001E-5</v>
      </c>
      <c r="R954" s="15">
        <f t="shared" si="110"/>
        <v>947</v>
      </c>
      <c r="S954" s="126">
        <f>IF(VLOOKUP(A954,Journal!$A$7:$E$70,5)=0,S953+1,VLOOKUP(A954,Journal!$A$7:$E$70,5))</f>
        <v>46604</v>
      </c>
      <c r="T954" s="125">
        <f>IF(H$2=VLOOKUP(A954,Journal!$A$7:$F$70,6),VLOOKUP(A954,Journal!$A$7:M$70,9),0)</f>
        <v>0</v>
      </c>
      <c r="U954" s="125">
        <f>IF(H$2=VLOOKUP(A954,Journal!$A$7:$G$70,7),VLOOKUP(A954,Journal!$A$7:M$70,9),0)</f>
        <v>0</v>
      </c>
      <c r="V954" s="125">
        <f t="shared" si="105"/>
        <v>40</v>
      </c>
      <c r="X954">
        <f t="shared" si="109"/>
        <v>0</v>
      </c>
      <c r="Y954" s="143">
        <f t="shared" si="103"/>
        <v>-975.15789473688164</v>
      </c>
    </row>
    <row r="955" spans="1:25" x14ac:dyDescent="0.25">
      <c r="A955">
        <f t="shared" si="111"/>
        <v>948</v>
      </c>
      <c r="B955" s="88" t="str">
        <f>IF(OR(B954="Total",B954=""),"",IF(VLOOKUP(A955,Journal!$B$7:$E$84,4)=0,"Total",VLOOKUP(A955,Journal!$B$7:$D$84,3)))</f>
        <v/>
      </c>
      <c r="C955" s="86" t="str">
        <f>IF(B955="","",VLOOKUP(A955,Journal!$B$7:$E$84,4))</f>
        <v/>
      </c>
      <c r="D955" s="114" t="str">
        <f>IF(B955="","",VLOOKUP(A955,Journal!$B$7:$J$84,9))</f>
        <v/>
      </c>
      <c r="E955" s="116"/>
      <c r="F955" s="116"/>
      <c r="G955" s="115"/>
      <c r="H955" s="84" t="str">
        <f>IF(B955="","",VLOOKUP(A955,Journal!$B$7:$L$84,11))</f>
        <v/>
      </c>
      <c r="I955" s="84" t="str">
        <f>IF(B955="","",VLOOKUP(A955,Journal!$B$7:$M$84,12))</f>
        <v/>
      </c>
      <c r="J955" s="105">
        <f>IF(B955="Total",SUM(J$8:J954)+0.0001,IF(OR(B955="",I$2=I955),0,VLOOKUP(A955,Journal!$B$7:M$84,8)))</f>
        <v>0</v>
      </c>
      <c r="K955" s="102">
        <f>IF(B955="Total",SUM(K$8:K954)+0.0001,IF(OR(B955="",J955&lt;&gt;0),0,VLOOKUP(A955,Journal!$B$7:M$84,8)))</f>
        <v>0</v>
      </c>
      <c r="L955" s="87">
        <f t="shared" si="107"/>
        <v>0</v>
      </c>
      <c r="P955">
        <f t="shared" si="108"/>
        <v>1.0000000000000001E-5</v>
      </c>
      <c r="R955" s="15">
        <f t="shared" si="110"/>
        <v>948</v>
      </c>
      <c r="S955" s="126">
        <f>IF(VLOOKUP(A955,Journal!$A$7:$E$70,5)=0,S954+1,VLOOKUP(A955,Journal!$A$7:$E$70,5))</f>
        <v>46605</v>
      </c>
      <c r="T955" s="125">
        <f>IF(H$2=VLOOKUP(A955,Journal!$A$7:$F$70,6),VLOOKUP(A955,Journal!$A$7:M$70,9),0)</f>
        <v>0</v>
      </c>
      <c r="U955" s="125">
        <f>IF(H$2=VLOOKUP(A955,Journal!$A$7:$G$70,7),VLOOKUP(A955,Journal!$A$7:M$70,9),0)</f>
        <v>0</v>
      </c>
      <c r="V955" s="125">
        <f t="shared" si="105"/>
        <v>40</v>
      </c>
      <c r="X955">
        <f t="shared" si="109"/>
        <v>0</v>
      </c>
      <c r="Y955" s="143">
        <f t="shared" si="103"/>
        <v>-975.131578947408</v>
      </c>
    </row>
    <row r="956" spans="1:25" x14ac:dyDescent="0.25">
      <c r="A956">
        <f t="shared" si="111"/>
        <v>949</v>
      </c>
      <c r="B956" s="88" t="str">
        <f>IF(OR(B955="Total",B955=""),"",IF(VLOOKUP(A956,Journal!$B$7:$E$84,4)=0,"Total",VLOOKUP(A956,Journal!$B$7:$D$84,3)))</f>
        <v/>
      </c>
      <c r="C956" s="86" t="str">
        <f>IF(B956="","",VLOOKUP(A956,Journal!$B$7:$E$84,4))</f>
        <v/>
      </c>
      <c r="D956" s="114" t="str">
        <f>IF(B956="","",VLOOKUP(A956,Journal!$B$7:$J$84,9))</f>
        <v/>
      </c>
      <c r="E956" s="116"/>
      <c r="F956" s="116"/>
      <c r="G956" s="115"/>
      <c r="H956" s="84" t="str">
        <f>IF(B956="","",VLOOKUP(A956,Journal!$B$7:$L$84,11))</f>
        <v/>
      </c>
      <c r="I956" s="84" t="str">
        <f>IF(B956="","",VLOOKUP(A956,Journal!$B$7:$M$84,12))</f>
        <v/>
      </c>
      <c r="J956" s="105">
        <f>IF(B956="Total",SUM(J$8:J955)+0.0001,IF(OR(B956="",I$2=I956),0,VLOOKUP(A956,Journal!$B$7:M$84,8)))</f>
        <v>0</v>
      </c>
      <c r="K956" s="102">
        <f>IF(B956="Total",SUM(K$8:K955)+0.0001,IF(OR(B956="",J956&lt;&gt;0),0,VLOOKUP(A956,Journal!$B$7:M$84,8)))</f>
        <v>0</v>
      </c>
      <c r="L956" s="87">
        <f t="shared" si="107"/>
        <v>0</v>
      </c>
      <c r="P956">
        <f t="shared" si="108"/>
        <v>1.0000000000000001E-5</v>
      </c>
      <c r="R956" s="15">
        <f t="shared" si="110"/>
        <v>949</v>
      </c>
      <c r="S956" s="126">
        <f>IF(VLOOKUP(A956,Journal!$A$7:$E$70,5)=0,S955+1,VLOOKUP(A956,Journal!$A$7:$E$70,5))</f>
        <v>46606</v>
      </c>
      <c r="T956" s="125">
        <f>IF(H$2=VLOOKUP(A956,Journal!$A$7:$F$70,6),VLOOKUP(A956,Journal!$A$7:M$70,9),0)</f>
        <v>0</v>
      </c>
      <c r="U956" s="125">
        <f>IF(H$2=VLOOKUP(A956,Journal!$A$7:$G$70,7),VLOOKUP(A956,Journal!$A$7:M$70,9),0)</f>
        <v>0</v>
      </c>
      <c r="V956" s="125">
        <f t="shared" si="105"/>
        <v>40</v>
      </c>
      <c r="X956">
        <f t="shared" si="109"/>
        <v>0</v>
      </c>
      <c r="Y956" s="143">
        <f t="shared" si="103"/>
        <v>-975.10526315793436</v>
      </c>
    </row>
    <row r="957" spans="1:25" x14ac:dyDescent="0.25">
      <c r="A957">
        <f t="shared" si="111"/>
        <v>950</v>
      </c>
      <c r="B957" s="88" t="str">
        <f>IF(OR(B956="Total",B956=""),"",IF(VLOOKUP(A957,Journal!$B$7:$E$84,4)=0,"Total",VLOOKUP(A957,Journal!$B$7:$D$84,3)))</f>
        <v/>
      </c>
      <c r="C957" s="86" t="str">
        <f>IF(B957="","",VLOOKUP(A957,Journal!$B$7:$E$84,4))</f>
        <v/>
      </c>
      <c r="D957" s="114" t="str">
        <f>IF(B957="","",VLOOKUP(A957,Journal!$B$7:$J$84,9))</f>
        <v/>
      </c>
      <c r="E957" s="116"/>
      <c r="F957" s="116"/>
      <c r="G957" s="115"/>
      <c r="H957" s="84" t="str">
        <f>IF(B957="","",VLOOKUP(A957,Journal!$B$7:$L$84,11))</f>
        <v/>
      </c>
      <c r="I957" s="84" t="str">
        <f>IF(B957="","",VLOOKUP(A957,Journal!$B$7:$M$84,12))</f>
        <v/>
      </c>
      <c r="J957" s="105">
        <f>IF(B957="Total",SUM(J$8:J956)+0.0001,IF(OR(B957="",I$2=I957),0,VLOOKUP(A957,Journal!$B$7:M$84,8)))</f>
        <v>0</v>
      </c>
      <c r="K957" s="102">
        <f>IF(B957="Total",SUM(K$8:K956)+0.0001,IF(OR(B957="",J957&lt;&gt;0),0,VLOOKUP(A957,Journal!$B$7:M$84,8)))</f>
        <v>0</v>
      </c>
      <c r="L957" s="87">
        <f t="shared" si="107"/>
        <v>0</v>
      </c>
      <c r="P957">
        <f t="shared" si="108"/>
        <v>1.0000000000000001E-5</v>
      </c>
      <c r="R957" s="15">
        <f t="shared" si="110"/>
        <v>950</v>
      </c>
      <c r="S957" s="126">
        <f>IF(VLOOKUP(A957,Journal!$A$7:$E$70,5)=0,S956+1,VLOOKUP(A957,Journal!$A$7:$E$70,5))</f>
        <v>46607</v>
      </c>
      <c r="T957" s="125">
        <f>IF(H$2=VLOOKUP(A957,Journal!$A$7:$F$70,6),VLOOKUP(A957,Journal!$A$7:M$70,9),0)</f>
        <v>0</v>
      </c>
      <c r="U957" s="125">
        <f>IF(H$2=VLOOKUP(A957,Journal!$A$7:$G$70,7),VLOOKUP(A957,Journal!$A$7:M$70,9),0)</f>
        <v>0</v>
      </c>
      <c r="V957" s="125">
        <f t="shared" si="105"/>
        <v>40</v>
      </c>
      <c r="X957">
        <f t="shared" si="109"/>
        <v>0</v>
      </c>
      <c r="Y957" s="143">
        <f t="shared" si="103"/>
        <v>-975.07894736846072</v>
      </c>
    </row>
    <row r="958" spans="1:25" x14ac:dyDescent="0.25">
      <c r="A958">
        <f t="shared" si="111"/>
        <v>951</v>
      </c>
      <c r="B958" s="88" t="str">
        <f>IF(OR(B957="Total",B957=""),"",IF(VLOOKUP(A958,Journal!$B$7:$E$84,4)=0,"Total",VLOOKUP(A958,Journal!$B$7:$D$84,3)))</f>
        <v/>
      </c>
      <c r="C958" s="86" t="str">
        <f>IF(B958="","",VLOOKUP(A958,Journal!$B$7:$E$84,4))</f>
        <v/>
      </c>
      <c r="D958" s="114" t="str">
        <f>IF(B958="","",VLOOKUP(A958,Journal!$B$7:$J$84,9))</f>
        <v/>
      </c>
      <c r="E958" s="116"/>
      <c r="F958" s="116"/>
      <c r="G958" s="115"/>
      <c r="H958" s="84" t="str">
        <f>IF(B958="","",VLOOKUP(A958,Journal!$B$7:$L$84,11))</f>
        <v/>
      </c>
      <c r="I958" s="84" t="str">
        <f>IF(B958="","",VLOOKUP(A958,Journal!$B$7:$M$84,12))</f>
        <v/>
      </c>
      <c r="J958" s="105">
        <f>IF(B958="Total",SUM(J$8:J957)+0.0001,IF(OR(B958="",I$2=I958),0,VLOOKUP(A958,Journal!$B$7:M$84,8)))</f>
        <v>0</v>
      </c>
      <c r="K958" s="102">
        <f>IF(B958="Total",SUM(K$8:K957)+0.0001,IF(OR(B958="",J958&lt;&gt;0),0,VLOOKUP(A958,Journal!$B$7:M$84,8)))</f>
        <v>0</v>
      </c>
      <c r="L958" s="87">
        <f t="shared" si="107"/>
        <v>0</v>
      </c>
      <c r="P958">
        <f t="shared" si="108"/>
        <v>1.0000000000000001E-5</v>
      </c>
      <c r="R958" s="15">
        <f t="shared" si="110"/>
        <v>951</v>
      </c>
      <c r="S958" s="126">
        <f>IF(VLOOKUP(A958,Journal!$A$7:$E$70,5)=0,S957+1,VLOOKUP(A958,Journal!$A$7:$E$70,5))</f>
        <v>46608</v>
      </c>
      <c r="T958" s="125">
        <f>IF(H$2=VLOOKUP(A958,Journal!$A$7:$F$70,6),VLOOKUP(A958,Journal!$A$7:M$70,9),0)</f>
        <v>0</v>
      </c>
      <c r="U958" s="125">
        <f>IF(H$2=VLOOKUP(A958,Journal!$A$7:$G$70,7),VLOOKUP(A958,Journal!$A$7:M$70,9),0)</f>
        <v>0</v>
      </c>
      <c r="V958" s="125">
        <f t="shared" si="105"/>
        <v>40</v>
      </c>
      <c r="X958">
        <f t="shared" si="109"/>
        <v>0</v>
      </c>
      <c r="Y958" s="143">
        <f t="shared" si="103"/>
        <v>-975.05263157898708</v>
      </c>
    </row>
    <row r="959" spans="1:25" x14ac:dyDescent="0.25">
      <c r="A959">
        <f t="shared" si="111"/>
        <v>952</v>
      </c>
      <c r="B959" s="88" t="str">
        <f>IF(OR(B958="Total",B958=""),"",IF(VLOOKUP(A959,Journal!$B$7:$E$84,4)=0,"Total",VLOOKUP(A959,Journal!$B$7:$D$84,3)))</f>
        <v/>
      </c>
      <c r="C959" s="86" t="str">
        <f>IF(B959="","",VLOOKUP(A959,Journal!$B$7:$E$84,4))</f>
        <v/>
      </c>
      <c r="D959" s="114" t="str">
        <f>IF(B959="","",VLOOKUP(A959,Journal!$B$7:$J$84,9))</f>
        <v/>
      </c>
      <c r="E959" s="116"/>
      <c r="F959" s="116"/>
      <c r="G959" s="115"/>
      <c r="H959" s="84" t="str">
        <f>IF(B959="","",VLOOKUP(A959,Journal!$B$7:$L$84,11))</f>
        <v/>
      </c>
      <c r="I959" s="84" t="str">
        <f>IF(B959="","",VLOOKUP(A959,Journal!$B$7:$M$84,12))</f>
        <v/>
      </c>
      <c r="J959" s="105">
        <f>IF(B959="Total",SUM(J$8:J958)+0.0001,IF(OR(B959="",I$2=I959),0,VLOOKUP(A959,Journal!$B$7:M$84,8)))</f>
        <v>0</v>
      </c>
      <c r="K959" s="102">
        <f>IF(B959="Total",SUM(K$8:K958)+0.0001,IF(OR(B959="",J959&lt;&gt;0),0,VLOOKUP(A959,Journal!$B$7:M$84,8)))</f>
        <v>0</v>
      </c>
      <c r="L959" s="87">
        <f t="shared" si="107"/>
        <v>0</v>
      </c>
      <c r="P959">
        <f t="shared" si="108"/>
        <v>1.0000000000000001E-5</v>
      </c>
      <c r="R959" s="15">
        <f t="shared" si="110"/>
        <v>952</v>
      </c>
      <c r="S959" s="126">
        <f>IF(VLOOKUP(A959,Journal!$A$7:$E$70,5)=0,S958+1,VLOOKUP(A959,Journal!$A$7:$E$70,5))</f>
        <v>46609</v>
      </c>
      <c r="T959" s="125">
        <f>IF(H$2=VLOOKUP(A959,Journal!$A$7:$F$70,6),VLOOKUP(A959,Journal!$A$7:M$70,9),0)</f>
        <v>0</v>
      </c>
      <c r="U959" s="125">
        <f>IF(H$2=VLOOKUP(A959,Journal!$A$7:$G$70,7),VLOOKUP(A959,Journal!$A$7:M$70,9),0)</f>
        <v>0</v>
      </c>
      <c r="V959" s="125">
        <f t="shared" si="105"/>
        <v>40</v>
      </c>
      <c r="X959">
        <f t="shared" si="109"/>
        <v>0</v>
      </c>
      <c r="Y959" s="143">
        <f t="shared" si="103"/>
        <v>-975.02631578951343</v>
      </c>
    </row>
    <row r="960" spans="1:25" x14ac:dyDescent="0.25">
      <c r="A960">
        <f t="shared" si="111"/>
        <v>953</v>
      </c>
      <c r="B960" s="88" t="str">
        <f>IF(OR(B959="Total",B959=""),"",IF(VLOOKUP(A960,Journal!$B$7:$E$84,4)=0,"Total",VLOOKUP(A960,Journal!$B$7:$D$84,3)))</f>
        <v/>
      </c>
      <c r="C960" s="86" t="str">
        <f>IF(B960="","",VLOOKUP(A960,Journal!$B$7:$E$84,4))</f>
        <v/>
      </c>
      <c r="D960" s="114" t="str">
        <f>IF(B960="","",VLOOKUP(A960,Journal!$B$7:$J$84,9))</f>
        <v/>
      </c>
      <c r="E960" s="116"/>
      <c r="F960" s="116"/>
      <c r="G960" s="115"/>
      <c r="H960" s="84" t="str">
        <f>IF(B960="","",VLOOKUP(A960,Journal!$B$7:$L$84,11))</f>
        <v/>
      </c>
      <c r="I960" s="84" t="str">
        <f>IF(B960="","",VLOOKUP(A960,Journal!$B$7:$M$84,12))</f>
        <v/>
      </c>
      <c r="J960" s="105">
        <f>IF(B960="Total",SUM(J$8:J959)+0.0001,IF(OR(B960="",I$2=I960),0,VLOOKUP(A960,Journal!$B$7:M$84,8)))</f>
        <v>0</v>
      </c>
      <c r="K960" s="102">
        <f>IF(B960="Total",SUM(K$8:K959)+0.0001,IF(OR(B960="",J960&lt;&gt;0),0,VLOOKUP(A960,Journal!$B$7:M$84,8)))</f>
        <v>0</v>
      </c>
      <c r="L960" s="87">
        <f t="shared" si="107"/>
        <v>0</v>
      </c>
      <c r="P960">
        <f t="shared" si="108"/>
        <v>1.0000000000000001E-5</v>
      </c>
      <c r="R960" s="15">
        <f t="shared" si="110"/>
        <v>953</v>
      </c>
      <c r="S960" s="126">
        <f>IF(VLOOKUP(A960,Journal!$A$7:$E$70,5)=0,S959+1,VLOOKUP(A960,Journal!$A$7:$E$70,5))</f>
        <v>46610</v>
      </c>
      <c r="T960" s="125">
        <f>IF(H$2=VLOOKUP(A960,Journal!$A$7:$F$70,6),VLOOKUP(A960,Journal!$A$7:M$70,9),0)</f>
        <v>0</v>
      </c>
      <c r="U960" s="125">
        <f>IF(H$2=VLOOKUP(A960,Journal!$A$7:$G$70,7),VLOOKUP(A960,Journal!$A$7:M$70,9),0)</f>
        <v>0</v>
      </c>
      <c r="V960" s="125">
        <f t="shared" si="105"/>
        <v>40</v>
      </c>
      <c r="X960">
        <f t="shared" si="109"/>
        <v>0</v>
      </c>
      <c r="Y960" s="143">
        <f t="shared" si="103"/>
        <v>-975.00000000003979</v>
      </c>
    </row>
    <row r="961" spans="1:25" x14ac:dyDescent="0.25">
      <c r="A961">
        <f t="shared" si="111"/>
        <v>954</v>
      </c>
      <c r="B961" s="88" t="str">
        <f>IF(OR(B960="Total",B960=""),"",IF(VLOOKUP(A961,Journal!$B$7:$E$84,4)=0,"Total",VLOOKUP(A961,Journal!$B$7:$D$84,3)))</f>
        <v/>
      </c>
      <c r="C961" s="86" t="str">
        <f>IF(B961="","",VLOOKUP(A961,Journal!$B$7:$E$84,4))</f>
        <v/>
      </c>
      <c r="D961" s="114" t="str">
        <f>IF(B961="","",VLOOKUP(A961,Journal!$B$7:$J$84,9))</f>
        <v/>
      </c>
      <c r="E961" s="116"/>
      <c r="F961" s="116"/>
      <c r="G961" s="115"/>
      <c r="H961" s="84" t="str">
        <f>IF(B961="","",VLOOKUP(A961,Journal!$B$7:$L$84,11))</f>
        <v/>
      </c>
      <c r="I961" s="84" t="str">
        <f>IF(B961="","",VLOOKUP(A961,Journal!$B$7:$M$84,12))</f>
        <v/>
      </c>
      <c r="J961" s="105">
        <f>IF(B961="Total",SUM(J$8:J960)+0.0001,IF(OR(B961="",I$2=I961),0,VLOOKUP(A961,Journal!$B$7:M$84,8)))</f>
        <v>0</v>
      </c>
      <c r="K961" s="102">
        <f>IF(B961="Total",SUM(K$8:K960)+0.0001,IF(OR(B961="",J961&lt;&gt;0),0,VLOOKUP(A961,Journal!$B$7:M$84,8)))</f>
        <v>0</v>
      </c>
      <c r="L961" s="87">
        <f t="shared" si="107"/>
        <v>0</v>
      </c>
      <c r="P961">
        <f t="shared" si="108"/>
        <v>1.0000000000000001E-5</v>
      </c>
      <c r="R961" s="15">
        <f t="shared" si="110"/>
        <v>954</v>
      </c>
      <c r="S961" s="126">
        <f>IF(VLOOKUP(A961,Journal!$A$7:$E$70,5)=0,S960+1,VLOOKUP(A961,Journal!$A$7:$E$70,5))</f>
        <v>46611</v>
      </c>
      <c r="T961" s="125">
        <f>IF(H$2=VLOOKUP(A961,Journal!$A$7:$F$70,6),VLOOKUP(A961,Journal!$A$7:M$70,9),0)</f>
        <v>0</v>
      </c>
      <c r="U961" s="125">
        <f>IF(H$2=VLOOKUP(A961,Journal!$A$7:$G$70,7),VLOOKUP(A961,Journal!$A$7:M$70,9),0)</f>
        <v>0</v>
      </c>
      <c r="V961" s="125">
        <f t="shared" si="105"/>
        <v>40</v>
      </c>
      <c r="X961">
        <f t="shared" si="109"/>
        <v>0</v>
      </c>
      <c r="Y961" s="143">
        <f t="shared" si="103"/>
        <v>-974.97368421056615</v>
      </c>
    </row>
    <row r="962" spans="1:25" x14ac:dyDescent="0.25">
      <c r="A962">
        <f t="shared" si="111"/>
        <v>955</v>
      </c>
      <c r="B962" s="88" t="str">
        <f>IF(OR(B961="Total",B961=""),"",IF(VLOOKUP(A962,Journal!$B$7:$E$84,4)=0,"Total",VLOOKUP(A962,Journal!$B$7:$D$84,3)))</f>
        <v/>
      </c>
      <c r="C962" s="86" t="str">
        <f>IF(B962="","",VLOOKUP(A962,Journal!$B$7:$E$84,4))</f>
        <v/>
      </c>
      <c r="D962" s="114" t="str">
        <f>IF(B962="","",VLOOKUP(A962,Journal!$B$7:$J$84,9))</f>
        <v/>
      </c>
      <c r="E962" s="116"/>
      <c r="F962" s="116"/>
      <c r="G962" s="115"/>
      <c r="H962" s="84" t="str">
        <f>IF(B962="","",VLOOKUP(A962,Journal!$B$7:$L$84,11))</f>
        <v/>
      </c>
      <c r="I962" s="84" t="str">
        <f>IF(B962="","",VLOOKUP(A962,Journal!$B$7:$M$84,12))</f>
        <v/>
      </c>
      <c r="J962" s="105">
        <f>IF(B962="Total",SUM(J$8:J961)+0.0001,IF(OR(B962="",I$2=I962),0,VLOOKUP(A962,Journal!$B$7:M$84,8)))</f>
        <v>0</v>
      </c>
      <c r="K962" s="102">
        <f>IF(B962="Total",SUM(K$8:K961)+0.0001,IF(OR(B962="",J962&lt;&gt;0),0,VLOOKUP(A962,Journal!$B$7:M$84,8)))</f>
        <v>0</v>
      </c>
      <c r="L962" s="87">
        <f t="shared" si="107"/>
        <v>0</v>
      </c>
      <c r="P962">
        <f t="shared" si="108"/>
        <v>1.0000000000000001E-5</v>
      </c>
      <c r="R962" s="15">
        <f t="shared" si="110"/>
        <v>955</v>
      </c>
      <c r="S962" s="126">
        <f>IF(VLOOKUP(A962,Journal!$A$7:$E$70,5)=0,S961+1,VLOOKUP(A962,Journal!$A$7:$E$70,5))</f>
        <v>46612</v>
      </c>
      <c r="T962" s="125">
        <f>IF(H$2=VLOOKUP(A962,Journal!$A$7:$F$70,6),VLOOKUP(A962,Journal!$A$7:M$70,9),0)</f>
        <v>0</v>
      </c>
      <c r="U962" s="125">
        <f>IF(H$2=VLOOKUP(A962,Journal!$A$7:$G$70,7),VLOOKUP(A962,Journal!$A$7:M$70,9),0)</f>
        <v>0</v>
      </c>
      <c r="V962" s="125">
        <f t="shared" si="105"/>
        <v>40</v>
      </c>
      <c r="X962">
        <f t="shared" si="109"/>
        <v>0</v>
      </c>
      <c r="Y962" s="143">
        <f t="shared" si="103"/>
        <v>-974.94736842109251</v>
      </c>
    </row>
    <row r="963" spans="1:25" x14ac:dyDescent="0.25">
      <c r="A963">
        <f t="shared" si="111"/>
        <v>956</v>
      </c>
      <c r="B963" s="88" t="str">
        <f>IF(OR(B962="Total",B962=""),"",IF(VLOOKUP(A963,Journal!$B$7:$E$84,4)=0,"Total",VLOOKUP(A963,Journal!$B$7:$D$84,3)))</f>
        <v/>
      </c>
      <c r="C963" s="86" t="str">
        <f>IF(B963="","",VLOOKUP(A963,Journal!$B$7:$E$84,4))</f>
        <v/>
      </c>
      <c r="D963" s="114" t="str">
        <f>IF(B963="","",VLOOKUP(A963,Journal!$B$7:$J$84,9))</f>
        <v/>
      </c>
      <c r="E963" s="116"/>
      <c r="F963" s="116"/>
      <c r="G963" s="115"/>
      <c r="H963" s="84" t="str">
        <f>IF(B963="","",VLOOKUP(A963,Journal!$B$7:$L$84,11))</f>
        <v/>
      </c>
      <c r="I963" s="84" t="str">
        <f>IF(B963="","",VLOOKUP(A963,Journal!$B$7:$M$84,12))</f>
        <v/>
      </c>
      <c r="J963" s="105">
        <f>IF(B963="Total",SUM(J$8:J962)+0.0001,IF(OR(B963="",I$2=I963),0,VLOOKUP(A963,Journal!$B$7:M$84,8)))</f>
        <v>0</v>
      </c>
      <c r="K963" s="102">
        <f>IF(B963="Total",SUM(K$8:K962)+0.0001,IF(OR(B963="",J963&lt;&gt;0),0,VLOOKUP(A963,Journal!$B$7:M$84,8)))</f>
        <v>0</v>
      </c>
      <c r="L963" s="87">
        <f t="shared" si="107"/>
        <v>0</v>
      </c>
      <c r="P963">
        <f t="shared" si="108"/>
        <v>1.0000000000000001E-5</v>
      </c>
      <c r="R963" s="15">
        <f t="shared" si="110"/>
        <v>956</v>
      </c>
      <c r="S963" s="126">
        <f>IF(VLOOKUP(A963,Journal!$A$7:$E$70,5)=0,S962+1,VLOOKUP(A963,Journal!$A$7:$E$70,5))</f>
        <v>46613</v>
      </c>
      <c r="T963" s="125">
        <f>IF(H$2=VLOOKUP(A963,Journal!$A$7:$F$70,6),VLOOKUP(A963,Journal!$A$7:M$70,9),0)</f>
        <v>0</v>
      </c>
      <c r="U963" s="125">
        <f>IF(H$2=VLOOKUP(A963,Journal!$A$7:$G$70,7),VLOOKUP(A963,Journal!$A$7:M$70,9),0)</f>
        <v>0</v>
      </c>
      <c r="V963" s="125">
        <f t="shared" si="105"/>
        <v>40</v>
      </c>
      <c r="X963">
        <f t="shared" si="109"/>
        <v>0</v>
      </c>
      <c r="Y963" s="143">
        <f t="shared" si="103"/>
        <v>-974.92105263161886</v>
      </c>
    </row>
    <row r="964" spans="1:25" x14ac:dyDescent="0.25">
      <c r="A964">
        <f t="shared" si="111"/>
        <v>957</v>
      </c>
      <c r="B964" s="88" t="str">
        <f>IF(OR(B963="Total",B963=""),"",IF(VLOOKUP(A964,Journal!$B$7:$E$84,4)=0,"Total",VLOOKUP(A964,Journal!$B$7:$D$84,3)))</f>
        <v/>
      </c>
      <c r="C964" s="86" t="str">
        <f>IF(B964="","",VLOOKUP(A964,Journal!$B$7:$E$84,4))</f>
        <v/>
      </c>
      <c r="D964" s="114" t="str">
        <f>IF(B964="","",VLOOKUP(A964,Journal!$B$7:$J$84,9))</f>
        <v/>
      </c>
      <c r="E964" s="116"/>
      <c r="F964" s="116"/>
      <c r="G964" s="115"/>
      <c r="H964" s="84" t="str">
        <f>IF(B964="","",VLOOKUP(A964,Journal!$B$7:$L$84,11))</f>
        <v/>
      </c>
      <c r="I964" s="84" t="str">
        <f>IF(B964="","",VLOOKUP(A964,Journal!$B$7:$M$84,12))</f>
        <v/>
      </c>
      <c r="J964" s="105">
        <f>IF(B964="Total",SUM(J$8:J963)+0.0001,IF(OR(B964="",I$2=I964),0,VLOOKUP(A964,Journal!$B$7:M$84,8)))</f>
        <v>0</v>
      </c>
      <c r="K964" s="102">
        <f>IF(B964="Total",SUM(K$8:K963)+0.0001,IF(OR(B964="",J964&lt;&gt;0),0,VLOOKUP(A964,Journal!$B$7:M$84,8)))</f>
        <v>0</v>
      </c>
      <c r="L964" s="87">
        <f t="shared" si="107"/>
        <v>0</v>
      </c>
      <c r="P964">
        <f t="shared" si="108"/>
        <v>1.0000000000000001E-5</v>
      </c>
      <c r="R964" s="15">
        <f t="shared" si="110"/>
        <v>957</v>
      </c>
      <c r="S964" s="126">
        <f>IF(VLOOKUP(A964,Journal!$A$7:$E$70,5)=0,S963+1,VLOOKUP(A964,Journal!$A$7:$E$70,5))</f>
        <v>46614</v>
      </c>
      <c r="T964" s="125">
        <f>IF(H$2=VLOOKUP(A964,Journal!$A$7:$F$70,6),VLOOKUP(A964,Journal!$A$7:M$70,9),0)</f>
        <v>0</v>
      </c>
      <c r="U964" s="125">
        <f>IF(H$2=VLOOKUP(A964,Journal!$A$7:$G$70,7),VLOOKUP(A964,Journal!$A$7:M$70,9),0)</f>
        <v>0</v>
      </c>
      <c r="V964" s="125">
        <f t="shared" si="105"/>
        <v>40</v>
      </c>
      <c r="X964">
        <f t="shared" si="109"/>
        <v>0</v>
      </c>
      <c r="Y964" s="143">
        <f t="shared" si="103"/>
        <v>-974.89473684214522</v>
      </c>
    </row>
    <row r="965" spans="1:25" x14ac:dyDescent="0.25">
      <c r="A965">
        <f t="shared" si="111"/>
        <v>958</v>
      </c>
      <c r="B965" s="88" t="str">
        <f>IF(OR(B964="Total",B964=""),"",IF(VLOOKUP(A965,Journal!$B$7:$E$84,4)=0,"Total",VLOOKUP(A965,Journal!$B$7:$D$84,3)))</f>
        <v/>
      </c>
      <c r="C965" s="86" t="str">
        <f>IF(B965="","",VLOOKUP(A965,Journal!$B$7:$E$84,4))</f>
        <v/>
      </c>
      <c r="D965" s="114" t="str">
        <f>IF(B965="","",VLOOKUP(A965,Journal!$B$7:$J$84,9))</f>
        <v/>
      </c>
      <c r="E965" s="116"/>
      <c r="F965" s="116"/>
      <c r="G965" s="115"/>
      <c r="H965" s="84" t="str">
        <f>IF(B965="","",VLOOKUP(A965,Journal!$B$7:$L$84,11))</f>
        <v/>
      </c>
      <c r="I965" s="84" t="str">
        <f>IF(B965="","",VLOOKUP(A965,Journal!$B$7:$M$84,12))</f>
        <v/>
      </c>
      <c r="J965" s="105">
        <f>IF(B965="Total",SUM(J$8:J964)+0.0001,IF(OR(B965="",I$2=I965),0,VLOOKUP(A965,Journal!$B$7:M$84,8)))</f>
        <v>0</v>
      </c>
      <c r="K965" s="102">
        <f>IF(B965="Total",SUM(K$8:K964)+0.0001,IF(OR(B965="",J965&lt;&gt;0),0,VLOOKUP(A965,Journal!$B$7:M$84,8)))</f>
        <v>0</v>
      </c>
      <c r="L965" s="87">
        <f t="shared" si="107"/>
        <v>0</v>
      </c>
      <c r="P965">
        <f t="shared" si="108"/>
        <v>1.0000000000000001E-5</v>
      </c>
      <c r="R965" s="15">
        <f t="shared" si="110"/>
        <v>958</v>
      </c>
      <c r="S965" s="126">
        <f>IF(VLOOKUP(A965,Journal!$A$7:$E$70,5)=0,S964+1,VLOOKUP(A965,Journal!$A$7:$E$70,5))</f>
        <v>46615</v>
      </c>
      <c r="T965" s="125">
        <f>IF(H$2=VLOOKUP(A965,Journal!$A$7:$F$70,6),VLOOKUP(A965,Journal!$A$7:M$70,9),0)</f>
        <v>0</v>
      </c>
      <c r="U965" s="125">
        <f>IF(H$2=VLOOKUP(A965,Journal!$A$7:$G$70,7),VLOOKUP(A965,Journal!$A$7:M$70,9),0)</f>
        <v>0</v>
      </c>
      <c r="V965" s="125">
        <f t="shared" si="105"/>
        <v>40</v>
      </c>
      <c r="X965">
        <f t="shared" si="109"/>
        <v>0</v>
      </c>
      <c r="Y965" s="143">
        <f t="shared" si="103"/>
        <v>-974.86842105267158</v>
      </c>
    </row>
    <row r="966" spans="1:25" x14ac:dyDescent="0.25">
      <c r="A966">
        <f t="shared" si="111"/>
        <v>959</v>
      </c>
      <c r="B966" s="88" t="str">
        <f>IF(OR(B965="Total",B965=""),"",IF(VLOOKUP(A966,Journal!$B$7:$E$84,4)=0,"Total",VLOOKUP(A966,Journal!$B$7:$D$84,3)))</f>
        <v/>
      </c>
      <c r="C966" s="86" t="str">
        <f>IF(B966="","",VLOOKUP(A966,Journal!$B$7:$E$84,4))</f>
        <v/>
      </c>
      <c r="D966" s="114" t="str">
        <f>IF(B966="","",VLOOKUP(A966,Journal!$B$7:$J$84,9))</f>
        <v/>
      </c>
      <c r="E966" s="116"/>
      <c r="F966" s="116"/>
      <c r="G966" s="115"/>
      <c r="H966" s="84" t="str">
        <f>IF(B966="","",VLOOKUP(A966,Journal!$B$7:$L$84,11))</f>
        <v/>
      </c>
      <c r="I966" s="84" t="str">
        <f>IF(B966="","",VLOOKUP(A966,Journal!$B$7:$M$84,12))</f>
        <v/>
      </c>
      <c r="J966" s="105">
        <f>IF(B966="Total",SUM(J$8:J965)+0.0001,IF(OR(B966="",I$2=I966),0,VLOOKUP(A966,Journal!$B$7:M$84,8)))</f>
        <v>0</v>
      </c>
      <c r="K966" s="102">
        <f>IF(B966="Total",SUM(K$8:K965)+0.0001,IF(OR(B966="",J966&lt;&gt;0),0,VLOOKUP(A966,Journal!$B$7:M$84,8)))</f>
        <v>0</v>
      </c>
      <c r="L966" s="87">
        <f t="shared" si="107"/>
        <v>0</v>
      </c>
      <c r="P966">
        <f t="shared" si="108"/>
        <v>1.0000000000000001E-5</v>
      </c>
      <c r="R966" s="15">
        <f t="shared" si="110"/>
        <v>959</v>
      </c>
      <c r="S966" s="126">
        <f>IF(VLOOKUP(A966,Journal!$A$7:$E$70,5)=0,S965+1,VLOOKUP(A966,Journal!$A$7:$E$70,5))</f>
        <v>46616</v>
      </c>
      <c r="T966" s="125">
        <f>IF(H$2=VLOOKUP(A966,Journal!$A$7:$F$70,6),VLOOKUP(A966,Journal!$A$7:M$70,9),0)</f>
        <v>0</v>
      </c>
      <c r="U966" s="125">
        <f>IF(H$2=VLOOKUP(A966,Journal!$A$7:$G$70,7),VLOOKUP(A966,Journal!$A$7:M$70,9),0)</f>
        <v>0</v>
      </c>
      <c r="V966" s="125">
        <f t="shared" si="105"/>
        <v>40</v>
      </c>
      <c r="X966">
        <f t="shared" si="109"/>
        <v>0</v>
      </c>
      <c r="Y966" s="143">
        <f t="shared" si="103"/>
        <v>-974.84210526319794</v>
      </c>
    </row>
    <row r="967" spans="1:25" x14ac:dyDescent="0.25">
      <c r="A967">
        <f t="shared" si="111"/>
        <v>960</v>
      </c>
      <c r="B967" s="88" t="str">
        <f>IF(OR(B966="Total",B966=""),"",IF(VLOOKUP(A967,Journal!$B$7:$E$84,4)=0,"Total",VLOOKUP(A967,Journal!$B$7:$D$84,3)))</f>
        <v/>
      </c>
      <c r="C967" s="86" t="str">
        <f>IF(B967="","",VLOOKUP(A967,Journal!$B$7:$E$84,4))</f>
        <v/>
      </c>
      <c r="D967" s="114" t="str">
        <f>IF(B967="","",VLOOKUP(A967,Journal!$B$7:$J$84,9))</f>
        <v/>
      </c>
      <c r="E967" s="116"/>
      <c r="F967" s="116"/>
      <c r="G967" s="115"/>
      <c r="H967" s="84" t="str">
        <f>IF(B967="","",VLOOKUP(A967,Journal!$B$7:$L$84,11))</f>
        <v/>
      </c>
      <c r="I967" s="84" t="str">
        <f>IF(B967="","",VLOOKUP(A967,Journal!$B$7:$M$84,12))</f>
        <v/>
      </c>
      <c r="J967" s="105">
        <f>IF(B967="Total",SUM(J$8:J966)+0.0001,IF(OR(B967="",I$2=I967),0,VLOOKUP(A967,Journal!$B$7:M$84,8)))</f>
        <v>0</v>
      </c>
      <c r="K967" s="102">
        <f>IF(B967="Total",SUM(K$8:K966)+0.0001,IF(OR(B967="",J967&lt;&gt;0),0,VLOOKUP(A967,Journal!$B$7:M$84,8)))</f>
        <v>0</v>
      </c>
      <c r="L967" s="87">
        <f t="shared" si="107"/>
        <v>0</v>
      </c>
      <c r="P967">
        <f t="shared" si="108"/>
        <v>1.0000000000000001E-5</v>
      </c>
      <c r="R967" s="15">
        <f t="shared" si="110"/>
        <v>960</v>
      </c>
      <c r="S967" s="126">
        <f>IF(VLOOKUP(A967,Journal!$A$7:$E$70,5)=0,S966+1,VLOOKUP(A967,Journal!$A$7:$E$70,5))</f>
        <v>46617</v>
      </c>
      <c r="T967" s="125">
        <f>IF(H$2=VLOOKUP(A967,Journal!$A$7:$F$70,6),VLOOKUP(A967,Journal!$A$7:M$70,9),0)</f>
        <v>0</v>
      </c>
      <c r="U967" s="125">
        <f>IF(H$2=VLOOKUP(A967,Journal!$A$7:$G$70,7),VLOOKUP(A967,Journal!$A$7:M$70,9),0)</f>
        <v>0</v>
      </c>
      <c r="V967" s="125">
        <f t="shared" si="105"/>
        <v>40</v>
      </c>
      <c r="X967">
        <f t="shared" si="109"/>
        <v>0</v>
      </c>
      <c r="Y967" s="143">
        <f t="shared" si="103"/>
        <v>-974.81578947372429</v>
      </c>
    </row>
    <row r="968" spans="1:25" x14ac:dyDescent="0.25">
      <c r="A968">
        <f t="shared" si="111"/>
        <v>961</v>
      </c>
      <c r="B968" s="88" t="str">
        <f>IF(OR(B967="Total",B967=""),"",IF(VLOOKUP(A968,Journal!$B$7:$E$84,4)=0,"Total",VLOOKUP(A968,Journal!$B$7:$D$84,3)))</f>
        <v/>
      </c>
      <c r="C968" s="86" t="str">
        <f>IF(B968="","",VLOOKUP(A968,Journal!$B$7:$E$84,4))</f>
        <v/>
      </c>
      <c r="D968" s="114" t="str">
        <f>IF(B968="","",VLOOKUP(A968,Journal!$B$7:$J$84,9))</f>
        <v/>
      </c>
      <c r="E968" s="116"/>
      <c r="F968" s="116"/>
      <c r="G968" s="115"/>
      <c r="H968" s="84" t="str">
        <f>IF(B968="","",VLOOKUP(A968,Journal!$B$7:$L$84,11))</f>
        <v/>
      </c>
      <c r="I968" s="84" t="str">
        <f>IF(B968="","",VLOOKUP(A968,Journal!$B$7:$M$84,12))</f>
        <v/>
      </c>
      <c r="J968" s="105">
        <f>IF(B968="Total",SUM(J$8:J967)+0.0001,IF(OR(B968="",I$2=I968),0,VLOOKUP(A968,Journal!$B$7:M$84,8)))</f>
        <v>0</v>
      </c>
      <c r="K968" s="102">
        <f>IF(B968="Total",SUM(K$8:K967)+0.0001,IF(OR(B968="",J968&lt;&gt;0),0,VLOOKUP(A968,Journal!$B$7:M$84,8)))</f>
        <v>0</v>
      </c>
      <c r="L968" s="87">
        <f t="shared" si="107"/>
        <v>0</v>
      </c>
      <c r="P968">
        <f t="shared" si="108"/>
        <v>1.0000000000000001E-5</v>
      </c>
      <c r="R968" s="15">
        <f t="shared" si="110"/>
        <v>961</v>
      </c>
      <c r="S968" s="126">
        <f>IF(VLOOKUP(A968,Journal!$A$7:$E$70,5)=0,S967+1,VLOOKUP(A968,Journal!$A$7:$E$70,5))</f>
        <v>46618</v>
      </c>
      <c r="T968" s="125">
        <f>IF(H$2=VLOOKUP(A968,Journal!$A$7:$F$70,6),VLOOKUP(A968,Journal!$A$7:M$70,9),0)</f>
        <v>0</v>
      </c>
      <c r="U968" s="125">
        <f>IF(H$2=VLOOKUP(A968,Journal!$A$7:$G$70,7),VLOOKUP(A968,Journal!$A$7:M$70,9),0)</f>
        <v>0</v>
      </c>
      <c r="V968" s="125">
        <f t="shared" si="105"/>
        <v>40</v>
      </c>
      <c r="X968">
        <f t="shared" si="109"/>
        <v>0</v>
      </c>
      <c r="Y968" s="143">
        <f t="shared" ref="Y968:Y1031" si="112">IF(B967="Total",-1000,Y967+Y$4)</f>
        <v>-974.78947368425065</v>
      </c>
    </row>
    <row r="969" spans="1:25" x14ac:dyDescent="0.25">
      <c r="A969">
        <f t="shared" si="111"/>
        <v>962</v>
      </c>
      <c r="B969" s="88" t="str">
        <f>IF(OR(B968="Total",B968=""),"",IF(VLOOKUP(A969,Journal!$B$7:$E$84,4)=0,"Total",VLOOKUP(A969,Journal!$B$7:$D$84,3)))</f>
        <v/>
      </c>
      <c r="C969" s="86" t="str">
        <f>IF(B969="","",VLOOKUP(A969,Journal!$B$7:$E$84,4))</f>
        <v/>
      </c>
      <c r="D969" s="114" t="str">
        <f>IF(B969="","",VLOOKUP(A969,Journal!$B$7:$J$84,9))</f>
        <v/>
      </c>
      <c r="E969" s="116"/>
      <c r="F969" s="116"/>
      <c r="G969" s="115"/>
      <c r="H969" s="84" t="str">
        <f>IF(B969="","",VLOOKUP(A969,Journal!$B$7:$L$84,11))</f>
        <v/>
      </c>
      <c r="I969" s="84" t="str">
        <f>IF(B969="","",VLOOKUP(A969,Journal!$B$7:$M$84,12))</f>
        <v/>
      </c>
      <c r="J969" s="105">
        <f>IF(B969="Total",SUM(J$8:J968)+0.0001,IF(OR(B969="",I$2=I969),0,VLOOKUP(A969,Journal!$B$7:M$84,8)))</f>
        <v>0</v>
      </c>
      <c r="K969" s="102">
        <f>IF(B969="Total",SUM(K$8:K968)+0.0001,IF(OR(B969="",J969&lt;&gt;0),0,VLOOKUP(A969,Journal!$B$7:M$84,8)))</f>
        <v>0</v>
      </c>
      <c r="L969" s="87">
        <f t="shared" si="107"/>
        <v>0</v>
      </c>
      <c r="P969">
        <f t="shared" si="108"/>
        <v>1.0000000000000001E-5</v>
      </c>
      <c r="R969" s="15">
        <f t="shared" si="110"/>
        <v>962</v>
      </c>
      <c r="S969" s="126">
        <f>IF(VLOOKUP(A969,Journal!$A$7:$E$70,5)=0,S968+1,VLOOKUP(A969,Journal!$A$7:$E$70,5))</f>
        <v>46619</v>
      </c>
      <c r="T969" s="125">
        <f>IF(H$2=VLOOKUP(A969,Journal!$A$7:$F$70,6),VLOOKUP(A969,Journal!$A$7:M$70,9),0)</f>
        <v>0</v>
      </c>
      <c r="U969" s="125">
        <f>IF(H$2=VLOOKUP(A969,Journal!$A$7:$G$70,7),VLOOKUP(A969,Journal!$A$7:M$70,9),0)</f>
        <v>0</v>
      </c>
      <c r="V969" s="125">
        <f t="shared" si="105"/>
        <v>40</v>
      </c>
      <c r="X969">
        <f t="shared" si="109"/>
        <v>0</v>
      </c>
      <c r="Y969" s="143">
        <f t="shared" si="112"/>
        <v>-974.76315789477701</v>
      </c>
    </row>
    <row r="970" spans="1:25" x14ac:dyDescent="0.25">
      <c r="A970">
        <f t="shared" si="111"/>
        <v>963</v>
      </c>
      <c r="B970" s="88" t="str">
        <f>IF(OR(B969="Total",B969=""),"",IF(VLOOKUP(A970,Journal!$B$7:$E$84,4)=0,"Total",VLOOKUP(A970,Journal!$B$7:$D$84,3)))</f>
        <v/>
      </c>
      <c r="C970" s="86" t="str">
        <f>IF(B970="","",VLOOKUP(A970,Journal!$B$7:$E$84,4))</f>
        <v/>
      </c>
      <c r="D970" s="114" t="str">
        <f>IF(B970="","",VLOOKUP(A970,Journal!$B$7:$J$84,9))</f>
        <v/>
      </c>
      <c r="E970" s="116"/>
      <c r="F970" s="116"/>
      <c r="G970" s="115"/>
      <c r="H970" s="84" t="str">
        <f>IF(B970="","",VLOOKUP(A970,Journal!$B$7:$L$84,11))</f>
        <v/>
      </c>
      <c r="I970" s="84" t="str">
        <f>IF(B970="","",VLOOKUP(A970,Journal!$B$7:$M$84,12))</f>
        <v/>
      </c>
      <c r="J970" s="105">
        <f>IF(B970="Total",SUM(J$8:J969)+0.0001,IF(OR(B970="",I$2=I970),0,VLOOKUP(A970,Journal!$B$7:M$84,8)))</f>
        <v>0</v>
      </c>
      <c r="K970" s="102">
        <f>IF(B970="Total",SUM(K$8:K969)+0.0001,IF(OR(B970="",J970&lt;&gt;0),0,VLOOKUP(A970,Journal!$B$7:M$84,8)))</f>
        <v>0</v>
      </c>
      <c r="L970" s="87">
        <f t="shared" si="107"/>
        <v>0</v>
      </c>
      <c r="P970">
        <f t="shared" si="108"/>
        <v>1.0000000000000001E-5</v>
      </c>
      <c r="R970" s="15">
        <f t="shared" ref="R970:R1001" si="113">R969+1</f>
        <v>963</v>
      </c>
      <c r="S970" s="126">
        <f>IF(VLOOKUP(A970,Journal!$A$7:$E$70,5)=0,S969+1,VLOOKUP(A970,Journal!$A$7:$E$70,5))</f>
        <v>46620</v>
      </c>
      <c r="T970" s="125">
        <f>IF(H$2=VLOOKUP(A970,Journal!$A$7:$F$70,6),VLOOKUP(A970,Journal!$A$7:M$70,9),0)</f>
        <v>0</v>
      </c>
      <c r="U970" s="125">
        <f>IF(H$2=VLOOKUP(A970,Journal!$A$7:$G$70,7),VLOOKUP(A970,Journal!$A$7:M$70,9),0)</f>
        <v>0</v>
      </c>
      <c r="V970" s="125">
        <f t="shared" ref="V970:V1033" si="114">IF($M$1=1,V969+T970-U970,V969-T970+U970)</f>
        <v>40</v>
      </c>
      <c r="X970">
        <f t="shared" si="109"/>
        <v>0</v>
      </c>
      <c r="Y970" s="143">
        <f t="shared" si="112"/>
        <v>-974.73684210530337</v>
      </c>
    </row>
    <row r="971" spans="1:25" x14ac:dyDescent="0.25">
      <c r="A971">
        <f t="shared" ref="A971:A1002" si="115">A970+1</f>
        <v>964</v>
      </c>
      <c r="B971" s="88" t="str">
        <f>IF(OR(B970="Total",B970=""),"",IF(VLOOKUP(A971,Journal!$B$7:$E$84,4)=0,"Total",VLOOKUP(A971,Journal!$B$7:$D$84,3)))</f>
        <v/>
      </c>
      <c r="C971" s="86" t="str">
        <f>IF(B971="","",VLOOKUP(A971,Journal!$B$7:$E$84,4))</f>
        <v/>
      </c>
      <c r="D971" s="114" t="str">
        <f>IF(B971="","",VLOOKUP(A971,Journal!$B$7:$J$84,9))</f>
        <v/>
      </c>
      <c r="E971" s="116"/>
      <c r="F971" s="116"/>
      <c r="G971" s="115"/>
      <c r="H971" s="84" t="str">
        <f>IF(B971="","",VLOOKUP(A971,Journal!$B$7:$L$84,11))</f>
        <v/>
      </c>
      <c r="I971" s="84" t="str">
        <f>IF(B971="","",VLOOKUP(A971,Journal!$B$7:$M$84,12))</f>
        <v/>
      </c>
      <c r="J971" s="105">
        <f>IF(B971="Total",SUM(J$8:J970)+0.0001,IF(OR(B971="",I$2=I971),0,VLOOKUP(A971,Journal!$B$7:M$84,8)))</f>
        <v>0</v>
      </c>
      <c r="K971" s="102">
        <f>IF(B971="Total",SUM(K$8:K970)+0.0001,IF(OR(B971="",J971&lt;&gt;0),0,VLOOKUP(A971,Journal!$B$7:M$84,8)))</f>
        <v>0</v>
      </c>
      <c r="L971" s="87">
        <f t="shared" si="107"/>
        <v>0</v>
      </c>
      <c r="P971">
        <f t="shared" si="108"/>
        <v>1.0000000000000001E-5</v>
      </c>
      <c r="R971" s="15">
        <f t="shared" si="113"/>
        <v>964</v>
      </c>
      <c r="S971" s="126">
        <f>IF(VLOOKUP(A971,Journal!$A$7:$E$70,5)=0,S970+1,VLOOKUP(A971,Journal!$A$7:$E$70,5))</f>
        <v>46621</v>
      </c>
      <c r="T971" s="125">
        <f>IF(H$2=VLOOKUP(A971,Journal!$A$7:$F$70,6),VLOOKUP(A971,Journal!$A$7:M$70,9),0)</f>
        <v>0</v>
      </c>
      <c r="U971" s="125">
        <f>IF(H$2=VLOOKUP(A971,Journal!$A$7:$G$70,7),VLOOKUP(A971,Journal!$A$7:M$70,9),0)</f>
        <v>0</v>
      </c>
      <c r="V971" s="125">
        <f t="shared" si="114"/>
        <v>40</v>
      </c>
      <c r="X971">
        <f t="shared" si="109"/>
        <v>0</v>
      </c>
      <c r="Y971" s="143">
        <f t="shared" si="112"/>
        <v>-974.71052631582972</v>
      </c>
    </row>
    <row r="972" spans="1:25" x14ac:dyDescent="0.25">
      <c r="A972">
        <f t="shared" si="115"/>
        <v>965</v>
      </c>
      <c r="B972" s="88" t="str">
        <f>IF(OR(B971="Total",B971=""),"",IF(VLOOKUP(A972,Journal!$B$7:$E$84,4)=0,"Total",VLOOKUP(A972,Journal!$B$7:$D$84,3)))</f>
        <v/>
      </c>
      <c r="C972" s="86" t="str">
        <f>IF(B972="","",VLOOKUP(A972,Journal!$B$7:$E$84,4))</f>
        <v/>
      </c>
      <c r="D972" s="114" t="str">
        <f>IF(B972="","",VLOOKUP(A972,Journal!$B$7:$J$84,9))</f>
        <v/>
      </c>
      <c r="E972" s="116"/>
      <c r="F972" s="116"/>
      <c r="G972" s="115"/>
      <c r="H972" s="84" t="str">
        <f>IF(B972="","",VLOOKUP(A972,Journal!$B$7:$L$84,11))</f>
        <v/>
      </c>
      <c r="I972" s="84" t="str">
        <f>IF(B972="","",VLOOKUP(A972,Journal!$B$7:$M$84,12))</f>
        <v/>
      </c>
      <c r="J972" s="105">
        <f>IF(B972="Total",SUM(J$8:J971)+0.0001,IF(OR(B972="",I$2=I972),0,VLOOKUP(A972,Journal!$B$7:M$84,8)))</f>
        <v>0</v>
      </c>
      <c r="K972" s="102">
        <f>IF(B972="Total",SUM(K$8:K971)+0.0001,IF(OR(B972="",J972&lt;&gt;0),0,VLOOKUP(A972,Journal!$B$7:M$84,8)))</f>
        <v>0</v>
      </c>
      <c r="L972" s="87">
        <f t="shared" si="107"/>
        <v>0</v>
      </c>
      <c r="P972">
        <f t="shared" si="108"/>
        <v>1.0000000000000001E-5</v>
      </c>
      <c r="R972" s="15">
        <f t="shared" si="113"/>
        <v>965</v>
      </c>
      <c r="S972" s="126">
        <f>IF(VLOOKUP(A972,Journal!$A$7:$E$70,5)=0,S971+1,VLOOKUP(A972,Journal!$A$7:$E$70,5))</f>
        <v>46622</v>
      </c>
      <c r="T972" s="125">
        <f>IF(H$2=VLOOKUP(A972,Journal!$A$7:$F$70,6),VLOOKUP(A972,Journal!$A$7:M$70,9),0)</f>
        <v>0</v>
      </c>
      <c r="U972" s="125">
        <f>IF(H$2=VLOOKUP(A972,Journal!$A$7:$G$70,7),VLOOKUP(A972,Journal!$A$7:M$70,9),0)</f>
        <v>0</v>
      </c>
      <c r="V972" s="125">
        <f t="shared" si="114"/>
        <v>40</v>
      </c>
      <c r="X972">
        <f t="shared" si="109"/>
        <v>0</v>
      </c>
      <c r="Y972" s="143">
        <f t="shared" si="112"/>
        <v>-974.68421052635608</v>
      </c>
    </row>
    <row r="973" spans="1:25" x14ac:dyDescent="0.25">
      <c r="A973">
        <f t="shared" si="115"/>
        <v>966</v>
      </c>
      <c r="B973" s="88" t="str">
        <f>IF(OR(B972="Total",B972=""),"",IF(VLOOKUP(A973,Journal!$B$7:$E$84,4)=0,"Total",VLOOKUP(A973,Journal!$B$7:$D$84,3)))</f>
        <v/>
      </c>
      <c r="C973" s="86" t="str">
        <f>IF(B973="","",VLOOKUP(A973,Journal!$B$7:$E$84,4))</f>
        <v/>
      </c>
      <c r="D973" s="114" t="str">
        <f>IF(B973="","",VLOOKUP(A973,Journal!$B$7:$J$84,9))</f>
        <v/>
      </c>
      <c r="E973" s="116"/>
      <c r="F973" s="116"/>
      <c r="G973" s="115"/>
      <c r="H973" s="84" t="str">
        <f>IF(B973="","",VLOOKUP(A973,Journal!$B$7:$L$84,11))</f>
        <v/>
      </c>
      <c r="I973" s="84" t="str">
        <f>IF(B973="","",VLOOKUP(A973,Journal!$B$7:$M$84,12))</f>
        <v/>
      </c>
      <c r="J973" s="105">
        <f>IF(B973="Total",SUM(J$8:J972)+0.0001,IF(OR(B973="",I$2=I973),0,VLOOKUP(A973,Journal!$B$7:M$84,8)))</f>
        <v>0</v>
      </c>
      <c r="K973" s="102">
        <f>IF(B973="Total",SUM(K$8:K972)+0.0001,IF(OR(B973="",J973&lt;&gt;0),0,VLOOKUP(A973,Journal!$B$7:M$84,8)))</f>
        <v>0</v>
      </c>
      <c r="L973" s="87">
        <f t="shared" si="107"/>
        <v>0</v>
      </c>
      <c r="P973">
        <f t="shared" si="108"/>
        <v>1.0000000000000001E-5</v>
      </c>
      <c r="R973" s="15">
        <f t="shared" si="113"/>
        <v>966</v>
      </c>
      <c r="S973" s="126">
        <f>IF(VLOOKUP(A973,Journal!$A$7:$E$70,5)=0,S972+1,VLOOKUP(A973,Journal!$A$7:$E$70,5))</f>
        <v>46623</v>
      </c>
      <c r="T973" s="125">
        <f>IF(H$2=VLOOKUP(A973,Journal!$A$7:$F$70,6),VLOOKUP(A973,Journal!$A$7:M$70,9),0)</f>
        <v>0</v>
      </c>
      <c r="U973" s="125">
        <f>IF(H$2=VLOOKUP(A973,Journal!$A$7:$G$70,7),VLOOKUP(A973,Journal!$A$7:M$70,9),0)</f>
        <v>0</v>
      </c>
      <c r="V973" s="125">
        <f t="shared" si="114"/>
        <v>40</v>
      </c>
      <c r="X973">
        <f t="shared" si="109"/>
        <v>0</v>
      </c>
      <c r="Y973" s="143">
        <f t="shared" si="112"/>
        <v>-974.65789473688244</v>
      </c>
    </row>
    <row r="974" spans="1:25" x14ac:dyDescent="0.25">
      <c r="A974">
        <f t="shared" si="115"/>
        <v>967</v>
      </c>
      <c r="B974" s="88" t="str">
        <f>IF(OR(B973="Total",B973=""),"",IF(VLOOKUP(A974,Journal!$B$7:$E$84,4)=0,"Total",VLOOKUP(A974,Journal!$B$7:$D$84,3)))</f>
        <v/>
      </c>
      <c r="C974" s="86" t="str">
        <f>IF(B974="","",VLOOKUP(A974,Journal!$B$7:$E$84,4))</f>
        <v/>
      </c>
      <c r="D974" s="114" t="str">
        <f>IF(B974="","",VLOOKUP(A974,Journal!$B$7:$J$84,9))</f>
        <v/>
      </c>
      <c r="E974" s="116"/>
      <c r="F974" s="116"/>
      <c r="G974" s="115"/>
      <c r="H974" s="84" t="str">
        <f>IF(B974="","",VLOOKUP(A974,Journal!$B$7:$L$84,11))</f>
        <v/>
      </c>
      <c r="I974" s="84" t="str">
        <f>IF(B974="","",VLOOKUP(A974,Journal!$B$7:$M$84,12))</f>
        <v/>
      </c>
      <c r="J974" s="105">
        <f>IF(B974="Total",SUM(J$8:J973)+0.0001,IF(OR(B974="",I$2=I974),0,VLOOKUP(A974,Journal!$B$7:M$84,8)))</f>
        <v>0</v>
      </c>
      <c r="K974" s="102">
        <f>IF(B974="Total",SUM(K$8:K973)+0.0001,IF(OR(B974="",J974&lt;&gt;0),0,VLOOKUP(A974,Journal!$B$7:M$84,8)))</f>
        <v>0</v>
      </c>
      <c r="L974" s="87">
        <f t="shared" si="107"/>
        <v>0</v>
      </c>
      <c r="P974">
        <f t="shared" si="108"/>
        <v>1.0000000000000001E-5</v>
      </c>
      <c r="R974" s="15">
        <f t="shared" si="113"/>
        <v>967</v>
      </c>
      <c r="S974" s="126">
        <f>IF(VLOOKUP(A974,Journal!$A$7:$E$70,5)=0,S973+1,VLOOKUP(A974,Journal!$A$7:$E$70,5))</f>
        <v>46624</v>
      </c>
      <c r="T974" s="125">
        <f>IF(H$2=VLOOKUP(A974,Journal!$A$7:$F$70,6),VLOOKUP(A974,Journal!$A$7:M$70,9),0)</f>
        <v>0</v>
      </c>
      <c r="U974" s="125">
        <f>IF(H$2=VLOOKUP(A974,Journal!$A$7:$G$70,7),VLOOKUP(A974,Journal!$A$7:M$70,9),0)</f>
        <v>0</v>
      </c>
      <c r="V974" s="125">
        <f t="shared" si="114"/>
        <v>40</v>
      </c>
      <c r="X974">
        <f t="shared" si="109"/>
        <v>0</v>
      </c>
      <c r="Y974" s="143">
        <f t="shared" si="112"/>
        <v>-974.6315789474088</v>
      </c>
    </row>
    <row r="975" spans="1:25" x14ac:dyDescent="0.25">
      <c r="A975">
        <f t="shared" si="115"/>
        <v>968</v>
      </c>
      <c r="B975" s="88" t="str">
        <f>IF(OR(B974="Total",B974=""),"",IF(VLOOKUP(A975,Journal!$B$7:$E$84,4)=0,"Total",VLOOKUP(A975,Journal!$B$7:$D$84,3)))</f>
        <v/>
      </c>
      <c r="C975" s="86" t="str">
        <f>IF(B975="","",VLOOKUP(A975,Journal!$B$7:$E$84,4))</f>
        <v/>
      </c>
      <c r="D975" s="114" t="str">
        <f>IF(B975="","",VLOOKUP(A975,Journal!$B$7:$J$84,9))</f>
        <v/>
      </c>
      <c r="E975" s="116"/>
      <c r="F975" s="116"/>
      <c r="G975" s="115"/>
      <c r="H975" s="84" t="str">
        <f>IF(B975="","",VLOOKUP(A975,Journal!$B$7:$L$84,11))</f>
        <v/>
      </c>
      <c r="I975" s="84" t="str">
        <f>IF(B975="","",VLOOKUP(A975,Journal!$B$7:$M$84,12))</f>
        <v/>
      </c>
      <c r="J975" s="105">
        <f>IF(B975="Total",SUM(J$8:J974)+0.0001,IF(OR(B975="",I$2=I975),0,VLOOKUP(A975,Journal!$B$7:M$84,8)))</f>
        <v>0</v>
      </c>
      <c r="K975" s="102">
        <f>IF(B975="Total",SUM(K$8:K974)+0.0001,IF(OR(B975="",J975&lt;&gt;0),0,VLOOKUP(A975,Journal!$B$7:M$84,8)))</f>
        <v>0</v>
      </c>
      <c r="L975" s="87">
        <f t="shared" si="107"/>
        <v>0</v>
      </c>
      <c r="P975">
        <f t="shared" si="108"/>
        <v>1.0000000000000001E-5</v>
      </c>
      <c r="R975" s="15">
        <f t="shared" si="113"/>
        <v>968</v>
      </c>
      <c r="S975" s="126">
        <f>IF(VLOOKUP(A975,Journal!$A$7:$E$70,5)=0,S974+1,VLOOKUP(A975,Journal!$A$7:$E$70,5))</f>
        <v>46625</v>
      </c>
      <c r="T975" s="125">
        <f>IF(H$2=VLOOKUP(A975,Journal!$A$7:$F$70,6),VLOOKUP(A975,Journal!$A$7:M$70,9),0)</f>
        <v>0</v>
      </c>
      <c r="U975" s="125">
        <f>IF(H$2=VLOOKUP(A975,Journal!$A$7:$G$70,7),VLOOKUP(A975,Journal!$A$7:M$70,9),0)</f>
        <v>0</v>
      </c>
      <c r="V975" s="125">
        <f t="shared" si="114"/>
        <v>40</v>
      </c>
      <c r="X975">
        <f t="shared" si="109"/>
        <v>0</v>
      </c>
      <c r="Y975" s="143">
        <f t="shared" si="112"/>
        <v>-974.60526315793516</v>
      </c>
    </row>
    <row r="976" spans="1:25" x14ac:dyDescent="0.25">
      <c r="A976">
        <f t="shared" si="115"/>
        <v>969</v>
      </c>
      <c r="B976" s="88" t="str">
        <f>IF(OR(B975="Total",B975=""),"",IF(VLOOKUP(A976,Journal!$B$7:$E$84,4)=0,"Total",VLOOKUP(A976,Journal!$B$7:$D$84,3)))</f>
        <v/>
      </c>
      <c r="C976" s="86" t="str">
        <f>IF(B976="","",VLOOKUP(A976,Journal!$B$7:$E$84,4))</f>
        <v/>
      </c>
      <c r="D976" s="114" t="str">
        <f>IF(B976="","",VLOOKUP(A976,Journal!$B$7:$J$84,9))</f>
        <v/>
      </c>
      <c r="E976" s="116"/>
      <c r="F976" s="116"/>
      <c r="G976" s="115"/>
      <c r="H976" s="84" t="str">
        <f>IF(B976="","",VLOOKUP(A976,Journal!$B$7:$L$84,11))</f>
        <v/>
      </c>
      <c r="I976" s="84" t="str">
        <f>IF(B976="","",VLOOKUP(A976,Journal!$B$7:$M$84,12))</f>
        <v/>
      </c>
      <c r="J976" s="105">
        <f>IF(B976="Total",SUM(J$8:J975)+0.0001,IF(OR(B976="",I$2=I976),0,VLOOKUP(A976,Journal!$B$7:M$84,8)))</f>
        <v>0</v>
      </c>
      <c r="K976" s="102">
        <f>IF(B976="Total",SUM(K$8:K975)+0.0001,IF(OR(B976="",J976&lt;&gt;0),0,VLOOKUP(A976,Journal!$B$7:M$84,8)))</f>
        <v>0</v>
      </c>
      <c r="L976" s="87">
        <f t="shared" si="107"/>
        <v>0</v>
      </c>
      <c r="P976">
        <f t="shared" si="108"/>
        <v>1.0000000000000001E-5</v>
      </c>
      <c r="R976" s="15">
        <f t="shared" si="113"/>
        <v>969</v>
      </c>
      <c r="S976" s="126">
        <f>IF(VLOOKUP(A976,Journal!$A$7:$E$70,5)=0,S975+1,VLOOKUP(A976,Journal!$A$7:$E$70,5))</f>
        <v>46626</v>
      </c>
      <c r="T976" s="125">
        <f>IF(H$2=VLOOKUP(A976,Journal!$A$7:$F$70,6),VLOOKUP(A976,Journal!$A$7:M$70,9),0)</f>
        <v>0</v>
      </c>
      <c r="U976" s="125">
        <f>IF(H$2=VLOOKUP(A976,Journal!$A$7:$G$70,7),VLOOKUP(A976,Journal!$A$7:M$70,9),0)</f>
        <v>0</v>
      </c>
      <c r="V976" s="125">
        <f t="shared" si="114"/>
        <v>40</v>
      </c>
      <c r="X976">
        <f t="shared" si="109"/>
        <v>0</v>
      </c>
      <c r="Y976" s="143">
        <f t="shared" si="112"/>
        <v>-974.57894736846151</v>
      </c>
    </row>
    <row r="977" spans="1:25" x14ac:dyDescent="0.25">
      <c r="A977">
        <f t="shared" si="115"/>
        <v>970</v>
      </c>
      <c r="B977" s="88" t="str">
        <f>IF(OR(B976="Total",B976=""),"",IF(VLOOKUP(A977,Journal!$B$7:$E$84,4)=0,"Total",VLOOKUP(A977,Journal!$B$7:$D$84,3)))</f>
        <v/>
      </c>
      <c r="C977" s="86" t="str">
        <f>IF(B977="","",VLOOKUP(A977,Journal!$B$7:$E$84,4))</f>
        <v/>
      </c>
      <c r="D977" s="114" t="str">
        <f>IF(B977="","",VLOOKUP(A977,Journal!$B$7:$J$84,9))</f>
        <v/>
      </c>
      <c r="E977" s="116"/>
      <c r="F977" s="116"/>
      <c r="G977" s="115"/>
      <c r="H977" s="84" t="str">
        <f>IF(B977="","",VLOOKUP(A977,Journal!$B$7:$L$84,11))</f>
        <v/>
      </c>
      <c r="I977" s="84" t="str">
        <f>IF(B977="","",VLOOKUP(A977,Journal!$B$7:$M$84,12))</f>
        <v/>
      </c>
      <c r="J977" s="105">
        <f>IF(B977="Total",SUM(J$8:J976)+0.0001,IF(OR(B977="",I$2=I977),0,VLOOKUP(A977,Journal!$B$7:M$84,8)))</f>
        <v>0</v>
      </c>
      <c r="K977" s="102">
        <f>IF(B977="Total",SUM(K$8:K976)+0.0001,IF(OR(B977="",J977&lt;&gt;0),0,VLOOKUP(A977,Journal!$B$7:M$84,8)))</f>
        <v>0</v>
      </c>
      <c r="L977" s="87">
        <f t="shared" si="107"/>
        <v>0</v>
      </c>
      <c r="P977">
        <f t="shared" si="108"/>
        <v>1.0000000000000001E-5</v>
      </c>
      <c r="R977" s="15">
        <f t="shared" si="113"/>
        <v>970</v>
      </c>
      <c r="S977" s="126">
        <f>IF(VLOOKUP(A977,Journal!$A$7:$E$70,5)=0,S976+1,VLOOKUP(A977,Journal!$A$7:$E$70,5))</f>
        <v>46627</v>
      </c>
      <c r="T977" s="125">
        <f>IF(H$2=VLOOKUP(A977,Journal!$A$7:$F$70,6),VLOOKUP(A977,Journal!$A$7:M$70,9),0)</f>
        <v>0</v>
      </c>
      <c r="U977" s="125">
        <f>IF(H$2=VLOOKUP(A977,Journal!$A$7:$G$70,7),VLOOKUP(A977,Journal!$A$7:M$70,9),0)</f>
        <v>0</v>
      </c>
      <c r="V977" s="125">
        <f t="shared" si="114"/>
        <v>40</v>
      </c>
      <c r="X977">
        <f t="shared" si="109"/>
        <v>0</v>
      </c>
      <c r="Y977" s="143">
        <f t="shared" si="112"/>
        <v>-974.55263157898787</v>
      </c>
    </row>
    <row r="978" spans="1:25" x14ac:dyDescent="0.25">
      <c r="A978">
        <f t="shared" si="115"/>
        <v>971</v>
      </c>
      <c r="B978" s="88" t="str">
        <f>IF(OR(B977="Total",B977=""),"",IF(VLOOKUP(A978,Journal!$B$7:$E$84,4)=0,"Total",VLOOKUP(A978,Journal!$B$7:$D$84,3)))</f>
        <v/>
      </c>
      <c r="C978" s="86" t="str">
        <f>IF(B978="","",VLOOKUP(A978,Journal!$B$7:$E$84,4))</f>
        <v/>
      </c>
      <c r="D978" s="114" t="str">
        <f>IF(B978="","",VLOOKUP(A978,Journal!$B$7:$J$84,9))</f>
        <v/>
      </c>
      <c r="E978" s="116"/>
      <c r="F978" s="116"/>
      <c r="G978" s="115"/>
      <c r="H978" s="84" t="str">
        <f>IF(B978="","",VLOOKUP(A978,Journal!$B$7:$L$84,11))</f>
        <v/>
      </c>
      <c r="I978" s="84" t="str">
        <f>IF(B978="","",VLOOKUP(A978,Journal!$B$7:$M$84,12))</f>
        <v/>
      </c>
      <c r="J978" s="105">
        <f>IF(B978="Total",SUM(J$8:J977)+0.0001,IF(OR(B978="",I$2=I978),0,VLOOKUP(A978,Journal!$B$7:M$84,8)))</f>
        <v>0</v>
      </c>
      <c r="K978" s="102">
        <f>IF(B978="Total",SUM(K$8:K977)+0.0001,IF(OR(B978="",J978&lt;&gt;0),0,VLOOKUP(A978,Journal!$B$7:M$84,8)))</f>
        <v>0</v>
      </c>
      <c r="L978" s="87">
        <f t="shared" ref="L978:L1041" si="116">IF(B978="Total",L977,IF(B978="",0,IF($M$1=1,L977+J978-K978,L977-J978+K978)))</f>
        <v>0</v>
      </c>
      <c r="P978">
        <f t="shared" ref="P978:P1041" si="117">IF(L977=L978,L977+0.00001,L978)</f>
        <v>1.0000000000000001E-5</v>
      </c>
      <c r="R978" s="15">
        <f t="shared" si="113"/>
        <v>971</v>
      </c>
      <c r="S978" s="126">
        <f>IF(VLOOKUP(A978,Journal!$A$7:$E$70,5)=0,S977+1,VLOOKUP(A978,Journal!$A$7:$E$70,5))</f>
        <v>46628</v>
      </c>
      <c r="T978" s="125">
        <f>IF(H$2=VLOOKUP(A978,Journal!$A$7:$F$70,6),VLOOKUP(A978,Journal!$A$7:M$70,9),0)</f>
        <v>0</v>
      </c>
      <c r="U978" s="125">
        <f>IF(H$2=VLOOKUP(A978,Journal!$A$7:$G$70,7),VLOOKUP(A978,Journal!$A$7:M$70,9),0)</f>
        <v>0</v>
      </c>
      <c r="V978" s="125">
        <f t="shared" si="114"/>
        <v>40</v>
      </c>
      <c r="X978">
        <f t="shared" ref="X978:X1041" si="118">IF(J$2&gt;S978,1,0)</f>
        <v>0</v>
      </c>
      <c r="Y978" s="143">
        <f t="shared" si="112"/>
        <v>-974.52631578951423</v>
      </c>
    </row>
    <row r="979" spans="1:25" x14ac:dyDescent="0.25">
      <c r="A979">
        <f t="shared" si="115"/>
        <v>972</v>
      </c>
      <c r="B979" s="88" t="str">
        <f>IF(OR(B978="Total",B978=""),"",IF(VLOOKUP(A979,Journal!$B$7:$E$84,4)=0,"Total",VLOOKUP(A979,Journal!$B$7:$D$84,3)))</f>
        <v/>
      </c>
      <c r="C979" s="86" t="str">
        <f>IF(B979="","",VLOOKUP(A979,Journal!$B$7:$E$84,4))</f>
        <v/>
      </c>
      <c r="D979" s="114" t="str">
        <f>IF(B979="","",VLOOKUP(A979,Journal!$B$7:$J$84,9))</f>
        <v/>
      </c>
      <c r="E979" s="116"/>
      <c r="F979" s="116"/>
      <c r="G979" s="115"/>
      <c r="H979" s="84" t="str">
        <f>IF(B979="","",VLOOKUP(A979,Journal!$B$7:$L$84,11))</f>
        <v/>
      </c>
      <c r="I979" s="84" t="str">
        <f>IF(B979="","",VLOOKUP(A979,Journal!$B$7:$M$84,12))</f>
        <v/>
      </c>
      <c r="J979" s="105">
        <f>IF(B979="Total",SUM(J$8:J978)+0.0001,IF(OR(B979="",I$2=I979),0,VLOOKUP(A979,Journal!$B$7:M$84,8)))</f>
        <v>0</v>
      </c>
      <c r="K979" s="102">
        <f>IF(B979="Total",SUM(K$8:K978)+0.0001,IF(OR(B979="",J979&lt;&gt;0),0,VLOOKUP(A979,Journal!$B$7:M$84,8)))</f>
        <v>0</v>
      </c>
      <c r="L979" s="87">
        <f t="shared" si="116"/>
        <v>0</v>
      </c>
      <c r="P979">
        <f t="shared" si="117"/>
        <v>1.0000000000000001E-5</v>
      </c>
      <c r="R979" s="15">
        <f t="shared" si="113"/>
        <v>972</v>
      </c>
      <c r="S979" s="126">
        <f>IF(VLOOKUP(A979,Journal!$A$7:$E$70,5)=0,S978+1,VLOOKUP(A979,Journal!$A$7:$E$70,5))</f>
        <v>46629</v>
      </c>
      <c r="T979" s="125">
        <f>IF(H$2=VLOOKUP(A979,Journal!$A$7:$F$70,6),VLOOKUP(A979,Journal!$A$7:M$70,9),0)</f>
        <v>0</v>
      </c>
      <c r="U979" s="125">
        <f>IF(H$2=VLOOKUP(A979,Journal!$A$7:$G$70,7),VLOOKUP(A979,Journal!$A$7:M$70,9),0)</f>
        <v>0</v>
      </c>
      <c r="V979" s="125">
        <f t="shared" si="114"/>
        <v>40</v>
      </c>
      <c r="X979">
        <f t="shared" si="118"/>
        <v>0</v>
      </c>
      <c r="Y979" s="143">
        <f t="shared" si="112"/>
        <v>-974.50000000004059</v>
      </c>
    </row>
    <row r="980" spans="1:25" x14ac:dyDescent="0.25">
      <c r="A980">
        <f t="shared" si="115"/>
        <v>973</v>
      </c>
      <c r="B980" s="88" t="str">
        <f>IF(OR(B979="Total",B979=""),"",IF(VLOOKUP(A980,Journal!$B$7:$E$84,4)=0,"Total",VLOOKUP(A980,Journal!$B$7:$D$84,3)))</f>
        <v/>
      </c>
      <c r="C980" s="86" t="str">
        <f>IF(B980="","",VLOOKUP(A980,Journal!$B$7:$E$84,4))</f>
        <v/>
      </c>
      <c r="D980" s="114" t="str">
        <f>IF(B980="","",VLOOKUP(A980,Journal!$B$7:$J$84,9))</f>
        <v/>
      </c>
      <c r="E980" s="116"/>
      <c r="F980" s="116"/>
      <c r="G980" s="115"/>
      <c r="H980" s="84" t="str">
        <f>IF(B980="","",VLOOKUP(A980,Journal!$B$7:$L$84,11))</f>
        <v/>
      </c>
      <c r="I980" s="84" t="str">
        <f>IF(B980="","",VLOOKUP(A980,Journal!$B$7:$M$84,12))</f>
        <v/>
      </c>
      <c r="J980" s="105">
        <f>IF(B980="Total",SUM(J$8:J979)+0.0001,IF(OR(B980="",I$2=I980),0,VLOOKUP(A980,Journal!$B$7:M$84,8)))</f>
        <v>0</v>
      </c>
      <c r="K980" s="102">
        <f>IF(B980="Total",SUM(K$8:K979)+0.0001,IF(OR(B980="",J980&lt;&gt;0),0,VLOOKUP(A980,Journal!$B$7:M$84,8)))</f>
        <v>0</v>
      </c>
      <c r="L980" s="87">
        <f t="shared" si="116"/>
        <v>0</v>
      </c>
      <c r="P980">
        <f t="shared" si="117"/>
        <v>1.0000000000000001E-5</v>
      </c>
      <c r="R980" s="15">
        <f t="shared" si="113"/>
        <v>973</v>
      </c>
      <c r="S980" s="126">
        <f>IF(VLOOKUP(A980,Journal!$A$7:$E$70,5)=0,S979+1,VLOOKUP(A980,Journal!$A$7:$E$70,5))</f>
        <v>46630</v>
      </c>
      <c r="T980" s="125">
        <f>IF(H$2=VLOOKUP(A980,Journal!$A$7:$F$70,6),VLOOKUP(A980,Journal!$A$7:M$70,9),0)</f>
        <v>0</v>
      </c>
      <c r="U980" s="125">
        <f>IF(H$2=VLOOKUP(A980,Journal!$A$7:$G$70,7),VLOOKUP(A980,Journal!$A$7:M$70,9),0)</f>
        <v>0</v>
      </c>
      <c r="V980" s="125">
        <f t="shared" si="114"/>
        <v>40</v>
      </c>
      <c r="X980">
        <f t="shared" si="118"/>
        <v>0</v>
      </c>
      <c r="Y980" s="143">
        <f t="shared" si="112"/>
        <v>-974.47368421056694</v>
      </c>
    </row>
    <row r="981" spans="1:25" x14ac:dyDescent="0.25">
      <c r="A981">
        <f t="shared" si="115"/>
        <v>974</v>
      </c>
      <c r="B981" s="88" t="str">
        <f>IF(OR(B980="Total",B980=""),"",IF(VLOOKUP(A981,Journal!$B$7:$E$84,4)=0,"Total",VLOOKUP(A981,Journal!$B$7:$D$84,3)))</f>
        <v/>
      </c>
      <c r="C981" s="86" t="str">
        <f>IF(B981="","",VLOOKUP(A981,Journal!$B$7:$E$84,4))</f>
        <v/>
      </c>
      <c r="D981" s="114" t="str">
        <f>IF(B981="","",VLOOKUP(A981,Journal!$B$7:$J$84,9))</f>
        <v/>
      </c>
      <c r="E981" s="116"/>
      <c r="F981" s="116"/>
      <c r="G981" s="115"/>
      <c r="H981" s="84" t="str">
        <f>IF(B981="","",VLOOKUP(A981,Journal!$B$7:$L$84,11))</f>
        <v/>
      </c>
      <c r="I981" s="84" t="str">
        <f>IF(B981="","",VLOOKUP(A981,Journal!$B$7:$M$84,12))</f>
        <v/>
      </c>
      <c r="J981" s="105">
        <f>IF(B981="Total",SUM(J$8:J980)+0.0001,IF(OR(B981="",I$2=I981),0,VLOOKUP(A981,Journal!$B$7:M$84,8)))</f>
        <v>0</v>
      </c>
      <c r="K981" s="102">
        <f>IF(B981="Total",SUM(K$8:K980)+0.0001,IF(OR(B981="",J981&lt;&gt;0),0,VLOOKUP(A981,Journal!$B$7:M$84,8)))</f>
        <v>0</v>
      </c>
      <c r="L981" s="87">
        <f t="shared" si="116"/>
        <v>0</v>
      </c>
      <c r="P981">
        <f t="shared" si="117"/>
        <v>1.0000000000000001E-5</v>
      </c>
      <c r="R981" s="15">
        <f t="shared" si="113"/>
        <v>974</v>
      </c>
      <c r="S981" s="126">
        <f>IF(VLOOKUP(A981,Journal!$A$7:$E$70,5)=0,S980+1,VLOOKUP(A981,Journal!$A$7:$E$70,5))</f>
        <v>46631</v>
      </c>
      <c r="T981" s="125">
        <f>IF(H$2=VLOOKUP(A981,Journal!$A$7:$F$70,6),VLOOKUP(A981,Journal!$A$7:M$70,9),0)</f>
        <v>0</v>
      </c>
      <c r="U981" s="125">
        <f>IF(H$2=VLOOKUP(A981,Journal!$A$7:$G$70,7),VLOOKUP(A981,Journal!$A$7:M$70,9),0)</f>
        <v>0</v>
      </c>
      <c r="V981" s="125">
        <f t="shared" si="114"/>
        <v>40</v>
      </c>
      <c r="X981">
        <f t="shared" si="118"/>
        <v>0</v>
      </c>
      <c r="Y981" s="143">
        <f t="shared" si="112"/>
        <v>-974.4473684210933</v>
      </c>
    </row>
    <row r="982" spans="1:25" x14ac:dyDescent="0.25">
      <c r="A982">
        <f t="shared" si="115"/>
        <v>975</v>
      </c>
      <c r="B982" s="88" t="str">
        <f>IF(OR(B981="Total",B981=""),"",IF(VLOOKUP(A982,Journal!$B$7:$E$84,4)=0,"Total",VLOOKUP(A982,Journal!$B$7:$D$84,3)))</f>
        <v/>
      </c>
      <c r="C982" s="86" t="str">
        <f>IF(B982="","",VLOOKUP(A982,Journal!$B$7:$E$84,4))</f>
        <v/>
      </c>
      <c r="D982" s="114" t="str">
        <f>IF(B982="","",VLOOKUP(A982,Journal!$B$7:$J$84,9))</f>
        <v/>
      </c>
      <c r="E982" s="116"/>
      <c r="F982" s="116"/>
      <c r="G982" s="115"/>
      <c r="H982" s="84" t="str">
        <f>IF(B982="","",VLOOKUP(A982,Journal!$B$7:$L$84,11))</f>
        <v/>
      </c>
      <c r="I982" s="84" t="str">
        <f>IF(B982="","",VLOOKUP(A982,Journal!$B$7:$M$84,12))</f>
        <v/>
      </c>
      <c r="J982" s="105">
        <f>IF(B982="Total",SUM(J$8:J981)+0.0001,IF(OR(B982="",I$2=I982),0,VLOOKUP(A982,Journal!$B$7:M$84,8)))</f>
        <v>0</v>
      </c>
      <c r="K982" s="102">
        <f>IF(B982="Total",SUM(K$8:K981)+0.0001,IF(OR(B982="",J982&lt;&gt;0),0,VLOOKUP(A982,Journal!$B$7:M$84,8)))</f>
        <v>0</v>
      </c>
      <c r="L982" s="87">
        <f t="shared" si="116"/>
        <v>0</v>
      </c>
      <c r="P982">
        <f t="shared" si="117"/>
        <v>1.0000000000000001E-5</v>
      </c>
      <c r="R982" s="15">
        <f t="shared" si="113"/>
        <v>975</v>
      </c>
      <c r="S982" s="126">
        <f>IF(VLOOKUP(A982,Journal!$A$7:$E$70,5)=0,S981+1,VLOOKUP(A982,Journal!$A$7:$E$70,5))</f>
        <v>46632</v>
      </c>
      <c r="T982" s="125">
        <f>IF(H$2=VLOOKUP(A982,Journal!$A$7:$F$70,6),VLOOKUP(A982,Journal!$A$7:M$70,9),0)</f>
        <v>0</v>
      </c>
      <c r="U982" s="125">
        <f>IF(H$2=VLOOKUP(A982,Journal!$A$7:$G$70,7),VLOOKUP(A982,Journal!$A$7:M$70,9),0)</f>
        <v>0</v>
      </c>
      <c r="V982" s="125">
        <f t="shared" si="114"/>
        <v>40</v>
      </c>
      <c r="X982">
        <f t="shared" si="118"/>
        <v>0</v>
      </c>
      <c r="Y982" s="143">
        <f t="shared" si="112"/>
        <v>-974.42105263161966</v>
      </c>
    </row>
    <row r="983" spans="1:25" x14ac:dyDescent="0.25">
      <c r="A983">
        <f t="shared" si="115"/>
        <v>976</v>
      </c>
      <c r="B983" s="88" t="str">
        <f>IF(OR(B982="Total",B982=""),"",IF(VLOOKUP(A983,Journal!$B$7:$E$84,4)=0,"Total",VLOOKUP(A983,Journal!$B$7:$D$84,3)))</f>
        <v/>
      </c>
      <c r="C983" s="86" t="str">
        <f>IF(B983="","",VLOOKUP(A983,Journal!$B$7:$E$84,4))</f>
        <v/>
      </c>
      <c r="D983" s="114" t="str">
        <f>IF(B983="","",VLOOKUP(A983,Journal!$B$7:$J$84,9))</f>
        <v/>
      </c>
      <c r="E983" s="116"/>
      <c r="F983" s="116"/>
      <c r="G983" s="115"/>
      <c r="H983" s="84" t="str">
        <f>IF(B983="","",VLOOKUP(A983,Journal!$B$7:$L$84,11))</f>
        <v/>
      </c>
      <c r="I983" s="84" t="str">
        <f>IF(B983="","",VLOOKUP(A983,Journal!$B$7:$M$84,12))</f>
        <v/>
      </c>
      <c r="J983" s="105">
        <f>IF(B983="Total",SUM(J$8:J982)+0.0001,IF(OR(B983="",I$2=I983),0,VLOOKUP(A983,Journal!$B$7:M$84,8)))</f>
        <v>0</v>
      </c>
      <c r="K983" s="102">
        <f>IF(B983="Total",SUM(K$8:K982)+0.0001,IF(OR(B983="",J983&lt;&gt;0),0,VLOOKUP(A983,Journal!$B$7:M$84,8)))</f>
        <v>0</v>
      </c>
      <c r="L983" s="87">
        <f t="shared" si="116"/>
        <v>0</v>
      </c>
      <c r="P983">
        <f t="shared" si="117"/>
        <v>1.0000000000000001E-5</v>
      </c>
      <c r="R983" s="15">
        <f t="shared" si="113"/>
        <v>976</v>
      </c>
      <c r="S983" s="126">
        <f>IF(VLOOKUP(A983,Journal!$A$7:$E$70,5)=0,S982+1,VLOOKUP(A983,Journal!$A$7:$E$70,5))</f>
        <v>46633</v>
      </c>
      <c r="T983" s="125">
        <f>IF(H$2=VLOOKUP(A983,Journal!$A$7:$F$70,6),VLOOKUP(A983,Journal!$A$7:M$70,9),0)</f>
        <v>0</v>
      </c>
      <c r="U983" s="125">
        <f>IF(H$2=VLOOKUP(A983,Journal!$A$7:$G$70,7),VLOOKUP(A983,Journal!$A$7:M$70,9),0)</f>
        <v>0</v>
      </c>
      <c r="V983" s="125">
        <f t="shared" si="114"/>
        <v>40</v>
      </c>
      <c r="X983">
        <f t="shared" si="118"/>
        <v>0</v>
      </c>
      <c r="Y983" s="143">
        <f t="shared" si="112"/>
        <v>-974.39473684214602</v>
      </c>
    </row>
    <row r="984" spans="1:25" x14ac:dyDescent="0.25">
      <c r="A984">
        <f t="shared" si="115"/>
        <v>977</v>
      </c>
      <c r="B984" s="88" t="str">
        <f>IF(OR(B983="Total",B983=""),"",IF(VLOOKUP(A984,Journal!$B$7:$E$84,4)=0,"Total",VLOOKUP(A984,Journal!$B$7:$D$84,3)))</f>
        <v/>
      </c>
      <c r="C984" s="86" t="str">
        <f>IF(B984="","",VLOOKUP(A984,Journal!$B$7:$E$84,4))</f>
        <v/>
      </c>
      <c r="D984" s="114" t="str">
        <f>IF(B984="","",VLOOKUP(A984,Journal!$B$7:$J$84,9))</f>
        <v/>
      </c>
      <c r="E984" s="116"/>
      <c r="F984" s="116"/>
      <c r="G984" s="115"/>
      <c r="H984" s="84" t="str">
        <f>IF(B984="","",VLOOKUP(A984,Journal!$B$7:$L$84,11))</f>
        <v/>
      </c>
      <c r="I984" s="84" t="str">
        <f>IF(B984="","",VLOOKUP(A984,Journal!$B$7:$M$84,12))</f>
        <v/>
      </c>
      <c r="J984" s="105">
        <f>IF(B984="Total",SUM(J$8:J983)+0.0001,IF(OR(B984="",I$2=I984),0,VLOOKUP(A984,Journal!$B$7:M$84,8)))</f>
        <v>0</v>
      </c>
      <c r="K984" s="102">
        <f>IF(B984="Total",SUM(K$8:K983)+0.0001,IF(OR(B984="",J984&lt;&gt;0),0,VLOOKUP(A984,Journal!$B$7:M$84,8)))</f>
        <v>0</v>
      </c>
      <c r="L984" s="87">
        <f t="shared" si="116"/>
        <v>0</v>
      </c>
      <c r="P984">
        <f t="shared" si="117"/>
        <v>1.0000000000000001E-5</v>
      </c>
      <c r="R984" s="15">
        <f t="shared" si="113"/>
        <v>977</v>
      </c>
      <c r="S984" s="126">
        <f>IF(VLOOKUP(A984,Journal!$A$7:$E$70,5)=0,S983+1,VLOOKUP(A984,Journal!$A$7:$E$70,5))</f>
        <v>46634</v>
      </c>
      <c r="T984" s="125">
        <f>IF(H$2=VLOOKUP(A984,Journal!$A$7:$F$70,6),VLOOKUP(A984,Journal!$A$7:M$70,9),0)</f>
        <v>0</v>
      </c>
      <c r="U984" s="125">
        <f>IF(H$2=VLOOKUP(A984,Journal!$A$7:$G$70,7),VLOOKUP(A984,Journal!$A$7:M$70,9),0)</f>
        <v>0</v>
      </c>
      <c r="V984" s="125">
        <f t="shared" si="114"/>
        <v>40</v>
      </c>
      <c r="X984">
        <f t="shared" si="118"/>
        <v>0</v>
      </c>
      <c r="Y984" s="143">
        <f t="shared" si="112"/>
        <v>-974.36842105267237</v>
      </c>
    </row>
    <row r="985" spans="1:25" x14ac:dyDescent="0.25">
      <c r="A985">
        <f t="shared" si="115"/>
        <v>978</v>
      </c>
      <c r="B985" s="88" t="str">
        <f>IF(OR(B984="Total",B984=""),"",IF(VLOOKUP(A985,Journal!$B$7:$E$84,4)=0,"Total",VLOOKUP(A985,Journal!$B$7:$D$84,3)))</f>
        <v/>
      </c>
      <c r="C985" s="86" t="str">
        <f>IF(B985="","",VLOOKUP(A985,Journal!$B$7:$E$84,4))</f>
        <v/>
      </c>
      <c r="D985" s="114" t="str">
        <f>IF(B985="","",VLOOKUP(A985,Journal!$B$7:$J$84,9))</f>
        <v/>
      </c>
      <c r="E985" s="116"/>
      <c r="F985" s="116"/>
      <c r="G985" s="115"/>
      <c r="H985" s="84" t="str">
        <f>IF(B985="","",VLOOKUP(A985,Journal!$B$7:$L$84,11))</f>
        <v/>
      </c>
      <c r="I985" s="84" t="str">
        <f>IF(B985="","",VLOOKUP(A985,Journal!$B$7:$M$84,12))</f>
        <v/>
      </c>
      <c r="J985" s="105">
        <f>IF(B985="Total",SUM(J$8:J984)+0.0001,IF(OR(B985="",I$2=I985),0,VLOOKUP(A985,Journal!$B$7:M$84,8)))</f>
        <v>0</v>
      </c>
      <c r="K985" s="102">
        <f>IF(B985="Total",SUM(K$8:K984)+0.0001,IF(OR(B985="",J985&lt;&gt;0),0,VLOOKUP(A985,Journal!$B$7:M$84,8)))</f>
        <v>0</v>
      </c>
      <c r="L985" s="87">
        <f t="shared" si="116"/>
        <v>0</v>
      </c>
      <c r="P985">
        <f t="shared" si="117"/>
        <v>1.0000000000000001E-5</v>
      </c>
      <c r="R985" s="15">
        <f t="shared" si="113"/>
        <v>978</v>
      </c>
      <c r="S985" s="126">
        <f>IF(VLOOKUP(A985,Journal!$A$7:$E$70,5)=0,S984+1,VLOOKUP(A985,Journal!$A$7:$E$70,5))</f>
        <v>46635</v>
      </c>
      <c r="T985" s="125">
        <f>IF(H$2=VLOOKUP(A985,Journal!$A$7:$F$70,6),VLOOKUP(A985,Journal!$A$7:M$70,9),0)</f>
        <v>0</v>
      </c>
      <c r="U985" s="125">
        <f>IF(H$2=VLOOKUP(A985,Journal!$A$7:$G$70,7),VLOOKUP(A985,Journal!$A$7:M$70,9),0)</f>
        <v>0</v>
      </c>
      <c r="V985" s="125">
        <f t="shared" si="114"/>
        <v>40</v>
      </c>
      <c r="X985">
        <f t="shared" si="118"/>
        <v>0</v>
      </c>
      <c r="Y985" s="143">
        <f t="shared" si="112"/>
        <v>-974.34210526319873</v>
      </c>
    </row>
    <row r="986" spans="1:25" x14ac:dyDescent="0.25">
      <c r="A986">
        <f t="shared" si="115"/>
        <v>979</v>
      </c>
      <c r="B986" s="88" t="str">
        <f>IF(OR(B985="Total",B985=""),"",IF(VLOOKUP(A986,Journal!$B$7:$E$84,4)=0,"Total",VLOOKUP(A986,Journal!$B$7:$D$84,3)))</f>
        <v/>
      </c>
      <c r="C986" s="86" t="str">
        <f>IF(B986="","",VLOOKUP(A986,Journal!$B$7:$E$84,4))</f>
        <v/>
      </c>
      <c r="D986" s="114" t="str">
        <f>IF(B986="","",VLOOKUP(A986,Journal!$B$7:$J$84,9))</f>
        <v/>
      </c>
      <c r="E986" s="116"/>
      <c r="F986" s="116"/>
      <c r="G986" s="115"/>
      <c r="H986" s="84" t="str">
        <f>IF(B986="","",VLOOKUP(A986,Journal!$B$7:$L$84,11))</f>
        <v/>
      </c>
      <c r="I986" s="84" t="str">
        <f>IF(B986="","",VLOOKUP(A986,Journal!$B$7:$M$84,12))</f>
        <v/>
      </c>
      <c r="J986" s="105">
        <f>IF(B986="Total",SUM(J$8:J985)+0.0001,IF(OR(B986="",I$2=I986),0,VLOOKUP(A986,Journal!$B$7:M$84,8)))</f>
        <v>0</v>
      </c>
      <c r="K986" s="102">
        <f>IF(B986="Total",SUM(K$8:K985)+0.0001,IF(OR(B986="",J986&lt;&gt;0),0,VLOOKUP(A986,Journal!$B$7:M$84,8)))</f>
        <v>0</v>
      </c>
      <c r="L986" s="87">
        <f t="shared" si="116"/>
        <v>0</v>
      </c>
      <c r="P986">
        <f t="shared" si="117"/>
        <v>1.0000000000000001E-5</v>
      </c>
      <c r="R986" s="15">
        <f t="shared" si="113"/>
        <v>979</v>
      </c>
      <c r="S986" s="126">
        <f>IF(VLOOKUP(A986,Journal!$A$7:$E$70,5)=0,S985+1,VLOOKUP(A986,Journal!$A$7:$E$70,5))</f>
        <v>46636</v>
      </c>
      <c r="T986" s="125">
        <f>IF(H$2=VLOOKUP(A986,Journal!$A$7:$F$70,6),VLOOKUP(A986,Journal!$A$7:M$70,9),0)</f>
        <v>0</v>
      </c>
      <c r="U986" s="125">
        <f>IF(H$2=VLOOKUP(A986,Journal!$A$7:$G$70,7),VLOOKUP(A986,Journal!$A$7:M$70,9),0)</f>
        <v>0</v>
      </c>
      <c r="V986" s="125">
        <f t="shared" si="114"/>
        <v>40</v>
      </c>
      <c r="X986">
        <f t="shared" si="118"/>
        <v>0</v>
      </c>
      <c r="Y986" s="143">
        <f t="shared" si="112"/>
        <v>-974.31578947372509</v>
      </c>
    </row>
    <row r="987" spans="1:25" x14ac:dyDescent="0.25">
      <c r="A987">
        <f t="shared" si="115"/>
        <v>980</v>
      </c>
      <c r="B987" s="88" t="str">
        <f>IF(OR(B986="Total",B986=""),"",IF(VLOOKUP(A987,Journal!$B$7:$E$84,4)=0,"Total",VLOOKUP(A987,Journal!$B$7:$D$84,3)))</f>
        <v/>
      </c>
      <c r="C987" s="86" t="str">
        <f>IF(B987="","",VLOOKUP(A987,Journal!$B$7:$E$84,4))</f>
        <v/>
      </c>
      <c r="D987" s="114" t="str">
        <f>IF(B987="","",VLOOKUP(A987,Journal!$B$7:$J$84,9))</f>
        <v/>
      </c>
      <c r="E987" s="116"/>
      <c r="F987" s="116"/>
      <c r="G987" s="115"/>
      <c r="H987" s="84" t="str">
        <f>IF(B987="","",VLOOKUP(A987,Journal!$B$7:$L$84,11))</f>
        <v/>
      </c>
      <c r="I987" s="84" t="str">
        <f>IF(B987="","",VLOOKUP(A987,Journal!$B$7:$M$84,12))</f>
        <v/>
      </c>
      <c r="J987" s="105">
        <f>IF(B987="Total",SUM(J$8:J986)+0.0001,IF(OR(B987="",I$2=I987),0,VLOOKUP(A987,Journal!$B$7:M$84,8)))</f>
        <v>0</v>
      </c>
      <c r="K987" s="102">
        <f>IF(B987="Total",SUM(K$8:K986)+0.0001,IF(OR(B987="",J987&lt;&gt;0),0,VLOOKUP(A987,Journal!$B$7:M$84,8)))</f>
        <v>0</v>
      </c>
      <c r="L987" s="87">
        <f t="shared" si="116"/>
        <v>0</v>
      </c>
      <c r="P987">
        <f t="shared" si="117"/>
        <v>1.0000000000000001E-5</v>
      </c>
      <c r="R987" s="15">
        <f t="shared" si="113"/>
        <v>980</v>
      </c>
      <c r="S987" s="126">
        <f>IF(VLOOKUP(A987,Journal!$A$7:$E$70,5)=0,S986+1,VLOOKUP(A987,Journal!$A$7:$E$70,5))</f>
        <v>46637</v>
      </c>
      <c r="T987" s="125">
        <f>IF(H$2=VLOOKUP(A987,Journal!$A$7:$F$70,6),VLOOKUP(A987,Journal!$A$7:M$70,9),0)</f>
        <v>0</v>
      </c>
      <c r="U987" s="125">
        <f>IF(H$2=VLOOKUP(A987,Journal!$A$7:$G$70,7),VLOOKUP(A987,Journal!$A$7:M$70,9),0)</f>
        <v>0</v>
      </c>
      <c r="V987" s="125">
        <f t="shared" si="114"/>
        <v>40</v>
      </c>
      <c r="X987">
        <f t="shared" si="118"/>
        <v>0</v>
      </c>
      <c r="Y987" s="143">
        <f t="shared" si="112"/>
        <v>-974.28947368425145</v>
      </c>
    </row>
    <row r="988" spans="1:25" x14ac:dyDescent="0.25">
      <c r="A988">
        <f t="shared" si="115"/>
        <v>981</v>
      </c>
      <c r="B988" s="88" t="str">
        <f>IF(OR(B987="Total",B987=""),"",IF(VLOOKUP(A988,Journal!$B$7:$E$84,4)=0,"Total",VLOOKUP(A988,Journal!$B$7:$D$84,3)))</f>
        <v/>
      </c>
      <c r="C988" s="86" t="str">
        <f>IF(B988="","",VLOOKUP(A988,Journal!$B$7:$E$84,4))</f>
        <v/>
      </c>
      <c r="D988" s="114" t="str">
        <f>IF(B988="","",VLOOKUP(A988,Journal!$B$7:$J$84,9))</f>
        <v/>
      </c>
      <c r="E988" s="116"/>
      <c r="F988" s="116"/>
      <c r="G988" s="115"/>
      <c r="H988" s="84" t="str">
        <f>IF(B988="","",VLOOKUP(A988,Journal!$B$7:$L$84,11))</f>
        <v/>
      </c>
      <c r="I988" s="84" t="str">
        <f>IF(B988="","",VLOOKUP(A988,Journal!$B$7:$M$84,12))</f>
        <v/>
      </c>
      <c r="J988" s="105">
        <f>IF(B988="Total",SUM(J$8:J987)+0.0001,IF(OR(B988="",I$2=I988),0,VLOOKUP(A988,Journal!$B$7:M$84,8)))</f>
        <v>0</v>
      </c>
      <c r="K988" s="102">
        <f>IF(B988="Total",SUM(K$8:K987)+0.0001,IF(OR(B988="",J988&lt;&gt;0),0,VLOOKUP(A988,Journal!$B$7:M$84,8)))</f>
        <v>0</v>
      </c>
      <c r="L988" s="87">
        <f t="shared" si="116"/>
        <v>0</v>
      </c>
      <c r="P988">
        <f t="shared" si="117"/>
        <v>1.0000000000000001E-5</v>
      </c>
      <c r="R988" s="15">
        <f t="shared" si="113"/>
        <v>981</v>
      </c>
      <c r="S988" s="126">
        <f>IF(VLOOKUP(A988,Journal!$A$7:$E$70,5)=0,S987+1,VLOOKUP(A988,Journal!$A$7:$E$70,5))</f>
        <v>46638</v>
      </c>
      <c r="T988" s="125">
        <f>IF(H$2=VLOOKUP(A988,Journal!$A$7:$F$70,6),VLOOKUP(A988,Journal!$A$7:M$70,9),0)</f>
        <v>0</v>
      </c>
      <c r="U988" s="125">
        <f>IF(H$2=VLOOKUP(A988,Journal!$A$7:$G$70,7),VLOOKUP(A988,Journal!$A$7:M$70,9),0)</f>
        <v>0</v>
      </c>
      <c r="V988" s="125">
        <f t="shared" si="114"/>
        <v>40</v>
      </c>
      <c r="X988">
        <f t="shared" si="118"/>
        <v>0</v>
      </c>
      <c r="Y988" s="143">
        <f t="shared" si="112"/>
        <v>-974.26315789477781</v>
      </c>
    </row>
    <row r="989" spans="1:25" x14ac:dyDescent="0.25">
      <c r="A989">
        <f t="shared" si="115"/>
        <v>982</v>
      </c>
      <c r="B989" s="88" t="str">
        <f>IF(OR(B988="Total",B988=""),"",IF(VLOOKUP(A989,Journal!$B$7:$E$84,4)=0,"Total",VLOOKUP(A989,Journal!$B$7:$D$84,3)))</f>
        <v/>
      </c>
      <c r="C989" s="86" t="str">
        <f>IF(B989="","",VLOOKUP(A989,Journal!$B$7:$E$84,4))</f>
        <v/>
      </c>
      <c r="D989" s="114" t="str">
        <f>IF(B989="","",VLOOKUP(A989,Journal!$B$7:$J$84,9))</f>
        <v/>
      </c>
      <c r="E989" s="116"/>
      <c r="F989" s="116"/>
      <c r="G989" s="115"/>
      <c r="H989" s="84" t="str">
        <f>IF(B989="","",VLOOKUP(A989,Journal!$B$7:$L$84,11))</f>
        <v/>
      </c>
      <c r="I989" s="84" t="str">
        <f>IF(B989="","",VLOOKUP(A989,Journal!$B$7:$M$84,12))</f>
        <v/>
      </c>
      <c r="J989" s="105">
        <f>IF(B989="Total",SUM(J$8:J988)+0.0001,IF(OR(B989="",I$2=I989),0,VLOOKUP(A989,Journal!$B$7:M$84,8)))</f>
        <v>0</v>
      </c>
      <c r="K989" s="102">
        <f>IF(B989="Total",SUM(K$8:K988)+0.0001,IF(OR(B989="",J989&lt;&gt;0),0,VLOOKUP(A989,Journal!$B$7:M$84,8)))</f>
        <v>0</v>
      </c>
      <c r="L989" s="87">
        <f t="shared" si="116"/>
        <v>0</v>
      </c>
      <c r="P989">
        <f t="shared" si="117"/>
        <v>1.0000000000000001E-5</v>
      </c>
      <c r="R989" s="15">
        <f t="shared" si="113"/>
        <v>982</v>
      </c>
      <c r="S989" s="126">
        <f>IF(VLOOKUP(A989,Journal!$A$7:$E$70,5)=0,S988+1,VLOOKUP(A989,Journal!$A$7:$E$70,5))</f>
        <v>46639</v>
      </c>
      <c r="T989" s="125">
        <f>IF(H$2=VLOOKUP(A989,Journal!$A$7:$F$70,6),VLOOKUP(A989,Journal!$A$7:M$70,9),0)</f>
        <v>0</v>
      </c>
      <c r="U989" s="125">
        <f>IF(H$2=VLOOKUP(A989,Journal!$A$7:$G$70,7),VLOOKUP(A989,Journal!$A$7:M$70,9),0)</f>
        <v>0</v>
      </c>
      <c r="V989" s="125">
        <f t="shared" si="114"/>
        <v>40</v>
      </c>
      <c r="X989">
        <f t="shared" si="118"/>
        <v>0</v>
      </c>
      <c r="Y989" s="143">
        <f t="shared" si="112"/>
        <v>-974.23684210530416</v>
      </c>
    </row>
    <row r="990" spans="1:25" x14ac:dyDescent="0.25">
      <c r="A990">
        <f t="shared" si="115"/>
        <v>983</v>
      </c>
      <c r="B990" s="88" t="str">
        <f>IF(OR(B989="Total",B989=""),"",IF(VLOOKUP(A990,Journal!$B$7:$E$84,4)=0,"Total",VLOOKUP(A990,Journal!$B$7:$D$84,3)))</f>
        <v/>
      </c>
      <c r="C990" s="86" t="str">
        <f>IF(B990="","",VLOOKUP(A990,Journal!$B$7:$E$84,4))</f>
        <v/>
      </c>
      <c r="D990" s="114" t="str">
        <f>IF(B990="","",VLOOKUP(A990,Journal!$B$7:$J$84,9))</f>
        <v/>
      </c>
      <c r="E990" s="116"/>
      <c r="F990" s="116"/>
      <c r="G990" s="115"/>
      <c r="H990" s="84" t="str">
        <f>IF(B990="","",VLOOKUP(A990,Journal!$B$7:$L$84,11))</f>
        <v/>
      </c>
      <c r="I990" s="84" t="str">
        <f>IF(B990="","",VLOOKUP(A990,Journal!$B$7:$M$84,12))</f>
        <v/>
      </c>
      <c r="J990" s="105">
        <f>IF(B990="Total",SUM(J$8:J989)+0.0001,IF(OR(B990="",I$2=I990),0,VLOOKUP(A990,Journal!$B$7:M$84,8)))</f>
        <v>0</v>
      </c>
      <c r="K990" s="102">
        <f>IF(B990="Total",SUM(K$8:K989)+0.0001,IF(OR(B990="",J990&lt;&gt;0),0,VLOOKUP(A990,Journal!$B$7:M$84,8)))</f>
        <v>0</v>
      </c>
      <c r="L990" s="87">
        <f t="shared" si="116"/>
        <v>0</v>
      </c>
      <c r="P990">
        <f t="shared" si="117"/>
        <v>1.0000000000000001E-5</v>
      </c>
      <c r="R990" s="15">
        <f t="shared" si="113"/>
        <v>983</v>
      </c>
      <c r="S990" s="126">
        <f>IF(VLOOKUP(A990,Journal!$A$7:$E$70,5)=0,S989+1,VLOOKUP(A990,Journal!$A$7:$E$70,5))</f>
        <v>46640</v>
      </c>
      <c r="T990" s="125">
        <f>IF(H$2=VLOOKUP(A990,Journal!$A$7:$F$70,6),VLOOKUP(A990,Journal!$A$7:M$70,9),0)</f>
        <v>0</v>
      </c>
      <c r="U990" s="125">
        <f>IF(H$2=VLOOKUP(A990,Journal!$A$7:$G$70,7),VLOOKUP(A990,Journal!$A$7:M$70,9),0)</f>
        <v>0</v>
      </c>
      <c r="V990" s="125">
        <f t="shared" si="114"/>
        <v>40</v>
      </c>
      <c r="X990">
        <f t="shared" si="118"/>
        <v>0</v>
      </c>
      <c r="Y990" s="143">
        <f t="shared" si="112"/>
        <v>-974.21052631583052</v>
      </c>
    </row>
    <row r="991" spans="1:25" x14ac:dyDescent="0.25">
      <c r="A991">
        <f t="shared" si="115"/>
        <v>984</v>
      </c>
      <c r="B991" s="88" t="str">
        <f>IF(OR(B990="Total",B990=""),"",IF(VLOOKUP(A991,Journal!$B$7:$E$84,4)=0,"Total",VLOOKUP(A991,Journal!$B$7:$D$84,3)))</f>
        <v/>
      </c>
      <c r="C991" s="86" t="str">
        <f>IF(B991="","",VLOOKUP(A991,Journal!$B$7:$E$84,4))</f>
        <v/>
      </c>
      <c r="D991" s="114" t="str">
        <f>IF(B991="","",VLOOKUP(A991,Journal!$B$7:$J$84,9))</f>
        <v/>
      </c>
      <c r="E991" s="116"/>
      <c r="F991" s="116"/>
      <c r="G991" s="115"/>
      <c r="H991" s="84" t="str">
        <f>IF(B991="","",VLOOKUP(A991,Journal!$B$7:$L$84,11))</f>
        <v/>
      </c>
      <c r="I991" s="84" t="str">
        <f>IF(B991="","",VLOOKUP(A991,Journal!$B$7:$M$84,12))</f>
        <v/>
      </c>
      <c r="J991" s="105">
        <f>IF(B991="Total",SUM(J$8:J990)+0.0001,IF(OR(B991="",I$2=I991),0,VLOOKUP(A991,Journal!$B$7:M$84,8)))</f>
        <v>0</v>
      </c>
      <c r="K991" s="102">
        <f>IF(B991="Total",SUM(K$8:K990)+0.0001,IF(OR(B991="",J991&lt;&gt;0),0,VLOOKUP(A991,Journal!$B$7:M$84,8)))</f>
        <v>0</v>
      </c>
      <c r="L991" s="87">
        <f t="shared" si="116"/>
        <v>0</v>
      </c>
      <c r="P991">
        <f t="shared" si="117"/>
        <v>1.0000000000000001E-5</v>
      </c>
      <c r="R991" s="15">
        <f t="shared" si="113"/>
        <v>984</v>
      </c>
      <c r="S991" s="126">
        <f>IF(VLOOKUP(A991,Journal!$A$7:$E$70,5)=0,S990+1,VLOOKUP(A991,Journal!$A$7:$E$70,5))</f>
        <v>46641</v>
      </c>
      <c r="T991" s="125">
        <f>IF(H$2=VLOOKUP(A991,Journal!$A$7:$F$70,6),VLOOKUP(A991,Journal!$A$7:M$70,9),0)</f>
        <v>0</v>
      </c>
      <c r="U991" s="125">
        <f>IF(H$2=VLOOKUP(A991,Journal!$A$7:$G$70,7),VLOOKUP(A991,Journal!$A$7:M$70,9),0)</f>
        <v>0</v>
      </c>
      <c r="V991" s="125">
        <f t="shared" si="114"/>
        <v>40</v>
      </c>
      <c r="X991">
        <f t="shared" si="118"/>
        <v>0</v>
      </c>
      <c r="Y991" s="143">
        <f t="shared" si="112"/>
        <v>-974.18421052635688</v>
      </c>
    </row>
    <row r="992" spans="1:25" x14ac:dyDescent="0.25">
      <c r="A992">
        <f t="shared" si="115"/>
        <v>985</v>
      </c>
      <c r="B992" s="88" t="str">
        <f>IF(OR(B991="Total",B991=""),"",IF(VLOOKUP(A992,Journal!$B$7:$E$84,4)=0,"Total",VLOOKUP(A992,Journal!$B$7:$D$84,3)))</f>
        <v/>
      </c>
      <c r="C992" s="86" t="str">
        <f>IF(B992="","",VLOOKUP(A992,Journal!$B$7:$E$84,4))</f>
        <v/>
      </c>
      <c r="D992" s="114" t="str">
        <f>IF(B992="","",VLOOKUP(A992,Journal!$B$7:$J$84,9))</f>
        <v/>
      </c>
      <c r="E992" s="116"/>
      <c r="F992" s="116"/>
      <c r="G992" s="115"/>
      <c r="H992" s="84" t="str">
        <f>IF(B992="","",VLOOKUP(A992,Journal!$B$7:$L$84,11))</f>
        <v/>
      </c>
      <c r="I992" s="84" t="str">
        <f>IF(B992="","",VLOOKUP(A992,Journal!$B$7:$M$84,12))</f>
        <v/>
      </c>
      <c r="J992" s="105">
        <f>IF(B992="Total",SUM(J$8:J991)+0.0001,IF(OR(B992="",I$2=I992),0,VLOOKUP(A992,Journal!$B$7:M$84,8)))</f>
        <v>0</v>
      </c>
      <c r="K992" s="102">
        <f>IF(B992="Total",SUM(K$8:K991)+0.0001,IF(OR(B992="",J992&lt;&gt;0),0,VLOOKUP(A992,Journal!$B$7:M$84,8)))</f>
        <v>0</v>
      </c>
      <c r="L992" s="87">
        <f t="shared" si="116"/>
        <v>0</v>
      </c>
      <c r="P992">
        <f t="shared" si="117"/>
        <v>1.0000000000000001E-5</v>
      </c>
      <c r="R992" s="15">
        <f t="shared" si="113"/>
        <v>985</v>
      </c>
      <c r="S992" s="126">
        <f>IF(VLOOKUP(A992,Journal!$A$7:$E$70,5)=0,S991+1,VLOOKUP(A992,Journal!$A$7:$E$70,5))</f>
        <v>46642</v>
      </c>
      <c r="T992" s="125">
        <f>IF(H$2=VLOOKUP(A992,Journal!$A$7:$F$70,6),VLOOKUP(A992,Journal!$A$7:M$70,9),0)</f>
        <v>0</v>
      </c>
      <c r="U992" s="125">
        <f>IF(H$2=VLOOKUP(A992,Journal!$A$7:$G$70,7),VLOOKUP(A992,Journal!$A$7:M$70,9),0)</f>
        <v>0</v>
      </c>
      <c r="V992" s="125">
        <f t="shared" si="114"/>
        <v>40</v>
      </c>
      <c r="X992">
        <f t="shared" si="118"/>
        <v>0</v>
      </c>
      <c r="Y992" s="143">
        <f t="shared" si="112"/>
        <v>-974.15789473688324</v>
      </c>
    </row>
    <row r="993" spans="1:25" x14ac:dyDescent="0.25">
      <c r="A993">
        <f t="shared" si="115"/>
        <v>986</v>
      </c>
      <c r="B993" s="88" t="str">
        <f>IF(OR(B992="Total",B992=""),"",IF(VLOOKUP(A993,Journal!$B$7:$E$84,4)=0,"Total",VLOOKUP(A993,Journal!$B$7:$D$84,3)))</f>
        <v/>
      </c>
      <c r="C993" s="86" t="str">
        <f>IF(B993="","",VLOOKUP(A993,Journal!$B$7:$E$84,4))</f>
        <v/>
      </c>
      <c r="D993" s="114" t="str">
        <f>IF(B993="","",VLOOKUP(A993,Journal!$B$7:$J$84,9))</f>
        <v/>
      </c>
      <c r="E993" s="116"/>
      <c r="F993" s="116"/>
      <c r="G993" s="115"/>
      <c r="H993" s="84" t="str">
        <f>IF(B993="","",VLOOKUP(A993,Journal!$B$7:$L$84,11))</f>
        <v/>
      </c>
      <c r="I993" s="84" t="str">
        <f>IF(B993="","",VLOOKUP(A993,Journal!$B$7:$M$84,12))</f>
        <v/>
      </c>
      <c r="J993" s="105">
        <f>IF(B993="Total",SUM(J$8:J992)+0.0001,IF(OR(B993="",I$2=I993),0,VLOOKUP(A993,Journal!$B$7:M$84,8)))</f>
        <v>0</v>
      </c>
      <c r="K993" s="102">
        <f>IF(B993="Total",SUM(K$8:K992)+0.0001,IF(OR(B993="",J993&lt;&gt;0),0,VLOOKUP(A993,Journal!$B$7:M$84,8)))</f>
        <v>0</v>
      </c>
      <c r="L993" s="87">
        <f t="shared" si="116"/>
        <v>0</v>
      </c>
      <c r="P993">
        <f t="shared" si="117"/>
        <v>1.0000000000000001E-5</v>
      </c>
      <c r="R993" s="15">
        <f t="shared" si="113"/>
        <v>986</v>
      </c>
      <c r="S993" s="126">
        <f>IF(VLOOKUP(A993,Journal!$A$7:$E$70,5)=0,S992+1,VLOOKUP(A993,Journal!$A$7:$E$70,5))</f>
        <v>46643</v>
      </c>
      <c r="T993" s="125">
        <f>IF(H$2=VLOOKUP(A993,Journal!$A$7:$F$70,6),VLOOKUP(A993,Journal!$A$7:M$70,9),0)</f>
        <v>0</v>
      </c>
      <c r="U993" s="125">
        <f>IF(H$2=VLOOKUP(A993,Journal!$A$7:$G$70,7),VLOOKUP(A993,Journal!$A$7:M$70,9),0)</f>
        <v>0</v>
      </c>
      <c r="V993" s="125">
        <f t="shared" si="114"/>
        <v>40</v>
      </c>
      <c r="X993">
        <f t="shared" si="118"/>
        <v>0</v>
      </c>
      <c r="Y993" s="143">
        <f t="shared" si="112"/>
        <v>-974.13157894740959</v>
      </c>
    </row>
    <row r="994" spans="1:25" x14ac:dyDescent="0.25">
      <c r="A994">
        <f t="shared" si="115"/>
        <v>987</v>
      </c>
      <c r="B994" s="88" t="str">
        <f>IF(OR(B993="Total",B993=""),"",IF(VLOOKUP(A994,Journal!$B$7:$E$84,4)=0,"Total",VLOOKUP(A994,Journal!$B$7:$D$84,3)))</f>
        <v/>
      </c>
      <c r="C994" s="86" t="str">
        <f>IF(B994="","",VLOOKUP(A994,Journal!$B$7:$E$84,4))</f>
        <v/>
      </c>
      <c r="D994" s="114" t="str">
        <f>IF(B994="","",VLOOKUP(A994,Journal!$B$7:$J$84,9))</f>
        <v/>
      </c>
      <c r="E994" s="116"/>
      <c r="F994" s="116"/>
      <c r="G994" s="115"/>
      <c r="H994" s="84" t="str">
        <f>IF(B994="","",VLOOKUP(A994,Journal!$B$7:$L$84,11))</f>
        <v/>
      </c>
      <c r="I994" s="84" t="str">
        <f>IF(B994="","",VLOOKUP(A994,Journal!$B$7:$M$84,12))</f>
        <v/>
      </c>
      <c r="J994" s="105">
        <f>IF(B994="Total",SUM(J$8:J993)+0.0001,IF(OR(B994="",I$2=I994),0,VLOOKUP(A994,Journal!$B$7:M$84,8)))</f>
        <v>0</v>
      </c>
      <c r="K994" s="102">
        <f>IF(B994="Total",SUM(K$8:K993)+0.0001,IF(OR(B994="",J994&lt;&gt;0),0,VLOOKUP(A994,Journal!$B$7:M$84,8)))</f>
        <v>0</v>
      </c>
      <c r="L994" s="87">
        <f t="shared" si="116"/>
        <v>0</v>
      </c>
      <c r="P994">
        <f t="shared" si="117"/>
        <v>1.0000000000000001E-5</v>
      </c>
      <c r="R994" s="15">
        <f t="shared" si="113"/>
        <v>987</v>
      </c>
      <c r="S994" s="126">
        <f>IF(VLOOKUP(A994,Journal!$A$7:$E$70,5)=0,S993+1,VLOOKUP(A994,Journal!$A$7:$E$70,5))</f>
        <v>46644</v>
      </c>
      <c r="T994" s="125">
        <f>IF(H$2=VLOOKUP(A994,Journal!$A$7:$F$70,6),VLOOKUP(A994,Journal!$A$7:M$70,9),0)</f>
        <v>0</v>
      </c>
      <c r="U994" s="125">
        <f>IF(H$2=VLOOKUP(A994,Journal!$A$7:$G$70,7),VLOOKUP(A994,Journal!$A$7:M$70,9),0)</f>
        <v>0</v>
      </c>
      <c r="V994" s="125">
        <f t="shared" si="114"/>
        <v>40</v>
      </c>
      <c r="X994">
        <f t="shared" si="118"/>
        <v>0</v>
      </c>
      <c r="Y994" s="143">
        <f t="shared" si="112"/>
        <v>-974.10526315793595</v>
      </c>
    </row>
    <row r="995" spans="1:25" x14ac:dyDescent="0.25">
      <c r="A995">
        <f t="shared" si="115"/>
        <v>988</v>
      </c>
      <c r="B995" s="88" t="str">
        <f>IF(OR(B994="Total",B994=""),"",IF(VLOOKUP(A995,Journal!$B$7:$E$84,4)=0,"Total",VLOOKUP(A995,Journal!$B$7:$D$84,3)))</f>
        <v/>
      </c>
      <c r="C995" s="86" t="str">
        <f>IF(B995="","",VLOOKUP(A995,Journal!$B$7:$E$84,4))</f>
        <v/>
      </c>
      <c r="D995" s="114" t="str">
        <f>IF(B995="","",VLOOKUP(A995,Journal!$B$7:$J$84,9))</f>
        <v/>
      </c>
      <c r="E995" s="116"/>
      <c r="F995" s="116"/>
      <c r="G995" s="115"/>
      <c r="H995" s="84" t="str">
        <f>IF(B995="","",VLOOKUP(A995,Journal!$B$7:$L$84,11))</f>
        <v/>
      </c>
      <c r="I995" s="84" t="str">
        <f>IF(B995="","",VLOOKUP(A995,Journal!$B$7:$M$84,12))</f>
        <v/>
      </c>
      <c r="J995" s="105">
        <f>IF(B995="Total",SUM(J$8:J994)+0.0001,IF(OR(B995="",I$2=I995),0,VLOOKUP(A995,Journal!$B$7:M$84,8)))</f>
        <v>0</v>
      </c>
      <c r="K995" s="102">
        <f>IF(B995="Total",SUM(K$8:K994)+0.0001,IF(OR(B995="",J995&lt;&gt;0),0,VLOOKUP(A995,Journal!$B$7:M$84,8)))</f>
        <v>0</v>
      </c>
      <c r="L995" s="87">
        <f t="shared" si="116"/>
        <v>0</v>
      </c>
      <c r="P995">
        <f t="shared" si="117"/>
        <v>1.0000000000000001E-5</v>
      </c>
      <c r="R995" s="15">
        <f t="shared" si="113"/>
        <v>988</v>
      </c>
      <c r="S995" s="126">
        <f>IF(VLOOKUP(A995,Journal!$A$7:$E$70,5)=0,S994+1,VLOOKUP(A995,Journal!$A$7:$E$70,5))</f>
        <v>46645</v>
      </c>
      <c r="T995" s="125">
        <f>IF(H$2=VLOOKUP(A995,Journal!$A$7:$F$70,6),VLOOKUP(A995,Journal!$A$7:M$70,9),0)</f>
        <v>0</v>
      </c>
      <c r="U995" s="125">
        <f>IF(H$2=VLOOKUP(A995,Journal!$A$7:$G$70,7),VLOOKUP(A995,Journal!$A$7:M$70,9),0)</f>
        <v>0</v>
      </c>
      <c r="V995" s="125">
        <f t="shared" si="114"/>
        <v>40</v>
      </c>
      <c r="X995">
        <f t="shared" si="118"/>
        <v>0</v>
      </c>
      <c r="Y995" s="143">
        <f t="shared" si="112"/>
        <v>-974.07894736846231</v>
      </c>
    </row>
    <row r="996" spans="1:25" x14ac:dyDescent="0.25">
      <c r="A996">
        <f t="shared" si="115"/>
        <v>989</v>
      </c>
      <c r="B996" s="88" t="str">
        <f>IF(OR(B995="Total",B995=""),"",IF(VLOOKUP(A996,Journal!$B$7:$E$84,4)=0,"Total",VLOOKUP(A996,Journal!$B$7:$D$84,3)))</f>
        <v/>
      </c>
      <c r="C996" s="86" t="str">
        <f>IF(B996="","",VLOOKUP(A996,Journal!$B$7:$E$84,4))</f>
        <v/>
      </c>
      <c r="D996" s="114" t="str">
        <f>IF(B996="","",VLOOKUP(A996,Journal!$B$7:$J$84,9))</f>
        <v/>
      </c>
      <c r="E996" s="116"/>
      <c r="F996" s="116"/>
      <c r="G996" s="115"/>
      <c r="H996" s="84" t="str">
        <f>IF(B996="","",VLOOKUP(A996,Journal!$B$7:$L$84,11))</f>
        <v/>
      </c>
      <c r="I996" s="84" t="str">
        <f>IF(B996="","",VLOOKUP(A996,Journal!$B$7:$M$84,12))</f>
        <v/>
      </c>
      <c r="J996" s="105">
        <f>IF(B996="Total",SUM(J$8:J995)+0.0001,IF(OR(B996="",I$2=I996),0,VLOOKUP(A996,Journal!$B$7:M$84,8)))</f>
        <v>0</v>
      </c>
      <c r="K996" s="102">
        <f>IF(B996="Total",SUM(K$8:K995)+0.0001,IF(OR(B996="",J996&lt;&gt;0),0,VLOOKUP(A996,Journal!$B$7:M$84,8)))</f>
        <v>0</v>
      </c>
      <c r="L996" s="87">
        <f t="shared" si="116"/>
        <v>0</v>
      </c>
      <c r="P996">
        <f t="shared" si="117"/>
        <v>1.0000000000000001E-5</v>
      </c>
      <c r="R996" s="15">
        <f t="shared" si="113"/>
        <v>989</v>
      </c>
      <c r="S996" s="126">
        <f>IF(VLOOKUP(A996,Journal!$A$7:$E$70,5)=0,S995+1,VLOOKUP(A996,Journal!$A$7:$E$70,5))</f>
        <v>46646</v>
      </c>
      <c r="T996" s="125">
        <f>IF(H$2=VLOOKUP(A996,Journal!$A$7:$F$70,6),VLOOKUP(A996,Journal!$A$7:M$70,9),0)</f>
        <v>0</v>
      </c>
      <c r="U996" s="125">
        <f>IF(H$2=VLOOKUP(A996,Journal!$A$7:$G$70,7),VLOOKUP(A996,Journal!$A$7:M$70,9),0)</f>
        <v>0</v>
      </c>
      <c r="V996" s="125">
        <f t="shared" si="114"/>
        <v>40</v>
      </c>
      <c r="X996">
        <f t="shared" si="118"/>
        <v>0</v>
      </c>
      <c r="Y996" s="143">
        <f t="shared" si="112"/>
        <v>-974.05263157898867</v>
      </c>
    </row>
    <row r="997" spans="1:25" x14ac:dyDescent="0.25">
      <c r="A997">
        <f t="shared" si="115"/>
        <v>990</v>
      </c>
      <c r="B997" s="88" t="str">
        <f>IF(OR(B996="Total",B996=""),"",IF(VLOOKUP(A997,Journal!$B$7:$E$84,4)=0,"Total",VLOOKUP(A997,Journal!$B$7:$D$84,3)))</f>
        <v/>
      </c>
      <c r="C997" s="86" t="str">
        <f>IF(B997="","",VLOOKUP(A997,Journal!$B$7:$E$84,4))</f>
        <v/>
      </c>
      <c r="D997" s="114" t="str">
        <f>IF(B997="","",VLOOKUP(A997,Journal!$B$7:$J$84,9))</f>
        <v/>
      </c>
      <c r="E997" s="116"/>
      <c r="F997" s="116"/>
      <c r="G997" s="115"/>
      <c r="H997" s="84" t="str">
        <f>IF(B997="","",VLOOKUP(A997,Journal!$B$7:$L$84,11))</f>
        <v/>
      </c>
      <c r="I997" s="84" t="str">
        <f>IF(B997="","",VLOOKUP(A997,Journal!$B$7:$M$84,12))</f>
        <v/>
      </c>
      <c r="J997" s="105">
        <f>IF(B997="Total",SUM(J$8:J996)+0.0001,IF(OR(B997="",I$2=I997),0,VLOOKUP(A997,Journal!$B$7:M$84,8)))</f>
        <v>0</v>
      </c>
      <c r="K997" s="102">
        <f>IF(B997="Total",SUM(K$8:K996)+0.0001,IF(OR(B997="",J997&lt;&gt;0),0,VLOOKUP(A997,Journal!$B$7:M$84,8)))</f>
        <v>0</v>
      </c>
      <c r="L997" s="87">
        <f t="shared" si="116"/>
        <v>0</v>
      </c>
      <c r="P997">
        <f t="shared" si="117"/>
        <v>1.0000000000000001E-5</v>
      </c>
      <c r="R997" s="15">
        <f t="shared" si="113"/>
        <v>990</v>
      </c>
      <c r="S997" s="126">
        <f>IF(VLOOKUP(A997,Journal!$A$7:$E$70,5)=0,S996+1,VLOOKUP(A997,Journal!$A$7:$E$70,5))</f>
        <v>46647</v>
      </c>
      <c r="T997" s="125">
        <f>IF(H$2=VLOOKUP(A997,Journal!$A$7:$F$70,6),VLOOKUP(A997,Journal!$A$7:M$70,9),0)</f>
        <v>0</v>
      </c>
      <c r="U997" s="125">
        <f>IF(H$2=VLOOKUP(A997,Journal!$A$7:$G$70,7),VLOOKUP(A997,Journal!$A$7:M$70,9),0)</f>
        <v>0</v>
      </c>
      <c r="V997" s="125">
        <f t="shared" si="114"/>
        <v>40</v>
      </c>
      <c r="X997">
        <f t="shared" si="118"/>
        <v>0</v>
      </c>
      <c r="Y997" s="143">
        <f t="shared" si="112"/>
        <v>-974.02631578951502</v>
      </c>
    </row>
    <row r="998" spans="1:25" x14ac:dyDescent="0.25">
      <c r="A998">
        <f t="shared" si="115"/>
        <v>991</v>
      </c>
      <c r="B998" s="88" t="str">
        <f>IF(OR(B997="Total",B997=""),"",IF(VLOOKUP(A998,Journal!$B$7:$E$84,4)=0,"Total",VLOOKUP(A998,Journal!$B$7:$D$84,3)))</f>
        <v/>
      </c>
      <c r="C998" s="86" t="str">
        <f>IF(B998="","",VLOOKUP(A998,Journal!$B$7:$E$84,4))</f>
        <v/>
      </c>
      <c r="D998" s="114" t="str">
        <f>IF(B998="","",VLOOKUP(A998,Journal!$B$7:$J$84,9))</f>
        <v/>
      </c>
      <c r="E998" s="116"/>
      <c r="F998" s="116"/>
      <c r="G998" s="115"/>
      <c r="H998" s="84" t="str">
        <f>IF(B998="","",VLOOKUP(A998,Journal!$B$7:$L$84,11))</f>
        <v/>
      </c>
      <c r="I998" s="84" t="str">
        <f>IF(B998="","",VLOOKUP(A998,Journal!$B$7:$M$84,12))</f>
        <v/>
      </c>
      <c r="J998" s="105">
        <f>IF(B998="Total",SUM(J$8:J997)+0.0001,IF(OR(B998="",I$2=I998),0,VLOOKUP(A998,Journal!$B$7:M$84,8)))</f>
        <v>0</v>
      </c>
      <c r="K998" s="102">
        <f>IF(B998="Total",SUM(K$8:K997)+0.0001,IF(OR(B998="",J998&lt;&gt;0),0,VLOOKUP(A998,Journal!$B$7:M$84,8)))</f>
        <v>0</v>
      </c>
      <c r="L998" s="87">
        <f t="shared" si="116"/>
        <v>0</v>
      </c>
      <c r="P998">
        <f t="shared" si="117"/>
        <v>1.0000000000000001E-5</v>
      </c>
      <c r="R998" s="15">
        <f t="shared" si="113"/>
        <v>991</v>
      </c>
      <c r="S998" s="126">
        <f>IF(VLOOKUP(A998,Journal!$A$7:$E$70,5)=0,S997+1,VLOOKUP(A998,Journal!$A$7:$E$70,5))</f>
        <v>46648</v>
      </c>
      <c r="T998" s="125">
        <f>IF(H$2=VLOOKUP(A998,Journal!$A$7:$F$70,6),VLOOKUP(A998,Journal!$A$7:M$70,9),0)</f>
        <v>0</v>
      </c>
      <c r="U998" s="125">
        <f>IF(H$2=VLOOKUP(A998,Journal!$A$7:$G$70,7),VLOOKUP(A998,Journal!$A$7:M$70,9),0)</f>
        <v>0</v>
      </c>
      <c r="V998" s="125">
        <f t="shared" si="114"/>
        <v>40</v>
      </c>
      <c r="X998">
        <f t="shared" si="118"/>
        <v>0</v>
      </c>
      <c r="Y998" s="143">
        <f t="shared" si="112"/>
        <v>-974.00000000004138</v>
      </c>
    </row>
    <row r="999" spans="1:25" x14ac:dyDescent="0.25">
      <c r="A999">
        <f t="shared" si="115"/>
        <v>992</v>
      </c>
      <c r="B999" s="88" t="str">
        <f>IF(OR(B998="Total",B998=""),"",IF(VLOOKUP(A999,Journal!$B$7:$E$84,4)=0,"Total",VLOOKUP(A999,Journal!$B$7:$D$84,3)))</f>
        <v/>
      </c>
      <c r="C999" s="86" t="str">
        <f>IF(B999="","",VLOOKUP(A999,Journal!$B$7:$E$84,4))</f>
        <v/>
      </c>
      <c r="D999" s="114" t="str">
        <f>IF(B999="","",VLOOKUP(A999,Journal!$B$7:$J$84,9))</f>
        <v/>
      </c>
      <c r="E999" s="116"/>
      <c r="F999" s="116"/>
      <c r="G999" s="115"/>
      <c r="H999" s="84" t="str">
        <f>IF(B999="","",VLOOKUP(A999,Journal!$B$7:$L$84,11))</f>
        <v/>
      </c>
      <c r="I999" s="84" t="str">
        <f>IF(B999="","",VLOOKUP(A999,Journal!$B$7:$M$84,12))</f>
        <v/>
      </c>
      <c r="J999" s="105">
        <f>IF(B999="Total",SUM(J$8:J998)+0.0001,IF(OR(B999="",I$2=I999),0,VLOOKUP(A999,Journal!$B$7:M$84,8)))</f>
        <v>0</v>
      </c>
      <c r="K999" s="102">
        <f>IF(B999="Total",SUM(K$8:K998)+0.0001,IF(OR(B999="",J999&lt;&gt;0),0,VLOOKUP(A999,Journal!$B$7:M$84,8)))</f>
        <v>0</v>
      </c>
      <c r="L999" s="87">
        <f t="shared" si="116"/>
        <v>0</v>
      </c>
      <c r="P999">
        <f t="shared" si="117"/>
        <v>1.0000000000000001E-5</v>
      </c>
      <c r="R999" s="15">
        <f t="shared" si="113"/>
        <v>992</v>
      </c>
      <c r="S999" s="126">
        <f>IF(VLOOKUP(A999,Journal!$A$7:$E$70,5)=0,S998+1,VLOOKUP(A999,Journal!$A$7:$E$70,5))</f>
        <v>46649</v>
      </c>
      <c r="T999" s="125">
        <f>IF(H$2=VLOOKUP(A999,Journal!$A$7:$F$70,6),VLOOKUP(A999,Journal!$A$7:M$70,9),0)</f>
        <v>0</v>
      </c>
      <c r="U999" s="125">
        <f>IF(H$2=VLOOKUP(A999,Journal!$A$7:$G$70,7),VLOOKUP(A999,Journal!$A$7:M$70,9),0)</f>
        <v>0</v>
      </c>
      <c r="V999" s="125">
        <f t="shared" si="114"/>
        <v>40</v>
      </c>
      <c r="X999">
        <f t="shared" si="118"/>
        <v>0</v>
      </c>
      <c r="Y999" s="143">
        <f t="shared" si="112"/>
        <v>-973.97368421056774</v>
      </c>
    </row>
    <row r="1000" spans="1:25" x14ac:dyDescent="0.25">
      <c r="A1000">
        <f t="shared" si="115"/>
        <v>993</v>
      </c>
      <c r="B1000" s="88" t="str">
        <f>IF(OR(B999="Total",B999=""),"",IF(VLOOKUP(A1000,Journal!$B$7:$E$84,4)=0,"Total",VLOOKUP(A1000,Journal!$B$7:$D$84,3)))</f>
        <v/>
      </c>
      <c r="C1000" s="86" t="str">
        <f>IF(B1000="","",VLOOKUP(A1000,Journal!$B$7:$E$84,4))</f>
        <v/>
      </c>
      <c r="D1000" s="114" t="str">
        <f>IF(B1000="","",VLOOKUP(A1000,Journal!$B$7:$J$84,9))</f>
        <v/>
      </c>
      <c r="E1000" s="116"/>
      <c r="F1000" s="116"/>
      <c r="G1000" s="115"/>
      <c r="H1000" s="84" t="str">
        <f>IF(B1000="","",VLOOKUP(A1000,Journal!$B$7:$L$84,11))</f>
        <v/>
      </c>
      <c r="I1000" s="84" t="str">
        <f>IF(B1000="","",VLOOKUP(A1000,Journal!$B$7:$M$84,12))</f>
        <v/>
      </c>
      <c r="J1000" s="105">
        <f>IF(B1000="Total",SUM(J$8:J999)+0.0001,IF(OR(B1000="",I$2=I1000),0,VLOOKUP(A1000,Journal!$B$7:M$84,8)))</f>
        <v>0</v>
      </c>
      <c r="K1000" s="102">
        <f>IF(B1000="Total",SUM(K$8:K999)+0.0001,IF(OR(B1000="",J1000&lt;&gt;0),0,VLOOKUP(A1000,Journal!$B$7:M$84,8)))</f>
        <v>0</v>
      </c>
      <c r="L1000" s="87">
        <f t="shared" si="116"/>
        <v>0</v>
      </c>
      <c r="P1000">
        <f t="shared" si="117"/>
        <v>1.0000000000000001E-5</v>
      </c>
      <c r="R1000" s="15">
        <f t="shared" si="113"/>
        <v>993</v>
      </c>
      <c r="S1000" s="126">
        <f>IF(VLOOKUP(A1000,Journal!$A$7:$E$70,5)=0,S999+1,VLOOKUP(A1000,Journal!$A$7:$E$70,5))</f>
        <v>46650</v>
      </c>
      <c r="T1000" s="125">
        <f>IF(H$2=VLOOKUP(A1000,Journal!$A$7:$F$70,6),VLOOKUP(A1000,Journal!$A$7:M$70,9),0)</f>
        <v>0</v>
      </c>
      <c r="U1000" s="125">
        <f>IF(H$2=VLOOKUP(A1000,Journal!$A$7:$G$70,7),VLOOKUP(A1000,Journal!$A$7:M$70,9),0)</f>
        <v>0</v>
      </c>
      <c r="V1000" s="125">
        <f t="shared" si="114"/>
        <v>40</v>
      </c>
      <c r="X1000">
        <f t="shared" si="118"/>
        <v>0</v>
      </c>
      <c r="Y1000" s="143">
        <f t="shared" si="112"/>
        <v>-973.9473684210941</v>
      </c>
    </row>
    <row r="1001" spans="1:25" x14ac:dyDescent="0.25">
      <c r="A1001">
        <f t="shared" si="115"/>
        <v>994</v>
      </c>
      <c r="B1001" s="88" t="str">
        <f>IF(OR(B1000="Total",B1000=""),"",IF(VLOOKUP(A1001,Journal!$B$7:$E$84,4)=0,"Total",VLOOKUP(A1001,Journal!$B$7:$D$84,3)))</f>
        <v/>
      </c>
      <c r="C1001" s="86" t="str">
        <f>IF(B1001="","",VLOOKUP(A1001,Journal!$B$7:$E$84,4))</f>
        <v/>
      </c>
      <c r="D1001" s="114" t="str">
        <f>IF(B1001="","",VLOOKUP(A1001,Journal!$B$7:$J$84,9))</f>
        <v/>
      </c>
      <c r="E1001" s="116"/>
      <c r="F1001" s="116"/>
      <c r="G1001" s="115"/>
      <c r="H1001" s="84" t="str">
        <f>IF(B1001="","",VLOOKUP(A1001,Journal!$B$7:$L$84,11))</f>
        <v/>
      </c>
      <c r="I1001" s="84" t="str">
        <f>IF(B1001="","",VLOOKUP(A1001,Journal!$B$7:$M$84,12))</f>
        <v/>
      </c>
      <c r="J1001" s="105">
        <f>IF(B1001="Total",SUM(J$8:J1000)+0.0001,IF(OR(B1001="",I$2=I1001),0,VLOOKUP(A1001,Journal!$B$7:M$84,8)))</f>
        <v>0</v>
      </c>
      <c r="K1001" s="102">
        <f>IF(B1001="Total",SUM(K$8:K1000)+0.0001,IF(OR(B1001="",J1001&lt;&gt;0),0,VLOOKUP(A1001,Journal!$B$7:M$84,8)))</f>
        <v>0</v>
      </c>
      <c r="L1001" s="87">
        <f t="shared" si="116"/>
        <v>0</v>
      </c>
      <c r="P1001">
        <f t="shared" si="117"/>
        <v>1.0000000000000001E-5</v>
      </c>
      <c r="R1001" s="15">
        <f t="shared" si="113"/>
        <v>994</v>
      </c>
      <c r="S1001" s="126">
        <f>IF(VLOOKUP(A1001,Journal!$A$7:$E$70,5)=0,S1000+1,VLOOKUP(A1001,Journal!$A$7:$E$70,5))</f>
        <v>46651</v>
      </c>
      <c r="T1001" s="125">
        <f>IF(H$2=VLOOKUP(A1001,Journal!$A$7:$F$70,6),VLOOKUP(A1001,Journal!$A$7:M$70,9),0)</f>
        <v>0</v>
      </c>
      <c r="U1001" s="125">
        <f>IF(H$2=VLOOKUP(A1001,Journal!$A$7:$G$70,7),VLOOKUP(A1001,Journal!$A$7:M$70,9),0)</f>
        <v>0</v>
      </c>
      <c r="V1001" s="125">
        <f t="shared" si="114"/>
        <v>40</v>
      </c>
      <c r="X1001">
        <f t="shared" si="118"/>
        <v>0</v>
      </c>
      <c r="Y1001" s="143">
        <f t="shared" si="112"/>
        <v>-973.92105263162046</v>
      </c>
    </row>
    <row r="1002" spans="1:25" x14ac:dyDescent="0.25">
      <c r="A1002">
        <f t="shared" si="115"/>
        <v>995</v>
      </c>
      <c r="B1002" s="88" t="str">
        <f>IF(OR(B1001="Total",B1001=""),"",IF(VLOOKUP(A1002,Journal!$B$7:$E$84,4)=0,"Total",VLOOKUP(A1002,Journal!$B$7:$D$84,3)))</f>
        <v/>
      </c>
      <c r="C1002" s="86" t="str">
        <f>IF(B1002="","",VLOOKUP(A1002,Journal!$B$7:$E$84,4))</f>
        <v/>
      </c>
      <c r="D1002" s="114" t="str">
        <f>IF(B1002="","",VLOOKUP(A1002,Journal!$B$7:$J$84,9))</f>
        <v/>
      </c>
      <c r="E1002" s="116"/>
      <c r="F1002" s="116"/>
      <c r="G1002" s="115"/>
      <c r="H1002" s="84" t="str">
        <f>IF(B1002="","",VLOOKUP(A1002,Journal!$B$7:$L$84,11))</f>
        <v/>
      </c>
      <c r="I1002" s="84" t="str">
        <f>IF(B1002="","",VLOOKUP(A1002,Journal!$B$7:$M$84,12))</f>
        <v/>
      </c>
      <c r="J1002" s="105">
        <f>IF(B1002="Total",SUM(J$8:J1001)+0.0001,IF(OR(B1002="",I$2=I1002),0,VLOOKUP(A1002,Journal!$B$7:M$84,8)))</f>
        <v>0</v>
      </c>
      <c r="K1002" s="102">
        <f>IF(B1002="Total",SUM(K$8:K1001)+0.0001,IF(OR(B1002="",J1002&lt;&gt;0),0,VLOOKUP(A1002,Journal!$B$7:M$84,8)))</f>
        <v>0</v>
      </c>
      <c r="L1002" s="87">
        <f t="shared" si="116"/>
        <v>0</v>
      </c>
      <c r="P1002">
        <f t="shared" si="117"/>
        <v>1.0000000000000001E-5</v>
      </c>
      <c r="R1002" s="15">
        <f t="shared" ref="R1002:R1033" si="119">R1001+1</f>
        <v>995</v>
      </c>
      <c r="S1002" s="126">
        <f>IF(VLOOKUP(A1002,Journal!$A$7:$E$70,5)=0,S1001+1,VLOOKUP(A1002,Journal!$A$7:$E$70,5))</f>
        <v>46652</v>
      </c>
      <c r="T1002" s="125">
        <f>IF(H$2=VLOOKUP(A1002,Journal!$A$7:$F$70,6),VLOOKUP(A1002,Journal!$A$7:M$70,9),0)</f>
        <v>0</v>
      </c>
      <c r="U1002" s="125">
        <f>IF(H$2=VLOOKUP(A1002,Journal!$A$7:$G$70,7),VLOOKUP(A1002,Journal!$A$7:M$70,9),0)</f>
        <v>0</v>
      </c>
      <c r="V1002" s="125">
        <f t="shared" si="114"/>
        <v>40</v>
      </c>
      <c r="X1002">
        <f t="shared" si="118"/>
        <v>0</v>
      </c>
      <c r="Y1002" s="143">
        <f t="shared" si="112"/>
        <v>-973.89473684214681</v>
      </c>
    </row>
    <row r="1003" spans="1:25" x14ac:dyDescent="0.25">
      <c r="A1003">
        <f t="shared" ref="A1003:A1034" si="120">A1002+1</f>
        <v>996</v>
      </c>
      <c r="B1003" s="88" t="str">
        <f>IF(OR(B1002="Total",B1002=""),"",IF(VLOOKUP(A1003,Journal!$B$7:$E$84,4)=0,"Total",VLOOKUP(A1003,Journal!$B$7:$D$84,3)))</f>
        <v/>
      </c>
      <c r="C1003" s="86" t="str">
        <f>IF(B1003="","",VLOOKUP(A1003,Journal!$B$7:$E$84,4))</f>
        <v/>
      </c>
      <c r="D1003" s="114" t="str">
        <f>IF(B1003="","",VLOOKUP(A1003,Journal!$B$7:$J$84,9))</f>
        <v/>
      </c>
      <c r="E1003" s="116"/>
      <c r="F1003" s="116"/>
      <c r="G1003" s="115"/>
      <c r="H1003" s="84" t="str">
        <f>IF(B1003="","",VLOOKUP(A1003,Journal!$B$7:$L$84,11))</f>
        <v/>
      </c>
      <c r="I1003" s="84" t="str">
        <f>IF(B1003="","",VLOOKUP(A1003,Journal!$B$7:$M$84,12))</f>
        <v/>
      </c>
      <c r="J1003" s="105">
        <f>IF(B1003="Total",SUM(J$8:J1002)+0.0001,IF(OR(B1003="",I$2=I1003),0,VLOOKUP(A1003,Journal!$B$7:M$84,8)))</f>
        <v>0</v>
      </c>
      <c r="K1003" s="102">
        <f>IF(B1003="Total",SUM(K$8:K1002)+0.0001,IF(OR(B1003="",J1003&lt;&gt;0),0,VLOOKUP(A1003,Journal!$B$7:M$84,8)))</f>
        <v>0</v>
      </c>
      <c r="L1003" s="87">
        <f t="shared" si="116"/>
        <v>0</v>
      </c>
      <c r="P1003">
        <f t="shared" si="117"/>
        <v>1.0000000000000001E-5</v>
      </c>
      <c r="R1003" s="15">
        <f t="shared" si="119"/>
        <v>996</v>
      </c>
      <c r="S1003" s="126">
        <f>IF(VLOOKUP(A1003,Journal!$A$7:$E$70,5)=0,S1002+1,VLOOKUP(A1003,Journal!$A$7:$E$70,5))</f>
        <v>46653</v>
      </c>
      <c r="T1003" s="125">
        <f>IF(H$2=VLOOKUP(A1003,Journal!$A$7:$F$70,6),VLOOKUP(A1003,Journal!$A$7:M$70,9),0)</f>
        <v>0</v>
      </c>
      <c r="U1003" s="125">
        <f>IF(H$2=VLOOKUP(A1003,Journal!$A$7:$G$70,7),VLOOKUP(A1003,Journal!$A$7:M$70,9),0)</f>
        <v>0</v>
      </c>
      <c r="V1003" s="125">
        <f t="shared" si="114"/>
        <v>40</v>
      </c>
      <c r="X1003">
        <f t="shared" si="118"/>
        <v>0</v>
      </c>
      <c r="Y1003" s="143">
        <f t="shared" si="112"/>
        <v>-973.86842105267317</v>
      </c>
    </row>
    <row r="1004" spans="1:25" x14ac:dyDescent="0.25">
      <c r="A1004">
        <f t="shared" si="120"/>
        <v>997</v>
      </c>
      <c r="B1004" s="88" t="str">
        <f>IF(OR(B1003="Total",B1003=""),"",IF(VLOOKUP(A1004,Journal!$B$7:$E$84,4)=0,"Total",VLOOKUP(A1004,Journal!$B$7:$D$84,3)))</f>
        <v/>
      </c>
      <c r="C1004" s="86" t="str">
        <f>IF(B1004="","",VLOOKUP(A1004,Journal!$B$7:$E$84,4))</f>
        <v/>
      </c>
      <c r="D1004" s="114" t="str">
        <f>IF(B1004="","",VLOOKUP(A1004,Journal!$B$7:$J$84,9))</f>
        <v/>
      </c>
      <c r="E1004" s="116"/>
      <c r="F1004" s="116"/>
      <c r="G1004" s="115"/>
      <c r="H1004" s="84" t="str">
        <f>IF(B1004="","",VLOOKUP(A1004,Journal!$B$7:$L$84,11))</f>
        <v/>
      </c>
      <c r="I1004" s="84" t="str">
        <f>IF(B1004="","",VLOOKUP(A1004,Journal!$B$7:$M$84,12))</f>
        <v/>
      </c>
      <c r="J1004" s="105">
        <f>IF(B1004="Total",SUM(J$8:J1003)+0.0001,IF(OR(B1004="",I$2=I1004),0,VLOOKUP(A1004,Journal!$B$7:M$84,8)))</f>
        <v>0</v>
      </c>
      <c r="K1004" s="102">
        <f>IF(B1004="Total",SUM(K$8:K1003)+0.0001,IF(OR(B1004="",J1004&lt;&gt;0),0,VLOOKUP(A1004,Journal!$B$7:M$84,8)))</f>
        <v>0</v>
      </c>
      <c r="L1004" s="87">
        <f t="shared" si="116"/>
        <v>0</v>
      </c>
      <c r="P1004">
        <f t="shared" si="117"/>
        <v>1.0000000000000001E-5</v>
      </c>
      <c r="R1004" s="15">
        <f t="shared" si="119"/>
        <v>997</v>
      </c>
      <c r="S1004" s="126">
        <f>IF(VLOOKUP(A1004,Journal!$A$7:$E$70,5)=0,S1003+1,VLOOKUP(A1004,Journal!$A$7:$E$70,5))</f>
        <v>46654</v>
      </c>
      <c r="T1004" s="125">
        <f>IF(H$2=VLOOKUP(A1004,Journal!$A$7:$F$70,6),VLOOKUP(A1004,Journal!$A$7:M$70,9),0)</f>
        <v>0</v>
      </c>
      <c r="U1004" s="125">
        <f>IF(H$2=VLOOKUP(A1004,Journal!$A$7:$G$70,7),VLOOKUP(A1004,Journal!$A$7:M$70,9),0)</f>
        <v>0</v>
      </c>
      <c r="V1004" s="125">
        <f t="shared" si="114"/>
        <v>40</v>
      </c>
      <c r="X1004">
        <f t="shared" si="118"/>
        <v>0</v>
      </c>
      <c r="Y1004" s="143">
        <f t="shared" si="112"/>
        <v>-973.84210526319953</v>
      </c>
    </row>
    <row r="1005" spans="1:25" x14ac:dyDescent="0.25">
      <c r="A1005">
        <f t="shared" si="120"/>
        <v>998</v>
      </c>
      <c r="B1005" s="88" t="str">
        <f>IF(OR(B1004="Total",B1004=""),"",IF(VLOOKUP(A1005,Journal!$B$7:$E$84,4)=0,"Total",VLOOKUP(A1005,Journal!$B$7:$D$84,3)))</f>
        <v/>
      </c>
      <c r="C1005" s="86" t="str">
        <f>IF(B1005="","",VLOOKUP(A1005,Journal!$B$7:$E$84,4))</f>
        <v/>
      </c>
      <c r="D1005" s="114" t="str">
        <f>IF(B1005="","",VLOOKUP(A1005,Journal!$B$7:$J$84,9))</f>
        <v/>
      </c>
      <c r="E1005" s="116"/>
      <c r="F1005" s="116"/>
      <c r="G1005" s="115"/>
      <c r="H1005" s="84" t="str">
        <f>IF(B1005="","",VLOOKUP(A1005,Journal!$B$7:$L$84,11))</f>
        <v/>
      </c>
      <c r="I1005" s="84" t="str">
        <f>IF(B1005="","",VLOOKUP(A1005,Journal!$B$7:$M$84,12))</f>
        <v/>
      </c>
      <c r="J1005" s="105">
        <f>IF(B1005="Total",SUM(J$8:J1004)+0.0001,IF(OR(B1005="",I$2=I1005),0,VLOOKUP(A1005,Journal!$B$7:M$84,8)))</f>
        <v>0</v>
      </c>
      <c r="K1005" s="102">
        <f>IF(B1005="Total",SUM(K$8:K1004)+0.0001,IF(OR(B1005="",J1005&lt;&gt;0),0,VLOOKUP(A1005,Journal!$B$7:M$84,8)))</f>
        <v>0</v>
      </c>
      <c r="L1005" s="87">
        <f t="shared" si="116"/>
        <v>0</v>
      </c>
      <c r="P1005">
        <f t="shared" si="117"/>
        <v>1.0000000000000001E-5</v>
      </c>
      <c r="R1005" s="15">
        <f t="shared" si="119"/>
        <v>998</v>
      </c>
      <c r="S1005" s="126">
        <f>IF(VLOOKUP(A1005,Journal!$A$7:$E$70,5)=0,S1004+1,VLOOKUP(A1005,Journal!$A$7:$E$70,5))</f>
        <v>46655</v>
      </c>
      <c r="T1005" s="125">
        <f>IF(H$2=VLOOKUP(A1005,Journal!$A$7:$F$70,6),VLOOKUP(A1005,Journal!$A$7:M$70,9),0)</f>
        <v>0</v>
      </c>
      <c r="U1005" s="125">
        <f>IF(H$2=VLOOKUP(A1005,Journal!$A$7:$G$70,7),VLOOKUP(A1005,Journal!$A$7:M$70,9),0)</f>
        <v>0</v>
      </c>
      <c r="V1005" s="125">
        <f t="shared" si="114"/>
        <v>40</v>
      </c>
      <c r="X1005">
        <f t="shared" si="118"/>
        <v>0</v>
      </c>
      <c r="Y1005" s="143">
        <f t="shared" si="112"/>
        <v>-973.81578947372589</v>
      </c>
    </row>
    <row r="1006" spans="1:25" x14ac:dyDescent="0.25">
      <c r="A1006">
        <f t="shared" si="120"/>
        <v>999</v>
      </c>
      <c r="B1006" s="88" t="str">
        <f>IF(OR(B1005="Total",B1005=""),"",IF(VLOOKUP(A1006,Journal!$B$7:$E$84,4)=0,"Total",VLOOKUP(A1006,Journal!$B$7:$D$84,3)))</f>
        <v/>
      </c>
      <c r="C1006" s="86" t="str">
        <f>IF(B1006="","",VLOOKUP(A1006,Journal!$B$7:$E$84,4))</f>
        <v/>
      </c>
      <c r="D1006" s="114" t="str">
        <f>IF(B1006="","",VLOOKUP(A1006,Journal!$B$7:$J$84,9))</f>
        <v/>
      </c>
      <c r="E1006" s="116"/>
      <c r="F1006" s="116"/>
      <c r="G1006" s="115"/>
      <c r="H1006" s="84" t="str">
        <f>IF(B1006="","",VLOOKUP(A1006,Journal!$B$7:$L$84,11))</f>
        <v/>
      </c>
      <c r="I1006" s="84" t="str">
        <f>IF(B1006="","",VLOOKUP(A1006,Journal!$B$7:$M$84,12))</f>
        <v/>
      </c>
      <c r="J1006" s="105">
        <f>IF(B1006="Total",SUM(J$8:J1005)+0.0001,IF(OR(B1006="",I$2=I1006),0,VLOOKUP(A1006,Journal!$B$7:M$84,8)))</f>
        <v>0</v>
      </c>
      <c r="K1006" s="102">
        <f>IF(B1006="Total",SUM(K$8:K1005)+0.0001,IF(OR(B1006="",J1006&lt;&gt;0),0,VLOOKUP(A1006,Journal!$B$7:M$84,8)))</f>
        <v>0</v>
      </c>
      <c r="L1006" s="87">
        <f t="shared" si="116"/>
        <v>0</v>
      </c>
      <c r="P1006">
        <f t="shared" si="117"/>
        <v>1.0000000000000001E-5</v>
      </c>
      <c r="R1006" s="15">
        <f t="shared" si="119"/>
        <v>999</v>
      </c>
      <c r="S1006" s="126">
        <f>IF(VLOOKUP(A1006,Journal!$A$7:$E$70,5)=0,S1005+1,VLOOKUP(A1006,Journal!$A$7:$E$70,5))</f>
        <v>46656</v>
      </c>
      <c r="T1006" s="125">
        <f>IF(H$2=VLOOKUP(A1006,Journal!$A$7:$F$70,6),VLOOKUP(A1006,Journal!$A$7:M$70,9),0)</f>
        <v>0</v>
      </c>
      <c r="U1006" s="125">
        <f>IF(H$2=VLOOKUP(A1006,Journal!$A$7:$G$70,7),VLOOKUP(A1006,Journal!$A$7:M$70,9),0)</f>
        <v>0</v>
      </c>
      <c r="V1006" s="125">
        <f t="shared" si="114"/>
        <v>40</v>
      </c>
      <c r="X1006">
        <f t="shared" si="118"/>
        <v>0</v>
      </c>
      <c r="Y1006" s="143">
        <f t="shared" si="112"/>
        <v>-973.78947368425224</v>
      </c>
    </row>
    <row r="1007" spans="1:25" x14ac:dyDescent="0.25">
      <c r="A1007">
        <f t="shared" si="120"/>
        <v>1000</v>
      </c>
      <c r="B1007" s="88" t="str">
        <f>IF(OR(B1006="Total",B1006=""),"",IF(VLOOKUP(A1007,Journal!$B$7:$E$84,4)=0,"Total",VLOOKUP(A1007,Journal!$B$7:$D$84,3)))</f>
        <v/>
      </c>
      <c r="C1007" s="86" t="str">
        <f>IF(B1007="","",VLOOKUP(A1007,Journal!$B$7:$E$84,4))</f>
        <v/>
      </c>
      <c r="D1007" s="114" t="str">
        <f>IF(B1007="","",VLOOKUP(A1007,Journal!$B$7:$J$84,9))</f>
        <v/>
      </c>
      <c r="E1007" s="116"/>
      <c r="F1007" s="116"/>
      <c r="G1007" s="115"/>
      <c r="H1007" s="84" t="str">
        <f>IF(B1007="","",VLOOKUP(A1007,Journal!$B$7:$L$84,11))</f>
        <v/>
      </c>
      <c r="I1007" s="84" t="str">
        <f>IF(B1007="","",VLOOKUP(A1007,Journal!$B$7:$M$84,12))</f>
        <v/>
      </c>
      <c r="J1007" s="105">
        <f>IF(B1007="Total",SUM(J$8:J1006)+0.0001,IF(OR(B1007="",I$2=I1007),0,VLOOKUP(A1007,Journal!$B$7:M$84,8)))</f>
        <v>0</v>
      </c>
      <c r="K1007" s="102">
        <f>IF(B1007="Total",SUM(K$8:K1006)+0.0001,IF(OR(B1007="",J1007&lt;&gt;0),0,VLOOKUP(A1007,Journal!$B$7:M$84,8)))</f>
        <v>0</v>
      </c>
      <c r="L1007" s="87">
        <f t="shared" si="116"/>
        <v>0</v>
      </c>
      <c r="P1007">
        <f t="shared" si="117"/>
        <v>1.0000000000000001E-5</v>
      </c>
      <c r="R1007" s="15">
        <f t="shared" si="119"/>
        <v>1000</v>
      </c>
      <c r="S1007" s="126">
        <f>IF(VLOOKUP(A1007,Journal!$A$7:$E$70,5)=0,S1006+1,VLOOKUP(A1007,Journal!$A$7:$E$70,5))</f>
        <v>46657</v>
      </c>
      <c r="T1007" s="125">
        <f>IF(H$2=VLOOKUP(A1007,Journal!$A$7:$F$70,6),VLOOKUP(A1007,Journal!$A$7:M$70,9),0)</f>
        <v>0</v>
      </c>
      <c r="U1007" s="125">
        <f>IF(H$2=VLOOKUP(A1007,Journal!$A$7:$G$70,7),VLOOKUP(A1007,Journal!$A$7:M$70,9),0)</f>
        <v>0</v>
      </c>
      <c r="V1007" s="125">
        <f t="shared" si="114"/>
        <v>40</v>
      </c>
      <c r="X1007">
        <f t="shared" si="118"/>
        <v>0</v>
      </c>
      <c r="Y1007" s="143">
        <f t="shared" si="112"/>
        <v>-973.7631578947786</v>
      </c>
    </row>
    <row r="1008" spans="1:25" x14ac:dyDescent="0.25">
      <c r="A1008">
        <f t="shared" si="120"/>
        <v>1001</v>
      </c>
      <c r="B1008" s="88" t="str">
        <f>IF(OR(B1007="Total",B1007=""),"",IF(VLOOKUP(A1008,Journal!$B$7:$E$84,4)=0,"Total",VLOOKUP(A1008,Journal!$B$7:$D$84,3)))</f>
        <v/>
      </c>
      <c r="C1008" s="86" t="str">
        <f>IF(B1008="","",VLOOKUP(A1008,Journal!$B$7:$E$84,4))</f>
        <v/>
      </c>
      <c r="D1008" s="114" t="str">
        <f>IF(B1008="","",VLOOKUP(A1008,Journal!$B$7:$J$84,9))</f>
        <v/>
      </c>
      <c r="E1008" s="116"/>
      <c r="F1008" s="116"/>
      <c r="G1008" s="115"/>
      <c r="H1008" s="84" t="str">
        <f>IF(B1008="","",VLOOKUP(A1008,Journal!$B$7:$L$84,11))</f>
        <v/>
      </c>
      <c r="I1008" s="84" t="str">
        <f>IF(B1008="","",VLOOKUP(A1008,Journal!$B$7:$M$84,12))</f>
        <v/>
      </c>
      <c r="J1008" s="105">
        <f>IF(B1008="Total",SUM(J$8:J1007)+0.0001,IF(OR(B1008="",I$2=I1008),0,VLOOKUP(A1008,Journal!$B$7:M$84,8)))</f>
        <v>0</v>
      </c>
      <c r="K1008" s="102">
        <f>IF(B1008="Total",SUM(K$8:K1007)+0.0001,IF(OR(B1008="",J1008&lt;&gt;0),0,VLOOKUP(A1008,Journal!$B$7:M$84,8)))</f>
        <v>0</v>
      </c>
      <c r="L1008" s="87">
        <f t="shared" si="116"/>
        <v>0</v>
      </c>
      <c r="P1008">
        <f t="shared" si="117"/>
        <v>1.0000000000000001E-5</v>
      </c>
      <c r="R1008" s="15">
        <f t="shared" si="119"/>
        <v>1001</v>
      </c>
      <c r="S1008" s="126">
        <f>IF(VLOOKUP(A1008,Journal!$A$7:$E$70,5)=0,S1007+1,VLOOKUP(A1008,Journal!$A$7:$E$70,5))</f>
        <v>46658</v>
      </c>
      <c r="T1008" s="125">
        <f>IF(H$2=VLOOKUP(A1008,Journal!$A$7:$F$70,6),VLOOKUP(A1008,Journal!$A$7:M$70,9),0)</f>
        <v>0</v>
      </c>
      <c r="U1008" s="125">
        <f>IF(H$2=VLOOKUP(A1008,Journal!$A$7:$G$70,7),VLOOKUP(A1008,Journal!$A$7:M$70,9),0)</f>
        <v>0</v>
      </c>
      <c r="V1008" s="125">
        <f t="shared" si="114"/>
        <v>40</v>
      </c>
      <c r="X1008">
        <f t="shared" si="118"/>
        <v>0</v>
      </c>
      <c r="Y1008" s="143">
        <f t="shared" si="112"/>
        <v>-973.73684210530496</v>
      </c>
    </row>
    <row r="1009" spans="1:25" x14ac:dyDescent="0.25">
      <c r="A1009">
        <f t="shared" si="120"/>
        <v>1002</v>
      </c>
      <c r="B1009" s="88" t="str">
        <f>IF(OR(B1008="Total",B1008=""),"",IF(VLOOKUP(A1009,Journal!$B$7:$E$84,4)=0,"Total",VLOOKUP(A1009,Journal!$B$7:$D$84,3)))</f>
        <v/>
      </c>
      <c r="C1009" s="86" t="str">
        <f>IF(B1009="","",VLOOKUP(A1009,Journal!$B$7:$E$84,4))</f>
        <v/>
      </c>
      <c r="D1009" s="114" t="str">
        <f>IF(B1009="","",VLOOKUP(A1009,Journal!$B$7:$J$84,9))</f>
        <v/>
      </c>
      <c r="E1009" s="116"/>
      <c r="F1009" s="116"/>
      <c r="G1009" s="115"/>
      <c r="H1009" s="84" t="str">
        <f>IF(B1009="","",VLOOKUP(A1009,Journal!$B$7:$L$84,11))</f>
        <v/>
      </c>
      <c r="I1009" s="84" t="str">
        <f>IF(B1009="","",VLOOKUP(A1009,Journal!$B$7:$M$84,12))</f>
        <v/>
      </c>
      <c r="J1009" s="105">
        <f>IF(B1009="Total",SUM(J$8:J1008)+0.0001,IF(OR(B1009="",I$2=I1009),0,VLOOKUP(A1009,Journal!$B$7:M$84,8)))</f>
        <v>0</v>
      </c>
      <c r="K1009" s="102">
        <f>IF(B1009="Total",SUM(K$8:K1008)+0.0001,IF(OR(B1009="",J1009&lt;&gt;0),0,VLOOKUP(A1009,Journal!$B$7:M$84,8)))</f>
        <v>0</v>
      </c>
      <c r="L1009" s="87">
        <f t="shared" si="116"/>
        <v>0</v>
      </c>
      <c r="P1009">
        <f t="shared" si="117"/>
        <v>1.0000000000000001E-5</v>
      </c>
      <c r="R1009" s="15">
        <f t="shared" si="119"/>
        <v>1002</v>
      </c>
      <c r="S1009" s="126">
        <f>IF(VLOOKUP(A1009,Journal!$A$7:$E$70,5)=0,S1008+1,VLOOKUP(A1009,Journal!$A$7:$E$70,5))</f>
        <v>46659</v>
      </c>
      <c r="T1009" s="125">
        <f>IF(H$2=VLOOKUP(A1009,Journal!$A$7:$F$70,6),VLOOKUP(A1009,Journal!$A$7:M$70,9),0)</f>
        <v>0</v>
      </c>
      <c r="U1009" s="125">
        <f>IF(H$2=VLOOKUP(A1009,Journal!$A$7:$G$70,7),VLOOKUP(A1009,Journal!$A$7:M$70,9),0)</f>
        <v>0</v>
      </c>
      <c r="V1009" s="125">
        <f t="shared" si="114"/>
        <v>40</v>
      </c>
      <c r="X1009">
        <f t="shared" si="118"/>
        <v>0</v>
      </c>
      <c r="Y1009" s="143">
        <f t="shared" si="112"/>
        <v>-973.71052631583132</v>
      </c>
    </row>
    <row r="1010" spans="1:25" x14ac:dyDescent="0.25">
      <c r="A1010">
        <f t="shared" si="120"/>
        <v>1003</v>
      </c>
      <c r="B1010" s="88" t="str">
        <f>IF(OR(B1009="Total",B1009=""),"",IF(VLOOKUP(A1010,Journal!$B$7:$E$84,4)=0,"Total",VLOOKUP(A1010,Journal!$B$7:$D$84,3)))</f>
        <v/>
      </c>
      <c r="C1010" s="86" t="str">
        <f>IF(B1010="","",VLOOKUP(A1010,Journal!$B$7:$E$84,4))</f>
        <v/>
      </c>
      <c r="D1010" s="114" t="str">
        <f>IF(B1010="","",VLOOKUP(A1010,Journal!$B$7:$J$84,9))</f>
        <v/>
      </c>
      <c r="E1010" s="116"/>
      <c r="F1010" s="116"/>
      <c r="G1010" s="115"/>
      <c r="H1010" s="84" t="str">
        <f>IF(B1010="","",VLOOKUP(A1010,Journal!$B$7:$L$84,11))</f>
        <v/>
      </c>
      <c r="I1010" s="84" t="str">
        <f>IF(B1010="","",VLOOKUP(A1010,Journal!$B$7:$M$84,12))</f>
        <v/>
      </c>
      <c r="J1010" s="105">
        <f>IF(B1010="Total",SUM(J$8:J1009)+0.0001,IF(OR(B1010="",I$2=I1010),0,VLOOKUP(A1010,Journal!$B$7:M$84,8)))</f>
        <v>0</v>
      </c>
      <c r="K1010" s="102">
        <f>IF(B1010="Total",SUM(K$8:K1009)+0.0001,IF(OR(B1010="",J1010&lt;&gt;0),0,VLOOKUP(A1010,Journal!$B$7:M$84,8)))</f>
        <v>0</v>
      </c>
      <c r="L1010" s="87">
        <f t="shared" si="116"/>
        <v>0</v>
      </c>
      <c r="P1010">
        <f t="shared" si="117"/>
        <v>1.0000000000000001E-5</v>
      </c>
      <c r="R1010" s="15">
        <f t="shared" si="119"/>
        <v>1003</v>
      </c>
      <c r="S1010" s="126">
        <f>IF(VLOOKUP(A1010,Journal!$A$7:$E$70,5)=0,S1009+1,VLOOKUP(A1010,Journal!$A$7:$E$70,5))</f>
        <v>46660</v>
      </c>
      <c r="T1010" s="125">
        <f>IF(H$2=VLOOKUP(A1010,Journal!$A$7:$F$70,6),VLOOKUP(A1010,Journal!$A$7:M$70,9),0)</f>
        <v>0</v>
      </c>
      <c r="U1010" s="125">
        <f>IF(H$2=VLOOKUP(A1010,Journal!$A$7:$G$70,7),VLOOKUP(A1010,Journal!$A$7:M$70,9),0)</f>
        <v>0</v>
      </c>
      <c r="V1010" s="125">
        <f t="shared" si="114"/>
        <v>40</v>
      </c>
      <c r="X1010">
        <f t="shared" si="118"/>
        <v>0</v>
      </c>
      <c r="Y1010" s="143">
        <f t="shared" si="112"/>
        <v>-973.68421052635767</v>
      </c>
    </row>
    <row r="1011" spans="1:25" x14ac:dyDescent="0.25">
      <c r="A1011">
        <f t="shared" si="120"/>
        <v>1004</v>
      </c>
      <c r="B1011" s="88" t="str">
        <f>IF(OR(B1010="Total",B1010=""),"",IF(VLOOKUP(A1011,Journal!$B$7:$E$84,4)=0,"Total",VLOOKUP(A1011,Journal!$B$7:$D$84,3)))</f>
        <v/>
      </c>
      <c r="C1011" s="86" t="str">
        <f>IF(B1011="","",VLOOKUP(A1011,Journal!$B$7:$E$84,4))</f>
        <v/>
      </c>
      <c r="D1011" s="114" t="str">
        <f>IF(B1011="","",VLOOKUP(A1011,Journal!$B$7:$J$84,9))</f>
        <v/>
      </c>
      <c r="E1011" s="116"/>
      <c r="F1011" s="116"/>
      <c r="G1011" s="115"/>
      <c r="H1011" s="84" t="str">
        <f>IF(B1011="","",VLOOKUP(A1011,Journal!$B$7:$L$84,11))</f>
        <v/>
      </c>
      <c r="I1011" s="84" t="str">
        <f>IF(B1011="","",VLOOKUP(A1011,Journal!$B$7:$M$84,12))</f>
        <v/>
      </c>
      <c r="J1011" s="105">
        <f>IF(B1011="Total",SUM(J$8:J1010)+0.0001,IF(OR(B1011="",I$2=I1011),0,VLOOKUP(A1011,Journal!$B$7:M$84,8)))</f>
        <v>0</v>
      </c>
      <c r="K1011" s="102">
        <f>IF(B1011="Total",SUM(K$8:K1010)+0.0001,IF(OR(B1011="",J1011&lt;&gt;0),0,VLOOKUP(A1011,Journal!$B$7:M$84,8)))</f>
        <v>0</v>
      </c>
      <c r="L1011" s="87">
        <f t="shared" si="116"/>
        <v>0</v>
      </c>
      <c r="P1011">
        <f t="shared" si="117"/>
        <v>1.0000000000000001E-5</v>
      </c>
      <c r="R1011" s="15">
        <f t="shared" si="119"/>
        <v>1004</v>
      </c>
      <c r="S1011" s="126">
        <f>IF(VLOOKUP(A1011,Journal!$A$7:$E$70,5)=0,S1010+1,VLOOKUP(A1011,Journal!$A$7:$E$70,5))</f>
        <v>46661</v>
      </c>
      <c r="T1011" s="125">
        <f>IF(H$2=VLOOKUP(A1011,Journal!$A$7:$F$70,6),VLOOKUP(A1011,Journal!$A$7:M$70,9),0)</f>
        <v>0</v>
      </c>
      <c r="U1011" s="125">
        <f>IF(H$2=VLOOKUP(A1011,Journal!$A$7:$G$70,7),VLOOKUP(A1011,Journal!$A$7:M$70,9),0)</f>
        <v>0</v>
      </c>
      <c r="V1011" s="125">
        <f t="shared" si="114"/>
        <v>40</v>
      </c>
      <c r="X1011">
        <f t="shared" si="118"/>
        <v>0</v>
      </c>
      <c r="Y1011" s="143">
        <f t="shared" si="112"/>
        <v>-973.65789473688403</v>
      </c>
    </row>
    <row r="1012" spans="1:25" x14ac:dyDescent="0.25">
      <c r="A1012">
        <f t="shared" si="120"/>
        <v>1005</v>
      </c>
      <c r="B1012" s="88" t="str">
        <f>IF(OR(B1011="Total",B1011=""),"",IF(VLOOKUP(A1012,Journal!$B$7:$E$84,4)=0,"Total",VLOOKUP(A1012,Journal!$B$7:$D$84,3)))</f>
        <v/>
      </c>
      <c r="C1012" s="86" t="str">
        <f>IF(B1012="","",VLOOKUP(A1012,Journal!$B$7:$E$84,4))</f>
        <v/>
      </c>
      <c r="D1012" s="114" t="str">
        <f>IF(B1012="","",VLOOKUP(A1012,Journal!$B$7:$J$84,9))</f>
        <v/>
      </c>
      <c r="E1012" s="116"/>
      <c r="F1012" s="116"/>
      <c r="G1012" s="115"/>
      <c r="H1012" s="84" t="str">
        <f>IF(B1012="","",VLOOKUP(A1012,Journal!$B$7:$L$84,11))</f>
        <v/>
      </c>
      <c r="I1012" s="84" t="str">
        <f>IF(B1012="","",VLOOKUP(A1012,Journal!$B$7:$M$84,12))</f>
        <v/>
      </c>
      <c r="J1012" s="105">
        <f>IF(B1012="Total",SUM(J$8:J1011)+0.0001,IF(OR(B1012="",I$2=I1012),0,VLOOKUP(A1012,Journal!$B$7:M$84,8)))</f>
        <v>0</v>
      </c>
      <c r="K1012" s="102">
        <f>IF(B1012="Total",SUM(K$8:K1011)+0.0001,IF(OR(B1012="",J1012&lt;&gt;0),0,VLOOKUP(A1012,Journal!$B$7:M$84,8)))</f>
        <v>0</v>
      </c>
      <c r="L1012" s="87">
        <f t="shared" si="116"/>
        <v>0</v>
      </c>
      <c r="P1012">
        <f t="shared" si="117"/>
        <v>1.0000000000000001E-5</v>
      </c>
      <c r="R1012" s="15">
        <f t="shared" si="119"/>
        <v>1005</v>
      </c>
      <c r="S1012" s="126">
        <f>IF(VLOOKUP(A1012,Journal!$A$7:$E$70,5)=0,S1011+1,VLOOKUP(A1012,Journal!$A$7:$E$70,5))</f>
        <v>46662</v>
      </c>
      <c r="T1012" s="125">
        <f>IF(H$2=VLOOKUP(A1012,Journal!$A$7:$F$70,6),VLOOKUP(A1012,Journal!$A$7:M$70,9),0)</f>
        <v>0</v>
      </c>
      <c r="U1012" s="125">
        <f>IF(H$2=VLOOKUP(A1012,Journal!$A$7:$G$70,7),VLOOKUP(A1012,Journal!$A$7:M$70,9),0)</f>
        <v>0</v>
      </c>
      <c r="V1012" s="125">
        <f t="shared" si="114"/>
        <v>40</v>
      </c>
      <c r="X1012">
        <f t="shared" si="118"/>
        <v>0</v>
      </c>
      <c r="Y1012" s="143">
        <f t="shared" si="112"/>
        <v>-973.63157894741039</v>
      </c>
    </row>
    <row r="1013" spans="1:25" x14ac:dyDescent="0.25">
      <c r="A1013">
        <f t="shared" si="120"/>
        <v>1006</v>
      </c>
      <c r="B1013" s="88" t="str">
        <f>IF(OR(B1012="Total",B1012=""),"",IF(VLOOKUP(A1013,Journal!$B$7:$E$84,4)=0,"Total",VLOOKUP(A1013,Journal!$B$7:$D$84,3)))</f>
        <v/>
      </c>
      <c r="C1013" s="86" t="str">
        <f>IF(B1013="","",VLOOKUP(A1013,Journal!$B$7:$E$84,4))</f>
        <v/>
      </c>
      <c r="D1013" s="114" t="str">
        <f>IF(B1013="","",VLOOKUP(A1013,Journal!$B$7:$J$84,9))</f>
        <v/>
      </c>
      <c r="E1013" s="116"/>
      <c r="F1013" s="116"/>
      <c r="G1013" s="115"/>
      <c r="H1013" s="84" t="str">
        <f>IF(B1013="","",VLOOKUP(A1013,Journal!$B$7:$L$84,11))</f>
        <v/>
      </c>
      <c r="I1013" s="84" t="str">
        <f>IF(B1013="","",VLOOKUP(A1013,Journal!$B$7:$M$84,12))</f>
        <v/>
      </c>
      <c r="J1013" s="105">
        <f>IF(B1013="Total",SUM(J$8:J1012)+0.0001,IF(OR(B1013="",I$2=I1013),0,VLOOKUP(A1013,Journal!$B$7:M$84,8)))</f>
        <v>0</v>
      </c>
      <c r="K1013" s="102">
        <f>IF(B1013="Total",SUM(K$8:K1012)+0.0001,IF(OR(B1013="",J1013&lt;&gt;0),0,VLOOKUP(A1013,Journal!$B$7:M$84,8)))</f>
        <v>0</v>
      </c>
      <c r="L1013" s="87">
        <f t="shared" si="116"/>
        <v>0</v>
      </c>
      <c r="P1013">
        <f t="shared" si="117"/>
        <v>1.0000000000000001E-5</v>
      </c>
      <c r="R1013" s="15">
        <f t="shared" si="119"/>
        <v>1006</v>
      </c>
      <c r="S1013" s="126">
        <f>IF(VLOOKUP(A1013,Journal!$A$7:$E$70,5)=0,S1012+1,VLOOKUP(A1013,Journal!$A$7:$E$70,5))</f>
        <v>46663</v>
      </c>
      <c r="T1013" s="125">
        <f>IF(H$2=VLOOKUP(A1013,Journal!$A$7:$F$70,6),VLOOKUP(A1013,Journal!$A$7:M$70,9),0)</f>
        <v>0</v>
      </c>
      <c r="U1013" s="125">
        <f>IF(H$2=VLOOKUP(A1013,Journal!$A$7:$G$70,7),VLOOKUP(A1013,Journal!$A$7:M$70,9),0)</f>
        <v>0</v>
      </c>
      <c r="V1013" s="125">
        <f t="shared" si="114"/>
        <v>40</v>
      </c>
      <c r="X1013">
        <f t="shared" si="118"/>
        <v>0</v>
      </c>
      <c r="Y1013" s="143">
        <f t="shared" si="112"/>
        <v>-973.60526315793675</v>
      </c>
    </row>
    <row r="1014" spans="1:25" x14ac:dyDescent="0.25">
      <c r="A1014">
        <f t="shared" si="120"/>
        <v>1007</v>
      </c>
      <c r="B1014" s="88" t="str">
        <f>IF(OR(B1013="Total",B1013=""),"",IF(VLOOKUP(A1014,Journal!$B$7:$E$84,4)=0,"Total",VLOOKUP(A1014,Journal!$B$7:$D$84,3)))</f>
        <v/>
      </c>
      <c r="C1014" s="86" t="str">
        <f>IF(B1014="","",VLOOKUP(A1014,Journal!$B$7:$E$84,4))</f>
        <v/>
      </c>
      <c r="D1014" s="114" t="str">
        <f>IF(B1014="","",VLOOKUP(A1014,Journal!$B$7:$J$84,9))</f>
        <v/>
      </c>
      <c r="E1014" s="116"/>
      <c r="F1014" s="116"/>
      <c r="G1014" s="115"/>
      <c r="H1014" s="84" t="str">
        <f>IF(B1014="","",VLOOKUP(A1014,Journal!$B$7:$L$84,11))</f>
        <v/>
      </c>
      <c r="I1014" s="84" t="str">
        <f>IF(B1014="","",VLOOKUP(A1014,Journal!$B$7:$M$84,12))</f>
        <v/>
      </c>
      <c r="J1014" s="105">
        <f>IF(B1014="Total",SUM(J$8:J1013)+0.0001,IF(OR(B1014="",I$2=I1014),0,VLOOKUP(A1014,Journal!$B$7:M$84,8)))</f>
        <v>0</v>
      </c>
      <c r="K1014" s="102">
        <f>IF(B1014="Total",SUM(K$8:K1013)+0.0001,IF(OR(B1014="",J1014&lt;&gt;0),0,VLOOKUP(A1014,Journal!$B$7:M$84,8)))</f>
        <v>0</v>
      </c>
      <c r="L1014" s="87">
        <f t="shared" si="116"/>
        <v>0</v>
      </c>
      <c r="P1014">
        <f t="shared" si="117"/>
        <v>1.0000000000000001E-5</v>
      </c>
      <c r="R1014" s="15">
        <f t="shared" si="119"/>
        <v>1007</v>
      </c>
      <c r="S1014" s="126">
        <f>IF(VLOOKUP(A1014,Journal!$A$7:$E$70,5)=0,S1013+1,VLOOKUP(A1014,Journal!$A$7:$E$70,5))</f>
        <v>46664</v>
      </c>
      <c r="T1014" s="125">
        <f>IF(H$2=VLOOKUP(A1014,Journal!$A$7:$F$70,6),VLOOKUP(A1014,Journal!$A$7:M$70,9),0)</f>
        <v>0</v>
      </c>
      <c r="U1014" s="125">
        <f>IF(H$2=VLOOKUP(A1014,Journal!$A$7:$G$70,7),VLOOKUP(A1014,Journal!$A$7:M$70,9),0)</f>
        <v>0</v>
      </c>
      <c r="V1014" s="125">
        <f t="shared" si="114"/>
        <v>40</v>
      </c>
      <c r="X1014">
        <f t="shared" si="118"/>
        <v>0</v>
      </c>
      <c r="Y1014" s="143">
        <f t="shared" si="112"/>
        <v>-973.5789473684631</v>
      </c>
    </row>
    <row r="1015" spans="1:25" x14ac:dyDescent="0.25">
      <c r="A1015">
        <f t="shared" si="120"/>
        <v>1008</v>
      </c>
      <c r="B1015" s="88" t="str">
        <f>IF(OR(B1014="Total",B1014=""),"",IF(VLOOKUP(A1015,Journal!$B$7:$E$84,4)=0,"Total",VLOOKUP(A1015,Journal!$B$7:$D$84,3)))</f>
        <v/>
      </c>
      <c r="C1015" s="86" t="str">
        <f>IF(B1015="","",VLOOKUP(A1015,Journal!$B$7:$E$84,4))</f>
        <v/>
      </c>
      <c r="D1015" s="114" t="str">
        <f>IF(B1015="","",VLOOKUP(A1015,Journal!$B$7:$J$84,9))</f>
        <v/>
      </c>
      <c r="E1015" s="116"/>
      <c r="F1015" s="116"/>
      <c r="G1015" s="115"/>
      <c r="H1015" s="84" t="str">
        <f>IF(B1015="","",VLOOKUP(A1015,Journal!$B$7:$L$84,11))</f>
        <v/>
      </c>
      <c r="I1015" s="84" t="str">
        <f>IF(B1015="","",VLOOKUP(A1015,Journal!$B$7:$M$84,12))</f>
        <v/>
      </c>
      <c r="J1015" s="105">
        <f>IF(B1015="Total",SUM(J$8:J1014)+0.0001,IF(OR(B1015="",I$2=I1015),0,VLOOKUP(A1015,Journal!$B$7:M$84,8)))</f>
        <v>0</v>
      </c>
      <c r="K1015" s="102">
        <f>IF(B1015="Total",SUM(K$8:K1014)+0.0001,IF(OR(B1015="",J1015&lt;&gt;0),0,VLOOKUP(A1015,Journal!$B$7:M$84,8)))</f>
        <v>0</v>
      </c>
      <c r="L1015" s="87">
        <f t="shared" si="116"/>
        <v>0</v>
      </c>
      <c r="P1015">
        <f t="shared" si="117"/>
        <v>1.0000000000000001E-5</v>
      </c>
      <c r="R1015" s="15">
        <f t="shared" si="119"/>
        <v>1008</v>
      </c>
      <c r="S1015" s="126">
        <f>IF(VLOOKUP(A1015,Journal!$A$7:$E$70,5)=0,S1014+1,VLOOKUP(A1015,Journal!$A$7:$E$70,5))</f>
        <v>46665</v>
      </c>
      <c r="T1015" s="125">
        <f>IF(H$2=VLOOKUP(A1015,Journal!$A$7:$F$70,6),VLOOKUP(A1015,Journal!$A$7:M$70,9),0)</f>
        <v>0</v>
      </c>
      <c r="U1015" s="125">
        <f>IF(H$2=VLOOKUP(A1015,Journal!$A$7:$G$70,7),VLOOKUP(A1015,Journal!$A$7:M$70,9),0)</f>
        <v>0</v>
      </c>
      <c r="V1015" s="125">
        <f t="shared" si="114"/>
        <v>40</v>
      </c>
      <c r="X1015">
        <f t="shared" si="118"/>
        <v>0</v>
      </c>
      <c r="Y1015" s="143">
        <f t="shared" si="112"/>
        <v>-973.55263157898946</v>
      </c>
    </row>
    <row r="1016" spans="1:25" x14ac:dyDescent="0.25">
      <c r="A1016">
        <f t="shared" si="120"/>
        <v>1009</v>
      </c>
      <c r="B1016" s="88" t="str">
        <f>IF(OR(B1015="Total",B1015=""),"",IF(VLOOKUP(A1016,Journal!$B$7:$E$84,4)=0,"Total",VLOOKUP(A1016,Journal!$B$7:$D$84,3)))</f>
        <v/>
      </c>
      <c r="C1016" s="86" t="str">
        <f>IF(B1016="","",VLOOKUP(A1016,Journal!$B$7:$E$84,4))</f>
        <v/>
      </c>
      <c r="D1016" s="114" t="str">
        <f>IF(B1016="","",VLOOKUP(A1016,Journal!$B$7:$J$84,9))</f>
        <v/>
      </c>
      <c r="E1016" s="116"/>
      <c r="F1016" s="116"/>
      <c r="G1016" s="115"/>
      <c r="H1016" s="84" t="str">
        <f>IF(B1016="","",VLOOKUP(A1016,Journal!$B$7:$L$84,11))</f>
        <v/>
      </c>
      <c r="I1016" s="84" t="str">
        <f>IF(B1016="","",VLOOKUP(A1016,Journal!$B$7:$M$84,12))</f>
        <v/>
      </c>
      <c r="J1016" s="105">
        <f>IF(B1016="Total",SUM(J$8:J1015)+0.0001,IF(OR(B1016="",I$2=I1016),0,VLOOKUP(A1016,Journal!$B$7:M$84,8)))</f>
        <v>0</v>
      </c>
      <c r="K1016" s="102">
        <f>IF(B1016="Total",SUM(K$8:K1015)+0.0001,IF(OR(B1016="",J1016&lt;&gt;0),0,VLOOKUP(A1016,Journal!$B$7:M$84,8)))</f>
        <v>0</v>
      </c>
      <c r="L1016" s="87">
        <f t="shared" si="116"/>
        <v>0</v>
      </c>
      <c r="P1016">
        <f t="shared" si="117"/>
        <v>1.0000000000000001E-5</v>
      </c>
      <c r="R1016" s="15">
        <f t="shared" si="119"/>
        <v>1009</v>
      </c>
      <c r="S1016" s="126">
        <f>IF(VLOOKUP(A1016,Journal!$A$7:$E$70,5)=0,S1015+1,VLOOKUP(A1016,Journal!$A$7:$E$70,5))</f>
        <v>46666</v>
      </c>
      <c r="T1016" s="125">
        <f>IF(H$2=VLOOKUP(A1016,Journal!$A$7:$F$70,6),VLOOKUP(A1016,Journal!$A$7:M$70,9),0)</f>
        <v>0</v>
      </c>
      <c r="U1016" s="125">
        <f>IF(H$2=VLOOKUP(A1016,Journal!$A$7:$G$70,7),VLOOKUP(A1016,Journal!$A$7:M$70,9),0)</f>
        <v>0</v>
      </c>
      <c r="V1016" s="125">
        <f t="shared" si="114"/>
        <v>40</v>
      </c>
      <c r="X1016">
        <f t="shared" si="118"/>
        <v>0</v>
      </c>
      <c r="Y1016" s="143">
        <f t="shared" si="112"/>
        <v>-973.52631578951582</v>
      </c>
    </row>
    <row r="1017" spans="1:25" x14ac:dyDescent="0.25">
      <c r="A1017">
        <f t="shared" si="120"/>
        <v>1010</v>
      </c>
      <c r="B1017" s="88" t="str">
        <f>IF(OR(B1016="Total",B1016=""),"",IF(VLOOKUP(A1017,Journal!$B$7:$E$84,4)=0,"Total",VLOOKUP(A1017,Journal!$B$7:$D$84,3)))</f>
        <v/>
      </c>
      <c r="C1017" s="86" t="str">
        <f>IF(B1017="","",VLOOKUP(A1017,Journal!$B$7:$E$84,4))</f>
        <v/>
      </c>
      <c r="D1017" s="114" t="str">
        <f>IF(B1017="","",VLOOKUP(A1017,Journal!$B$7:$J$84,9))</f>
        <v/>
      </c>
      <c r="E1017" s="116"/>
      <c r="F1017" s="116"/>
      <c r="G1017" s="115"/>
      <c r="H1017" s="84" t="str">
        <f>IF(B1017="","",VLOOKUP(A1017,Journal!$B$7:$L$84,11))</f>
        <v/>
      </c>
      <c r="I1017" s="84" t="str">
        <f>IF(B1017="","",VLOOKUP(A1017,Journal!$B$7:$M$84,12))</f>
        <v/>
      </c>
      <c r="J1017" s="105">
        <f>IF(B1017="Total",SUM(J$8:J1016)+0.0001,IF(OR(B1017="",I$2=I1017),0,VLOOKUP(A1017,Journal!$B$7:M$84,8)))</f>
        <v>0</v>
      </c>
      <c r="K1017" s="102">
        <f>IF(B1017="Total",SUM(K$8:K1016)+0.0001,IF(OR(B1017="",J1017&lt;&gt;0),0,VLOOKUP(A1017,Journal!$B$7:M$84,8)))</f>
        <v>0</v>
      </c>
      <c r="L1017" s="87">
        <f t="shared" si="116"/>
        <v>0</v>
      </c>
      <c r="P1017">
        <f t="shared" si="117"/>
        <v>1.0000000000000001E-5</v>
      </c>
      <c r="R1017" s="15">
        <f t="shared" si="119"/>
        <v>1010</v>
      </c>
      <c r="S1017" s="126">
        <f>IF(VLOOKUP(A1017,Journal!$A$7:$E$70,5)=0,S1016+1,VLOOKUP(A1017,Journal!$A$7:$E$70,5))</f>
        <v>46667</v>
      </c>
      <c r="T1017" s="125">
        <f>IF(H$2=VLOOKUP(A1017,Journal!$A$7:$F$70,6),VLOOKUP(A1017,Journal!$A$7:M$70,9),0)</f>
        <v>0</v>
      </c>
      <c r="U1017" s="125">
        <f>IF(H$2=VLOOKUP(A1017,Journal!$A$7:$G$70,7),VLOOKUP(A1017,Journal!$A$7:M$70,9),0)</f>
        <v>0</v>
      </c>
      <c r="V1017" s="125">
        <f t="shared" si="114"/>
        <v>40</v>
      </c>
      <c r="X1017">
        <f t="shared" si="118"/>
        <v>0</v>
      </c>
      <c r="Y1017" s="143">
        <f t="shared" si="112"/>
        <v>-973.50000000004218</v>
      </c>
    </row>
    <row r="1018" spans="1:25" x14ac:dyDescent="0.25">
      <c r="A1018">
        <f t="shared" si="120"/>
        <v>1011</v>
      </c>
      <c r="B1018" s="88" t="str">
        <f>IF(OR(B1017="Total",B1017=""),"",IF(VLOOKUP(A1018,Journal!$B$7:$E$84,4)=0,"Total",VLOOKUP(A1018,Journal!$B$7:$D$84,3)))</f>
        <v/>
      </c>
      <c r="C1018" s="86" t="str">
        <f>IF(B1018="","",VLOOKUP(A1018,Journal!$B$7:$E$84,4))</f>
        <v/>
      </c>
      <c r="D1018" s="114" t="str">
        <f>IF(B1018="","",VLOOKUP(A1018,Journal!$B$7:$J$84,9))</f>
        <v/>
      </c>
      <c r="E1018" s="116"/>
      <c r="F1018" s="116"/>
      <c r="G1018" s="115"/>
      <c r="H1018" s="84" t="str">
        <f>IF(B1018="","",VLOOKUP(A1018,Journal!$B$7:$L$84,11))</f>
        <v/>
      </c>
      <c r="I1018" s="84" t="str">
        <f>IF(B1018="","",VLOOKUP(A1018,Journal!$B$7:$M$84,12))</f>
        <v/>
      </c>
      <c r="J1018" s="105">
        <f>IF(B1018="Total",SUM(J$8:J1017)+0.0001,IF(OR(B1018="",I$2=I1018),0,VLOOKUP(A1018,Journal!$B$7:M$84,8)))</f>
        <v>0</v>
      </c>
      <c r="K1018" s="102">
        <f>IF(B1018="Total",SUM(K$8:K1017)+0.0001,IF(OR(B1018="",J1018&lt;&gt;0),0,VLOOKUP(A1018,Journal!$B$7:M$84,8)))</f>
        <v>0</v>
      </c>
      <c r="L1018" s="87">
        <f t="shared" si="116"/>
        <v>0</v>
      </c>
      <c r="P1018">
        <f t="shared" si="117"/>
        <v>1.0000000000000001E-5</v>
      </c>
      <c r="R1018" s="15">
        <f t="shared" si="119"/>
        <v>1011</v>
      </c>
      <c r="S1018" s="126">
        <f>IF(VLOOKUP(A1018,Journal!$A$7:$E$70,5)=0,S1017+1,VLOOKUP(A1018,Journal!$A$7:$E$70,5))</f>
        <v>46668</v>
      </c>
      <c r="T1018" s="125">
        <f>IF(H$2=VLOOKUP(A1018,Journal!$A$7:$F$70,6),VLOOKUP(A1018,Journal!$A$7:M$70,9),0)</f>
        <v>0</v>
      </c>
      <c r="U1018" s="125">
        <f>IF(H$2=VLOOKUP(A1018,Journal!$A$7:$G$70,7),VLOOKUP(A1018,Journal!$A$7:M$70,9),0)</f>
        <v>0</v>
      </c>
      <c r="V1018" s="125">
        <f t="shared" si="114"/>
        <v>40</v>
      </c>
      <c r="X1018">
        <f t="shared" si="118"/>
        <v>0</v>
      </c>
      <c r="Y1018" s="143">
        <f t="shared" si="112"/>
        <v>-973.47368421056854</v>
      </c>
    </row>
    <row r="1019" spans="1:25" x14ac:dyDescent="0.25">
      <c r="A1019">
        <f t="shared" si="120"/>
        <v>1012</v>
      </c>
      <c r="B1019" s="88" t="str">
        <f>IF(OR(B1018="Total",B1018=""),"",IF(VLOOKUP(A1019,Journal!$B$7:$E$84,4)=0,"Total",VLOOKUP(A1019,Journal!$B$7:$D$84,3)))</f>
        <v/>
      </c>
      <c r="C1019" s="86" t="str">
        <f>IF(B1019="","",VLOOKUP(A1019,Journal!$B$7:$E$84,4))</f>
        <v/>
      </c>
      <c r="D1019" s="114" t="str">
        <f>IF(B1019="","",VLOOKUP(A1019,Journal!$B$7:$J$84,9))</f>
        <v/>
      </c>
      <c r="E1019" s="116"/>
      <c r="F1019" s="116"/>
      <c r="G1019" s="115"/>
      <c r="H1019" s="84" t="str">
        <f>IF(B1019="","",VLOOKUP(A1019,Journal!$B$7:$L$84,11))</f>
        <v/>
      </c>
      <c r="I1019" s="84" t="str">
        <f>IF(B1019="","",VLOOKUP(A1019,Journal!$B$7:$M$84,12))</f>
        <v/>
      </c>
      <c r="J1019" s="105">
        <f>IF(B1019="Total",SUM(J$8:J1018)+0.0001,IF(OR(B1019="",I$2=I1019),0,VLOOKUP(A1019,Journal!$B$7:M$84,8)))</f>
        <v>0</v>
      </c>
      <c r="K1019" s="102">
        <f>IF(B1019="Total",SUM(K$8:K1018)+0.0001,IF(OR(B1019="",J1019&lt;&gt;0),0,VLOOKUP(A1019,Journal!$B$7:M$84,8)))</f>
        <v>0</v>
      </c>
      <c r="L1019" s="87">
        <f t="shared" si="116"/>
        <v>0</v>
      </c>
      <c r="P1019">
        <f t="shared" si="117"/>
        <v>1.0000000000000001E-5</v>
      </c>
      <c r="R1019" s="15">
        <f t="shared" si="119"/>
        <v>1012</v>
      </c>
      <c r="S1019" s="126">
        <f>IF(VLOOKUP(A1019,Journal!$A$7:$E$70,5)=0,S1018+1,VLOOKUP(A1019,Journal!$A$7:$E$70,5))</f>
        <v>46669</v>
      </c>
      <c r="T1019" s="125">
        <f>IF(H$2=VLOOKUP(A1019,Journal!$A$7:$F$70,6),VLOOKUP(A1019,Journal!$A$7:M$70,9),0)</f>
        <v>0</v>
      </c>
      <c r="U1019" s="125">
        <f>IF(H$2=VLOOKUP(A1019,Journal!$A$7:$G$70,7),VLOOKUP(A1019,Journal!$A$7:M$70,9),0)</f>
        <v>0</v>
      </c>
      <c r="V1019" s="125">
        <f t="shared" si="114"/>
        <v>40</v>
      </c>
      <c r="X1019">
        <f t="shared" si="118"/>
        <v>0</v>
      </c>
      <c r="Y1019" s="143">
        <f t="shared" si="112"/>
        <v>-973.44736842109489</v>
      </c>
    </row>
    <row r="1020" spans="1:25" x14ac:dyDescent="0.25">
      <c r="A1020">
        <f t="shared" si="120"/>
        <v>1013</v>
      </c>
      <c r="B1020" s="88" t="str">
        <f>IF(OR(B1019="Total",B1019=""),"",IF(VLOOKUP(A1020,Journal!$B$7:$E$84,4)=0,"Total",VLOOKUP(A1020,Journal!$B$7:$D$84,3)))</f>
        <v/>
      </c>
      <c r="C1020" s="86" t="str">
        <f>IF(B1020="","",VLOOKUP(A1020,Journal!$B$7:$E$84,4))</f>
        <v/>
      </c>
      <c r="D1020" s="114" t="str">
        <f>IF(B1020="","",VLOOKUP(A1020,Journal!$B$7:$J$84,9))</f>
        <v/>
      </c>
      <c r="E1020" s="116"/>
      <c r="F1020" s="116"/>
      <c r="G1020" s="115"/>
      <c r="H1020" s="84" t="str">
        <f>IF(B1020="","",VLOOKUP(A1020,Journal!$B$7:$L$84,11))</f>
        <v/>
      </c>
      <c r="I1020" s="84" t="str">
        <f>IF(B1020="","",VLOOKUP(A1020,Journal!$B$7:$M$84,12))</f>
        <v/>
      </c>
      <c r="J1020" s="105">
        <f>IF(B1020="Total",SUM(J$8:J1019)+0.0001,IF(OR(B1020="",I$2=I1020),0,VLOOKUP(A1020,Journal!$B$7:M$84,8)))</f>
        <v>0</v>
      </c>
      <c r="K1020" s="102">
        <f>IF(B1020="Total",SUM(K$8:K1019)+0.0001,IF(OR(B1020="",J1020&lt;&gt;0),0,VLOOKUP(A1020,Journal!$B$7:M$84,8)))</f>
        <v>0</v>
      </c>
      <c r="L1020" s="87">
        <f t="shared" si="116"/>
        <v>0</v>
      </c>
      <c r="P1020">
        <f t="shared" si="117"/>
        <v>1.0000000000000001E-5</v>
      </c>
      <c r="R1020" s="15">
        <f t="shared" si="119"/>
        <v>1013</v>
      </c>
      <c r="S1020" s="126">
        <f>IF(VLOOKUP(A1020,Journal!$A$7:$E$70,5)=0,S1019+1,VLOOKUP(A1020,Journal!$A$7:$E$70,5))</f>
        <v>46670</v>
      </c>
      <c r="T1020" s="125">
        <f>IF(H$2=VLOOKUP(A1020,Journal!$A$7:$F$70,6),VLOOKUP(A1020,Journal!$A$7:M$70,9),0)</f>
        <v>0</v>
      </c>
      <c r="U1020" s="125">
        <f>IF(H$2=VLOOKUP(A1020,Journal!$A$7:$G$70,7),VLOOKUP(A1020,Journal!$A$7:M$70,9),0)</f>
        <v>0</v>
      </c>
      <c r="V1020" s="125">
        <f t="shared" si="114"/>
        <v>40</v>
      </c>
      <c r="X1020">
        <f t="shared" si="118"/>
        <v>0</v>
      </c>
      <c r="Y1020" s="143">
        <f t="shared" si="112"/>
        <v>-973.42105263162125</v>
      </c>
    </row>
    <row r="1021" spans="1:25" x14ac:dyDescent="0.25">
      <c r="A1021">
        <f t="shared" si="120"/>
        <v>1014</v>
      </c>
      <c r="B1021" s="88" t="str">
        <f>IF(OR(B1020="Total",B1020=""),"",IF(VLOOKUP(A1021,Journal!$B$7:$E$84,4)=0,"Total",VLOOKUP(A1021,Journal!$B$7:$D$84,3)))</f>
        <v/>
      </c>
      <c r="C1021" s="86" t="str">
        <f>IF(B1021="","",VLOOKUP(A1021,Journal!$B$7:$E$84,4))</f>
        <v/>
      </c>
      <c r="D1021" s="114" t="str">
        <f>IF(B1021="","",VLOOKUP(A1021,Journal!$B$7:$J$84,9))</f>
        <v/>
      </c>
      <c r="E1021" s="116"/>
      <c r="F1021" s="116"/>
      <c r="G1021" s="115"/>
      <c r="H1021" s="84" t="str">
        <f>IF(B1021="","",VLOOKUP(A1021,Journal!$B$7:$L$84,11))</f>
        <v/>
      </c>
      <c r="I1021" s="84" t="str">
        <f>IF(B1021="","",VLOOKUP(A1021,Journal!$B$7:$M$84,12))</f>
        <v/>
      </c>
      <c r="J1021" s="105">
        <f>IF(B1021="Total",SUM(J$8:J1020)+0.0001,IF(OR(B1021="",I$2=I1021),0,VLOOKUP(A1021,Journal!$B$7:M$84,8)))</f>
        <v>0</v>
      </c>
      <c r="K1021" s="102">
        <f>IF(B1021="Total",SUM(K$8:K1020)+0.0001,IF(OR(B1021="",J1021&lt;&gt;0),0,VLOOKUP(A1021,Journal!$B$7:M$84,8)))</f>
        <v>0</v>
      </c>
      <c r="L1021" s="87">
        <f t="shared" si="116"/>
        <v>0</v>
      </c>
      <c r="P1021">
        <f t="shared" si="117"/>
        <v>1.0000000000000001E-5</v>
      </c>
      <c r="R1021" s="15">
        <f t="shared" si="119"/>
        <v>1014</v>
      </c>
      <c r="S1021" s="126">
        <f>IF(VLOOKUP(A1021,Journal!$A$7:$E$70,5)=0,S1020+1,VLOOKUP(A1021,Journal!$A$7:$E$70,5))</f>
        <v>46671</v>
      </c>
      <c r="T1021" s="125">
        <f>IF(H$2=VLOOKUP(A1021,Journal!$A$7:$F$70,6),VLOOKUP(A1021,Journal!$A$7:M$70,9),0)</f>
        <v>0</v>
      </c>
      <c r="U1021" s="125">
        <f>IF(H$2=VLOOKUP(A1021,Journal!$A$7:$G$70,7),VLOOKUP(A1021,Journal!$A$7:M$70,9),0)</f>
        <v>0</v>
      </c>
      <c r="V1021" s="125">
        <f t="shared" si="114"/>
        <v>40</v>
      </c>
      <c r="X1021">
        <f t="shared" si="118"/>
        <v>0</v>
      </c>
      <c r="Y1021" s="143">
        <f t="shared" si="112"/>
        <v>-973.39473684214761</v>
      </c>
    </row>
    <row r="1022" spans="1:25" x14ac:dyDescent="0.25">
      <c r="A1022">
        <f t="shared" si="120"/>
        <v>1015</v>
      </c>
      <c r="B1022" s="88" t="str">
        <f>IF(OR(B1021="Total",B1021=""),"",IF(VLOOKUP(A1022,Journal!$B$7:$E$84,4)=0,"Total",VLOOKUP(A1022,Journal!$B$7:$D$84,3)))</f>
        <v/>
      </c>
      <c r="C1022" s="86" t="str">
        <f>IF(B1022="","",VLOOKUP(A1022,Journal!$B$7:$E$84,4))</f>
        <v/>
      </c>
      <c r="D1022" s="114" t="str">
        <f>IF(B1022="","",VLOOKUP(A1022,Journal!$B$7:$J$84,9))</f>
        <v/>
      </c>
      <c r="E1022" s="116"/>
      <c r="F1022" s="116"/>
      <c r="G1022" s="115"/>
      <c r="H1022" s="84" t="str">
        <f>IF(B1022="","",VLOOKUP(A1022,Journal!$B$7:$L$84,11))</f>
        <v/>
      </c>
      <c r="I1022" s="84" t="str">
        <f>IF(B1022="","",VLOOKUP(A1022,Journal!$B$7:$M$84,12))</f>
        <v/>
      </c>
      <c r="J1022" s="105">
        <f>IF(B1022="Total",SUM(J$8:J1021)+0.0001,IF(OR(B1022="",I$2=I1022),0,VLOOKUP(A1022,Journal!$B$7:M$84,8)))</f>
        <v>0</v>
      </c>
      <c r="K1022" s="102">
        <f>IF(B1022="Total",SUM(K$8:K1021)+0.0001,IF(OR(B1022="",J1022&lt;&gt;0),0,VLOOKUP(A1022,Journal!$B$7:M$84,8)))</f>
        <v>0</v>
      </c>
      <c r="L1022" s="87">
        <f t="shared" si="116"/>
        <v>0</v>
      </c>
      <c r="P1022">
        <f t="shared" si="117"/>
        <v>1.0000000000000001E-5</v>
      </c>
      <c r="R1022" s="15">
        <f t="shared" si="119"/>
        <v>1015</v>
      </c>
      <c r="S1022" s="126">
        <f>IF(VLOOKUP(A1022,Journal!$A$7:$E$70,5)=0,S1021+1,VLOOKUP(A1022,Journal!$A$7:$E$70,5))</f>
        <v>46672</v>
      </c>
      <c r="T1022" s="125">
        <f>IF(H$2=VLOOKUP(A1022,Journal!$A$7:$F$70,6),VLOOKUP(A1022,Journal!$A$7:M$70,9),0)</f>
        <v>0</v>
      </c>
      <c r="U1022" s="125">
        <f>IF(H$2=VLOOKUP(A1022,Journal!$A$7:$G$70,7),VLOOKUP(A1022,Journal!$A$7:M$70,9),0)</f>
        <v>0</v>
      </c>
      <c r="V1022" s="125">
        <f t="shared" si="114"/>
        <v>40</v>
      </c>
      <c r="X1022">
        <f t="shared" si="118"/>
        <v>0</v>
      </c>
      <c r="Y1022" s="143">
        <f t="shared" si="112"/>
        <v>-973.36842105267397</v>
      </c>
    </row>
    <row r="1023" spans="1:25" x14ac:dyDescent="0.25">
      <c r="A1023">
        <f t="shared" si="120"/>
        <v>1016</v>
      </c>
      <c r="B1023" s="88" t="str">
        <f>IF(OR(B1022="Total",B1022=""),"",IF(VLOOKUP(A1023,Journal!$B$7:$E$84,4)=0,"Total",VLOOKUP(A1023,Journal!$B$7:$D$84,3)))</f>
        <v/>
      </c>
      <c r="C1023" s="86" t="str">
        <f>IF(B1023="","",VLOOKUP(A1023,Journal!$B$7:$E$84,4))</f>
        <v/>
      </c>
      <c r="D1023" s="114" t="str">
        <f>IF(B1023="","",VLOOKUP(A1023,Journal!$B$7:$J$84,9))</f>
        <v/>
      </c>
      <c r="E1023" s="116"/>
      <c r="F1023" s="116"/>
      <c r="G1023" s="115"/>
      <c r="H1023" s="84" t="str">
        <f>IF(B1023="","",VLOOKUP(A1023,Journal!$B$7:$L$84,11))</f>
        <v/>
      </c>
      <c r="I1023" s="84" t="str">
        <f>IF(B1023="","",VLOOKUP(A1023,Journal!$B$7:$M$84,12))</f>
        <v/>
      </c>
      <c r="J1023" s="105">
        <f>IF(B1023="Total",SUM(J$8:J1022)+0.0001,IF(OR(B1023="",I$2=I1023),0,VLOOKUP(A1023,Journal!$B$7:M$84,8)))</f>
        <v>0</v>
      </c>
      <c r="K1023" s="102">
        <f>IF(B1023="Total",SUM(K$8:K1022)+0.0001,IF(OR(B1023="",J1023&lt;&gt;0),0,VLOOKUP(A1023,Journal!$B$7:M$84,8)))</f>
        <v>0</v>
      </c>
      <c r="L1023" s="87">
        <f t="shared" si="116"/>
        <v>0</v>
      </c>
      <c r="P1023">
        <f t="shared" si="117"/>
        <v>1.0000000000000001E-5</v>
      </c>
      <c r="R1023" s="15">
        <f t="shared" si="119"/>
        <v>1016</v>
      </c>
      <c r="S1023" s="126">
        <f>IF(VLOOKUP(A1023,Journal!$A$7:$E$70,5)=0,S1022+1,VLOOKUP(A1023,Journal!$A$7:$E$70,5))</f>
        <v>46673</v>
      </c>
      <c r="T1023" s="125">
        <f>IF(H$2=VLOOKUP(A1023,Journal!$A$7:$F$70,6),VLOOKUP(A1023,Journal!$A$7:M$70,9),0)</f>
        <v>0</v>
      </c>
      <c r="U1023" s="125">
        <f>IF(H$2=VLOOKUP(A1023,Journal!$A$7:$G$70,7),VLOOKUP(A1023,Journal!$A$7:M$70,9),0)</f>
        <v>0</v>
      </c>
      <c r="V1023" s="125">
        <f t="shared" si="114"/>
        <v>40</v>
      </c>
      <c r="X1023">
        <f t="shared" si="118"/>
        <v>0</v>
      </c>
      <c r="Y1023" s="143">
        <f t="shared" si="112"/>
        <v>-973.34210526320032</v>
      </c>
    </row>
    <row r="1024" spans="1:25" x14ac:dyDescent="0.25">
      <c r="A1024">
        <f t="shared" si="120"/>
        <v>1017</v>
      </c>
      <c r="B1024" s="88" t="str">
        <f>IF(OR(B1023="Total",B1023=""),"",IF(VLOOKUP(A1024,Journal!$B$7:$E$84,4)=0,"Total",VLOOKUP(A1024,Journal!$B$7:$D$84,3)))</f>
        <v/>
      </c>
      <c r="C1024" s="86" t="str">
        <f>IF(B1024="","",VLOOKUP(A1024,Journal!$B$7:$E$84,4))</f>
        <v/>
      </c>
      <c r="D1024" s="114" t="str">
        <f>IF(B1024="","",VLOOKUP(A1024,Journal!$B$7:$J$84,9))</f>
        <v/>
      </c>
      <c r="E1024" s="116"/>
      <c r="F1024" s="116"/>
      <c r="G1024" s="115"/>
      <c r="H1024" s="84" t="str">
        <f>IF(B1024="","",VLOOKUP(A1024,Journal!$B$7:$L$84,11))</f>
        <v/>
      </c>
      <c r="I1024" s="84" t="str">
        <f>IF(B1024="","",VLOOKUP(A1024,Journal!$B$7:$M$84,12))</f>
        <v/>
      </c>
      <c r="J1024" s="105">
        <f>IF(B1024="Total",SUM(J$8:J1023)+0.0001,IF(OR(B1024="",I$2=I1024),0,VLOOKUP(A1024,Journal!$B$7:M$84,8)))</f>
        <v>0</v>
      </c>
      <c r="K1024" s="102">
        <f>IF(B1024="Total",SUM(K$8:K1023)+0.0001,IF(OR(B1024="",J1024&lt;&gt;0),0,VLOOKUP(A1024,Journal!$B$7:M$84,8)))</f>
        <v>0</v>
      </c>
      <c r="L1024" s="87">
        <f t="shared" si="116"/>
        <v>0</v>
      </c>
      <c r="P1024">
        <f t="shared" si="117"/>
        <v>1.0000000000000001E-5</v>
      </c>
      <c r="R1024" s="15">
        <f t="shared" si="119"/>
        <v>1017</v>
      </c>
      <c r="S1024" s="126">
        <f>IF(VLOOKUP(A1024,Journal!$A$7:$E$70,5)=0,S1023+1,VLOOKUP(A1024,Journal!$A$7:$E$70,5))</f>
        <v>46674</v>
      </c>
      <c r="T1024" s="125">
        <f>IF(H$2=VLOOKUP(A1024,Journal!$A$7:$F$70,6),VLOOKUP(A1024,Journal!$A$7:M$70,9),0)</f>
        <v>0</v>
      </c>
      <c r="U1024" s="125">
        <f>IF(H$2=VLOOKUP(A1024,Journal!$A$7:$G$70,7),VLOOKUP(A1024,Journal!$A$7:M$70,9),0)</f>
        <v>0</v>
      </c>
      <c r="V1024" s="125">
        <f t="shared" si="114"/>
        <v>40</v>
      </c>
      <c r="X1024">
        <f t="shared" si="118"/>
        <v>0</v>
      </c>
      <c r="Y1024" s="143">
        <f t="shared" si="112"/>
        <v>-973.31578947372668</v>
      </c>
    </row>
    <row r="1025" spans="1:25" x14ac:dyDescent="0.25">
      <c r="A1025">
        <f t="shared" si="120"/>
        <v>1018</v>
      </c>
      <c r="B1025" s="88" t="str">
        <f>IF(OR(B1024="Total",B1024=""),"",IF(VLOOKUP(A1025,Journal!$B$7:$E$84,4)=0,"Total",VLOOKUP(A1025,Journal!$B$7:$D$84,3)))</f>
        <v/>
      </c>
      <c r="C1025" s="86" t="str">
        <f>IF(B1025="","",VLOOKUP(A1025,Journal!$B$7:$E$84,4))</f>
        <v/>
      </c>
      <c r="D1025" s="114" t="str">
        <f>IF(B1025="","",VLOOKUP(A1025,Journal!$B$7:$J$84,9))</f>
        <v/>
      </c>
      <c r="E1025" s="116"/>
      <c r="F1025" s="116"/>
      <c r="G1025" s="115"/>
      <c r="H1025" s="84" t="str">
        <f>IF(B1025="","",VLOOKUP(A1025,Journal!$B$7:$L$84,11))</f>
        <v/>
      </c>
      <c r="I1025" s="84" t="str">
        <f>IF(B1025="","",VLOOKUP(A1025,Journal!$B$7:$M$84,12))</f>
        <v/>
      </c>
      <c r="J1025" s="105">
        <f>IF(B1025="Total",SUM(J$8:J1024)+0.0001,IF(OR(B1025="",I$2=I1025),0,VLOOKUP(A1025,Journal!$B$7:M$84,8)))</f>
        <v>0</v>
      </c>
      <c r="K1025" s="102">
        <f>IF(B1025="Total",SUM(K$8:K1024)+0.0001,IF(OR(B1025="",J1025&lt;&gt;0),0,VLOOKUP(A1025,Journal!$B$7:M$84,8)))</f>
        <v>0</v>
      </c>
      <c r="L1025" s="87">
        <f t="shared" si="116"/>
        <v>0</v>
      </c>
      <c r="P1025">
        <f t="shared" si="117"/>
        <v>1.0000000000000001E-5</v>
      </c>
      <c r="R1025" s="15">
        <f t="shared" si="119"/>
        <v>1018</v>
      </c>
      <c r="S1025" s="126">
        <f>IF(VLOOKUP(A1025,Journal!$A$7:$E$70,5)=0,S1024+1,VLOOKUP(A1025,Journal!$A$7:$E$70,5))</f>
        <v>46675</v>
      </c>
      <c r="T1025" s="125">
        <f>IF(H$2=VLOOKUP(A1025,Journal!$A$7:$F$70,6),VLOOKUP(A1025,Journal!$A$7:M$70,9),0)</f>
        <v>0</v>
      </c>
      <c r="U1025" s="125">
        <f>IF(H$2=VLOOKUP(A1025,Journal!$A$7:$G$70,7),VLOOKUP(A1025,Journal!$A$7:M$70,9),0)</f>
        <v>0</v>
      </c>
      <c r="V1025" s="125">
        <f t="shared" si="114"/>
        <v>40</v>
      </c>
      <c r="X1025">
        <f t="shared" si="118"/>
        <v>0</v>
      </c>
      <c r="Y1025" s="143">
        <f t="shared" si="112"/>
        <v>-973.28947368425304</v>
      </c>
    </row>
    <row r="1026" spans="1:25" x14ac:dyDescent="0.25">
      <c r="A1026">
        <f t="shared" si="120"/>
        <v>1019</v>
      </c>
      <c r="B1026" s="88" t="str">
        <f>IF(OR(B1025="Total",B1025=""),"",IF(VLOOKUP(A1026,Journal!$B$7:$E$84,4)=0,"Total",VLOOKUP(A1026,Journal!$B$7:$D$84,3)))</f>
        <v/>
      </c>
      <c r="C1026" s="86" t="str">
        <f>IF(B1026="","",VLOOKUP(A1026,Journal!$B$7:$E$84,4))</f>
        <v/>
      </c>
      <c r="D1026" s="114" t="str">
        <f>IF(B1026="","",VLOOKUP(A1026,Journal!$B$7:$J$84,9))</f>
        <v/>
      </c>
      <c r="E1026" s="116"/>
      <c r="F1026" s="116"/>
      <c r="G1026" s="115"/>
      <c r="H1026" s="84" t="str">
        <f>IF(B1026="","",VLOOKUP(A1026,Journal!$B$7:$L$84,11))</f>
        <v/>
      </c>
      <c r="I1026" s="84" t="str">
        <f>IF(B1026="","",VLOOKUP(A1026,Journal!$B$7:$M$84,12))</f>
        <v/>
      </c>
      <c r="J1026" s="105">
        <f>IF(B1026="Total",SUM(J$8:J1025)+0.0001,IF(OR(B1026="",I$2=I1026),0,VLOOKUP(A1026,Journal!$B$7:M$84,8)))</f>
        <v>0</v>
      </c>
      <c r="K1026" s="102">
        <f>IF(B1026="Total",SUM(K$8:K1025)+0.0001,IF(OR(B1026="",J1026&lt;&gt;0),0,VLOOKUP(A1026,Journal!$B$7:M$84,8)))</f>
        <v>0</v>
      </c>
      <c r="L1026" s="87">
        <f t="shared" si="116"/>
        <v>0</v>
      </c>
      <c r="P1026">
        <f t="shared" si="117"/>
        <v>1.0000000000000001E-5</v>
      </c>
      <c r="R1026" s="15">
        <f t="shared" si="119"/>
        <v>1019</v>
      </c>
      <c r="S1026" s="126">
        <f>IF(VLOOKUP(A1026,Journal!$A$7:$E$70,5)=0,S1025+1,VLOOKUP(A1026,Journal!$A$7:$E$70,5))</f>
        <v>46676</v>
      </c>
      <c r="T1026" s="125">
        <f>IF(H$2=VLOOKUP(A1026,Journal!$A$7:$F$70,6),VLOOKUP(A1026,Journal!$A$7:M$70,9),0)</f>
        <v>0</v>
      </c>
      <c r="U1026" s="125">
        <f>IF(H$2=VLOOKUP(A1026,Journal!$A$7:$G$70,7),VLOOKUP(A1026,Journal!$A$7:M$70,9),0)</f>
        <v>0</v>
      </c>
      <c r="V1026" s="125">
        <f t="shared" si="114"/>
        <v>40</v>
      </c>
      <c r="X1026">
        <f t="shared" si="118"/>
        <v>0</v>
      </c>
      <c r="Y1026" s="143">
        <f t="shared" si="112"/>
        <v>-973.2631578947794</v>
      </c>
    </row>
    <row r="1027" spans="1:25" x14ac:dyDescent="0.25">
      <c r="A1027">
        <f t="shared" si="120"/>
        <v>1020</v>
      </c>
      <c r="B1027" s="88" t="str">
        <f>IF(OR(B1026="Total",B1026=""),"",IF(VLOOKUP(A1027,Journal!$B$7:$E$84,4)=0,"Total",VLOOKUP(A1027,Journal!$B$7:$D$84,3)))</f>
        <v/>
      </c>
      <c r="C1027" s="86" t="str">
        <f>IF(B1027="","",VLOOKUP(A1027,Journal!$B$7:$E$84,4))</f>
        <v/>
      </c>
      <c r="D1027" s="114" t="str">
        <f>IF(B1027="","",VLOOKUP(A1027,Journal!$B$7:$J$84,9))</f>
        <v/>
      </c>
      <c r="E1027" s="116"/>
      <c r="F1027" s="116"/>
      <c r="G1027" s="115"/>
      <c r="H1027" s="84" t="str">
        <f>IF(B1027="","",VLOOKUP(A1027,Journal!$B$7:$L$84,11))</f>
        <v/>
      </c>
      <c r="I1027" s="84" t="str">
        <f>IF(B1027="","",VLOOKUP(A1027,Journal!$B$7:$M$84,12))</f>
        <v/>
      </c>
      <c r="J1027" s="105">
        <f>IF(B1027="Total",SUM(J$8:J1026)+0.0001,IF(OR(B1027="",I$2=I1027),0,VLOOKUP(A1027,Journal!$B$7:M$84,8)))</f>
        <v>0</v>
      </c>
      <c r="K1027" s="102">
        <f>IF(B1027="Total",SUM(K$8:K1026)+0.0001,IF(OR(B1027="",J1027&lt;&gt;0),0,VLOOKUP(A1027,Journal!$B$7:M$84,8)))</f>
        <v>0</v>
      </c>
      <c r="L1027" s="87">
        <f t="shared" si="116"/>
        <v>0</v>
      </c>
      <c r="P1027">
        <f t="shared" si="117"/>
        <v>1.0000000000000001E-5</v>
      </c>
      <c r="R1027" s="15">
        <f t="shared" si="119"/>
        <v>1020</v>
      </c>
      <c r="S1027" s="126">
        <f>IF(VLOOKUP(A1027,Journal!$A$7:$E$70,5)=0,S1026+1,VLOOKUP(A1027,Journal!$A$7:$E$70,5))</f>
        <v>46677</v>
      </c>
      <c r="T1027" s="125">
        <f>IF(H$2=VLOOKUP(A1027,Journal!$A$7:$F$70,6),VLOOKUP(A1027,Journal!$A$7:M$70,9),0)</f>
        <v>0</v>
      </c>
      <c r="U1027" s="125">
        <f>IF(H$2=VLOOKUP(A1027,Journal!$A$7:$G$70,7),VLOOKUP(A1027,Journal!$A$7:M$70,9),0)</f>
        <v>0</v>
      </c>
      <c r="V1027" s="125">
        <f t="shared" si="114"/>
        <v>40</v>
      </c>
      <c r="X1027">
        <f t="shared" si="118"/>
        <v>0</v>
      </c>
      <c r="Y1027" s="143">
        <f t="shared" si="112"/>
        <v>-973.23684210530575</v>
      </c>
    </row>
    <row r="1028" spans="1:25" x14ac:dyDescent="0.25">
      <c r="A1028">
        <f t="shared" si="120"/>
        <v>1021</v>
      </c>
      <c r="B1028" s="88" t="str">
        <f>IF(OR(B1027="Total",B1027=""),"",IF(VLOOKUP(A1028,Journal!$B$7:$E$84,4)=0,"Total",VLOOKUP(A1028,Journal!$B$7:$D$84,3)))</f>
        <v/>
      </c>
      <c r="C1028" s="86" t="str">
        <f>IF(B1028="","",VLOOKUP(A1028,Journal!$B$7:$E$84,4))</f>
        <v/>
      </c>
      <c r="D1028" s="114" t="str">
        <f>IF(B1028="","",VLOOKUP(A1028,Journal!$B$7:$J$84,9))</f>
        <v/>
      </c>
      <c r="E1028" s="116"/>
      <c r="F1028" s="116"/>
      <c r="G1028" s="115"/>
      <c r="H1028" s="84" t="str">
        <f>IF(B1028="","",VLOOKUP(A1028,Journal!$B$7:$L$84,11))</f>
        <v/>
      </c>
      <c r="I1028" s="84" t="str">
        <f>IF(B1028="","",VLOOKUP(A1028,Journal!$B$7:$M$84,12))</f>
        <v/>
      </c>
      <c r="J1028" s="105">
        <f>IF(B1028="Total",SUM(J$8:J1027)+0.0001,IF(OR(B1028="",I$2=I1028),0,VLOOKUP(A1028,Journal!$B$7:M$84,8)))</f>
        <v>0</v>
      </c>
      <c r="K1028" s="102">
        <f>IF(B1028="Total",SUM(K$8:K1027)+0.0001,IF(OR(B1028="",J1028&lt;&gt;0),0,VLOOKUP(A1028,Journal!$B$7:M$84,8)))</f>
        <v>0</v>
      </c>
      <c r="L1028" s="87">
        <f t="shared" si="116"/>
        <v>0</v>
      </c>
      <c r="P1028">
        <f t="shared" si="117"/>
        <v>1.0000000000000001E-5</v>
      </c>
      <c r="R1028" s="15">
        <f t="shared" si="119"/>
        <v>1021</v>
      </c>
      <c r="S1028" s="126">
        <f>IF(VLOOKUP(A1028,Journal!$A$7:$E$70,5)=0,S1027+1,VLOOKUP(A1028,Journal!$A$7:$E$70,5))</f>
        <v>46678</v>
      </c>
      <c r="T1028" s="125">
        <f>IF(H$2=VLOOKUP(A1028,Journal!$A$7:$F$70,6),VLOOKUP(A1028,Journal!$A$7:M$70,9),0)</f>
        <v>0</v>
      </c>
      <c r="U1028" s="125">
        <f>IF(H$2=VLOOKUP(A1028,Journal!$A$7:$G$70,7),VLOOKUP(A1028,Journal!$A$7:M$70,9),0)</f>
        <v>0</v>
      </c>
      <c r="V1028" s="125">
        <f t="shared" si="114"/>
        <v>40</v>
      </c>
      <c r="X1028">
        <f t="shared" si="118"/>
        <v>0</v>
      </c>
      <c r="Y1028" s="143">
        <f t="shared" si="112"/>
        <v>-973.21052631583211</v>
      </c>
    </row>
    <row r="1029" spans="1:25" x14ac:dyDescent="0.25">
      <c r="A1029">
        <f t="shared" si="120"/>
        <v>1022</v>
      </c>
      <c r="B1029" s="88" t="str">
        <f>IF(OR(B1028="Total",B1028=""),"",IF(VLOOKUP(A1029,Journal!$B$7:$E$84,4)=0,"Total",VLOOKUP(A1029,Journal!$B$7:$D$84,3)))</f>
        <v/>
      </c>
      <c r="C1029" s="86" t="str">
        <f>IF(B1029="","",VLOOKUP(A1029,Journal!$B$7:$E$84,4))</f>
        <v/>
      </c>
      <c r="D1029" s="114" t="str">
        <f>IF(B1029="","",VLOOKUP(A1029,Journal!$B$7:$J$84,9))</f>
        <v/>
      </c>
      <c r="E1029" s="116"/>
      <c r="F1029" s="116"/>
      <c r="G1029" s="115"/>
      <c r="H1029" s="84" t="str">
        <f>IF(B1029="","",VLOOKUP(A1029,Journal!$B$7:$L$84,11))</f>
        <v/>
      </c>
      <c r="I1029" s="84" t="str">
        <f>IF(B1029="","",VLOOKUP(A1029,Journal!$B$7:$M$84,12))</f>
        <v/>
      </c>
      <c r="J1029" s="105">
        <f>IF(B1029="Total",SUM(J$8:J1028)+0.0001,IF(OR(B1029="",I$2=I1029),0,VLOOKUP(A1029,Journal!$B$7:M$84,8)))</f>
        <v>0</v>
      </c>
      <c r="K1029" s="102">
        <f>IF(B1029="Total",SUM(K$8:K1028)+0.0001,IF(OR(B1029="",J1029&lt;&gt;0),0,VLOOKUP(A1029,Journal!$B$7:M$84,8)))</f>
        <v>0</v>
      </c>
      <c r="L1029" s="87">
        <f t="shared" si="116"/>
        <v>0</v>
      </c>
      <c r="P1029">
        <f t="shared" si="117"/>
        <v>1.0000000000000001E-5</v>
      </c>
      <c r="R1029" s="15">
        <f t="shared" si="119"/>
        <v>1022</v>
      </c>
      <c r="S1029" s="126">
        <f>IF(VLOOKUP(A1029,Journal!$A$7:$E$70,5)=0,S1028+1,VLOOKUP(A1029,Journal!$A$7:$E$70,5))</f>
        <v>46679</v>
      </c>
      <c r="T1029" s="125">
        <f>IF(H$2=VLOOKUP(A1029,Journal!$A$7:$F$70,6),VLOOKUP(A1029,Journal!$A$7:M$70,9),0)</f>
        <v>0</v>
      </c>
      <c r="U1029" s="125">
        <f>IF(H$2=VLOOKUP(A1029,Journal!$A$7:$G$70,7),VLOOKUP(A1029,Journal!$A$7:M$70,9),0)</f>
        <v>0</v>
      </c>
      <c r="V1029" s="125">
        <f t="shared" si="114"/>
        <v>40</v>
      </c>
      <c r="X1029">
        <f t="shared" si="118"/>
        <v>0</v>
      </c>
      <c r="Y1029" s="143">
        <f t="shared" si="112"/>
        <v>-973.18421052635847</v>
      </c>
    </row>
    <row r="1030" spans="1:25" x14ac:dyDescent="0.25">
      <c r="A1030">
        <f t="shared" si="120"/>
        <v>1023</v>
      </c>
      <c r="B1030" s="88" t="str">
        <f>IF(OR(B1029="Total",B1029=""),"",IF(VLOOKUP(A1030,Journal!$B$7:$E$84,4)=0,"Total",VLOOKUP(A1030,Journal!$B$7:$D$84,3)))</f>
        <v/>
      </c>
      <c r="C1030" s="86" t="str">
        <f>IF(B1030="","",VLOOKUP(A1030,Journal!$B$7:$E$84,4))</f>
        <v/>
      </c>
      <c r="D1030" s="114" t="str">
        <f>IF(B1030="","",VLOOKUP(A1030,Journal!$B$7:$J$84,9))</f>
        <v/>
      </c>
      <c r="E1030" s="116"/>
      <c r="F1030" s="116"/>
      <c r="G1030" s="115"/>
      <c r="H1030" s="84" t="str">
        <f>IF(B1030="","",VLOOKUP(A1030,Journal!$B$7:$L$84,11))</f>
        <v/>
      </c>
      <c r="I1030" s="84" t="str">
        <f>IF(B1030="","",VLOOKUP(A1030,Journal!$B$7:$M$84,12))</f>
        <v/>
      </c>
      <c r="J1030" s="105">
        <f>IF(B1030="Total",SUM(J$8:J1029)+0.0001,IF(OR(B1030="",I$2=I1030),0,VLOOKUP(A1030,Journal!$B$7:M$84,8)))</f>
        <v>0</v>
      </c>
      <c r="K1030" s="102">
        <f>IF(B1030="Total",SUM(K$8:K1029)+0.0001,IF(OR(B1030="",J1030&lt;&gt;0),0,VLOOKUP(A1030,Journal!$B$7:M$84,8)))</f>
        <v>0</v>
      </c>
      <c r="L1030" s="87">
        <f t="shared" si="116"/>
        <v>0</v>
      </c>
      <c r="P1030">
        <f t="shared" si="117"/>
        <v>1.0000000000000001E-5</v>
      </c>
      <c r="R1030" s="15">
        <f t="shared" si="119"/>
        <v>1023</v>
      </c>
      <c r="S1030" s="126">
        <f>IF(VLOOKUP(A1030,Journal!$A$7:$E$70,5)=0,S1029+1,VLOOKUP(A1030,Journal!$A$7:$E$70,5))</f>
        <v>46680</v>
      </c>
      <c r="T1030" s="125">
        <f>IF(H$2=VLOOKUP(A1030,Journal!$A$7:$F$70,6),VLOOKUP(A1030,Journal!$A$7:M$70,9),0)</f>
        <v>0</v>
      </c>
      <c r="U1030" s="125">
        <f>IF(H$2=VLOOKUP(A1030,Journal!$A$7:$G$70,7),VLOOKUP(A1030,Journal!$A$7:M$70,9),0)</f>
        <v>0</v>
      </c>
      <c r="V1030" s="125">
        <f t="shared" si="114"/>
        <v>40</v>
      </c>
      <c r="X1030">
        <f t="shared" si="118"/>
        <v>0</v>
      </c>
      <c r="Y1030" s="143">
        <f t="shared" si="112"/>
        <v>-973.15789473688483</v>
      </c>
    </row>
    <row r="1031" spans="1:25" x14ac:dyDescent="0.25">
      <c r="A1031">
        <f t="shared" si="120"/>
        <v>1024</v>
      </c>
      <c r="B1031" s="88" t="str">
        <f>IF(OR(B1030="Total",B1030=""),"",IF(VLOOKUP(A1031,Journal!$B$7:$E$84,4)=0,"Total",VLOOKUP(A1031,Journal!$B$7:$D$84,3)))</f>
        <v/>
      </c>
      <c r="C1031" s="86" t="str">
        <f>IF(B1031="","",VLOOKUP(A1031,Journal!$B$7:$E$84,4))</f>
        <v/>
      </c>
      <c r="D1031" s="114" t="str">
        <f>IF(B1031="","",VLOOKUP(A1031,Journal!$B$7:$J$84,9))</f>
        <v/>
      </c>
      <c r="E1031" s="116"/>
      <c r="F1031" s="116"/>
      <c r="G1031" s="115"/>
      <c r="H1031" s="84" t="str">
        <f>IF(B1031="","",VLOOKUP(A1031,Journal!$B$7:$L$84,11))</f>
        <v/>
      </c>
      <c r="I1031" s="84" t="str">
        <f>IF(B1031="","",VLOOKUP(A1031,Journal!$B$7:$M$84,12))</f>
        <v/>
      </c>
      <c r="J1031" s="105">
        <f>IF(B1031="Total",SUM(J$8:J1030)+0.0001,IF(OR(B1031="",I$2=I1031),0,VLOOKUP(A1031,Journal!$B$7:M$84,8)))</f>
        <v>0</v>
      </c>
      <c r="K1031" s="102">
        <f>IF(B1031="Total",SUM(K$8:K1030)+0.0001,IF(OR(B1031="",J1031&lt;&gt;0),0,VLOOKUP(A1031,Journal!$B$7:M$84,8)))</f>
        <v>0</v>
      </c>
      <c r="L1031" s="87">
        <f t="shared" si="116"/>
        <v>0</v>
      </c>
      <c r="P1031">
        <f t="shared" si="117"/>
        <v>1.0000000000000001E-5</v>
      </c>
      <c r="R1031" s="15">
        <f t="shared" si="119"/>
        <v>1024</v>
      </c>
      <c r="S1031" s="126">
        <f>IF(VLOOKUP(A1031,Journal!$A$7:$E$70,5)=0,S1030+1,VLOOKUP(A1031,Journal!$A$7:$E$70,5))</f>
        <v>46681</v>
      </c>
      <c r="T1031" s="125">
        <f>IF(H$2=VLOOKUP(A1031,Journal!$A$7:$F$70,6),VLOOKUP(A1031,Journal!$A$7:M$70,9),0)</f>
        <v>0</v>
      </c>
      <c r="U1031" s="125">
        <f>IF(H$2=VLOOKUP(A1031,Journal!$A$7:$G$70,7),VLOOKUP(A1031,Journal!$A$7:M$70,9),0)</f>
        <v>0</v>
      </c>
      <c r="V1031" s="125">
        <f t="shared" si="114"/>
        <v>40</v>
      </c>
      <c r="X1031">
        <f t="shared" si="118"/>
        <v>0</v>
      </c>
      <c r="Y1031" s="143">
        <f t="shared" si="112"/>
        <v>-973.13157894741119</v>
      </c>
    </row>
    <row r="1032" spans="1:25" x14ac:dyDescent="0.25">
      <c r="A1032">
        <f t="shared" si="120"/>
        <v>1025</v>
      </c>
      <c r="B1032" s="88" t="str">
        <f>IF(OR(B1031="Total",B1031=""),"",IF(VLOOKUP(A1032,Journal!$B$7:$E$84,4)=0,"Total",VLOOKUP(A1032,Journal!$B$7:$D$84,3)))</f>
        <v/>
      </c>
      <c r="C1032" s="86" t="str">
        <f>IF(B1032="","",VLOOKUP(A1032,Journal!$B$7:$E$84,4))</f>
        <v/>
      </c>
      <c r="D1032" s="114" t="str">
        <f>IF(B1032="","",VLOOKUP(A1032,Journal!$B$7:$J$84,9))</f>
        <v/>
      </c>
      <c r="E1032" s="116"/>
      <c r="F1032" s="116"/>
      <c r="G1032" s="115"/>
      <c r="H1032" s="84" t="str">
        <f>IF(B1032="","",VLOOKUP(A1032,Journal!$B$7:$L$84,11))</f>
        <v/>
      </c>
      <c r="I1032" s="84" t="str">
        <f>IF(B1032="","",VLOOKUP(A1032,Journal!$B$7:$M$84,12))</f>
        <v/>
      </c>
      <c r="J1032" s="105">
        <f>IF(B1032="Total",SUM(J$8:J1031)+0.0001,IF(OR(B1032="",I$2=I1032),0,VLOOKUP(A1032,Journal!$B$7:M$84,8)))</f>
        <v>0</v>
      </c>
      <c r="K1032" s="102">
        <f>IF(B1032="Total",SUM(K$8:K1031)+0.0001,IF(OR(B1032="",J1032&lt;&gt;0),0,VLOOKUP(A1032,Journal!$B$7:M$84,8)))</f>
        <v>0</v>
      </c>
      <c r="L1032" s="87">
        <f t="shared" si="116"/>
        <v>0</v>
      </c>
      <c r="P1032">
        <f t="shared" si="117"/>
        <v>1.0000000000000001E-5</v>
      </c>
      <c r="R1032" s="15">
        <f t="shared" si="119"/>
        <v>1025</v>
      </c>
      <c r="S1032" s="126">
        <f>IF(VLOOKUP(A1032,Journal!$A$7:$E$70,5)=0,S1031+1,VLOOKUP(A1032,Journal!$A$7:$E$70,5))</f>
        <v>46682</v>
      </c>
      <c r="T1032" s="125">
        <f>IF(H$2=VLOOKUP(A1032,Journal!$A$7:$F$70,6),VLOOKUP(A1032,Journal!$A$7:M$70,9),0)</f>
        <v>0</v>
      </c>
      <c r="U1032" s="125">
        <f>IF(H$2=VLOOKUP(A1032,Journal!$A$7:$G$70,7),VLOOKUP(A1032,Journal!$A$7:M$70,9),0)</f>
        <v>0</v>
      </c>
      <c r="V1032" s="125">
        <f t="shared" si="114"/>
        <v>40</v>
      </c>
      <c r="X1032">
        <f t="shared" si="118"/>
        <v>0</v>
      </c>
      <c r="Y1032" s="143">
        <f t="shared" ref="Y1032:Y1095" si="121">IF(B1031="Total",-1000,Y1031+Y$4)</f>
        <v>-973.10526315793754</v>
      </c>
    </row>
    <row r="1033" spans="1:25" x14ac:dyDescent="0.25">
      <c r="A1033">
        <f t="shared" si="120"/>
        <v>1026</v>
      </c>
      <c r="B1033" s="88" t="str">
        <f>IF(OR(B1032="Total",B1032=""),"",IF(VLOOKUP(A1033,Journal!$B$7:$E$84,4)=0,"Total",VLOOKUP(A1033,Journal!$B$7:$D$84,3)))</f>
        <v/>
      </c>
      <c r="C1033" s="86" t="str">
        <f>IF(B1033="","",VLOOKUP(A1033,Journal!$B$7:$E$84,4))</f>
        <v/>
      </c>
      <c r="D1033" s="114" t="str">
        <f>IF(B1033="","",VLOOKUP(A1033,Journal!$B$7:$J$84,9))</f>
        <v/>
      </c>
      <c r="E1033" s="116"/>
      <c r="F1033" s="116"/>
      <c r="G1033" s="115"/>
      <c r="H1033" s="84" t="str">
        <f>IF(B1033="","",VLOOKUP(A1033,Journal!$B$7:$L$84,11))</f>
        <v/>
      </c>
      <c r="I1033" s="84" t="str">
        <f>IF(B1033="","",VLOOKUP(A1033,Journal!$B$7:$M$84,12))</f>
        <v/>
      </c>
      <c r="J1033" s="105">
        <f>IF(B1033="Total",SUM(J$8:J1032)+0.0001,IF(OR(B1033="",I$2=I1033),0,VLOOKUP(A1033,Journal!$B$7:M$84,8)))</f>
        <v>0</v>
      </c>
      <c r="K1033" s="102">
        <f>IF(B1033="Total",SUM(K$8:K1032)+0.0001,IF(OR(B1033="",J1033&lt;&gt;0),0,VLOOKUP(A1033,Journal!$B$7:M$84,8)))</f>
        <v>0</v>
      </c>
      <c r="L1033" s="87">
        <f t="shared" si="116"/>
        <v>0</v>
      </c>
      <c r="P1033">
        <f t="shared" si="117"/>
        <v>1.0000000000000001E-5</v>
      </c>
      <c r="R1033" s="15">
        <f t="shared" si="119"/>
        <v>1026</v>
      </c>
      <c r="S1033" s="126">
        <f>IF(VLOOKUP(A1033,Journal!$A$7:$E$70,5)=0,S1032+1,VLOOKUP(A1033,Journal!$A$7:$E$70,5))</f>
        <v>46683</v>
      </c>
      <c r="T1033" s="125">
        <f>IF(H$2=VLOOKUP(A1033,Journal!$A$7:$F$70,6),VLOOKUP(A1033,Journal!$A$7:M$70,9),0)</f>
        <v>0</v>
      </c>
      <c r="U1033" s="125">
        <f>IF(H$2=VLOOKUP(A1033,Journal!$A$7:$G$70,7),VLOOKUP(A1033,Journal!$A$7:M$70,9),0)</f>
        <v>0</v>
      </c>
      <c r="V1033" s="125">
        <f t="shared" si="114"/>
        <v>40</v>
      </c>
      <c r="X1033">
        <f t="shared" si="118"/>
        <v>0</v>
      </c>
      <c r="Y1033" s="143">
        <f t="shared" si="121"/>
        <v>-973.0789473684639</v>
      </c>
    </row>
    <row r="1034" spans="1:25" x14ac:dyDescent="0.25">
      <c r="A1034">
        <f t="shared" si="120"/>
        <v>1027</v>
      </c>
      <c r="B1034" s="88" t="str">
        <f>IF(OR(B1033="Total",B1033=""),"",IF(VLOOKUP(A1034,Journal!$B$7:$E$84,4)=0,"Total",VLOOKUP(A1034,Journal!$B$7:$D$84,3)))</f>
        <v/>
      </c>
      <c r="C1034" s="86" t="str">
        <f>IF(B1034="","",VLOOKUP(A1034,Journal!$B$7:$E$84,4))</f>
        <v/>
      </c>
      <c r="D1034" s="114" t="str">
        <f>IF(B1034="","",VLOOKUP(A1034,Journal!$B$7:$J$84,9))</f>
        <v/>
      </c>
      <c r="E1034" s="116"/>
      <c r="F1034" s="116"/>
      <c r="G1034" s="115"/>
      <c r="H1034" s="84" t="str">
        <f>IF(B1034="","",VLOOKUP(A1034,Journal!$B$7:$L$84,11))</f>
        <v/>
      </c>
      <c r="I1034" s="84" t="str">
        <f>IF(B1034="","",VLOOKUP(A1034,Journal!$B$7:$M$84,12))</f>
        <v/>
      </c>
      <c r="J1034" s="105">
        <f>IF(B1034="Total",SUM(J$8:J1033)+0.0001,IF(OR(B1034="",I$2=I1034),0,VLOOKUP(A1034,Journal!$B$7:M$84,8)))</f>
        <v>0</v>
      </c>
      <c r="K1034" s="102">
        <f>IF(B1034="Total",SUM(K$8:K1033)+0.0001,IF(OR(B1034="",J1034&lt;&gt;0),0,VLOOKUP(A1034,Journal!$B$7:M$84,8)))</f>
        <v>0</v>
      </c>
      <c r="L1034" s="87">
        <f t="shared" si="116"/>
        <v>0</v>
      </c>
      <c r="P1034">
        <f t="shared" si="117"/>
        <v>1.0000000000000001E-5</v>
      </c>
      <c r="R1034" s="15">
        <f t="shared" ref="R1034:R1041" si="122">R1033+1</f>
        <v>1027</v>
      </c>
      <c r="S1034" s="126">
        <f>IF(VLOOKUP(A1034,Journal!$A$7:$E$70,5)=0,S1033+1,VLOOKUP(A1034,Journal!$A$7:$E$70,5))</f>
        <v>46684</v>
      </c>
      <c r="T1034" s="125">
        <f>IF(H$2=VLOOKUP(A1034,Journal!$A$7:$F$70,6),VLOOKUP(A1034,Journal!$A$7:M$70,9),0)</f>
        <v>0</v>
      </c>
      <c r="U1034" s="125">
        <f>IF(H$2=VLOOKUP(A1034,Journal!$A$7:$G$70,7),VLOOKUP(A1034,Journal!$A$7:M$70,9),0)</f>
        <v>0</v>
      </c>
      <c r="V1034" s="125">
        <f t="shared" ref="V1034:V1097" si="123">IF($M$1=1,V1033+T1034-U1034,V1033-T1034+U1034)</f>
        <v>40</v>
      </c>
      <c r="X1034">
        <f t="shared" si="118"/>
        <v>0</v>
      </c>
      <c r="Y1034" s="143">
        <f t="shared" si="121"/>
        <v>-973.05263157899026</v>
      </c>
    </row>
    <row r="1035" spans="1:25" x14ac:dyDescent="0.25">
      <c r="A1035">
        <f t="shared" ref="A1035:A1041" si="124">A1034+1</f>
        <v>1028</v>
      </c>
      <c r="B1035" s="88" t="str">
        <f>IF(OR(B1034="Total",B1034=""),"",IF(VLOOKUP(A1035,Journal!$B$7:$E$84,4)=0,"Total",VLOOKUP(A1035,Journal!$B$7:$D$84,3)))</f>
        <v/>
      </c>
      <c r="C1035" s="86" t="str">
        <f>IF(B1035="","",VLOOKUP(A1035,Journal!$B$7:$E$84,4))</f>
        <v/>
      </c>
      <c r="D1035" s="114" t="str">
        <f>IF(B1035="","",VLOOKUP(A1035,Journal!$B$7:$J$84,9))</f>
        <v/>
      </c>
      <c r="E1035" s="116"/>
      <c r="F1035" s="116"/>
      <c r="G1035" s="115"/>
      <c r="H1035" s="84" t="str">
        <f>IF(B1035="","",VLOOKUP(A1035,Journal!$B$7:$L$84,11))</f>
        <v/>
      </c>
      <c r="I1035" s="84" t="str">
        <f>IF(B1035="","",VLOOKUP(A1035,Journal!$B$7:$M$84,12))</f>
        <v/>
      </c>
      <c r="J1035" s="105">
        <f>IF(B1035="Total",SUM(J$8:J1034)+0.0001,IF(OR(B1035="",I$2=I1035),0,VLOOKUP(A1035,Journal!$B$7:M$84,8)))</f>
        <v>0</v>
      </c>
      <c r="K1035" s="102">
        <f>IF(B1035="Total",SUM(K$8:K1034)+0.0001,IF(OR(B1035="",J1035&lt;&gt;0),0,VLOOKUP(A1035,Journal!$B$7:M$84,8)))</f>
        <v>0</v>
      </c>
      <c r="L1035" s="87">
        <f t="shared" si="116"/>
        <v>0</v>
      </c>
      <c r="P1035">
        <f t="shared" si="117"/>
        <v>1.0000000000000001E-5</v>
      </c>
      <c r="R1035" s="15">
        <f t="shared" si="122"/>
        <v>1028</v>
      </c>
      <c r="S1035" s="126">
        <f>IF(VLOOKUP(A1035,Journal!$A$7:$E$70,5)=0,S1034+1,VLOOKUP(A1035,Journal!$A$7:$E$70,5))</f>
        <v>46685</v>
      </c>
      <c r="T1035" s="125">
        <f>IF(H$2=VLOOKUP(A1035,Journal!$A$7:$F$70,6),VLOOKUP(A1035,Journal!$A$7:M$70,9),0)</f>
        <v>0</v>
      </c>
      <c r="U1035" s="125">
        <f>IF(H$2=VLOOKUP(A1035,Journal!$A$7:$G$70,7),VLOOKUP(A1035,Journal!$A$7:M$70,9),0)</f>
        <v>0</v>
      </c>
      <c r="V1035" s="125">
        <f t="shared" si="123"/>
        <v>40</v>
      </c>
      <c r="X1035">
        <f t="shared" si="118"/>
        <v>0</v>
      </c>
      <c r="Y1035" s="143">
        <f t="shared" si="121"/>
        <v>-973.02631578951662</v>
      </c>
    </row>
    <row r="1036" spans="1:25" x14ac:dyDescent="0.25">
      <c r="A1036">
        <f t="shared" si="124"/>
        <v>1029</v>
      </c>
      <c r="B1036" s="88" t="str">
        <f>IF(OR(B1035="Total",B1035=""),"",IF(VLOOKUP(A1036,Journal!$B$7:$E$84,4)=0,"Total",VLOOKUP(A1036,Journal!$B$7:$D$84,3)))</f>
        <v/>
      </c>
      <c r="C1036" s="86" t="str">
        <f>IF(B1036="","",VLOOKUP(A1036,Journal!$B$7:$E$84,4))</f>
        <v/>
      </c>
      <c r="D1036" s="114" t="str">
        <f>IF(B1036="","",VLOOKUP(A1036,Journal!$B$7:$J$84,9))</f>
        <v/>
      </c>
      <c r="E1036" s="116"/>
      <c r="F1036" s="116"/>
      <c r="G1036" s="115"/>
      <c r="H1036" s="84" t="str">
        <f>IF(B1036="","",VLOOKUP(A1036,Journal!$B$7:$L$84,11))</f>
        <v/>
      </c>
      <c r="I1036" s="84" t="str">
        <f>IF(B1036="","",VLOOKUP(A1036,Journal!$B$7:$M$84,12))</f>
        <v/>
      </c>
      <c r="J1036" s="105">
        <f>IF(B1036="Total",SUM(J$8:J1035)+0.0001,IF(OR(B1036="",I$2=I1036),0,VLOOKUP(A1036,Journal!$B$7:M$84,8)))</f>
        <v>0</v>
      </c>
      <c r="K1036" s="102">
        <f>IF(B1036="Total",SUM(K$8:K1035)+0.0001,IF(OR(B1036="",J1036&lt;&gt;0),0,VLOOKUP(A1036,Journal!$B$7:M$84,8)))</f>
        <v>0</v>
      </c>
      <c r="L1036" s="87">
        <f t="shared" si="116"/>
        <v>0</v>
      </c>
      <c r="P1036">
        <f t="shared" si="117"/>
        <v>1.0000000000000001E-5</v>
      </c>
      <c r="R1036" s="15">
        <f t="shared" si="122"/>
        <v>1029</v>
      </c>
      <c r="S1036" s="126">
        <f>IF(VLOOKUP(A1036,Journal!$A$7:$E$70,5)=0,S1035+1,VLOOKUP(A1036,Journal!$A$7:$E$70,5))</f>
        <v>46686</v>
      </c>
      <c r="T1036" s="125">
        <f>IF(H$2=VLOOKUP(A1036,Journal!$A$7:$F$70,6),VLOOKUP(A1036,Journal!$A$7:M$70,9),0)</f>
        <v>0</v>
      </c>
      <c r="U1036" s="125">
        <f>IF(H$2=VLOOKUP(A1036,Journal!$A$7:$G$70,7),VLOOKUP(A1036,Journal!$A$7:M$70,9),0)</f>
        <v>0</v>
      </c>
      <c r="V1036" s="125">
        <f t="shared" si="123"/>
        <v>40</v>
      </c>
      <c r="X1036">
        <f t="shared" si="118"/>
        <v>0</v>
      </c>
      <c r="Y1036" s="143">
        <f t="shared" si="121"/>
        <v>-973.00000000004297</v>
      </c>
    </row>
    <row r="1037" spans="1:25" x14ac:dyDescent="0.25">
      <c r="A1037">
        <f t="shared" si="124"/>
        <v>1030</v>
      </c>
      <c r="B1037" s="88" t="str">
        <f>IF(OR(B1036="Total",B1036=""),"",IF(VLOOKUP(A1037,Journal!$B$7:$E$84,4)=0,"Total",VLOOKUP(A1037,Journal!$B$7:$D$84,3)))</f>
        <v/>
      </c>
      <c r="C1037" s="86" t="str">
        <f>IF(B1037="","",VLOOKUP(A1037,Journal!$B$7:$E$84,4))</f>
        <v/>
      </c>
      <c r="D1037" s="114" t="str">
        <f>IF(B1037="","",VLOOKUP(A1037,Journal!$B$7:$J$84,9))</f>
        <v/>
      </c>
      <c r="E1037" s="116"/>
      <c r="F1037" s="116"/>
      <c r="G1037" s="115"/>
      <c r="H1037" s="84" t="str">
        <f>IF(B1037="","",VLOOKUP(A1037,Journal!$B$7:$L$84,11))</f>
        <v/>
      </c>
      <c r="I1037" s="84" t="str">
        <f>IF(B1037="","",VLOOKUP(A1037,Journal!$B$7:$M$84,12))</f>
        <v/>
      </c>
      <c r="J1037" s="105">
        <f>IF(B1037="Total",SUM(J$8:J1036)+0.0001,IF(OR(B1037="",I$2=I1037),0,VLOOKUP(A1037,Journal!$B$7:M$84,8)))</f>
        <v>0</v>
      </c>
      <c r="K1037" s="102">
        <f>IF(B1037="Total",SUM(K$8:K1036)+0.0001,IF(OR(B1037="",J1037&lt;&gt;0),0,VLOOKUP(A1037,Journal!$B$7:M$84,8)))</f>
        <v>0</v>
      </c>
      <c r="L1037" s="87">
        <f t="shared" si="116"/>
        <v>0</v>
      </c>
      <c r="P1037">
        <f t="shared" si="117"/>
        <v>1.0000000000000001E-5</v>
      </c>
      <c r="R1037" s="15">
        <f t="shared" si="122"/>
        <v>1030</v>
      </c>
      <c r="S1037" s="126">
        <f>IF(VLOOKUP(A1037,Journal!$A$7:$E$70,5)=0,S1036+1,VLOOKUP(A1037,Journal!$A$7:$E$70,5))</f>
        <v>46687</v>
      </c>
      <c r="T1037" s="125">
        <f>IF(H$2=VLOOKUP(A1037,Journal!$A$7:$F$70,6),VLOOKUP(A1037,Journal!$A$7:M$70,9),0)</f>
        <v>0</v>
      </c>
      <c r="U1037" s="125">
        <f>IF(H$2=VLOOKUP(A1037,Journal!$A$7:$G$70,7),VLOOKUP(A1037,Journal!$A$7:M$70,9),0)</f>
        <v>0</v>
      </c>
      <c r="V1037" s="125">
        <f t="shared" si="123"/>
        <v>40</v>
      </c>
      <c r="X1037">
        <f t="shared" si="118"/>
        <v>0</v>
      </c>
      <c r="Y1037" s="143">
        <f t="shared" si="121"/>
        <v>-972.97368421056933</v>
      </c>
    </row>
    <row r="1038" spans="1:25" x14ac:dyDescent="0.25">
      <c r="A1038">
        <f t="shared" si="124"/>
        <v>1031</v>
      </c>
      <c r="B1038" s="88" t="str">
        <f>IF(OR(B1037="Total",B1037=""),"",IF(VLOOKUP(A1038,Journal!$B$7:$E$84,4)=0,"Total",VLOOKUP(A1038,Journal!$B$7:$D$84,3)))</f>
        <v/>
      </c>
      <c r="C1038" s="86" t="str">
        <f>IF(B1038="","",VLOOKUP(A1038,Journal!$B$7:$E$84,4))</f>
        <v/>
      </c>
      <c r="D1038" s="114" t="str">
        <f>IF(B1038="","",VLOOKUP(A1038,Journal!$B$7:$J$84,9))</f>
        <v/>
      </c>
      <c r="E1038" s="116"/>
      <c r="F1038" s="116"/>
      <c r="G1038" s="115"/>
      <c r="H1038" s="84" t="str">
        <f>IF(B1038="","",VLOOKUP(A1038,Journal!$B$7:$L$84,11))</f>
        <v/>
      </c>
      <c r="I1038" s="84" t="str">
        <f>IF(B1038="","",VLOOKUP(A1038,Journal!$B$7:$M$84,12))</f>
        <v/>
      </c>
      <c r="J1038" s="105">
        <f>IF(B1038="Total",SUM(J$8:J1037)+0.0001,IF(OR(B1038="",I$2=I1038),0,VLOOKUP(A1038,Journal!$B$7:M$84,8)))</f>
        <v>0</v>
      </c>
      <c r="K1038" s="102">
        <f>IF(B1038="Total",SUM(K$8:K1037)+0.0001,IF(OR(B1038="",J1038&lt;&gt;0),0,VLOOKUP(A1038,Journal!$B$7:M$84,8)))</f>
        <v>0</v>
      </c>
      <c r="L1038" s="87">
        <f t="shared" si="116"/>
        <v>0</v>
      </c>
      <c r="P1038">
        <f t="shared" si="117"/>
        <v>1.0000000000000001E-5</v>
      </c>
      <c r="R1038" s="15">
        <f t="shared" si="122"/>
        <v>1031</v>
      </c>
      <c r="S1038" s="126">
        <f>IF(VLOOKUP(A1038,Journal!$A$7:$E$70,5)=0,S1037+1,VLOOKUP(A1038,Journal!$A$7:$E$70,5))</f>
        <v>46688</v>
      </c>
      <c r="T1038" s="125">
        <f>IF(H$2=VLOOKUP(A1038,Journal!$A$7:$F$70,6),VLOOKUP(A1038,Journal!$A$7:M$70,9),0)</f>
        <v>0</v>
      </c>
      <c r="U1038" s="125">
        <f>IF(H$2=VLOOKUP(A1038,Journal!$A$7:$G$70,7),VLOOKUP(A1038,Journal!$A$7:M$70,9),0)</f>
        <v>0</v>
      </c>
      <c r="V1038" s="125">
        <f t="shared" si="123"/>
        <v>40</v>
      </c>
      <c r="X1038">
        <f t="shared" si="118"/>
        <v>0</v>
      </c>
      <c r="Y1038" s="143">
        <f t="shared" si="121"/>
        <v>-972.94736842109569</v>
      </c>
    </row>
    <row r="1039" spans="1:25" x14ac:dyDescent="0.25">
      <c r="A1039">
        <f t="shared" si="124"/>
        <v>1032</v>
      </c>
      <c r="B1039" s="88" t="str">
        <f>IF(OR(B1038="Total",B1038=""),"",IF(VLOOKUP(A1039,Journal!$B$7:$E$84,4)=0,"Total",VLOOKUP(A1039,Journal!$B$7:$D$84,3)))</f>
        <v/>
      </c>
      <c r="C1039" s="86" t="str">
        <f>IF(B1039="","",VLOOKUP(A1039,Journal!$B$7:$E$84,4))</f>
        <v/>
      </c>
      <c r="D1039" s="114" t="str">
        <f>IF(B1039="","",VLOOKUP(A1039,Journal!$B$7:$J$84,9))</f>
        <v/>
      </c>
      <c r="E1039" s="116"/>
      <c r="F1039" s="116"/>
      <c r="G1039" s="115"/>
      <c r="H1039" s="84" t="str">
        <f>IF(B1039="","",VLOOKUP(A1039,Journal!$B$7:$L$84,11))</f>
        <v/>
      </c>
      <c r="I1039" s="84" t="str">
        <f>IF(B1039="","",VLOOKUP(A1039,Journal!$B$7:$M$84,12))</f>
        <v/>
      </c>
      <c r="J1039" s="105">
        <f>IF(B1039="Total",SUM(J$8:J1038)+0.0001,IF(OR(B1039="",I$2=I1039),0,VLOOKUP(A1039,Journal!$B$7:M$84,8)))</f>
        <v>0</v>
      </c>
      <c r="K1039" s="102">
        <f>IF(B1039="Total",SUM(K$8:K1038)+0.0001,IF(OR(B1039="",J1039&lt;&gt;0),0,VLOOKUP(A1039,Journal!$B$7:M$84,8)))</f>
        <v>0</v>
      </c>
      <c r="L1039" s="87">
        <f t="shared" si="116"/>
        <v>0</v>
      </c>
      <c r="P1039">
        <f t="shared" si="117"/>
        <v>1.0000000000000001E-5</v>
      </c>
      <c r="R1039" s="15">
        <f t="shared" si="122"/>
        <v>1032</v>
      </c>
      <c r="S1039" s="126">
        <f>IF(VLOOKUP(A1039,Journal!$A$7:$E$70,5)=0,S1038+1,VLOOKUP(A1039,Journal!$A$7:$E$70,5))</f>
        <v>46689</v>
      </c>
      <c r="T1039" s="125">
        <f>IF(H$2=VLOOKUP(A1039,Journal!$A$7:$F$70,6),VLOOKUP(A1039,Journal!$A$7:M$70,9),0)</f>
        <v>0</v>
      </c>
      <c r="U1039" s="125">
        <f>IF(H$2=VLOOKUP(A1039,Journal!$A$7:$G$70,7),VLOOKUP(A1039,Journal!$A$7:M$70,9),0)</f>
        <v>0</v>
      </c>
      <c r="V1039" s="125">
        <f t="shared" si="123"/>
        <v>40</v>
      </c>
      <c r="X1039">
        <f t="shared" si="118"/>
        <v>0</v>
      </c>
      <c r="Y1039" s="143">
        <f t="shared" si="121"/>
        <v>-972.92105263162205</v>
      </c>
    </row>
    <row r="1040" spans="1:25" x14ac:dyDescent="0.25">
      <c r="A1040">
        <f t="shared" si="124"/>
        <v>1033</v>
      </c>
      <c r="B1040" s="88" t="str">
        <f>IF(OR(B1039="Total",B1039=""),"",IF(VLOOKUP(A1040,Journal!$B$7:$E$84,4)=0,"Total",VLOOKUP(A1040,Journal!$B$7:$D$84,3)))</f>
        <v/>
      </c>
      <c r="C1040" s="86" t="str">
        <f>IF(B1040="","",VLOOKUP(A1040,Journal!$B$7:$E$84,4))</f>
        <v/>
      </c>
      <c r="D1040" s="114" t="str">
        <f>IF(B1040="","",VLOOKUP(A1040,Journal!$B$7:$J$84,9))</f>
        <v/>
      </c>
      <c r="E1040" s="116"/>
      <c r="F1040" s="116"/>
      <c r="G1040" s="115"/>
      <c r="H1040" s="84" t="str">
        <f>IF(B1040="","",VLOOKUP(A1040,Journal!$B$7:$L$84,11))</f>
        <v/>
      </c>
      <c r="I1040" s="84" t="str">
        <f>IF(B1040="","",VLOOKUP(A1040,Journal!$B$7:$M$84,12))</f>
        <v/>
      </c>
      <c r="J1040" s="105">
        <f>IF(B1040="Total",SUM(J$8:J1039)+0.0001,IF(OR(B1040="",I$2=I1040),0,VLOOKUP(A1040,Journal!$B$7:M$84,8)))</f>
        <v>0</v>
      </c>
      <c r="K1040" s="102">
        <f>IF(B1040="Total",SUM(K$8:K1039)+0.0001,IF(OR(B1040="",J1040&lt;&gt;0),0,VLOOKUP(A1040,Journal!$B$7:M$84,8)))</f>
        <v>0</v>
      </c>
      <c r="L1040" s="87">
        <f t="shared" si="116"/>
        <v>0</v>
      </c>
      <c r="P1040">
        <f t="shared" si="117"/>
        <v>1.0000000000000001E-5</v>
      </c>
      <c r="R1040" s="15">
        <f t="shared" si="122"/>
        <v>1033</v>
      </c>
      <c r="S1040" s="126">
        <f>IF(VLOOKUP(A1040,Journal!$A$7:$E$70,5)=0,S1039+1,VLOOKUP(A1040,Journal!$A$7:$E$70,5))</f>
        <v>46690</v>
      </c>
      <c r="T1040" s="125">
        <f>IF(H$2=VLOOKUP(A1040,Journal!$A$7:$F$70,6),VLOOKUP(A1040,Journal!$A$7:M$70,9),0)</f>
        <v>0</v>
      </c>
      <c r="U1040" s="125">
        <f>IF(H$2=VLOOKUP(A1040,Journal!$A$7:$G$70,7),VLOOKUP(A1040,Journal!$A$7:M$70,9),0)</f>
        <v>0</v>
      </c>
      <c r="V1040" s="125">
        <f t="shared" si="123"/>
        <v>40</v>
      </c>
      <c r="X1040">
        <f t="shared" si="118"/>
        <v>0</v>
      </c>
      <c r="Y1040" s="143">
        <f t="shared" si="121"/>
        <v>-972.8947368421484</v>
      </c>
    </row>
    <row r="1041" spans="1:25" x14ac:dyDescent="0.25">
      <c r="A1041">
        <f t="shared" si="124"/>
        <v>1034</v>
      </c>
      <c r="B1041" s="88" t="str">
        <f>IF(OR(B1040="Total",B1040=""),"",IF(VLOOKUP(A1041,Journal!$B$7:$E$84,4)=0,"Total",VLOOKUP(A1041,Journal!$B$7:$D$84,3)))</f>
        <v/>
      </c>
      <c r="C1041" s="86" t="str">
        <f>IF(B1041="","",VLOOKUP(A1041,Journal!$B$7:$E$84,4))</f>
        <v/>
      </c>
      <c r="D1041" s="114" t="str">
        <f>IF(B1041="","",VLOOKUP(A1041,Journal!$B$7:$J$84,9))</f>
        <v/>
      </c>
      <c r="E1041" s="116"/>
      <c r="F1041" s="116"/>
      <c r="G1041" s="115"/>
      <c r="H1041" s="84" t="str">
        <f>IF(B1041="","",VLOOKUP(A1041,Journal!$B$7:$L$84,11))</f>
        <v/>
      </c>
      <c r="I1041" s="84" t="str">
        <f>IF(B1041="","",VLOOKUP(A1041,Journal!$B$7:$M$84,12))</f>
        <v/>
      </c>
      <c r="J1041" s="105">
        <f>IF(B1041="Total",SUM(J$8:J1040)+0.0001,IF(OR(B1041="",I$2=I1041),0,VLOOKUP(A1041,Journal!$B$7:M$84,8)))</f>
        <v>0</v>
      </c>
      <c r="K1041" s="102">
        <f>IF(B1041="Total",SUM(K$8:K1040)+0.0001,IF(OR(B1041="",J1041&lt;&gt;0),0,VLOOKUP(A1041,Journal!$B$7:M$84,8)))</f>
        <v>0</v>
      </c>
      <c r="L1041" s="87">
        <f t="shared" si="116"/>
        <v>0</v>
      </c>
      <c r="P1041">
        <f t="shared" si="117"/>
        <v>1.0000000000000001E-5</v>
      </c>
      <c r="R1041" s="15">
        <f t="shared" si="122"/>
        <v>1034</v>
      </c>
      <c r="S1041" s="126">
        <f>IF(VLOOKUP(A1041,Journal!$A$7:$E$70,5)=0,S1040+1,VLOOKUP(A1041,Journal!$A$7:$E$70,5))</f>
        <v>46691</v>
      </c>
      <c r="T1041" s="125">
        <f>IF(H$2=VLOOKUP(A1041,Journal!$A$7:$F$70,6),VLOOKUP(A1041,Journal!$A$7:M$70,9),0)</f>
        <v>0</v>
      </c>
      <c r="U1041" s="125">
        <f>IF(H$2=VLOOKUP(A1041,Journal!$A$7:$G$70,7),VLOOKUP(A1041,Journal!$A$7:M$70,9),0)</f>
        <v>0</v>
      </c>
      <c r="V1041" s="125">
        <f t="shared" si="123"/>
        <v>40</v>
      </c>
      <c r="X1041">
        <f t="shared" si="118"/>
        <v>0</v>
      </c>
      <c r="Y1041" s="143">
        <f t="shared" si="121"/>
        <v>-972.86842105267476</v>
      </c>
    </row>
    <row r="1042" spans="1:25" x14ac:dyDescent="0.25">
      <c r="A1042">
        <f t="shared" ref="A1042:A1105" si="125">A1041+1</f>
        <v>1035</v>
      </c>
      <c r="B1042" s="88" t="str">
        <f>IF(OR(B1041="Total",B1041=""),"",IF(VLOOKUP(A1042,Journal!$B$7:$E$84,4)=0,"Total",VLOOKUP(A1042,Journal!$B$7:$D$84,3)))</f>
        <v/>
      </c>
      <c r="C1042" s="86" t="str">
        <f>IF(B1042="","",VLOOKUP(A1042,Journal!$B$7:$E$84,4))</f>
        <v/>
      </c>
      <c r="D1042" s="114" t="str">
        <f>IF(B1042="","",VLOOKUP(A1042,Journal!$B$7:$J$84,9))</f>
        <v/>
      </c>
      <c r="E1042" s="116"/>
      <c r="F1042" s="116"/>
      <c r="G1042" s="115"/>
      <c r="H1042" s="84" t="str">
        <f>IF(B1042="","",VLOOKUP(A1042,Journal!$B$7:$L$84,11))</f>
        <v/>
      </c>
      <c r="I1042" s="84" t="str">
        <f>IF(B1042="","",VLOOKUP(A1042,Journal!$B$7:$M$84,12))</f>
        <v/>
      </c>
      <c r="J1042" s="105">
        <f>IF(B1042="Total",SUM(J$8:J1041)+0.0001,IF(OR(B1042="",I$2=I1042),0,VLOOKUP(A1042,Journal!$B$7:M$84,8)))</f>
        <v>0</v>
      </c>
      <c r="K1042" s="102">
        <f>IF(B1042="Total",SUM(K$8:K1041)+0.0001,IF(OR(B1042="",J1042&lt;&gt;0),0,VLOOKUP(A1042,Journal!$B$7:M$84,8)))</f>
        <v>0</v>
      </c>
      <c r="L1042" s="87">
        <f t="shared" ref="L1042:L1105" si="126">IF(B1042="Total",L1041,IF(B1042="",0,IF($M$1=1,L1041+J1042-K1042,L1041-J1042+K1042)))</f>
        <v>0</v>
      </c>
      <c r="P1042">
        <f t="shared" ref="P1042:P1105" si="127">IF(L1041=L1042,L1041+0.00001,L1042)</f>
        <v>1.0000000000000001E-5</v>
      </c>
      <c r="R1042" s="15">
        <f t="shared" ref="R1042:R1105" si="128">R1041+1</f>
        <v>1035</v>
      </c>
      <c r="S1042" s="126">
        <f>IF(VLOOKUP(A1042,Journal!$A$7:$E$70,5)=0,S1041+1,VLOOKUP(A1042,Journal!$A$7:$E$70,5))</f>
        <v>46692</v>
      </c>
      <c r="T1042" s="125">
        <f>IF(H$2=VLOOKUP(A1042,Journal!$A$7:$F$70,6),VLOOKUP(A1042,Journal!$A$7:M$70,9),0)</f>
        <v>0</v>
      </c>
      <c r="U1042" s="125">
        <f>IF(H$2=VLOOKUP(A1042,Journal!$A$7:$G$70,7),VLOOKUP(A1042,Journal!$A$7:M$70,9),0)</f>
        <v>0</v>
      </c>
      <c r="V1042" s="125">
        <f t="shared" si="123"/>
        <v>40</v>
      </c>
      <c r="X1042">
        <f t="shared" ref="X1042:X1105" si="129">IF(J$2&gt;S1042,1,0)</f>
        <v>0</v>
      </c>
      <c r="Y1042" s="143">
        <f t="shared" si="121"/>
        <v>-972.84210526320112</v>
      </c>
    </row>
    <row r="1043" spans="1:25" x14ac:dyDescent="0.25">
      <c r="A1043">
        <f t="shared" si="125"/>
        <v>1036</v>
      </c>
      <c r="B1043" s="88" t="str">
        <f>IF(OR(B1042="Total",B1042=""),"",IF(VLOOKUP(A1043,Journal!$B$7:$E$84,4)=0,"Total",VLOOKUP(A1043,Journal!$B$7:$D$84,3)))</f>
        <v/>
      </c>
      <c r="C1043" s="86" t="str">
        <f>IF(B1043="","",VLOOKUP(A1043,Journal!$B$7:$E$84,4))</f>
        <v/>
      </c>
      <c r="D1043" s="114" t="str">
        <f>IF(B1043="","",VLOOKUP(A1043,Journal!$B$7:$J$84,9))</f>
        <v/>
      </c>
      <c r="E1043" s="116"/>
      <c r="F1043" s="116"/>
      <c r="G1043" s="115"/>
      <c r="H1043" s="84" t="str">
        <f>IF(B1043="","",VLOOKUP(A1043,Journal!$B$7:$L$84,11))</f>
        <v/>
      </c>
      <c r="I1043" s="84" t="str">
        <f>IF(B1043="","",VLOOKUP(A1043,Journal!$B$7:$M$84,12))</f>
        <v/>
      </c>
      <c r="J1043" s="105">
        <f>IF(B1043="Total",SUM(J$8:J1042)+0.0001,IF(OR(B1043="",I$2=I1043),0,VLOOKUP(A1043,Journal!$B$7:M$84,8)))</f>
        <v>0</v>
      </c>
      <c r="K1043" s="102">
        <f>IF(B1043="Total",SUM(K$8:K1042)+0.0001,IF(OR(B1043="",J1043&lt;&gt;0),0,VLOOKUP(A1043,Journal!$B$7:M$84,8)))</f>
        <v>0</v>
      </c>
      <c r="L1043" s="87">
        <f t="shared" si="126"/>
        <v>0</v>
      </c>
      <c r="P1043">
        <f t="shared" si="127"/>
        <v>1.0000000000000001E-5</v>
      </c>
      <c r="R1043" s="15">
        <f t="shared" si="128"/>
        <v>1036</v>
      </c>
      <c r="S1043" s="126">
        <f>IF(VLOOKUP(A1043,Journal!$A$7:$E$70,5)=0,S1042+1,VLOOKUP(A1043,Journal!$A$7:$E$70,5))</f>
        <v>46693</v>
      </c>
      <c r="T1043" s="125">
        <f>IF(H$2=VLOOKUP(A1043,Journal!$A$7:$F$70,6),VLOOKUP(A1043,Journal!$A$7:M$70,9),0)</f>
        <v>0</v>
      </c>
      <c r="U1043" s="125">
        <f>IF(H$2=VLOOKUP(A1043,Journal!$A$7:$G$70,7),VLOOKUP(A1043,Journal!$A$7:M$70,9),0)</f>
        <v>0</v>
      </c>
      <c r="V1043" s="125">
        <f t="shared" si="123"/>
        <v>40</v>
      </c>
      <c r="X1043">
        <f t="shared" si="129"/>
        <v>0</v>
      </c>
      <c r="Y1043" s="143">
        <f t="shared" si="121"/>
        <v>-972.81578947372748</v>
      </c>
    </row>
    <row r="1044" spans="1:25" x14ac:dyDescent="0.25">
      <c r="A1044">
        <f t="shared" si="125"/>
        <v>1037</v>
      </c>
      <c r="B1044" s="88" t="str">
        <f>IF(OR(B1043="Total",B1043=""),"",IF(VLOOKUP(A1044,Journal!$B$7:$E$84,4)=0,"Total",VLOOKUP(A1044,Journal!$B$7:$D$84,3)))</f>
        <v/>
      </c>
      <c r="C1044" s="86" t="str">
        <f>IF(B1044="","",VLOOKUP(A1044,Journal!$B$7:$E$84,4))</f>
        <v/>
      </c>
      <c r="D1044" s="114" t="str">
        <f>IF(B1044="","",VLOOKUP(A1044,Journal!$B$7:$J$84,9))</f>
        <v/>
      </c>
      <c r="E1044" s="116"/>
      <c r="F1044" s="116"/>
      <c r="G1044" s="115"/>
      <c r="H1044" s="84" t="str">
        <f>IF(B1044="","",VLOOKUP(A1044,Journal!$B$7:$L$84,11))</f>
        <v/>
      </c>
      <c r="I1044" s="84" t="str">
        <f>IF(B1044="","",VLOOKUP(A1044,Journal!$B$7:$M$84,12))</f>
        <v/>
      </c>
      <c r="J1044" s="105">
        <f>IF(B1044="Total",SUM(J$8:J1043)+0.0001,IF(OR(B1044="",I$2=I1044),0,VLOOKUP(A1044,Journal!$B$7:M$84,8)))</f>
        <v>0</v>
      </c>
      <c r="K1044" s="102">
        <f>IF(B1044="Total",SUM(K$8:K1043)+0.0001,IF(OR(B1044="",J1044&lt;&gt;0),0,VLOOKUP(A1044,Journal!$B$7:M$84,8)))</f>
        <v>0</v>
      </c>
      <c r="L1044" s="87">
        <f t="shared" si="126"/>
        <v>0</v>
      </c>
      <c r="P1044">
        <f t="shared" si="127"/>
        <v>1.0000000000000001E-5</v>
      </c>
      <c r="R1044" s="15">
        <f t="shared" si="128"/>
        <v>1037</v>
      </c>
      <c r="S1044" s="126">
        <f>IF(VLOOKUP(A1044,Journal!$A$7:$E$70,5)=0,S1043+1,VLOOKUP(A1044,Journal!$A$7:$E$70,5))</f>
        <v>46694</v>
      </c>
      <c r="T1044" s="125">
        <f>IF(H$2=VLOOKUP(A1044,Journal!$A$7:$F$70,6),VLOOKUP(A1044,Journal!$A$7:M$70,9),0)</f>
        <v>0</v>
      </c>
      <c r="U1044" s="125">
        <f>IF(H$2=VLOOKUP(A1044,Journal!$A$7:$G$70,7),VLOOKUP(A1044,Journal!$A$7:M$70,9),0)</f>
        <v>0</v>
      </c>
      <c r="V1044" s="125">
        <f t="shared" si="123"/>
        <v>40</v>
      </c>
      <c r="X1044">
        <f t="shared" si="129"/>
        <v>0</v>
      </c>
      <c r="Y1044" s="143">
        <f t="shared" si="121"/>
        <v>-972.78947368425384</v>
      </c>
    </row>
    <row r="1045" spans="1:25" x14ac:dyDescent="0.25">
      <c r="A1045">
        <f t="shared" si="125"/>
        <v>1038</v>
      </c>
      <c r="B1045" s="88" t="str">
        <f>IF(OR(B1044="Total",B1044=""),"",IF(VLOOKUP(A1045,Journal!$B$7:$E$84,4)=0,"Total",VLOOKUP(A1045,Journal!$B$7:$D$84,3)))</f>
        <v/>
      </c>
      <c r="C1045" s="86" t="str">
        <f>IF(B1045="","",VLOOKUP(A1045,Journal!$B$7:$E$84,4))</f>
        <v/>
      </c>
      <c r="D1045" s="114" t="str">
        <f>IF(B1045="","",VLOOKUP(A1045,Journal!$B$7:$J$84,9))</f>
        <v/>
      </c>
      <c r="E1045" s="116"/>
      <c r="F1045" s="116"/>
      <c r="G1045" s="115"/>
      <c r="H1045" s="84" t="str">
        <f>IF(B1045="","",VLOOKUP(A1045,Journal!$B$7:$L$84,11))</f>
        <v/>
      </c>
      <c r="I1045" s="84" t="str">
        <f>IF(B1045="","",VLOOKUP(A1045,Journal!$B$7:$M$84,12))</f>
        <v/>
      </c>
      <c r="J1045" s="105">
        <f>IF(B1045="Total",SUM(J$8:J1044)+0.0001,IF(OR(B1045="",I$2=I1045),0,VLOOKUP(A1045,Journal!$B$7:M$84,8)))</f>
        <v>0</v>
      </c>
      <c r="K1045" s="102">
        <f>IF(B1045="Total",SUM(K$8:K1044)+0.0001,IF(OR(B1045="",J1045&lt;&gt;0),0,VLOOKUP(A1045,Journal!$B$7:M$84,8)))</f>
        <v>0</v>
      </c>
      <c r="L1045" s="87">
        <f t="shared" si="126"/>
        <v>0</v>
      </c>
      <c r="P1045">
        <f t="shared" si="127"/>
        <v>1.0000000000000001E-5</v>
      </c>
      <c r="R1045" s="15">
        <f t="shared" si="128"/>
        <v>1038</v>
      </c>
      <c r="S1045" s="126">
        <f>IF(VLOOKUP(A1045,Journal!$A$7:$E$70,5)=0,S1044+1,VLOOKUP(A1045,Journal!$A$7:$E$70,5))</f>
        <v>46695</v>
      </c>
      <c r="T1045" s="125">
        <f>IF(H$2=VLOOKUP(A1045,Journal!$A$7:$F$70,6),VLOOKUP(A1045,Journal!$A$7:M$70,9),0)</f>
        <v>0</v>
      </c>
      <c r="U1045" s="125">
        <f>IF(H$2=VLOOKUP(A1045,Journal!$A$7:$G$70,7),VLOOKUP(A1045,Journal!$A$7:M$70,9),0)</f>
        <v>0</v>
      </c>
      <c r="V1045" s="125">
        <f t="shared" si="123"/>
        <v>40</v>
      </c>
      <c r="X1045">
        <f t="shared" si="129"/>
        <v>0</v>
      </c>
      <c r="Y1045" s="143">
        <f t="shared" si="121"/>
        <v>-972.76315789478019</v>
      </c>
    </row>
    <row r="1046" spans="1:25" x14ac:dyDescent="0.25">
      <c r="A1046">
        <f t="shared" si="125"/>
        <v>1039</v>
      </c>
      <c r="B1046" s="88" t="str">
        <f>IF(OR(B1045="Total",B1045=""),"",IF(VLOOKUP(A1046,Journal!$B$7:$E$84,4)=0,"Total",VLOOKUP(A1046,Journal!$B$7:$D$84,3)))</f>
        <v/>
      </c>
      <c r="C1046" s="86" t="str">
        <f>IF(B1046="","",VLOOKUP(A1046,Journal!$B$7:$E$84,4))</f>
        <v/>
      </c>
      <c r="D1046" s="114" t="str">
        <f>IF(B1046="","",VLOOKUP(A1046,Journal!$B$7:$J$84,9))</f>
        <v/>
      </c>
      <c r="E1046" s="116"/>
      <c r="F1046" s="116"/>
      <c r="G1046" s="115"/>
      <c r="H1046" s="84" t="str">
        <f>IF(B1046="","",VLOOKUP(A1046,Journal!$B$7:$L$84,11))</f>
        <v/>
      </c>
      <c r="I1046" s="84" t="str">
        <f>IF(B1046="","",VLOOKUP(A1046,Journal!$B$7:$M$84,12))</f>
        <v/>
      </c>
      <c r="J1046" s="105">
        <f>IF(B1046="Total",SUM(J$8:J1045)+0.0001,IF(OR(B1046="",I$2=I1046),0,VLOOKUP(A1046,Journal!$B$7:M$84,8)))</f>
        <v>0</v>
      </c>
      <c r="K1046" s="102">
        <f>IF(B1046="Total",SUM(K$8:K1045)+0.0001,IF(OR(B1046="",J1046&lt;&gt;0),0,VLOOKUP(A1046,Journal!$B$7:M$84,8)))</f>
        <v>0</v>
      </c>
      <c r="L1046" s="87">
        <f t="shared" si="126"/>
        <v>0</v>
      </c>
      <c r="P1046">
        <f t="shared" si="127"/>
        <v>1.0000000000000001E-5</v>
      </c>
      <c r="R1046" s="15">
        <f t="shared" si="128"/>
        <v>1039</v>
      </c>
      <c r="S1046" s="126">
        <f>IF(VLOOKUP(A1046,Journal!$A$7:$E$70,5)=0,S1045+1,VLOOKUP(A1046,Journal!$A$7:$E$70,5))</f>
        <v>46696</v>
      </c>
      <c r="T1046" s="125">
        <f>IF(H$2=VLOOKUP(A1046,Journal!$A$7:$F$70,6),VLOOKUP(A1046,Journal!$A$7:M$70,9),0)</f>
        <v>0</v>
      </c>
      <c r="U1046" s="125">
        <f>IF(H$2=VLOOKUP(A1046,Journal!$A$7:$G$70,7),VLOOKUP(A1046,Journal!$A$7:M$70,9),0)</f>
        <v>0</v>
      </c>
      <c r="V1046" s="125">
        <f t="shared" si="123"/>
        <v>40</v>
      </c>
      <c r="X1046">
        <f t="shared" si="129"/>
        <v>0</v>
      </c>
      <c r="Y1046" s="143">
        <f t="shared" si="121"/>
        <v>-972.73684210530655</v>
      </c>
    </row>
    <row r="1047" spans="1:25" x14ac:dyDescent="0.25">
      <c r="A1047">
        <f t="shared" si="125"/>
        <v>1040</v>
      </c>
      <c r="B1047" s="88" t="str">
        <f>IF(OR(B1046="Total",B1046=""),"",IF(VLOOKUP(A1047,Journal!$B$7:$E$84,4)=0,"Total",VLOOKUP(A1047,Journal!$B$7:$D$84,3)))</f>
        <v/>
      </c>
      <c r="C1047" s="86" t="str">
        <f>IF(B1047="","",VLOOKUP(A1047,Journal!$B$7:$E$84,4))</f>
        <v/>
      </c>
      <c r="D1047" s="114" t="str">
        <f>IF(B1047="","",VLOOKUP(A1047,Journal!$B$7:$J$84,9))</f>
        <v/>
      </c>
      <c r="E1047" s="116"/>
      <c r="F1047" s="116"/>
      <c r="G1047" s="115"/>
      <c r="H1047" s="84" t="str">
        <f>IF(B1047="","",VLOOKUP(A1047,Journal!$B$7:$L$84,11))</f>
        <v/>
      </c>
      <c r="I1047" s="84" t="str">
        <f>IF(B1047="","",VLOOKUP(A1047,Journal!$B$7:$M$84,12))</f>
        <v/>
      </c>
      <c r="J1047" s="105">
        <f>IF(B1047="Total",SUM(J$8:J1046)+0.0001,IF(OR(B1047="",I$2=I1047),0,VLOOKUP(A1047,Journal!$B$7:M$84,8)))</f>
        <v>0</v>
      </c>
      <c r="K1047" s="102">
        <f>IF(B1047="Total",SUM(K$8:K1046)+0.0001,IF(OR(B1047="",J1047&lt;&gt;0),0,VLOOKUP(A1047,Journal!$B$7:M$84,8)))</f>
        <v>0</v>
      </c>
      <c r="L1047" s="87">
        <f t="shared" si="126"/>
        <v>0</v>
      </c>
      <c r="P1047">
        <f t="shared" si="127"/>
        <v>1.0000000000000001E-5</v>
      </c>
      <c r="R1047" s="15">
        <f t="shared" si="128"/>
        <v>1040</v>
      </c>
      <c r="S1047" s="126">
        <f>IF(VLOOKUP(A1047,Journal!$A$7:$E$70,5)=0,S1046+1,VLOOKUP(A1047,Journal!$A$7:$E$70,5))</f>
        <v>46697</v>
      </c>
      <c r="T1047" s="125">
        <f>IF(H$2=VLOOKUP(A1047,Journal!$A$7:$F$70,6),VLOOKUP(A1047,Journal!$A$7:M$70,9),0)</f>
        <v>0</v>
      </c>
      <c r="U1047" s="125">
        <f>IF(H$2=VLOOKUP(A1047,Journal!$A$7:$G$70,7),VLOOKUP(A1047,Journal!$A$7:M$70,9),0)</f>
        <v>0</v>
      </c>
      <c r="V1047" s="125">
        <f t="shared" si="123"/>
        <v>40</v>
      </c>
      <c r="X1047">
        <f t="shared" si="129"/>
        <v>0</v>
      </c>
      <c r="Y1047" s="143">
        <f t="shared" si="121"/>
        <v>-972.71052631583291</v>
      </c>
    </row>
    <row r="1048" spans="1:25" x14ac:dyDescent="0.25">
      <c r="A1048">
        <f t="shared" si="125"/>
        <v>1041</v>
      </c>
      <c r="B1048" s="88" t="str">
        <f>IF(OR(B1047="Total",B1047=""),"",IF(VLOOKUP(A1048,Journal!$B$7:$E$84,4)=0,"Total",VLOOKUP(A1048,Journal!$B$7:$D$84,3)))</f>
        <v/>
      </c>
      <c r="C1048" s="86" t="str">
        <f>IF(B1048="","",VLOOKUP(A1048,Journal!$B$7:$E$84,4))</f>
        <v/>
      </c>
      <c r="D1048" s="114" t="str">
        <f>IF(B1048="","",VLOOKUP(A1048,Journal!$B$7:$J$84,9))</f>
        <v/>
      </c>
      <c r="E1048" s="116"/>
      <c r="F1048" s="116"/>
      <c r="G1048" s="115"/>
      <c r="H1048" s="84" t="str">
        <f>IF(B1048="","",VLOOKUP(A1048,Journal!$B$7:$L$84,11))</f>
        <v/>
      </c>
      <c r="I1048" s="84" t="str">
        <f>IF(B1048="","",VLOOKUP(A1048,Journal!$B$7:$M$84,12))</f>
        <v/>
      </c>
      <c r="J1048" s="105">
        <f>IF(B1048="Total",SUM(J$8:J1047)+0.0001,IF(OR(B1048="",I$2=I1048),0,VLOOKUP(A1048,Journal!$B$7:M$84,8)))</f>
        <v>0</v>
      </c>
      <c r="K1048" s="102">
        <f>IF(B1048="Total",SUM(K$8:K1047)+0.0001,IF(OR(B1048="",J1048&lt;&gt;0),0,VLOOKUP(A1048,Journal!$B$7:M$84,8)))</f>
        <v>0</v>
      </c>
      <c r="L1048" s="87">
        <f t="shared" si="126"/>
        <v>0</v>
      </c>
      <c r="P1048">
        <f t="shared" si="127"/>
        <v>1.0000000000000001E-5</v>
      </c>
      <c r="R1048" s="15">
        <f t="shared" si="128"/>
        <v>1041</v>
      </c>
      <c r="S1048" s="126">
        <f>IF(VLOOKUP(A1048,Journal!$A$7:$E$70,5)=0,S1047+1,VLOOKUP(A1048,Journal!$A$7:$E$70,5))</f>
        <v>46698</v>
      </c>
      <c r="T1048" s="125">
        <f>IF(H$2=VLOOKUP(A1048,Journal!$A$7:$F$70,6),VLOOKUP(A1048,Journal!$A$7:M$70,9),0)</f>
        <v>0</v>
      </c>
      <c r="U1048" s="125">
        <f>IF(H$2=VLOOKUP(A1048,Journal!$A$7:$G$70,7),VLOOKUP(A1048,Journal!$A$7:M$70,9),0)</f>
        <v>0</v>
      </c>
      <c r="V1048" s="125">
        <f t="shared" si="123"/>
        <v>40</v>
      </c>
      <c r="X1048">
        <f t="shared" si="129"/>
        <v>0</v>
      </c>
      <c r="Y1048" s="143">
        <f t="shared" si="121"/>
        <v>-972.68421052635927</v>
      </c>
    </row>
    <row r="1049" spans="1:25" x14ac:dyDescent="0.25">
      <c r="A1049">
        <f t="shared" si="125"/>
        <v>1042</v>
      </c>
      <c r="B1049" s="88" t="str">
        <f>IF(OR(B1048="Total",B1048=""),"",IF(VLOOKUP(A1049,Journal!$B$7:$E$84,4)=0,"Total",VLOOKUP(A1049,Journal!$B$7:$D$84,3)))</f>
        <v/>
      </c>
      <c r="C1049" s="86" t="str">
        <f>IF(B1049="","",VLOOKUP(A1049,Journal!$B$7:$E$84,4))</f>
        <v/>
      </c>
      <c r="D1049" s="114" t="str">
        <f>IF(B1049="","",VLOOKUP(A1049,Journal!$B$7:$J$84,9))</f>
        <v/>
      </c>
      <c r="E1049" s="116"/>
      <c r="F1049" s="116"/>
      <c r="G1049" s="115"/>
      <c r="H1049" s="84" t="str">
        <f>IF(B1049="","",VLOOKUP(A1049,Journal!$B$7:$L$84,11))</f>
        <v/>
      </c>
      <c r="I1049" s="84" t="str">
        <f>IF(B1049="","",VLOOKUP(A1049,Journal!$B$7:$M$84,12))</f>
        <v/>
      </c>
      <c r="J1049" s="105">
        <f>IF(B1049="Total",SUM(J$8:J1048)+0.0001,IF(OR(B1049="",I$2=I1049),0,VLOOKUP(A1049,Journal!$B$7:M$84,8)))</f>
        <v>0</v>
      </c>
      <c r="K1049" s="102">
        <f>IF(B1049="Total",SUM(K$8:K1048)+0.0001,IF(OR(B1049="",J1049&lt;&gt;0),0,VLOOKUP(A1049,Journal!$B$7:M$84,8)))</f>
        <v>0</v>
      </c>
      <c r="L1049" s="87">
        <f t="shared" si="126"/>
        <v>0</v>
      </c>
      <c r="P1049">
        <f t="shared" si="127"/>
        <v>1.0000000000000001E-5</v>
      </c>
      <c r="R1049" s="15">
        <f t="shared" si="128"/>
        <v>1042</v>
      </c>
      <c r="S1049" s="126">
        <f>IF(VLOOKUP(A1049,Journal!$A$7:$E$70,5)=0,S1048+1,VLOOKUP(A1049,Journal!$A$7:$E$70,5))</f>
        <v>46699</v>
      </c>
      <c r="T1049" s="125">
        <f>IF(H$2=VLOOKUP(A1049,Journal!$A$7:$F$70,6),VLOOKUP(A1049,Journal!$A$7:M$70,9),0)</f>
        <v>0</v>
      </c>
      <c r="U1049" s="125">
        <f>IF(H$2=VLOOKUP(A1049,Journal!$A$7:$G$70,7),VLOOKUP(A1049,Journal!$A$7:M$70,9),0)</f>
        <v>0</v>
      </c>
      <c r="V1049" s="125">
        <f t="shared" si="123"/>
        <v>40</v>
      </c>
      <c r="X1049">
        <f t="shared" si="129"/>
        <v>0</v>
      </c>
      <c r="Y1049" s="143">
        <f t="shared" si="121"/>
        <v>-972.65789473688562</v>
      </c>
    </row>
    <row r="1050" spans="1:25" x14ac:dyDescent="0.25">
      <c r="A1050">
        <f t="shared" si="125"/>
        <v>1043</v>
      </c>
      <c r="B1050" s="88" t="str">
        <f>IF(OR(B1049="Total",B1049=""),"",IF(VLOOKUP(A1050,Journal!$B$7:$E$84,4)=0,"Total",VLOOKUP(A1050,Journal!$B$7:$D$84,3)))</f>
        <v/>
      </c>
      <c r="C1050" s="86" t="str">
        <f>IF(B1050="","",VLOOKUP(A1050,Journal!$B$7:$E$84,4))</f>
        <v/>
      </c>
      <c r="D1050" s="114" t="str">
        <f>IF(B1050="","",VLOOKUP(A1050,Journal!$B$7:$J$84,9))</f>
        <v/>
      </c>
      <c r="E1050" s="116"/>
      <c r="F1050" s="116"/>
      <c r="G1050" s="115"/>
      <c r="H1050" s="84" t="str">
        <f>IF(B1050="","",VLOOKUP(A1050,Journal!$B$7:$L$84,11))</f>
        <v/>
      </c>
      <c r="I1050" s="84" t="str">
        <f>IF(B1050="","",VLOOKUP(A1050,Journal!$B$7:$M$84,12))</f>
        <v/>
      </c>
      <c r="J1050" s="105">
        <f>IF(B1050="Total",SUM(J$8:J1049)+0.0001,IF(OR(B1050="",I$2=I1050),0,VLOOKUP(A1050,Journal!$B$7:M$84,8)))</f>
        <v>0</v>
      </c>
      <c r="K1050" s="102">
        <f>IF(B1050="Total",SUM(K$8:K1049)+0.0001,IF(OR(B1050="",J1050&lt;&gt;0),0,VLOOKUP(A1050,Journal!$B$7:M$84,8)))</f>
        <v>0</v>
      </c>
      <c r="L1050" s="87">
        <f t="shared" si="126"/>
        <v>0</v>
      </c>
      <c r="P1050">
        <f t="shared" si="127"/>
        <v>1.0000000000000001E-5</v>
      </c>
      <c r="R1050" s="15">
        <f t="shared" si="128"/>
        <v>1043</v>
      </c>
      <c r="S1050" s="126">
        <f>IF(VLOOKUP(A1050,Journal!$A$7:$E$70,5)=0,S1049+1,VLOOKUP(A1050,Journal!$A$7:$E$70,5))</f>
        <v>46700</v>
      </c>
      <c r="T1050" s="125">
        <f>IF(H$2=VLOOKUP(A1050,Journal!$A$7:$F$70,6),VLOOKUP(A1050,Journal!$A$7:M$70,9),0)</f>
        <v>0</v>
      </c>
      <c r="U1050" s="125">
        <f>IF(H$2=VLOOKUP(A1050,Journal!$A$7:$G$70,7),VLOOKUP(A1050,Journal!$A$7:M$70,9),0)</f>
        <v>0</v>
      </c>
      <c r="V1050" s="125">
        <f t="shared" si="123"/>
        <v>40</v>
      </c>
      <c r="X1050">
        <f t="shared" si="129"/>
        <v>0</v>
      </c>
      <c r="Y1050" s="143">
        <f t="shared" si="121"/>
        <v>-972.63157894741198</v>
      </c>
    </row>
    <row r="1051" spans="1:25" x14ac:dyDescent="0.25">
      <c r="A1051">
        <f t="shared" si="125"/>
        <v>1044</v>
      </c>
      <c r="B1051" s="88" t="str">
        <f>IF(OR(B1050="Total",B1050=""),"",IF(VLOOKUP(A1051,Journal!$B$7:$E$84,4)=0,"Total",VLOOKUP(A1051,Journal!$B$7:$D$84,3)))</f>
        <v/>
      </c>
      <c r="C1051" s="86" t="str">
        <f>IF(B1051="","",VLOOKUP(A1051,Journal!$B$7:$E$84,4))</f>
        <v/>
      </c>
      <c r="D1051" s="114" t="str">
        <f>IF(B1051="","",VLOOKUP(A1051,Journal!$B$7:$J$84,9))</f>
        <v/>
      </c>
      <c r="E1051" s="116"/>
      <c r="F1051" s="116"/>
      <c r="G1051" s="115"/>
      <c r="H1051" s="84" t="str">
        <f>IF(B1051="","",VLOOKUP(A1051,Journal!$B$7:$L$84,11))</f>
        <v/>
      </c>
      <c r="I1051" s="84" t="str">
        <f>IF(B1051="","",VLOOKUP(A1051,Journal!$B$7:$M$84,12))</f>
        <v/>
      </c>
      <c r="J1051" s="105">
        <f>IF(B1051="Total",SUM(J$8:J1050)+0.0001,IF(OR(B1051="",I$2=I1051),0,VLOOKUP(A1051,Journal!$B$7:M$84,8)))</f>
        <v>0</v>
      </c>
      <c r="K1051" s="102">
        <f>IF(B1051="Total",SUM(K$8:K1050)+0.0001,IF(OR(B1051="",J1051&lt;&gt;0),0,VLOOKUP(A1051,Journal!$B$7:M$84,8)))</f>
        <v>0</v>
      </c>
      <c r="L1051" s="87">
        <f t="shared" si="126"/>
        <v>0</v>
      </c>
      <c r="P1051">
        <f t="shared" si="127"/>
        <v>1.0000000000000001E-5</v>
      </c>
      <c r="R1051" s="15">
        <f t="shared" si="128"/>
        <v>1044</v>
      </c>
      <c r="S1051" s="126">
        <f>IF(VLOOKUP(A1051,Journal!$A$7:$E$70,5)=0,S1050+1,VLOOKUP(A1051,Journal!$A$7:$E$70,5))</f>
        <v>46701</v>
      </c>
      <c r="T1051" s="125">
        <f>IF(H$2=VLOOKUP(A1051,Journal!$A$7:$F$70,6),VLOOKUP(A1051,Journal!$A$7:M$70,9),0)</f>
        <v>0</v>
      </c>
      <c r="U1051" s="125">
        <f>IF(H$2=VLOOKUP(A1051,Journal!$A$7:$G$70,7),VLOOKUP(A1051,Journal!$A$7:M$70,9),0)</f>
        <v>0</v>
      </c>
      <c r="V1051" s="125">
        <f t="shared" si="123"/>
        <v>40</v>
      </c>
      <c r="X1051">
        <f t="shared" si="129"/>
        <v>0</v>
      </c>
      <c r="Y1051" s="143">
        <f t="shared" si="121"/>
        <v>-972.60526315793834</v>
      </c>
    </row>
    <row r="1052" spans="1:25" x14ac:dyDescent="0.25">
      <c r="A1052">
        <f t="shared" si="125"/>
        <v>1045</v>
      </c>
      <c r="B1052" s="88" t="str">
        <f>IF(OR(B1051="Total",B1051=""),"",IF(VLOOKUP(A1052,Journal!$B$7:$E$84,4)=0,"Total",VLOOKUP(A1052,Journal!$B$7:$D$84,3)))</f>
        <v/>
      </c>
      <c r="C1052" s="86" t="str">
        <f>IF(B1052="","",VLOOKUP(A1052,Journal!$B$7:$E$84,4))</f>
        <v/>
      </c>
      <c r="D1052" s="114" t="str">
        <f>IF(B1052="","",VLOOKUP(A1052,Journal!$B$7:$J$84,9))</f>
        <v/>
      </c>
      <c r="E1052" s="116"/>
      <c r="F1052" s="116"/>
      <c r="G1052" s="115"/>
      <c r="H1052" s="84" t="str">
        <f>IF(B1052="","",VLOOKUP(A1052,Journal!$B$7:$L$84,11))</f>
        <v/>
      </c>
      <c r="I1052" s="84" t="str">
        <f>IF(B1052="","",VLOOKUP(A1052,Journal!$B$7:$M$84,12))</f>
        <v/>
      </c>
      <c r="J1052" s="105">
        <f>IF(B1052="Total",SUM(J$8:J1051)+0.0001,IF(OR(B1052="",I$2=I1052),0,VLOOKUP(A1052,Journal!$B$7:M$84,8)))</f>
        <v>0</v>
      </c>
      <c r="K1052" s="102">
        <f>IF(B1052="Total",SUM(K$8:K1051)+0.0001,IF(OR(B1052="",J1052&lt;&gt;0),0,VLOOKUP(A1052,Journal!$B$7:M$84,8)))</f>
        <v>0</v>
      </c>
      <c r="L1052" s="87">
        <f t="shared" si="126"/>
        <v>0</v>
      </c>
      <c r="P1052">
        <f t="shared" si="127"/>
        <v>1.0000000000000001E-5</v>
      </c>
      <c r="R1052" s="15">
        <f t="shared" si="128"/>
        <v>1045</v>
      </c>
      <c r="S1052" s="126">
        <f>IF(VLOOKUP(A1052,Journal!$A$7:$E$70,5)=0,S1051+1,VLOOKUP(A1052,Journal!$A$7:$E$70,5))</f>
        <v>46702</v>
      </c>
      <c r="T1052" s="125">
        <f>IF(H$2=VLOOKUP(A1052,Journal!$A$7:$F$70,6),VLOOKUP(A1052,Journal!$A$7:M$70,9),0)</f>
        <v>0</v>
      </c>
      <c r="U1052" s="125">
        <f>IF(H$2=VLOOKUP(A1052,Journal!$A$7:$G$70,7),VLOOKUP(A1052,Journal!$A$7:M$70,9),0)</f>
        <v>0</v>
      </c>
      <c r="V1052" s="125">
        <f t="shared" si="123"/>
        <v>40</v>
      </c>
      <c r="X1052">
        <f t="shared" si="129"/>
        <v>0</v>
      </c>
      <c r="Y1052" s="143">
        <f t="shared" si="121"/>
        <v>-972.5789473684647</v>
      </c>
    </row>
    <row r="1053" spans="1:25" x14ac:dyDescent="0.25">
      <c r="A1053">
        <f t="shared" si="125"/>
        <v>1046</v>
      </c>
      <c r="B1053" s="88" t="str">
        <f>IF(OR(B1052="Total",B1052=""),"",IF(VLOOKUP(A1053,Journal!$B$7:$E$84,4)=0,"Total",VLOOKUP(A1053,Journal!$B$7:$D$84,3)))</f>
        <v/>
      </c>
      <c r="C1053" s="86" t="str">
        <f>IF(B1053="","",VLOOKUP(A1053,Journal!$B$7:$E$84,4))</f>
        <v/>
      </c>
      <c r="D1053" s="114" t="str">
        <f>IF(B1053="","",VLOOKUP(A1053,Journal!$B$7:$J$84,9))</f>
        <v/>
      </c>
      <c r="E1053" s="116"/>
      <c r="F1053" s="116"/>
      <c r="G1053" s="115"/>
      <c r="H1053" s="84" t="str">
        <f>IF(B1053="","",VLOOKUP(A1053,Journal!$B$7:$L$84,11))</f>
        <v/>
      </c>
      <c r="I1053" s="84" t="str">
        <f>IF(B1053="","",VLOOKUP(A1053,Journal!$B$7:$M$84,12))</f>
        <v/>
      </c>
      <c r="J1053" s="105">
        <f>IF(B1053="Total",SUM(J$8:J1052)+0.0001,IF(OR(B1053="",I$2=I1053),0,VLOOKUP(A1053,Journal!$B$7:M$84,8)))</f>
        <v>0</v>
      </c>
      <c r="K1053" s="102">
        <f>IF(B1053="Total",SUM(K$8:K1052)+0.0001,IF(OR(B1053="",J1053&lt;&gt;0),0,VLOOKUP(A1053,Journal!$B$7:M$84,8)))</f>
        <v>0</v>
      </c>
      <c r="L1053" s="87">
        <f t="shared" si="126"/>
        <v>0</v>
      </c>
      <c r="P1053">
        <f t="shared" si="127"/>
        <v>1.0000000000000001E-5</v>
      </c>
      <c r="R1053" s="15">
        <f t="shared" si="128"/>
        <v>1046</v>
      </c>
      <c r="S1053" s="126">
        <f>IF(VLOOKUP(A1053,Journal!$A$7:$E$70,5)=0,S1052+1,VLOOKUP(A1053,Journal!$A$7:$E$70,5))</f>
        <v>46703</v>
      </c>
      <c r="T1053" s="125">
        <f>IF(H$2=VLOOKUP(A1053,Journal!$A$7:$F$70,6),VLOOKUP(A1053,Journal!$A$7:M$70,9),0)</f>
        <v>0</v>
      </c>
      <c r="U1053" s="125">
        <f>IF(H$2=VLOOKUP(A1053,Journal!$A$7:$G$70,7),VLOOKUP(A1053,Journal!$A$7:M$70,9),0)</f>
        <v>0</v>
      </c>
      <c r="V1053" s="125">
        <f t="shared" si="123"/>
        <v>40</v>
      </c>
      <c r="X1053">
        <f t="shared" si="129"/>
        <v>0</v>
      </c>
      <c r="Y1053" s="143">
        <f t="shared" si="121"/>
        <v>-972.55263157899105</v>
      </c>
    </row>
    <row r="1054" spans="1:25" x14ac:dyDescent="0.25">
      <c r="A1054">
        <f t="shared" si="125"/>
        <v>1047</v>
      </c>
      <c r="B1054" s="88" t="str">
        <f>IF(OR(B1053="Total",B1053=""),"",IF(VLOOKUP(A1054,Journal!$B$7:$E$84,4)=0,"Total",VLOOKUP(A1054,Journal!$B$7:$D$84,3)))</f>
        <v/>
      </c>
      <c r="C1054" s="86" t="str">
        <f>IF(B1054="","",VLOOKUP(A1054,Journal!$B$7:$E$84,4))</f>
        <v/>
      </c>
      <c r="D1054" s="114" t="str">
        <f>IF(B1054="","",VLOOKUP(A1054,Journal!$B$7:$J$84,9))</f>
        <v/>
      </c>
      <c r="E1054" s="116"/>
      <c r="F1054" s="116"/>
      <c r="G1054" s="115"/>
      <c r="H1054" s="84" t="str">
        <f>IF(B1054="","",VLOOKUP(A1054,Journal!$B$7:$L$84,11))</f>
        <v/>
      </c>
      <c r="I1054" s="84" t="str">
        <f>IF(B1054="","",VLOOKUP(A1054,Journal!$B$7:$M$84,12))</f>
        <v/>
      </c>
      <c r="J1054" s="105">
        <f>IF(B1054="Total",SUM(J$8:J1053)+0.0001,IF(OR(B1054="",I$2=I1054),0,VLOOKUP(A1054,Journal!$B$7:M$84,8)))</f>
        <v>0</v>
      </c>
      <c r="K1054" s="102">
        <f>IF(B1054="Total",SUM(K$8:K1053)+0.0001,IF(OR(B1054="",J1054&lt;&gt;0),0,VLOOKUP(A1054,Journal!$B$7:M$84,8)))</f>
        <v>0</v>
      </c>
      <c r="L1054" s="87">
        <f t="shared" si="126"/>
        <v>0</v>
      </c>
      <c r="P1054">
        <f t="shared" si="127"/>
        <v>1.0000000000000001E-5</v>
      </c>
      <c r="R1054" s="15">
        <f t="shared" si="128"/>
        <v>1047</v>
      </c>
      <c r="S1054" s="126">
        <f>IF(VLOOKUP(A1054,Journal!$A$7:$E$70,5)=0,S1053+1,VLOOKUP(A1054,Journal!$A$7:$E$70,5))</f>
        <v>46704</v>
      </c>
      <c r="T1054" s="125">
        <f>IF(H$2=VLOOKUP(A1054,Journal!$A$7:$F$70,6),VLOOKUP(A1054,Journal!$A$7:M$70,9),0)</f>
        <v>0</v>
      </c>
      <c r="U1054" s="125">
        <f>IF(H$2=VLOOKUP(A1054,Journal!$A$7:$G$70,7),VLOOKUP(A1054,Journal!$A$7:M$70,9),0)</f>
        <v>0</v>
      </c>
      <c r="V1054" s="125">
        <f t="shared" si="123"/>
        <v>40</v>
      </c>
      <c r="X1054">
        <f t="shared" si="129"/>
        <v>0</v>
      </c>
      <c r="Y1054" s="143">
        <f t="shared" si="121"/>
        <v>-972.52631578951741</v>
      </c>
    </row>
    <row r="1055" spans="1:25" x14ac:dyDescent="0.25">
      <c r="A1055">
        <f t="shared" si="125"/>
        <v>1048</v>
      </c>
      <c r="B1055" s="88" t="str">
        <f>IF(OR(B1054="Total",B1054=""),"",IF(VLOOKUP(A1055,Journal!$B$7:$E$84,4)=0,"Total",VLOOKUP(A1055,Journal!$B$7:$D$84,3)))</f>
        <v/>
      </c>
      <c r="C1055" s="86" t="str">
        <f>IF(B1055="","",VLOOKUP(A1055,Journal!$B$7:$E$84,4))</f>
        <v/>
      </c>
      <c r="D1055" s="114" t="str">
        <f>IF(B1055="","",VLOOKUP(A1055,Journal!$B$7:$J$84,9))</f>
        <v/>
      </c>
      <c r="E1055" s="116"/>
      <c r="F1055" s="116"/>
      <c r="G1055" s="115"/>
      <c r="H1055" s="84" t="str">
        <f>IF(B1055="","",VLOOKUP(A1055,Journal!$B$7:$L$84,11))</f>
        <v/>
      </c>
      <c r="I1055" s="84" t="str">
        <f>IF(B1055="","",VLOOKUP(A1055,Journal!$B$7:$M$84,12))</f>
        <v/>
      </c>
      <c r="J1055" s="105">
        <f>IF(B1055="Total",SUM(J$8:J1054)+0.0001,IF(OR(B1055="",I$2=I1055),0,VLOOKUP(A1055,Journal!$B$7:M$84,8)))</f>
        <v>0</v>
      </c>
      <c r="K1055" s="102">
        <f>IF(B1055="Total",SUM(K$8:K1054)+0.0001,IF(OR(B1055="",J1055&lt;&gt;0),0,VLOOKUP(A1055,Journal!$B$7:M$84,8)))</f>
        <v>0</v>
      </c>
      <c r="L1055" s="87">
        <f t="shared" si="126"/>
        <v>0</v>
      </c>
      <c r="P1055">
        <f t="shared" si="127"/>
        <v>1.0000000000000001E-5</v>
      </c>
      <c r="R1055" s="15">
        <f t="shared" si="128"/>
        <v>1048</v>
      </c>
      <c r="S1055" s="126">
        <f>IF(VLOOKUP(A1055,Journal!$A$7:$E$70,5)=0,S1054+1,VLOOKUP(A1055,Journal!$A$7:$E$70,5))</f>
        <v>46705</v>
      </c>
      <c r="T1055" s="125">
        <f>IF(H$2=VLOOKUP(A1055,Journal!$A$7:$F$70,6),VLOOKUP(A1055,Journal!$A$7:M$70,9),0)</f>
        <v>0</v>
      </c>
      <c r="U1055" s="125">
        <f>IF(H$2=VLOOKUP(A1055,Journal!$A$7:$G$70,7),VLOOKUP(A1055,Journal!$A$7:M$70,9),0)</f>
        <v>0</v>
      </c>
      <c r="V1055" s="125">
        <f t="shared" si="123"/>
        <v>40</v>
      </c>
      <c r="X1055">
        <f t="shared" si="129"/>
        <v>0</v>
      </c>
      <c r="Y1055" s="143">
        <f t="shared" si="121"/>
        <v>-972.50000000004377</v>
      </c>
    </row>
    <row r="1056" spans="1:25" x14ac:dyDescent="0.25">
      <c r="A1056">
        <f t="shared" si="125"/>
        <v>1049</v>
      </c>
      <c r="B1056" s="88" t="str">
        <f>IF(OR(B1055="Total",B1055=""),"",IF(VLOOKUP(A1056,Journal!$B$7:$E$84,4)=0,"Total",VLOOKUP(A1056,Journal!$B$7:$D$84,3)))</f>
        <v/>
      </c>
      <c r="C1056" s="86" t="str">
        <f>IF(B1056="","",VLOOKUP(A1056,Journal!$B$7:$E$84,4))</f>
        <v/>
      </c>
      <c r="D1056" s="114" t="str">
        <f>IF(B1056="","",VLOOKUP(A1056,Journal!$B$7:$J$84,9))</f>
        <v/>
      </c>
      <c r="E1056" s="116"/>
      <c r="F1056" s="116"/>
      <c r="G1056" s="115"/>
      <c r="H1056" s="84" t="str">
        <f>IF(B1056="","",VLOOKUP(A1056,Journal!$B$7:$L$84,11))</f>
        <v/>
      </c>
      <c r="I1056" s="84" t="str">
        <f>IF(B1056="","",VLOOKUP(A1056,Journal!$B$7:$M$84,12))</f>
        <v/>
      </c>
      <c r="J1056" s="105">
        <f>IF(B1056="Total",SUM(J$8:J1055)+0.0001,IF(OR(B1056="",I$2=I1056),0,VLOOKUP(A1056,Journal!$B$7:M$84,8)))</f>
        <v>0</v>
      </c>
      <c r="K1056" s="102">
        <f>IF(B1056="Total",SUM(K$8:K1055)+0.0001,IF(OR(B1056="",J1056&lt;&gt;0),0,VLOOKUP(A1056,Journal!$B$7:M$84,8)))</f>
        <v>0</v>
      </c>
      <c r="L1056" s="87">
        <f t="shared" si="126"/>
        <v>0</v>
      </c>
      <c r="P1056">
        <f t="shared" si="127"/>
        <v>1.0000000000000001E-5</v>
      </c>
      <c r="R1056" s="15">
        <f t="shared" si="128"/>
        <v>1049</v>
      </c>
      <c r="S1056" s="126">
        <f>IF(VLOOKUP(A1056,Journal!$A$7:$E$70,5)=0,S1055+1,VLOOKUP(A1056,Journal!$A$7:$E$70,5))</f>
        <v>46706</v>
      </c>
      <c r="T1056" s="125">
        <f>IF(H$2=VLOOKUP(A1056,Journal!$A$7:$F$70,6),VLOOKUP(A1056,Journal!$A$7:M$70,9),0)</f>
        <v>0</v>
      </c>
      <c r="U1056" s="125">
        <f>IF(H$2=VLOOKUP(A1056,Journal!$A$7:$G$70,7),VLOOKUP(A1056,Journal!$A$7:M$70,9),0)</f>
        <v>0</v>
      </c>
      <c r="V1056" s="125">
        <f t="shared" si="123"/>
        <v>40</v>
      </c>
      <c r="X1056">
        <f t="shared" si="129"/>
        <v>0</v>
      </c>
      <c r="Y1056" s="143">
        <f t="shared" si="121"/>
        <v>-972.47368421057013</v>
      </c>
    </row>
    <row r="1057" spans="1:25" x14ac:dyDescent="0.25">
      <c r="A1057">
        <f t="shared" si="125"/>
        <v>1050</v>
      </c>
      <c r="B1057" s="88" t="str">
        <f>IF(OR(B1056="Total",B1056=""),"",IF(VLOOKUP(A1057,Journal!$B$7:$E$84,4)=0,"Total",VLOOKUP(A1057,Journal!$B$7:$D$84,3)))</f>
        <v/>
      </c>
      <c r="C1057" s="86" t="str">
        <f>IF(B1057="","",VLOOKUP(A1057,Journal!$B$7:$E$84,4))</f>
        <v/>
      </c>
      <c r="D1057" s="114" t="str">
        <f>IF(B1057="","",VLOOKUP(A1057,Journal!$B$7:$J$84,9))</f>
        <v/>
      </c>
      <c r="E1057" s="116"/>
      <c r="F1057" s="116"/>
      <c r="G1057" s="115"/>
      <c r="H1057" s="84" t="str">
        <f>IF(B1057="","",VLOOKUP(A1057,Journal!$B$7:$L$84,11))</f>
        <v/>
      </c>
      <c r="I1057" s="84" t="str">
        <f>IF(B1057="","",VLOOKUP(A1057,Journal!$B$7:$M$84,12))</f>
        <v/>
      </c>
      <c r="J1057" s="105">
        <f>IF(B1057="Total",SUM(J$8:J1056)+0.0001,IF(OR(B1057="",I$2=I1057),0,VLOOKUP(A1057,Journal!$B$7:M$84,8)))</f>
        <v>0</v>
      </c>
      <c r="K1057" s="102">
        <f>IF(B1057="Total",SUM(K$8:K1056)+0.0001,IF(OR(B1057="",J1057&lt;&gt;0),0,VLOOKUP(A1057,Journal!$B$7:M$84,8)))</f>
        <v>0</v>
      </c>
      <c r="L1057" s="87">
        <f t="shared" si="126"/>
        <v>0</v>
      </c>
      <c r="P1057">
        <f t="shared" si="127"/>
        <v>1.0000000000000001E-5</v>
      </c>
      <c r="R1057" s="15">
        <f t="shared" si="128"/>
        <v>1050</v>
      </c>
      <c r="S1057" s="126">
        <f>IF(VLOOKUP(A1057,Journal!$A$7:$E$70,5)=0,S1056+1,VLOOKUP(A1057,Journal!$A$7:$E$70,5))</f>
        <v>46707</v>
      </c>
      <c r="T1057" s="125">
        <f>IF(H$2=VLOOKUP(A1057,Journal!$A$7:$F$70,6),VLOOKUP(A1057,Journal!$A$7:M$70,9),0)</f>
        <v>0</v>
      </c>
      <c r="U1057" s="125">
        <f>IF(H$2=VLOOKUP(A1057,Journal!$A$7:$G$70,7),VLOOKUP(A1057,Journal!$A$7:M$70,9),0)</f>
        <v>0</v>
      </c>
      <c r="V1057" s="125">
        <f t="shared" si="123"/>
        <v>40</v>
      </c>
      <c r="X1057">
        <f t="shared" si="129"/>
        <v>0</v>
      </c>
      <c r="Y1057" s="143">
        <f t="shared" si="121"/>
        <v>-972.44736842109648</v>
      </c>
    </row>
    <row r="1058" spans="1:25" x14ac:dyDescent="0.25">
      <c r="A1058">
        <f t="shared" si="125"/>
        <v>1051</v>
      </c>
      <c r="B1058" s="88" t="str">
        <f>IF(OR(B1057="Total",B1057=""),"",IF(VLOOKUP(A1058,Journal!$B$7:$E$84,4)=0,"Total",VLOOKUP(A1058,Journal!$B$7:$D$84,3)))</f>
        <v/>
      </c>
      <c r="C1058" s="86" t="str">
        <f>IF(B1058="","",VLOOKUP(A1058,Journal!$B$7:$E$84,4))</f>
        <v/>
      </c>
      <c r="D1058" s="114" t="str">
        <f>IF(B1058="","",VLOOKUP(A1058,Journal!$B$7:$J$84,9))</f>
        <v/>
      </c>
      <c r="E1058" s="116"/>
      <c r="F1058" s="116"/>
      <c r="G1058" s="115"/>
      <c r="H1058" s="84" t="str">
        <f>IF(B1058="","",VLOOKUP(A1058,Journal!$B$7:$L$84,11))</f>
        <v/>
      </c>
      <c r="I1058" s="84" t="str">
        <f>IF(B1058="","",VLOOKUP(A1058,Journal!$B$7:$M$84,12))</f>
        <v/>
      </c>
      <c r="J1058" s="105">
        <f>IF(B1058="Total",SUM(J$8:J1057)+0.0001,IF(OR(B1058="",I$2=I1058),0,VLOOKUP(A1058,Journal!$B$7:M$84,8)))</f>
        <v>0</v>
      </c>
      <c r="K1058" s="102">
        <f>IF(B1058="Total",SUM(K$8:K1057)+0.0001,IF(OR(B1058="",J1058&lt;&gt;0),0,VLOOKUP(A1058,Journal!$B$7:M$84,8)))</f>
        <v>0</v>
      </c>
      <c r="L1058" s="87">
        <f t="shared" si="126"/>
        <v>0</v>
      </c>
      <c r="P1058">
        <f t="shared" si="127"/>
        <v>1.0000000000000001E-5</v>
      </c>
      <c r="R1058" s="15">
        <f t="shared" si="128"/>
        <v>1051</v>
      </c>
      <c r="S1058" s="126">
        <f>IF(VLOOKUP(A1058,Journal!$A$7:$E$70,5)=0,S1057+1,VLOOKUP(A1058,Journal!$A$7:$E$70,5))</f>
        <v>46708</v>
      </c>
      <c r="T1058" s="125">
        <f>IF(H$2=VLOOKUP(A1058,Journal!$A$7:$F$70,6),VLOOKUP(A1058,Journal!$A$7:M$70,9),0)</f>
        <v>0</v>
      </c>
      <c r="U1058" s="125">
        <f>IF(H$2=VLOOKUP(A1058,Journal!$A$7:$G$70,7),VLOOKUP(A1058,Journal!$A$7:M$70,9),0)</f>
        <v>0</v>
      </c>
      <c r="V1058" s="125">
        <f t="shared" si="123"/>
        <v>40</v>
      </c>
      <c r="X1058">
        <f t="shared" si="129"/>
        <v>0</v>
      </c>
      <c r="Y1058" s="143">
        <f t="shared" si="121"/>
        <v>-972.42105263162284</v>
      </c>
    </row>
    <row r="1059" spans="1:25" x14ac:dyDescent="0.25">
      <c r="A1059">
        <f t="shared" si="125"/>
        <v>1052</v>
      </c>
      <c r="B1059" s="88" t="str">
        <f>IF(OR(B1058="Total",B1058=""),"",IF(VLOOKUP(A1059,Journal!$B$7:$E$84,4)=0,"Total",VLOOKUP(A1059,Journal!$B$7:$D$84,3)))</f>
        <v/>
      </c>
      <c r="C1059" s="86" t="str">
        <f>IF(B1059="","",VLOOKUP(A1059,Journal!$B$7:$E$84,4))</f>
        <v/>
      </c>
      <c r="D1059" s="114" t="str">
        <f>IF(B1059="","",VLOOKUP(A1059,Journal!$B$7:$J$84,9))</f>
        <v/>
      </c>
      <c r="E1059" s="116"/>
      <c r="F1059" s="116"/>
      <c r="G1059" s="115"/>
      <c r="H1059" s="84" t="str">
        <f>IF(B1059="","",VLOOKUP(A1059,Journal!$B$7:$L$84,11))</f>
        <v/>
      </c>
      <c r="I1059" s="84" t="str">
        <f>IF(B1059="","",VLOOKUP(A1059,Journal!$B$7:$M$84,12))</f>
        <v/>
      </c>
      <c r="J1059" s="105">
        <f>IF(B1059="Total",SUM(J$8:J1058)+0.0001,IF(OR(B1059="",I$2=I1059),0,VLOOKUP(A1059,Journal!$B$7:M$84,8)))</f>
        <v>0</v>
      </c>
      <c r="K1059" s="102">
        <f>IF(B1059="Total",SUM(K$8:K1058)+0.0001,IF(OR(B1059="",J1059&lt;&gt;0),0,VLOOKUP(A1059,Journal!$B$7:M$84,8)))</f>
        <v>0</v>
      </c>
      <c r="L1059" s="87">
        <f t="shared" si="126"/>
        <v>0</v>
      </c>
      <c r="P1059">
        <f t="shared" si="127"/>
        <v>1.0000000000000001E-5</v>
      </c>
      <c r="R1059" s="15">
        <f t="shared" si="128"/>
        <v>1052</v>
      </c>
      <c r="S1059" s="126">
        <f>IF(VLOOKUP(A1059,Journal!$A$7:$E$70,5)=0,S1058+1,VLOOKUP(A1059,Journal!$A$7:$E$70,5))</f>
        <v>46709</v>
      </c>
      <c r="T1059" s="125">
        <f>IF(H$2=VLOOKUP(A1059,Journal!$A$7:$F$70,6),VLOOKUP(A1059,Journal!$A$7:M$70,9),0)</f>
        <v>0</v>
      </c>
      <c r="U1059" s="125">
        <f>IF(H$2=VLOOKUP(A1059,Journal!$A$7:$G$70,7),VLOOKUP(A1059,Journal!$A$7:M$70,9),0)</f>
        <v>0</v>
      </c>
      <c r="V1059" s="125">
        <f t="shared" si="123"/>
        <v>40</v>
      </c>
      <c r="X1059">
        <f t="shared" si="129"/>
        <v>0</v>
      </c>
      <c r="Y1059" s="143">
        <f t="shared" si="121"/>
        <v>-972.3947368421492</v>
      </c>
    </row>
    <row r="1060" spans="1:25" x14ac:dyDescent="0.25">
      <c r="A1060">
        <f t="shared" si="125"/>
        <v>1053</v>
      </c>
      <c r="B1060" s="88" t="str">
        <f>IF(OR(B1059="Total",B1059=""),"",IF(VLOOKUP(A1060,Journal!$B$7:$E$84,4)=0,"Total",VLOOKUP(A1060,Journal!$B$7:$D$84,3)))</f>
        <v/>
      </c>
      <c r="C1060" s="86" t="str">
        <f>IF(B1060="","",VLOOKUP(A1060,Journal!$B$7:$E$84,4))</f>
        <v/>
      </c>
      <c r="D1060" s="114" t="str">
        <f>IF(B1060="","",VLOOKUP(A1060,Journal!$B$7:$J$84,9))</f>
        <v/>
      </c>
      <c r="E1060" s="116"/>
      <c r="F1060" s="116"/>
      <c r="G1060" s="115"/>
      <c r="H1060" s="84" t="str">
        <f>IF(B1060="","",VLOOKUP(A1060,Journal!$B$7:$L$84,11))</f>
        <v/>
      </c>
      <c r="I1060" s="84" t="str">
        <f>IF(B1060="","",VLOOKUP(A1060,Journal!$B$7:$M$84,12))</f>
        <v/>
      </c>
      <c r="J1060" s="105">
        <f>IF(B1060="Total",SUM(J$8:J1059)+0.0001,IF(OR(B1060="",I$2=I1060),0,VLOOKUP(A1060,Journal!$B$7:M$84,8)))</f>
        <v>0</v>
      </c>
      <c r="K1060" s="102">
        <f>IF(B1060="Total",SUM(K$8:K1059)+0.0001,IF(OR(B1060="",J1060&lt;&gt;0),0,VLOOKUP(A1060,Journal!$B$7:M$84,8)))</f>
        <v>0</v>
      </c>
      <c r="L1060" s="87">
        <f t="shared" si="126"/>
        <v>0</v>
      </c>
      <c r="P1060">
        <f t="shared" si="127"/>
        <v>1.0000000000000001E-5</v>
      </c>
      <c r="R1060" s="15">
        <f t="shared" si="128"/>
        <v>1053</v>
      </c>
      <c r="S1060" s="126">
        <f>IF(VLOOKUP(A1060,Journal!$A$7:$E$70,5)=0,S1059+1,VLOOKUP(A1060,Journal!$A$7:$E$70,5))</f>
        <v>46710</v>
      </c>
      <c r="T1060" s="125">
        <f>IF(H$2=VLOOKUP(A1060,Journal!$A$7:$F$70,6),VLOOKUP(A1060,Journal!$A$7:M$70,9),0)</f>
        <v>0</v>
      </c>
      <c r="U1060" s="125">
        <f>IF(H$2=VLOOKUP(A1060,Journal!$A$7:$G$70,7),VLOOKUP(A1060,Journal!$A$7:M$70,9),0)</f>
        <v>0</v>
      </c>
      <c r="V1060" s="125">
        <f t="shared" si="123"/>
        <v>40</v>
      </c>
      <c r="X1060">
        <f t="shared" si="129"/>
        <v>0</v>
      </c>
      <c r="Y1060" s="143">
        <f t="shared" si="121"/>
        <v>-972.36842105267556</v>
      </c>
    </row>
    <row r="1061" spans="1:25" x14ac:dyDescent="0.25">
      <c r="A1061">
        <f t="shared" si="125"/>
        <v>1054</v>
      </c>
      <c r="B1061" s="88" t="str">
        <f>IF(OR(B1060="Total",B1060=""),"",IF(VLOOKUP(A1061,Journal!$B$7:$E$84,4)=0,"Total",VLOOKUP(A1061,Journal!$B$7:$D$84,3)))</f>
        <v/>
      </c>
      <c r="C1061" s="86" t="str">
        <f>IF(B1061="","",VLOOKUP(A1061,Journal!$B$7:$E$84,4))</f>
        <v/>
      </c>
      <c r="D1061" s="114" t="str">
        <f>IF(B1061="","",VLOOKUP(A1061,Journal!$B$7:$J$84,9))</f>
        <v/>
      </c>
      <c r="E1061" s="116"/>
      <c r="F1061" s="116"/>
      <c r="G1061" s="115"/>
      <c r="H1061" s="84" t="str">
        <f>IF(B1061="","",VLOOKUP(A1061,Journal!$B$7:$L$84,11))</f>
        <v/>
      </c>
      <c r="I1061" s="84" t="str">
        <f>IF(B1061="","",VLOOKUP(A1061,Journal!$B$7:$M$84,12))</f>
        <v/>
      </c>
      <c r="J1061" s="105">
        <f>IF(B1061="Total",SUM(J$8:J1060)+0.0001,IF(OR(B1061="",I$2=I1061),0,VLOOKUP(A1061,Journal!$B$7:M$84,8)))</f>
        <v>0</v>
      </c>
      <c r="K1061" s="102">
        <f>IF(B1061="Total",SUM(K$8:K1060)+0.0001,IF(OR(B1061="",J1061&lt;&gt;0),0,VLOOKUP(A1061,Journal!$B$7:M$84,8)))</f>
        <v>0</v>
      </c>
      <c r="L1061" s="87">
        <f t="shared" si="126"/>
        <v>0</v>
      </c>
      <c r="P1061">
        <f t="shared" si="127"/>
        <v>1.0000000000000001E-5</v>
      </c>
      <c r="R1061" s="15">
        <f t="shared" si="128"/>
        <v>1054</v>
      </c>
      <c r="S1061" s="126">
        <f>IF(VLOOKUP(A1061,Journal!$A$7:$E$70,5)=0,S1060+1,VLOOKUP(A1061,Journal!$A$7:$E$70,5))</f>
        <v>46711</v>
      </c>
      <c r="T1061" s="125">
        <f>IF(H$2=VLOOKUP(A1061,Journal!$A$7:$F$70,6),VLOOKUP(A1061,Journal!$A$7:M$70,9),0)</f>
        <v>0</v>
      </c>
      <c r="U1061" s="125">
        <f>IF(H$2=VLOOKUP(A1061,Journal!$A$7:$G$70,7),VLOOKUP(A1061,Journal!$A$7:M$70,9),0)</f>
        <v>0</v>
      </c>
      <c r="V1061" s="125">
        <f t="shared" si="123"/>
        <v>40</v>
      </c>
      <c r="X1061">
        <f t="shared" si="129"/>
        <v>0</v>
      </c>
      <c r="Y1061" s="143">
        <f t="shared" si="121"/>
        <v>-972.34210526320192</v>
      </c>
    </row>
    <row r="1062" spans="1:25" x14ac:dyDescent="0.25">
      <c r="A1062">
        <f t="shared" si="125"/>
        <v>1055</v>
      </c>
      <c r="B1062" s="88" t="str">
        <f>IF(OR(B1061="Total",B1061=""),"",IF(VLOOKUP(A1062,Journal!$B$7:$E$84,4)=0,"Total",VLOOKUP(A1062,Journal!$B$7:$D$84,3)))</f>
        <v/>
      </c>
      <c r="C1062" s="86" t="str">
        <f>IF(B1062="","",VLOOKUP(A1062,Journal!$B$7:$E$84,4))</f>
        <v/>
      </c>
      <c r="D1062" s="114" t="str">
        <f>IF(B1062="","",VLOOKUP(A1062,Journal!$B$7:$J$84,9))</f>
        <v/>
      </c>
      <c r="E1062" s="116"/>
      <c r="F1062" s="116"/>
      <c r="G1062" s="115"/>
      <c r="H1062" s="84" t="str">
        <f>IF(B1062="","",VLOOKUP(A1062,Journal!$B$7:$L$84,11))</f>
        <v/>
      </c>
      <c r="I1062" s="84" t="str">
        <f>IF(B1062="","",VLOOKUP(A1062,Journal!$B$7:$M$84,12))</f>
        <v/>
      </c>
      <c r="J1062" s="105">
        <f>IF(B1062="Total",SUM(J$8:J1061)+0.0001,IF(OR(B1062="",I$2=I1062),0,VLOOKUP(A1062,Journal!$B$7:M$84,8)))</f>
        <v>0</v>
      </c>
      <c r="K1062" s="102">
        <f>IF(B1062="Total",SUM(K$8:K1061)+0.0001,IF(OR(B1062="",J1062&lt;&gt;0),0,VLOOKUP(A1062,Journal!$B$7:M$84,8)))</f>
        <v>0</v>
      </c>
      <c r="L1062" s="87">
        <f t="shared" si="126"/>
        <v>0</v>
      </c>
      <c r="P1062">
        <f t="shared" si="127"/>
        <v>1.0000000000000001E-5</v>
      </c>
      <c r="R1062" s="15">
        <f t="shared" si="128"/>
        <v>1055</v>
      </c>
      <c r="S1062" s="126">
        <f>IF(VLOOKUP(A1062,Journal!$A$7:$E$70,5)=0,S1061+1,VLOOKUP(A1062,Journal!$A$7:$E$70,5))</f>
        <v>46712</v>
      </c>
      <c r="T1062" s="125">
        <f>IF(H$2=VLOOKUP(A1062,Journal!$A$7:$F$70,6),VLOOKUP(A1062,Journal!$A$7:M$70,9),0)</f>
        <v>0</v>
      </c>
      <c r="U1062" s="125">
        <f>IF(H$2=VLOOKUP(A1062,Journal!$A$7:$G$70,7),VLOOKUP(A1062,Journal!$A$7:M$70,9),0)</f>
        <v>0</v>
      </c>
      <c r="V1062" s="125">
        <f t="shared" si="123"/>
        <v>40</v>
      </c>
      <c r="X1062">
        <f t="shared" si="129"/>
        <v>0</v>
      </c>
      <c r="Y1062" s="143">
        <f t="shared" si="121"/>
        <v>-972.31578947372827</v>
      </c>
    </row>
    <row r="1063" spans="1:25" x14ac:dyDescent="0.25">
      <c r="A1063">
        <f t="shared" si="125"/>
        <v>1056</v>
      </c>
      <c r="B1063" s="88" t="str">
        <f>IF(OR(B1062="Total",B1062=""),"",IF(VLOOKUP(A1063,Journal!$B$7:$E$84,4)=0,"Total",VLOOKUP(A1063,Journal!$B$7:$D$84,3)))</f>
        <v/>
      </c>
      <c r="C1063" s="86" t="str">
        <f>IF(B1063="","",VLOOKUP(A1063,Journal!$B$7:$E$84,4))</f>
        <v/>
      </c>
      <c r="D1063" s="114" t="str">
        <f>IF(B1063="","",VLOOKUP(A1063,Journal!$B$7:$J$84,9))</f>
        <v/>
      </c>
      <c r="E1063" s="116"/>
      <c r="F1063" s="116"/>
      <c r="G1063" s="115"/>
      <c r="H1063" s="84" t="str">
        <f>IF(B1063="","",VLOOKUP(A1063,Journal!$B$7:$L$84,11))</f>
        <v/>
      </c>
      <c r="I1063" s="84" t="str">
        <f>IF(B1063="","",VLOOKUP(A1063,Journal!$B$7:$M$84,12))</f>
        <v/>
      </c>
      <c r="J1063" s="105">
        <f>IF(B1063="Total",SUM(J$8:J1062)+0.0001,IF(OR(B1063="",I$2=I1063),0,VLOOKUP(A1063,Journal!$B$7:M$84,8)))</f>
        <v>0</v>
      </c>
      <c r="K1063" s="102">
        <f>IF(B1063="Total",SUM(K$8:K1062)+0.0001,IF(OR(B1063="",J1063&lt;&gt;0),0,VLOOKUP(A1063,Journal!$B$7:M$84,8)))</f>
        <v>0</v>
      </c>
      <c r="L1063" s="87">
        <f t="shared" si="126"/>
        <v>0</v>
      </c>
      <c r="P1063">
        <f t="shared" si="127"/>
        <v>1.0000000000000001E-5</v>
      </c>
      <c r="R1063" s="15">
        <f t="shared" si="128"/>
        <v>1056</v>
      </c>
      <c r="S1063" s="126">
        <f>IF(VLOOKUP(A1063,Journal!$A$7:$E$70,5)=0,S1062+1,VLOOKUP(A1063,Journal!$A$7:$E$70,5))</f>
        <v>46713</v>
      </c>
      <c r="T1063" s="125">
        <f>IF(H$2=VLOOKUP(A1063,Journal!$A$7:$F$70,6),VLOOKUP(A1063,Journal!$A$7:M$70,9),0)</f>
        <v>0</v>
      </c>
      <c r="U1063" s="125">
        <f>IF(H$2=VLOOKUP(A1063,Journal!$A$7:$G$70,7),VLOOKUP(A1063,Journal!$A$7:M$70,9),0)</f>
        <v>0</v>
      </c>
      <c r="V1063" s="125">
        <f t="shared" si="123"/>
        <v>40</v>
      </c>
      <c r="X1063">
        <f t="shared" si="129"/>
        <v>0</v>
      </c>
      <c r="Y1063" s="143">
        <f t="shared" si="121"/>
        <v>-972.28947368425463</v>
      </c>
    </row>
    <row r="1064" spans="1:25" x14ac:dyDescent="0.25">
      <c r="A1064">
        <f t="shared" si="125"/>
        <v>1057</v>
      </c>
      <c r="B1064" s="88" t="str">
        <f>IF(OR(B1063="Total",B1063=""),"",IF(VLOOKUP(A1064,Journal!$B$7:$E$84,4)=0,"Total",VLOOKUP(A1064,Journal!$B$7:$D$84,3)))</f>
        <v/>
      </c>
      <c r="C1064" s="86" t="str">
        <f>IF(B1064="","",VLOOKUP(A1064,Journal!$B$7:$E$84,4))</f>
        <v/>
      </c>
      <c r="D1064" s="114" t="str">
        <f>IF(B1064="","",VLOOKUP(A1064,Journal!$B$7:$J$84,9))</f>
        <v/>
      </c>
      <c r="E1064" s="116"/>
      <c r="F1064" s="116"/>
      <c r="G1064" s="115"/>
      <c r="H1064" s="84" t="str">
        <f>IF(B1064="","",VLOOKUP(A1064,Journal!$B$7:$L$84,11))</f>
        <v/>
      </c>
      <c r="I1064" s="84" t="str">
        <f>IF(B1064="","",VLOOKUP(A1064,Journal!$B$7:$M$84,12))</f>
        <v/>
      </c>
      <c r="J1064" s="105">
        <f>IF(B1064="Total",SUM(J$8:J1063)+0.0001,IF(OR(B1064="",I$2=I1064),0,VLOOKUP(A1064,Journal!$B$7:M$84,8)))</f>
        <v>0</v>
      </c>
      <c r="K1064" s="102">
        <f>IF(B1064="Total",SUM(K$8:K1063)+0.0001,IF(OR(B1064="",J1064&lt;&gt;0),0,VLOOKUP(A1064,Journal!$B$7:M$84,8)))</f>
        <v>0</v>
      </c>
      <c r="L1064" s="87">
        <f t="shared" si="126"/>
        <v>0</v>
      </c>
      <c r="P1064">
        <f t="shared" si="127"/>
        <v>1.0000000000000001E-5</v>
      </c>
      <c r="R1064" s="15">
        <f t="shared" si="128"/>
        <v>1057</v>
      </c>
      <c r="S1064" s="126">
        <f>IF(VLOOKUP(A1064,Journal!$A$7:$E$70,5)=0,S1063+1,VLOOKUP(A1064,Journal!$A$7:$E$70,5))</f>
        <v>46714</v>
      </c>
      <c r="T1064" s="125">
        <f>IF(H$2=VLOOKUP(A1064,Journal!$A$7:$F$70,6),VLOOKUP(A1064,Journal!$A$7:M$70,9),0)</f>
        <v>0</v>
      </c>
      <c r="U1064" s="125">
        <f>IF(H$2=VLOOKUP(A1064,Journal!$A$7:$G$70,7),VLOOKUP(A1064,Journal!$A$7:M$70,9),0)</f>
        <v>0</v>
      </c>
      <c r="V1064" s="125">
        <f t="shared" si="123"/>
        <v>40</v>
      </c>
      <c r="X1064">
        <f t="shared" si="129"/>
        <v>0</v>
      </c>
      <c r="Y1064" s="143">
        <f t="shared" si="121"/>
        <v>-972.26315789478099</v>
      </c>
    </row>
    <row r="1065" spans="1:25" x14ac:dyDescent="0.25">
      <c r="A1065">
        <f t="shared" si="125"/>
        <v>1058</v>
      </c>
      <c r="B1065" s="88" t="str">
        <f>IF(OR(B1064="Total",B1064=""),"",IF(VLOOKUP(A1065,Journal!$B$7:$E$84,4)=0,"Total",VLOOKUP(A1065,Journal!$B$7:$D$84,3)))</f>
        <v/>
      </c>
      <c r="C1065" s="86" t="str">
        <f>IF(B1065="","",VLOOKUP(A1065,Journal!$B$7:$E$84,4))</f>
        <v/>
      </c>
      <c r="D1065" s="114" t="str">
        <f>IF(B1065="","",VLOOKUP(A1065,Journal!$B$7:$J$84,9))</f>
        <v/>
      </c>
      <c r="E1065" s="116"/>
      <c r="F1065" s="116"/>
      <c r="G1065" s="115"/>
      <c r="H1065" s="84" t="str">
        <f>IF(B1065="","",VLOOKUP(A1065,Journal!$B$7:$L$84,11))</f>
        <v/>
      </c>
      <c r="I1065" s="84" t="str">
        <f>IF(B1065="","",VLOOKUP(A1065,Journal!$B$7:$M$84,12))</f>
        <v/>
      </c>
      <c r="J1065" s="105">
        <f>IF(B1065="Total",SUM(J$8:J1064)+0.0001,IF(OR(B1065="",I$2=I1065),0,VLOOKUP(A1065,Journal!$B$7:M$84,8)))</f>
        <v>0</v>
      </c>
      <c r="K1065" s="102">
        <f>IF(B1065="Total",SUM(K$8:K1064)+0.0001,IF(OR(B1065="",J1065&lt;&gt;0),0,VLOOKUP(A1065,Journal!$B$7:M$84,8)))</f>
        <v>0</v>
      </c>
      <c r="L1065" s="87">
        <f t="shared" si="126"/>
        <v>0</v>
      </c>
      <c r="P1065">
        <f t="shared" si="127"/>
        <v>1.0000000000000001E-5</v>
      </c>
      <c r="R1065" s="15">
        <f t="shared" si="128"/>
        <v>1058</v>
      </c>
      <c r="S1065" s="126">
        <f>IF(VLOOKUP(A1065,Journal!$A$7:$E$70,5)=0,S1064+1,VLOOKUP(A1065,Journal!$A$7:$E$70,5))</f>
        <v>46715</v>
      </c>
      <c r="T1065" s="125">
        <f>IF(H$2=VLOOKUP(A1065,Journal!$A$7:$F$70,6),VLOOKUP(A1065,Journal!$A$7:M$70,9),0)</f>
        <v>0</v>
      </c>
      <c r="U1065" s="125">
        <f>IF(H$2=VLOOKUP(A1065,Journal!$A$7:$G$70,7),VLOOKUP(A1065,Journal!$A$7:M$70,9),0)</f>
        <v>0</v>
      </c>
      <c r="V1065" s="125">
        <f t="shared" si="123"/>
        <v>40</v>
      </c>
      <c r="X1065">
        <f t="shared" si="129"/>
        <v>0</v>
      </c>
      <c r="Y1065" s="143">
        <f t="shared" si="121"/>
        <v>-972.23684210530735</v>
      </c>
    </row>
    <row r="1066" spans="1:25" x14ac:dyDescent="0.25">
      <c r="A1066">
        <f t="shared" si="125"/>
        <v>1059</v>
      </c>
      <c r="B1066" s="88" t="str">
        <f>IF(OR(B1065="Total",B1065=""),"",IF(VLOOKUP(A1066,Journal!$B$7:$E$84,4)=0,"Total",VLOOKUP(A1066,Journal!$B$7:$D$84,3)))</f>
        <v/>
      </c>
      <c r="C1066" s="86" t="str">
        <f>IF(B1066="","",VLOOKUP(A1066,Journal!$B$7:$E$84,4))</f>
        <v/>
      </c>
      <c r="D1066" s="114" t="str">
        <f>IF(B1066="","",VLOOKUP(A1066,Journal!$B$7:$J$84,9))</f>
        <v/>
      </c>
      <c r="E1066" s="116"/>
      <c r="F1066" s="116"/>
      <c r="G1066" s="115"/>
      <c r="H1066" s="84" t="str">
        <f>IF(B1066="","",VLOOKUP(A1066,Journal!$B$7:$L$84,11))</f>
        <v/>
      </c>
      <c r="I1066" s="84" t="str">
        <f>IF(B1066="","",VLOOKUP(A1066,Journal!$B$7:$M$84,12))</f>
        <v/>
      </c>
      <c r="J1066" s="105">
        <f>IF(B1066="Total",SUM(J$8:J1065)+0.0001,IF(OR(B1066="",I$2=I1066),0,VLOOKUP(A1066,Journal!$B$7:M$84,8)))</f>
        <v>0</v>
      </c>
      <c r="K1066" s="102">
        <f>IF(B1066="Total",SUM(K$8:K1065)+0.0001,IF(OR(B1066="",J1066&lt;&gt;0),0,VLOOKUP(A1066,Journal!$B$7:M$84,8)))</f>
        <v>0</v>
      </c>
      <c r="L1066" s="87">
        <f t="shared" si="126"/>
        <v>0</v>
      </c>
      <c r="P1066">
        <f t="shared" si="127"/>
        <v>1.0000000000000001E-5</v>
      </c>
      <c r="R1066" s="15">
        <f t="shared" si="128"/>
        <v>1059</v>
      </c>
      <c r="S1066" s="126">
        <f>IF(VLOOKUP(A1066,Journal!$A$7:$E$70,5)=0,S1065+1,VLOOKUP(A1066,Journal!$A$7:$E$70,5))</f>
        <v>46716</v>
      </c>
      <c r="T1066" s="125">
        <f>IF(H$2=VLOOKUP(A1066,Journal!$A$7:$F$70,6),VLOOKUP(A1066,Journal!$A$7:M$70,9),0)</f>
        <v>0</v>
      </c>
      <c r="U1066" s="125">
        <f>IF(H$2=VLOOKUP(A1066,Journal!$A$7:$G$70,7),VLOOKUP(A1066,Journal!$A$7:M$70,9),0)</f>
        <v>0</v>
      </c>
      <c r="V1066" s="125">
        <f t="shared" si="123"/>
        <v>40</v>
      </c>
      <c r="X1066">
        <f t="shared" si="129"/>
        <v>0</v>
      </c>
      <c r="Y1066" s="143">
        <f t="shared" si="121"/>
        <v>-972.2105263158337</v>
      </c>
    </row>
    <row r="1067" spans="1:25" x14ac:dyDescent="0.25">
      <c r="A1067">
        <f t="shared" si="125"/>
        <v>1060</v>
      </c>
      <c r="B1067" s="88" t="str">
        <f>IF(OR(B1066="Total",B1066=""),"",IF(VLOOKUP(A1067,Journal!$B$7:$E$84,4)=0,"Total",VLOOKUP(A1067,Journal!$B$7:$D$84,3)))</f>
        <v/>
      </c>
      <c r="C1067" s="86" t="str">
        <f>IF(B1067="","",VLOOKUP(A1067,Journal!$B$7:$E$84,4))</f>
        <v/>
      </c>
      <c r="D1067" s="114" t="str">
        <f>IF(B1067="","",VLOOKUP(A1067,Journal!$B$7:$J$84,9))</f>
        <v/>
      </c>
      <c r="E1067" s="116"/>
      <c r="F1067" s="116"/>
      <c r="G1067" s="115"/>
      <c r="H1067" s="84" t="str">
        <f>IF(B1067="","",VLOOKUP(A1067,Journal!$B$7:$L$84,11))</f>
        <v/>
      </c>
      <c r="I1067" s="84" t="str">
        <f>IF(B1067="","",VLOOKUP(A1067,Journal!$B$7:$M$84,12))</f>
        <v/>
      </c>
      <c r="J1067" s="105">
        <f>IF(B1067="Total",SUM(J$8:J1066)+0.0001,IF(OR(B1067="",I$2=I1067),0,VLOOKUP(A1067,Journal!$B$7:M$84,8)))</f>
        <v>0</v>
      </c>
      <c r="K1067" s="102">
        <f>IF(B1067="Total",SUM(K$8:K1066)+0.0001,IF(OR(B1067="",J1067&lt;&gt;0),0,VLOOKUP(A1067,Journal!$B$7:M$84,8)))</f>
        <v>0</v>
      </c>
      <c r="L1067" s="87">
        <f t="shared" si="126"/>
        <v>0</v>
      </c>
      <c r="P1067">
        <f t="shared" si="127"/>
        <v>1.0000000000000001E-5</v>
      </c>
      <c r="R1067" s="15">
        <f t="shared" si="128"/>
        <v>1060</v>
      </c>
      <c r="S1067" s="126">
        <f>IF(VLOOKUP(A1067,Journal!$A$7:$E$70,5)=0,S1066+1,VLOOKUP(A1067,Journal!$A$7:$E$70,5))</f>
        <v>46717</v>
      </c>
      <c r="T1067" s="125">
        <f>IF(H$2=VLOOKUP(A1067,Journal!$A$7:$F$70,6),VLOOKUP(A1067,Journal!$A$7:M$70,9),0)</f>
        <v>0</v>
      </c>
      <c r="U1067" s="125">
        <f>IF(H$2=VLOOKUP(A1067,Journal!$A$7:$G$70,7),VLOOKUP(A1067,Journal!$A$7:M$70,9),0)</f>
        <v>0</v>
      </c>
      <c r="V1067" s="125">
        <f t="shared" si="123"/>
        <v>40</v>
      </c>
      <c r="X1067">
        <f t="shared" si="129"/>
        <v>0</v>
      </c>
      <c r="Y1067" s="143">
        <f t="shared" si="121"/>
        <v>-972.18421052636006</v>
      </c>
    </row>
    <row r="1068" spans="1:25" x14ac:dyDescent="0.25">
      <c r="A1068">
        <f t="shared" si="125"/>
        <v>1061</v>
      </c>
      <c r="B1068" s="88" t="str">
        <f>IF(OR(B1067="Total",B1067=""),"",IF(VLOOKUP(A1068,Journal!$B$7:$E$84,4)=0,"Total",VLOOKUP(A1068,Journal!$B$7:$D$84,3)))</f>
        <v/>
      </c>
      <c r="C1068" s="86" t="str">
        <f>IF(B1068="","",VLOOKUP(A1068,Journal!$B$7:$E$84,4))</f>
        <v/>
      </c>
      <c r="D1068" s="114" t="str">
        <f>IF(B1068="","",VLOOKUP(A1068,Journal!$B$7:$J$84,9))</f>
        <v/>
      </c>
      <c r="E1068" s="116"/>
      <c r="F1068" s="116"/>
      <c r="G1068" s="115"/>
      <c r="H1068" s="84" t="str">
        <f>IF(B1068="","",VLOOKUP(A1068,Journal!$B$7:$L$84,11))</f>
        <v/>
      </c>
      <c r="I1068" s="84" t="str">
        <f>IF(B1068="","",VLOOKUP(A1068,Journal!$B$7:$M$84,12))</f>
        <v/>
      </c>
      <c r="J1068" s="105">
        <f>IF(B1068="Total",SUM(J$8:J1067)+0.0001,IF(OR(B1068="",I$2=I1068),0,VLOOKUP(A1068,Journal!$B$7:M$84,8)))</f>
        <v>0</v>
      </c>
      <c r="K1068" s="102">
        <f>IF(B1068="Total",SUM(K$8:K1067)+0.0001,IF(OR(B1068="",J1068&lt;&gt;0),0,VLOOKUP(A1068,Journal!$B$7:M$84,8)))</f>
        <v>0</v>
      </c>
      <c r="L1068" s="87">
        <f t="shared" si="126"/>
        <v>0</v>
      </c>
      <c r="P1068">
        <f t="shared" si="127"/>
        <v>1.0000000000000001E-5</v>
      </c>
      <c r="R1068" s="15">
        <f t="shared" si="128"/>
        <v>1061</v>
      </c>
      <c r="S1068" s="126">
        <f>IF(VLOOKUP(A1068,Journal!$A$7:$E$70,5)=0,S1067+1,VLOOKUP(A1068,Journal!$A$7:$E$70,5))</f>
        <v>46718</v>
      </c>
      <c r="T1068" s="125">
        <f>IF(H$2=VLOOKUP(A1068,Journal!$A$7:$F$70,6),VLOOKUP(A1068,Journal!$A$7:M$70,9),0)</f>
        <v>0</v>
      </c>
      <c r="U1068" s="125">
        <f>IF(H$2=VLOOKUP(A1068,Journal!$A$7:$G$70,7),VLOOKUP(A1068,Journal!$A$7:M$70,9),0)</f>
        <v>0</v>
      </c>
      <c r="V1068" s="125">
        <f t="shared" si="123"/>
        <v>40</v>
      </c>
      <c r="X1068">
        <f t="shared" si="129"/>
        <v>0</v>
      </c>
      <c r="Y1068" s="143">
        <f t="shared" si="121"/>
        <v>-972.15789473688642</v>
      </c>
    </row>
    <row r="1069" spans="1:25" x14ac:dyDescent="0.25">
      <c r="A1069">
        <f t="shared" si="125"/>
        <v>1062</v>
      </c>
      <c r="B1069" s="88" t="str">
        <f>IF(OR(B1068="Total",B1068=""),"",IF(VLOOKUP(A1069,Journal!$B$7:$E$84,4)=0,"Total",VLOOKUP(A1069,Journal!$B$7:$D$84,3)))</f>
        <v/>
      </c>
      <c r="C1069" s="86" t="str">
        <f>IF(B1069="","",VLOOKUP(A1069,Journal!$B$7:$E$84,4))</f>
        <v/>
      </c>
      <c r="D1069" s="114" t="str">
        <f>IF(B1069="","",VLOOKUP(A1069,Journal!$B$7:$J$84,9))</f>
        <v/>
      </c>
      <c r="E1069" s="116"/>
      <c r="F1069" s="116"/>
      <c r="G1069" s="115"/>
      <c r="H1069" s="84" t="str">
        <f>IF(B1069="","",VLOOKUP(A1069,Journal!$B$7:$L$84,11))</f>
        <v/>
      </c>
      <c r="I1069" s="84" t="str">
        <f>IF(B1069="","",VLOOKUP(A1069,Journal!$B$7:$M$84,12))</f>
        <v/>
      </c>
      <c r="J1069" s="105">
        <f>IF(B1069="Total",SUM(J$8:J1068)+0.0001,IF(OR(B1069="",I$2=I1069),0,VLOOKUP(A1069,Journal!$B$7:M$84,8)))</f>
        <v>0</v>
      </c>
      <c r="K1069" s="102">
        <f>IF(B1069="Total",SUM(K$8:K1068)+0.0001,IF(OR(B1069="",J1069&lt;&gt;0),0,VLOOKUP(A1069,Journal!$B$7:M$84,8)))</f>
        <v>0</v>
      </c>
      <c r="L1069" s="87">
        <f t="shared" si="126"/>
        <v>0</v>
      </c>
      <c r="P1069">
        <f t="shared" si="127"/>
        <v>1.0000000000000001E-5</v>
      </c>
      <c r="R1069" s="15">
        <f t="shared" si="128"/>
        <v>1062</v>
      </c>
      <c r="S1069" s="126">
        <f>IF(VLOOKUP(A1069,Journal!$A$7:$E$70,5)=0,S1068+1,VLOOKUP(A1069,Journal!$A$7:$E$70,5))</f>
        <v>46719</v>
      </c>
      <c r="T1069" s="125">
        <f>IF(H$2=VLOOKUP(A1069,Journal!$A$7:$F$70,6),VLOOKUP(A1069,Journal!$A$7:M$70,9),0)</f>
        <v>0</v>
      </c>
      <c r="U1069" s="125">
        <f>IF(H$2=VLOOKUP(A1069,Journal!$A$7:$G$70,7),VLOOKUP(A1069,Journal!$A$7:M$70,9),0)</f>
        <v>0</v>
      </c>
      <c r="V1069" s="125">
        <f t="shared" si="123"/>
        <v>40</v>
      </c>
      <c r="X1069">
        <f t="shared" si="129"/>
        <v>0</v>
      </c>
      <c r="Y1069" s="143">
        <f t="shared" si="121"/>
        <v>-972.13157894741278</v>
      </c>
    </row>
    <row r="1070" spans="1:25" x14ac:dyDescent="0.25">
      <c r="A1070">
        <f t="shared" si="125"/>
        <v>1063</v>
      </c>
      <c r="B1070" s="88" t="str">
        <f>IF(OR(B1069="Total",B1069=""),"",IF(VLOOKUP(A1070,Journal!$B$7:$E$84,4)=0,"Total",VLOOKUP(A1070,Journal!$B$7:$D$84,3)))</f>
        <v/>
      </c>
      <c r="C1070" s="86" t="str">
        <f>IF(B1070="","",VLOOKUP(A1070,Journal!$B$7:$E$84,4))</f>
        <v/>
      </c>
      <c r="D1070" s="114" t="str">
        <f>IF(B1070="","",VLOOKUP(A1070,Journal!$B$7:$J$84,9))</f>
        <v/>
      </c>
      <c r="E1070" s="116"/>
      <c r="F1070" s="116"/>
      <c r="G1070" s="115"/>
      <c r="H1070" s="84" t="str">
        <f>IF(B1070="","",VLOOKUP(A1070,Journal!$B$7:$L$84,11))</f>
        <v/>
      </c>
      <c r="I1070" s="84" t="str">
        <f>IF(B1070="","",VLOOKUP(A1070,Journal!$B$7:$M$84,12))</f>
        <v/>
      </c>
      <c r="J1070" s="105">
        <f>IF(B1070="Total",SUM(J$8:J1069)+0.0001,IF(OR(B1070="",I$2=I1070),0,VLOOKUP(A1070,Journal!$B$7:M$84,8)))</f>
        <v>0</v>
      </c>
      <c r="K1070" s="102">
        <f>IF(B1070="Total",SUM(K$8:K1069)+0.0001,IF(OR(B1070="",J1070&lt;&gt;0),0,VLOOKUP(A1070,Journal!$B$7:M$84,8)))</f>
        <v>0</v>
      </c>
      <c r="L1070" s="87">
        <f t="shared" si="126"/>
        <v>0</v>
      </c>
      <c r="P1070">
        <f t="shared" si="127"/>
        <v>1.0000000000000001E-5</v>
      </c>
      <c r="R1070" s="15">
        <f t="shared" si="128"/>
        <v>1063</v>
      </c>
      <c r="S1070" s="126">
        <f>IF(VLOOKUP(A1070,Journal!$A$7:$E$70,5)=0,S1069+1,VLOOKUP(A1070,Journal!$A$7:$E$70,5))</f>
        <v>46720</v>
      </c>
      <c r="T1070" s="125">
        <f>IF(H$2=VLOOKUP(A1070,Journal!$A$7:$F$70,6),VLOOKUP(A1070,Journal!$A$7:M$70,9),0)</f>
        <v>0</v>
      </c>
      <c r="U1070" s="125">
        <f>IF(H$2=VLOOKUP(A1070,Journal!$A$7:$G$70,7),VLOOKUP(A1070,Journal!$A$7:M$70,9),0)</f>
        <v>0</v>
      </c>
      <c r="V1070" s="125">
        <f t="shared" si="123"/>
        <v>40</v>
      </c>
      <c r="X1070">
        <f t="shared" si="129"/>
        <v>0</v>
      </c>
      <c r="Y1070" s="143">
        <f t="shared" si="121"/>
        <v>-972.10526315793913</v>
      </c>
    </row>
    <row r="1071" spans="1:25" x14ac:dyDescent="0.25">
      <c r="A1071">
        <f t="shared" si="125"/>
        <v>1064</v>
      </c>
      <c r="B1071" s="88" t="str">
        <f>IF(OR(B1070="Total",B1070=""),"",IF(VLOOKUP(A1071,Journal!$B$7:$E$84,4)=0,"Total",VLOOKUP(A1071,Journal!$B$7:$D$84,3)))</f>
        <v/>
      </c>
      <c r="C1071" s="86" t="str">
        <f>IF(B1071="","",VLOOKUP(A1071,Journal!$B$7:$E$84,4))</f>
        <v/>
      </c>
      <c r="D1071" s="114" t="str">
        <f>IF(B1071="","",VLOOKUP(A1071,Journal!$B$7:$J$84,9))</f>
        <v/>
      </c>
      <c r="E1071" s="116"/>
      <c r="F1071" s="116"/>
      <c r="G1071" s="115"/>
      <c r="H1071" s="84" t="str">
        <f>IF(B1071="","",VLOOKUP(A1071,Journal!$B$7:$L$84,11))</f>
        <v/>
      </c>
      <c r="I1071" s="84" t="str">
        <f>IF(B1071="","",VLOOKUP(A1071,Journal!$B$7:$M$84,12))</f>
        <v/>
      </c>
      <c r="J1071" s="105">
        <f>IF(B1071="Total",SUM(J$8:J1070)+0.0001,IF(OR(B1071="",I$2=I1071),0,VLOOKUP(A1071,Journal!$B$7:M$84,8)))</f>
        <v>0</v>
      </c>
      <c r="K1071" s="102">
        <f>IF(B1071="Total",SUM(K$8:K1070)+0.0001,IF(OR(B1071="",J1071&lt;&gt;0),0,VLOOKUP(A1071,Journal!$B$7:M$84,8)))</f>
        <v>0</v>
      </c>
      <c r="L1071" s="87">
        <f t="shared" si="126"/>
        <v>0</v>
      </c>
      <c r="P1071">
        <f t="shared" si="127"/>
        <v>1.0000000000000001E-5</v>
      </c>
      <c r="R1071" s="15">
        <f t="shared" si="128"/>
        <v>1064</v>
      </c>
      <c r="S1071" s="126">
        <f>IF(VLOOKUP(A1071,Journal!$A$7:$E$70,5)=0,S1070+1,VLOOKUP(A1071,Journal!$A$7:$E$70,5))</f>
        <v>46721</v>
      </c>
      <c r="T1071" s="125">
        <f>IF(H$2=VLOOKUP(A1071,Journal!$A$7:$F$70,6),VLOOKUP(A1071,Journal!$A$7:M$70,9),0)</f>
        <v>0</v>
      </c>
      <c r="U1071" s="125">
        <f>IF(H$2=VLOOKUP(A1071,Journal!$A$7:$G$70,7),VLOOKUP(A1071,Journal!$A$7:M$70,9),0)</f>
        <v>0</v>
      </c>
      <c r="V1071" s="125">
        <f t="shared" si="123"/>
        <v>40</v>
      </c>
      <c r="X1071">
        <f t="shared" si="129"/>
        <v>0</v>
      </c>
      <c r="Y1071" s="143">
        <f t="shared" si="121"/>
        <v>-972.07894736846549</v>
      </c>
    </row>
    <row r="1072" spans="1:25" x14ac:dyDescent="0.25">
      <c r="A1072">
        <f t="shared" si="125"/>
        <v>1065</v>
      </c>
      <c r="B1072" s="88" t="str">
        <f>IF(OR(B1071="Total",B1071=""),"",IF(VLOOKUP(A1072,Journal!$B$7:$E$84,4)=0,"Total",VLOOKUP(A1072,Journal!$B$7:$D$84,3)))</f>
        <v/>
      </c>
      <c r="C1072" s="86" t="str">
        <f>IF(B1072="","",VLOOKUP(A1072,Journal!$B$7:$E$84,4))</f>
        <v/>
      </c>
      <c r="D1072" s="114" t="str">
        <f>IF(B1072="","",VLOOKUP(A1072,Journal!$B$7:$J$84,9))</f>
        <v/>
      </c>
      <c r="E1072" s="116"/>
      <c r="F1072" s="116"/>
      <c r="G1072" s="115"/>
      <c r="H1072" s="84" t="str">
        <f>IF(B1072="","",VLOOKUP(A1072,Journal!$B$7:$L$84,11))</f>
        <v/>
      </c>
      <c r="I1072" s="84" t="str">
        <f>IF(B1072="","",VLOOKUP(A1072,Journal!$B$7:$M$84,12))</f>
        <v/>
      </c>
      <c r="J1072" s="105">
        <f>IF(B1072="Total",SUM(J$8:J1071)+0.0001,IF(OR(B1072="",I$2=I1072),0,VLOOKUP(A1072,Journal!$B$7:M$84,8)))</f>
        <v>0</v>
      </c>
      <c r="K1072" s="102">
        <f>IF(B1072="Total",SUM(K$8:K1071)+0.0001,IF(OR(B1072="",J1072&lt;&gt;0),0,VLOOKUP(A1072,Journal!$B$7:M$84,8)))</f>
        <v>0</v>
      </c>
      <c r="L1072" s="87">
        <f t="shared" si="126"/>
        <v>0</v>
      </c>
      <c r="P1072">
        <f t="shared" si="127"/>
        <v>1.0000000000000001E-5</v>
      </c>
      <c r="R1072" s="15">
        <f t="shared" si="128"/>
        <v>1065</v>
      </c>
      <c r="S1072" s="126">
        <f>IF(VLOOKUP(A1072,Journal!$A$7:$E$70,5)=0,S1071+1,VLOOKUP(A1072,Journal!$A$7:$E$70,5))</f>
        <v>46722</v>
      </c>
      <c r="T1072" s="125">
        <f>IF(H$2=VLOOKUP(A1072,Journal!$A$7:$F$70,6),VLOOKUP(A1072,Journal!$A$7:M$70,9),0)</f>
        <v>0</v>
      </c>
      <c r="U1072" s="125">
        <f>IF(H$2=VLOOKUP(A1072,Journal!$A$7:$G$70,7),VLOOKUP(A1072,Journal!$A$7:M$70,9),0)</f>
        <v>0</v>
      </c>
      <c r="V1072" s="125">
        <f t="shared" si="123"/>
        <v>40</v>
      </c>
      <c r="X1072">
        <f t="shared" si="129"/>
        <v>0</v>
      </c>
      <c r="Y1072" s="143">
        <f t="shared" si="121"/>
        <v>-972.05263157899185</v>
      </c>
    </row>
    <row r="1073" spans="1:25" x14ac:dyDescent="0.25">
      <c r="A1073">
        <f t="shared" si="125"/>
        <v>1066</v>
      </c>
      <c r="B1073" s="88" t="str">
        <f>IF(OR(B1072="Total",B1072=""),"",IF(VLOOKUP(A1073,Journal!$B$7:$E$84,4)=0,"Total",VLOOKUP(A1073,Journal!$B$7:$D$84,3)))</f>
        <v/>
      </c>
      <c r="C1073" s="86" t="str">
        <f>IF(B1073="","",VLOOKUP(A1073,Journal!$B$7:$E$84,4))</f>
        <v/>
      </c>
      <c r="D1073" s="114" t="str">
        <f>IF(B1073="","",VLOOKUP(A1073,Journal!$B$7:$J$84,9))</f>
        <v/>
      </c>
      <c r="E1073" s="116"/>
      <c r="F1073" s="116"/>
      <c r="G1073" s="115"/>
      <c r="H1073" s="84" t="str">
        <f>IF(B1073="","",VLOOKUP(A1073,Journal!$B$7:$L$84,11))</f>
        <v/>
      </c>
      <c r="I1073" s="84" t="str">
        <f>IF(B1073="","",VLOOKUP(A1073,Journal!$B$7:$M$84,12))</f>
        <v/>
      </c>
      <c r="J1073" s="105">
        <f>IF(B1073="Total",SUM(J$8:J1072)+0.0001,IF(OR(B1073="",I$2=I1073),0,VLOOKUP(A1073,Journal!$B$7:M$84,8)))</f>
        <v>0</v>
      </c>
      <c r="K1073" s="102">
        <f>IF(B1073="Total",SUM(K$8:K1072)+0.0001,IF(OR(B1073="",J1073&lt;&gt;0),0,VLOOKUP(A1073,Journal!$B$7:M$84,8)))</f>
        <v>0</v>
      </c>
      <c r="L1073" s="87">
        <f t="shared" si="126"/>
        <v>0</v>
      </c>
      <c r="P1073">
        <f t="shared" si="127"/>
        <v>1.0000000000000001E-5</v>
      </c>
      <c r="R1073" s="15">
        <f t="shared" si="128"/>
        <v>1066</v>
      </c>
      <c r="S1073" s="126">
        <f>IF(VLOOKUP(A1073,Journal!$A$7:$E$70,5)=0,S1072+1,VLOOKUP(A1073,Journal!$A$7:$E$70,5))</f>
        <v>46723</v>
      </c>
      <c r="T1073" s="125">
        <f>IF(H$2=VLOOKUP(A1073,Journal!$A$7:$F$70,6),VLOOKUP(A1073,Journal!$A$7:M$70,9),0)</f>
        <v>0</v>
      </c>
      <c r="U1073" s="125">
        <f>IF(H$2=VLOOKUP(A1073,Journal!$A$7:$G$70,7),VLOOKUP(A1073,Journal!$A$7:M$70,9),0)</f>
        <v>0</v>
      </c>
      <c r="V1073" s="125">
        <f t="shared" si="123"/>
        <v>40</v>
      </c>
      <c r="X1073">
        <f t="shared" si="129"/>
        <v>0</v>
      </c>
      <c r="Y1073" s="143">
        <f t="shared" si="121"/>
        <v>-972.02631578951821</v>
      </c>
    </row>
    <row r="1074" spans="1:25" x14ac:dyDescent="0.25">
      <c r="A1074">
        <f t="shared" si="125"/>
        <v>1067</v>
      </c>
      <c r="B1074" s="88" t="str">
        <f>IF(OR(B1073="Total",B1073=""),"",IF(VLOOKUP(A1074,Journal!$B$7:$E$84,4)=0,"Total",VLOOKUP(A1074,Journal!$B$7:$D$84,3)))</f>
        <v/>
      </c>
      <c r="C1074" s="86" t="str">
        <f>IF(B1074="","",VLOOKUP(A1074,Journal!$B$7:$E$84,4))</f>
        <v/>
      </c>
      <c r="D1074" s="114" t="str">
        <f>IF(B1074="","",VLOOKUP(A1074,Journal!$B$7:$J$84,9))</f>
        <v/>
      </c>
      <c r="E1074" s="116"/>
      <c r="F1074" s="116"/>
      <c r="G1074" s="115"/>
      <c r="H1074" s="84" t="str">
        <f>IF(B1074="","",VLOOKUP(A1074,Journal!$B$7:$L$84,11))</f>
        <v/>
      </c>
      <c r="I1074" s="84" t="str">
        <f>IF(B1074="","",VLOOKUP(A1074,Journal!$B$7:$M$84,12))</f>
        <v/>
      </c>
      <c r="J1074" s="105">
        <f>IF(B1074="Total",SUM(J$8:J1073)+0.0001,IF(OR(B1074="",I$2=I1074),0,VLOOKUP(A1074,Journal!$B$7:M$84,8)))</f>
        <v>0</v>
      </c>
      <c r="K1074" s="102">
        <f>IF(B1074="Total",SUM(K$8:K1073)+0.0001,IF(OR(B1074="",J1074&lt;&gt;0),0,VLOOKUP(A1074,Journal!$B$7:M$84,8)))</f>
        <v>0</v>
      </c>
      <c r="L1074" s="87">
        <f t="shared" si="126"/>
        <v>0</v>
      </c>
      <c r="P1074">
        <f t="shared" si="127"/>
        <v>1.0000000000000001E-5</v>
      </c>
      <c r="R1074" s="15">
        <f t="shared" si="128"/>
        <v>1067</v>
      </c>
      <c r="S1074" s="126">
        <f>IF(VLOOKUP(A1074,Journal!$A$7:$E$70,5)=0,S1073+1,VLOOKUP(A1074,Journal!$A$7:$E$70,5))</f>
        <v>46724</v>
      </c>
      <c r="T1074" s="125">
        <f>IF(H$2=VLOOKUP(A1074,Journal!$A$7:$F$70,6),VLOOKUP(A1074,Journal!$A$7:M$70,9),0)</f>
        <v>0</v>
      </c>
      <c r="U1074" s="125">
        <f>IF(H$2=VLOOKUP(A1074,Journal!$A$7:$G$70,7),VLOOKUP(A1074,Journal!$A$7:M$70,9),0)</f>
        <v>0</v>
      </c>
      <c r="V1074" s="125">
        <f t="shared" si="123"/>
        <v>40</v>
      </c>
      <c r="X1074">
        <f t="shared" si="129"/>
        <v>0</v>
      </c>
      <c r="Y1074" s="143">
        <f t="shared" si="121"/>
        <v>-972.00000000004457</v>
      </c>
    </row>
    <row r="1075" spans="1:25" x14ac:dyDescent="0.25">
      <c r="A1075">
        <f t="shared" si="125"/>
        <v>1068</v>
      </c>
      <c r="B1075" s="88" t="str">
        <f>IF(OR(B1074="Total",B1074=""),"",IF(VLOOKUP(A1075,Journal!$B$7:$E$84,4)=0,"Total",VLOOKUP(A1075,Journal!$B$7:$D$84,3)))</f>
        <v/>
      </c>
      <c r="C1075" s="86" t="str">
        <f>IF(B1075="","",VLOOKUP(A1075,Journal!$B$7:$E$84,4))</f>
        <v/>
      </c>
      <c r="D1075" s="114" t="str">
        <f>IF(B1075="","",VLOOKUP(A1075,Journal!$B$7:$J$84,9))</f>
        <v/>
      </c>
      <c r="E1075" s="116"/>
      <c r="F1075" s="116"/>
      <c r="G1075" s="115"/>
      <c r="H1075" s="84" t="str">
        <f>IF(B1075="","",VLOOKUP(A1075,Journal!$B$7:$L$84,11))</f>
        <v/>
      </c>
      <c r="I1075" s="84" t="str">
        <f>IF(B1075="","",VLOOKUP(A1075,Journal!$B$7:$M$84,12))</f>
        <v/>
      </c>
      <c r="J1075" s="105">
        <f>IF(B1075="Total",SUM(J$8:J1074)+0.0001,IF(OR(B1075="",I$2=I1075),0,VLOOKUP(A1075,Journal!$B$7:M$84,8)))</f>
        <v>0</v>
      </c>
      <c r="K1075" s="102">
        <f>IF(B1075="Total",SUM(K$8:K1074)+0.0001,IF(OR(B1075="",J1075&lt;&gt;0),0,VLOOKUP(A1075,Journal!$B$7:M$84,8)))</f>
        <v>0</v>
      </c>
      <c r="L1075" s="87">
        <f t="shared" si="126"/>
        <v>0</v>
      </c>
      <c r="P1075">
        <f t="shared" si="127"/>
        <v>1.0000000000000001E-5</v>
      </c>
      <c r="R1075" s="15">
        <f t="shared" si="128"/>
        <v>1068</v>
      </c>
      <c r="S1075" s="126">
        <f>IF(VLOOKUP(A1075,Journal!$A$7:$E$70,5)=0,S1074+1,VLOOKUP(A1075,Journal!$A$7:$E$70,5))</f>
        <v>46725</v>
      </c>
      <c r="T1075" s="125">
        <f>IF(H$2=VLOOKUP(A1075,Journal!$A$7:$F$70,6),VLOOKUP(A1075,Journal!$A$7:M$70,9),0)</f>
        <v>0</v>
      </c>
      <c r="U1075" s="125">
        <f>IF(H$2=VLOOKUP(A1075,Journal!$A$7:$G$70,7),VLOOKUP(A1075,Journal!$A$7:M$70,9),0)</f>
        <v>0</v>
      </c>
      <c r="V1075" s="125">
        <f t="shared" si="123"/>
        <v>40</v>
      </c>
      <c r="X1075">
        <f t="shared" si="129"/>
        <v>0</v>
      </c>
      <c r="Y1075" s="143">
        <f t="shared" si="121"/>
        <v>-971.97368421057092</v>
      </c>
    </row>
    <row r="1076" spans="1:25" x14ac:dyDescent="0.25">
      <c r="A1076">
        <f t="shared" si="125"/>
        <v>1069</v>
      </c>
      <c r="B1076" s="88" t="str">
        <f>IF(OR(B1075="Total",B1075=""),"",IF(VLOOKUP(A1076,Journal!$B$7:$E$84,4)=0,"Total",VLOOKUP(A1076,Journal!$B$7:$D$84,3)))</f>
        <v/>
      </c>
      <c r="C1076" s="86" t="str">
        <f>IF(B1076="","",VLOOKUP(A1076,Journal!$B$7:$E$84,4))</f>
        <v/>
      </c>
      <c r="D1076" s="114" t="str">
        <f>IF(B1076="","",VLOOKUP(A1076,Journal!$B$7:$J$84,9))</f>
        <v/>
      </c>
      <c r="E1076" s="116"/>
      <c r="F1076" s="116"/>
      <c r="G1076" s="115"/>
      <c r="H1076" s="84" t="str">
        <f>IF(B1076="","",VLOOKUP(A1076,Journal!$B$7:$L$84,11))</f>
        <v/>
      </c>
      <c r="I1076" s="84" t="str">
        <f>IF(B1076="","",VLOOKUP(A1076,Journal!$B$7:$M$84,12))</f>
        <v/>
      </c>
      <c r="J1076" s="105">
        <f>IF(B1076="Total",SUM(J$8:J1075)+0.0001,IF(OR(B1076="",I$2=I1076),0,VLOOKUP(A1076,Journal!$B$7:M$84,8)))</f>
        <v>0</v>
      </c>
      <c r="K1076" s="102">
        <f>IF(B1076="Total",SUM(K$8:K1075)+0.0001,IF(OR(B1076="",J1076&lt;&gt;0),0,VLOOKUP(A1076,Journal!$B$7:M$84,8)))</f>
        <v>0</v>
      </c>
      <c r="L1076" s="87">
        <f t="shared" si="126"/>
        <v>0</v>
      </c>
      <c r="P1076">
        <f t="shared" si="127"/>
        <v>1.0000000000000001E-5</v>
      </c>
      <c r="R1076" s="15">
        <f t="shared" si="128"/>
        <v>1069</v>
      </c>
      <c r="S1076" s="126">
        <f>IF(VLOOKUP(A1076,Journal!$A$7:$E$70,5)=0,S1075+1,VLOOKUP(A1076,Journal!$A$7:$E$70,5))</f>
        <v>46726</v>
      </c>
      <c r="T1076" s="125">
        <f>IF(H$2=VLOOKUP(A1076,Journal!$A$7:$F$70,6),VLOOKUP(A1076,Journal!$A$7:M$70,9),0)</f>
        <v>0</v>
      </c>
      <c r="U1076" s="125">
        <f>IF(H$2=VLOOKUP(A1076,Journal!$A$7:$G$70,7),VLOOKUP(A1076,Journal!$A$7:M$70,9),0)</f>
        <v>0</v>
      </c>
      <c r="V1076" s="125">
        <f t="shared" si="123"/>
        <v>40</v>
      </c>
      <c r="X1076">
        <f t="shared" si="129"/>
        <v>0</v>
      </c>
      <c r="Y1076" s="143">
        <f t="shared" si="121"/>
        <v>-971.94736842109728</v>
      </c>
    </row>
    <row r="1077" spans="1:25" x14ac:dyDescent="0.25">
      <c r="A1077">
        <f t="shared" si="125"/>
        <v>1070</v>
      </c>
      <c r="B1077" s="88" t="str">
        <f>IF(OR(B1076="Total",B1076=""),"",IF(VLOOKUP(A1077,Journal!$B$7:$E$84,4)=0,"Total",VLOOKUP(A1077,Journal!$B$7:$D$84,3)))</f>
        <v/>
      </c>
      <c r="C1077" s="86" t="str">
        <f>IF(B1077="","",VLOOKUP(A1077,Journal!$B$7:$E$84,4))</f>
        <v/>
      </c>
      <c r="D1077" s="114" t="str">
        <f>IF(B1077="","",VLOOKUP(A1077,Journal!$B$7:$J$84,9))</f>
        <v/>
      </c>
      <c r="E1077" s="116"/>
      <c r="F1077" s="116"/>
      <c r="G1077" s="115"/>
      <c r="H1077" s="84" t="str">
        <f>IF(B1077="","",VLOOKUP(A1077,Journal!$B$7:$L$84,11))</f>
        <v/>
      </c>
      <c r="I1077" s="84" t="str">
        <f>IF(B1077="","",VLOOKUP(A1077,Journal!$B$7:$M$84,12))</f>
        <v/>
      </c>
      <c r="J1077" s="105">
        <f>IF(B1077="Total",SUM(J$8:J1076)+0.0001,IF(OR(B1077="",I$2=I1077),0,VLOOKUP(A1077,Journal!$B$7:M$84,8)))</f>
        <v>0</v>
      </c>
      <c r="K1077" s="102">
        <f>IF(B1077="Total",SUM(K$8:K1076)+0.0001,IF(OR(B1077="",J1077&lt;&gt;0),0,VLOOKUP(A1077,Journal!$B$7:M$84,8)))</f>
        <v>0</v>
      </c>
      <c r="L1077" s="87">
        <f t="shared" si="126"/>
        <v>0</v>
      </c>
      <c r="P1077">
        <f t="shared" si="127"/>
        <v>1.0000000000000001E-5</v>
      </c>
      <c r="R1077" s="15">
        <f t="shared" si="128"/>
        <v>1070</v>
      </c>
      <c r="S1077" s="126">
        <f>IF(VLOOKUP(A1077,Journal!$A$7:$E$70,5)=0,S1076+1,VLOOKUP(A1077,Journal!$A$7:$E$70,5))</f>
        <v>46727</v>
      </c>
      <c r="T1077" s="125">
        <f>IF(H$2=VLOOKUP(A1077,Journal!$A$7:$F$70,6),VLOOKUP(A1077,Journal!$A$7:M$70,9),0)</f>
        <v>0</v>
      </c>
      <c r="U1077" s="125">
        <f>IF(H$2=VLOOKUP(A1077,Journal!$A$7:$G$70,7),VLOOKUP(A1077,Journal!$A$7:M$70,9),0)</f>
        <v>0</v>
      </c>
      <c r="V1077" s="125">
        <f t="shared" si="123"/>
        <v>40</v>
      </c>
      <c r="X1077">
        <f t="shared" si="129"/>
        <v>0</v>
      </c>
      <c r="Y1077" s="143">
        <f t="shared" si="121"/>
        <v>-971.92105263162364</v>
      </c>
    </row>
    <row r="1078" spans="1:25" x14ac:dyDescent="0.25">
      <c r="A1078">
        <f t="shared" si="125"/>
        <v>1071</v>
      </c>
      <c r="B1078" s="88" t="str">
        <f>IF(OR(B1077="Total",B1077=""),"",IF(VLOOKUP(A1078,Journal!$B$7:$E$84,4)=0,"Total",VLOOKUP(A1078,Journal!$B$7:$D$84,3)))</f>
        <v/>
      </c>
      <c r="C1078" s="86" t="str">
        <f>IF(B1078="","",VLOOKUP(A1078,Journal!$B$7:$E$84,4))</f>
        <v/>
      </c>
      <c r="D1078" s="114" t="str">
        <f>IF(B1078="","",VLOOKUP(A1078,Journal!$B$7:$J$84,9))</f>
        <v/>
      </c>
      <c r="E1078" s="116"/>
      <c r="F1078" s="116"/>
      <c r="G1078" s="115"/>
      <c r="H1078" s="84" t="str">
        <f>IF(B1078="","",VLOOKUP(A1078,Journal!$B$7:$L$84,11))</f>
        <v/>
      </c>
      <c r="I1078" s="84" t="str">
        <f>IF(B1078="","",VLOOKUP(A1078,Journal!$B$7:$M$84,12))</f>
        <v/>
      </c>
      <c r="J1078" s="105">
        <f>IF(B1078="Total",SUM(J$8:J1077)+0.0001,IF(OR(B1078="",I$2=I1078),0,VLOOKUP(A1078,Journal!$B$7:M$84,8)))</f>
        <v>0</v>
      </c>
      <c r="K1078" s="102">
        <f>IF(B1078="Total",SUM(K$8:K1077)+0.0001,IF(OR(B1078="",J1078&lt;&gt;0),0,VLOOKUP(A1078,Journal!$B$7:M$84,8)))</f>
        <v>0</v>
      </c>
      <c r="L1078" s="87">
        <f t="shared" si="126"/>
        <v>0</v>
      </c>
      <c r="P1078">
        <f t="shared" si="127"/>
        <v>1.0000000000000001E-5</v>
      </c>
      <c r="R1078" s="15">
        <f t="shared" si="128"/>
        <v>1071</v>
      </c>
      <c r="S1078" s="126">
        <f>IF(VLOOKUP(A1078,Journal!$A$7:$E$70,5)=0,S1077+1,VLOOKUP(A1078,Journal!$A$7:$E$70,5))</f>
        <v>46728</v>
      </c>
      <c r="T1078" s="125">
        <f>IF(H$2=VLOOKUP(A1078,Journal!$A$7:$F$70,6),VLOOKUP(A1078,Journal!$A$7:M$70,9),0)</f>
        <v>0</v>
      </c>
      <c r="U1078" s="125">
        <f>IF(H$2=VLOOKUP(A1078,Journal!$A$7:$G$70,7),VLOOKUP(A1078,Journal!$A$7:M$70,9),0)</f>
        <v>0</v>
      </c>
      <c r="V1078" s="125">
        <f t="shared" si="123"/>
        <v>40</v>
      </c>
      <c r="X1078">
        <f t="shared" si="129"/>
        <v>0</v>
      </c>
      <c r="Y1078" s="143">
        <f t="shared" si="121"/>
        <v>-971.89473684215</v>
      </c>
    </row>
    <row r="1079" spans="1:25" x14ac:dyDescent="0.25">
      <c r="A1079">
        <f t="shared" si="125"/>
        <v>1072</v>
      </c>
      <c r="B1079" s="88" t="str">
        <f>IF(OR(B1078="Total",B1078=""),"",IF(VLOOKUP(A1079,Journal!$B$7:$E$84,4)=0,"Total",VLOOKUP(A1079,Journal!$B$7:$D$84,3)))</f>
        <v/>
      </c>
      <c r="C1079" s="86" t="str">
        <f>IF(B1079="","",VLOOKUP(A1079,Journal!$B$7:$E$84,4))</f>
        <v/>
      </c>
      <c r="D1079" s="114" t="str">
        <f>IF(B1079="","",VLOOKUP(A1079,Journal!$B$7:$J$84,9))</f>
        <v/>
      </c>
      <c r="E1079" s="116"/>
      <c r="F1079" s="116"/>
      <c r="G1079" s="115"/>
      <c r="H1079" s="84" t="str">
        <f>IF(B1079="","",VLOOKUP(A1079,Journal!$B$7:$L$84,11))</f>
        <v/>
      </c>
      <c r="I1079" s="84" t="str">
        <f>IF(B1079="","",VLOOKUP(A1079,Journal!$B$7:$M$84,12))</f>
        <v/>
      </c>
      <c r="J1079" s="105">
        <f>IF(B1079="Total",SUM(J$8:J1078)+0.0001,IF(OR(B1079="",I$2=I1079),0,VLOOKUP(A1079,Journal!$B$7:M$84,8)))</f>
        <v>0</v>
      </c>
      <c r="K1079" s="102">
        <f>IF(B1079="Total",SUM(K$8:K1078)+0.0001,IF(OR(B1079="",J1079&lt;&gt;0),0,VLOOKUP(A1079,Journal!$B$7:M$84,8)))</f>
        <v>0</v>
      </c>
      <c r="L1079" s="87">
        <f t="shared" si="126"/>
        <v>0</v>
      </c>
      <c r="P1079">
        <f t="shared" si="127"/>
        <v>1.0000000000000001E-5</v>
      </c>
      <c r="R1079" s="15">
        <f t="shared" si="128"/>
        <v>1072</v>
      </c>
      <c r="S1079" s="126">
        <f>IF(VLOOKUP(A1079,Journal!$A$7:$E$70,5)=0,S1078+1,VLOOKUP(A1079,Journal!$A$7:$E$70,5))</f>
        <v>46729</v>
      </c>
      <c r="T1079" s="125">
        <f>IF(H$2=VLOOKUP(A1079,Journal!$A$7:$F$70,6),VLOOKUP(A1079,Journal!$A$7:M$70,9),0)</f>
        <v>0</v>
      </c>
      <c r="U1079" s="125">
        <f>IF(H$2=VLOOKUP(A1079,Journal!$A$7:$G$70,7),VLOOKUP(A1079,Journal!$A$7:M$70,9),0)</f>
        <v>0</v>
      </c>
      <c r="V1079" s="125">
        <f t="shared" si="123"/>
        <v>40</v>
      </c>
      <c r="X1079">
        <f t="shared" si="129"/>
        <v>0</v>
      </c>
      <c r="Y1079" s="143">
        <f t="shared" si="121"/>
        <v>-971.86842105267635</v>
      </c>
    </row>
    <row r="1080" spans="1:25" x14ac:dyDescent="0.25">
      <c r="A1080">
        <f t="shared" si="125"/>
        <v>1073</v>
      </c>
      <c r="B1080" s="88" t="str">
        <f>IF(OR(B1079="Total",B1079=""),"",IF(VLOOKUP(A1080,Journal!$B$7:$E$84,4)=0,"Total",VLOOKUP(A1080,Journal!$B$7:$D$84,3)))</f>
        <v/>
      </c>
      <c r="C1080" s="86" t="str">
        <f>IF(B1080="","",VLOOKUP(A1080,Journal!$B$7:$E$84,4))</f>
        <v/>
      </c>
      <c r="D1080" s="114" t="str">
        <f>IF(B1080="","",VLOOKUP(A1080,Journal!$B$7:$J$84,9))</f>
        <v/>
      </c>
      <c r="E1080" s="116"/>
      <c r="F1080" s="116"/>
      <c r="G1080" s="115"/>
      <c r="H1080" s="84" t="str">
        <f>IF(B1080="","",VLOOKUP(A1080,Journal!$B$7:$L$84,11))</f>
        <v/>
      </c>
      <c r="I1080" s="84" t="str">
        <f>IF(B1080="","",VLOOKUP(A1080,Journal!$B$7:$M$84,12))</f>
        <v/>
      </c>
      <c r="J1080" s="105">
        <f>IF(B1080="Total",SUM(J$8:J1079)+0.0001,IF(OR(B1080="",I$2=I1080),0,VLOOKUP(A1080,Journal!$B$7:M$84,8)))</f>
        <v>0</v>
      </c>
      <c r="K1080" s="102">
        <f>IF(B1080="Total",SUM(K$8:K1079)+0.0001,IF(OR(B1080="",J1080&lt;&gt;0),0,VLOOKUP(A1080,Journal!$B$7:M$84,8)))</f>
        <v>0</v>
      </c>
      <c r="L1080" s="87">
        <f t="shared" si="126"/>
        <v>0</v>
      </c>
      <c r="P1080">
        <f t="shared" si="127"/>
        <v>1.0000000000000001E-5</v>
      </c>
      <c r="R1080" s="15">
        <f t="shared" si="128"/>
        <v>1073</v>
      </c>
      <c r="S1080" s="126">
        <f>IF(VLOOKUP(A1080,Journal!$A$7:$E$70,5)=0,S1079+1,VLOOKUP(A1080,Journal!$A$7:$E$70,5))</f>
        <v>46730</v>
      </c>
      <c r="T1080" s="125">
        <f>IF(H$2=VLOOKUP(A1080,Journal!$A$7:$F$70,6),VLOOKUP(A1080,Journal!$A$7:M$70,9),0)</f>
        <v>0</v>
      </c>
      <c r="U1080" s="125">
        <f>IF(H$2=VLOOKUP(A1080,Journal!$A$7:$G$70,7),VLOOKUP(A1080,Journal!$A$7:M$70,9),0)</f>
        <v>0</v>
      </c>
      <c r="V1080" s="125">
        <f t="shared" si="123"/>
        <v>40</v>
      </c>
      <c r="X1080">
        <f t="shared" si="129"/>
        <v>0</v>
      </c>
      <c r="Y1080" s="143">
        <f t="shared" si="121"/>
        <v>-971.84210526320271</v>
      </c>
    </row>
    <row r="1081" spans="1:25" x14ac:dyDescent="0.25">
      <c r="A1081">
        <f t="shared" si="125"/>
        <v>1074</v>
      </c>
      <c r="B1081" s="88" t="str">
        <f>IF(OR(B1080="Total",B1080=""),"",IF(VLOOKUP(A1081,Journal!$B$7:$E$84,4)=0,"Total",VLOOKUP(A1081,Journal!$B$7:$D$84,3)))</f>
        <v/>
      </c>
      <c r="C1081" s="86" t="str">
        <f>IF(B1081="","",VLOOKUP(A1081,Journal!$B$7:$E$84,4))</f>
        <v/>
      </c>
      <c r="D1081" s="114" t="str">
        <f>IF(B1081="","",VLOOKUP(A1081,Journal!$B$7:$J$84,9))</f>
        <v/>
      </c>
      <c r="E1081" s="116"/>
      <c r="F1081" s="116"/>
      <c r="G1081" s="115"/>
      <c r="H1081" s="84" t="str">
        <f>IF(B1081="","",VLOOKUP(A1081,Journal!$B$7:$L$84,11))</f>
        <v/>
      </c>
      <c r="I1081" s="84" t="str">
        <f>IF(B1081="","",VLOOKUP(A1081,Journal!$B$7:$M$84,12))</f>
        <v/>
      </c>
      <c r="J1081" s="105">
        <f>IF(B1081="Total",SUM(J$8:J1080)+0.0001,IF(OR(B1081="",I$2=I1081),0,VLOOKUP(A1081,Journal!$B$7:M$84,8)))</f>
        <v>0</v>
      </c>
      <c r="K1081" s="102">
        <f>IF(B1081="Total",SUM(K$8:K1080)+0.0001,IF(OR(B1081="",J1081&lt;&gt;0),0,VLOOKUP(A1081,Journal!$B$7:M$84,8)))</f>
        <v>0</v>
      </c>
      <c r="L1081" s="87">
        <f t="shared" si="126"/>
        <v>0</v>
      </c>
      <c r="P1081">
        <f t="shared" si="127"/>
        <v>1.0000000000000001E-5</v>
      </c>
      <c r="R1081" s="15">
        <f t="shared" si="128"/>
        <v>1074</v>
      </c>
      <c r="S1081" s="126">
        <f>IF(VLOOKUP(A1081,Journal!$A$7:$E$70,5)=0,S1080+1,VLOOKUP(A1081,Journal!$A$7:$E$70,5))</f>
        <v>46731</v>
      </c>
      <c r="T1081" s="125">
        <f>IF(H$2=VLOOKUP(A1081,Journal!$A$7:$F$70,6),VLOOKUP(A1081,Journal!$A$7:M$70,9),0)</f>
        <v>0</v>
      </c>
      <c r="U1081" s="125">
        <f>IF(H$2=VLOOKUP(A1081,Journal!$A$7:$G$70,7),VLOOKUP(A1081,Journal!$A$7:M$70,9),0)</f>
        <v>0</v>
      </c>
      <c r="V1081" s="125">
        <f t="shared" si="123"/>
        <v>40</v>
      </c>
      <c r="X1081">
        <f t="shared" si="129"/>
        <v>0</v>
      </c>
      <c r="Y1081" s="143">
        <f t="shared" si="121"/>
        <v>-971.81578947372907</v>
      </c>
    </row>
    <row r="1082" spans="1:25" x14ac:dyDescent="0.25">
      <c r="A1082">
        <f t="shared" si="125"/>
        <v>1075</v>
      </c>
      <c r="B1082" s="88" t="str">
        <f>IF(OR(B1081="Total",B1081=""),"",IF(VLOOKUP(A1082,Journal!$B$7:$E$84,4)=0,"Total",VLOOKUP(A1082,Journal!$B$7:$D$84,3)))</f>
        <v/>
      </c>
      <c r="C1082" s="86" t="str">
        <f>IF(B1082="","",VLOOKUP(A1082,Journal!$B$7:$E$84,4))</f>
        <v/>
      </c>
      <c r="D1082" s="114" t="str">
        <f>IF(B1082="","",VLOOKUP(A1082,Journal!$B$7:$J$84,9))</f>
        <v/>
      </c>
      <c r="E1082" s="116"/>
      <c r="F1082" s="116"/>
      <c r="G1082" s="115"/>
      <c r="H1082" s="84" t="str">
        <f>IF(B1082="","",VLOOKUP(A1082,Journal!$B$7:$L$84,11))</f>
        <v/>
      </c>
      <c r="I1082" s="84" t="str">
        <f>IF(B1082="","",VLOOKUP(A1082,Journal!$B$7:$M$84,12))</f>
        <v/>
      </c>
      <c r="J1082" s="105">
        <f>IF(B1082="Total",SUM(J$8:J1081)+0.0001,IF(OR(B1082="",I$2=I1082),0,VLOOKUP(A1082,Journal!$B$7:M$84,8)))</f>
        <v>0</v>
      </c>
      <c r="K1082" s="102">
        <f>IF(B1082="Total",SUM(K$8:K1081)+0.0001,IF(OR(B1082="",J1082&lt;&gt;0),0,VLOOKUP(A1082,Journal!$B$7:M$84,8)))</f>
        <v>0</v>
      </c>
      <c r="L1082" s="87">
        <f t="shared" si="126"/>
        <v>0</v>
      </c>
      <c r="P1082">
        <f t="shared" si="127"/>
        <v>1.0000000000000001E-5</v>
      </c>
      <c r="R1082" s="15">
        <f t="shared" si="128"/>
        <v>1075</v>
      </c>
      <c r="S1082" s="126">
        <f>IF(VLOOKUP(A1082,Journal!$A$7:$E$70,5)=0,S1081+1,VLOOKUP(A1082,Journal!$A$7:$E$70,5))</f>
        <v>46732</v>
      </c>
      <c r="T1082" s="125">
        <f>IF(H$2=VLOOKUP(A1082,Journal!$A$7:$F$70,6),VLOOKUP(A1082,Journal!$A$7:M$70,9),0)</f>
        <v>0</v>
      </c>
      <c r="U1082" s="125">
        <f>IF(H$2=VLOOKUP(A1082,Journal!$A$7:$G$70,7),VLOOKUP(A1082,Journal!$A$7:M$70,9),0)</f>
        <v>0</v>
      </c>
      <c r="V1082" s="125">
        <f t="shared" si="123"/>
        <v>40</v>
      </c>
      <c r="X1082">
        <f t="shared" si="129"/>
        <v>0</v>
      </c>
      <c r="Y1082" s="143">
        <f t="shared" si="121"/>
        <v>-971.78947368425543</v>
      </c>
    </row>
    <row r="1083" spans="1:25" x14ac:dyDescent="0.25">
      <c r="A1083">
        <f t="shared" si="125"/>
        <v>1076</v>
      </c>
      <c r="B1083" s="88" t="str">
        <f>IF(OR(B1082="Total",B1082=""),"",IF(VLOOKUP(A1083,Journal!$B$7:$E$84,4)=0,"Total",VLOOKUP(A1083,Journal!$B$7:$D$84,3)))</f>
        <v/>
      </c>
      <c r="C1083" s="86" t="str">
        <f>IF(B1083="","",VLOOKUP(A1083,Journal!$B$7:$E$84,4))</f>
        <v/>
      </c>
      <c r="D1083" s="114" t="str">
        <f>IF(B1083="","",VLOOKUP(A1083,Journal!$B$7:$J$84,9))</f>
        <v/>
      </c>
      <c r="E1083" s="116"/>
      <c r="F1083" s="116"/>
      <c r="G1083" s="115"/>
      <c r="H1083" s="84" t="str">
        <f>IF(B1083="","",VLOOKUP(A1083,Journal!$B$7:$L$84,11))</f>
        <v/>
      </c>
      <c r="I1083" s="84" t="str">
        <f>IF(B1083="","",VLOOKUP(A1083,Journal!$B$7:$M$84,12))</f>
        <v/>
      </c>
      <c r="J1083" s="105">
        <f>IF(B1083="Total",SUM(J$8:J1082)+0.0001,IF(OR(B1083="",I$2=I1083),0,VLOOKUP(A1083,Journal!$B$7:M$84,8)))</f>
        <v>0</v>
      </c>
      <c r="K1083" s="102">
        <f>IF(B1083="Total",SUM(K$8:K1082)+0.0001,IF(OR(B1083="",J1083&lt;&gt;0),0,VLOOKUP(A1083,Journal!$B$7:M$84,8)))</f>
        <v>0</v>
      </c>
      <c r="L1083" s="87">
        <f t="shared" si="126"/>
        <v>0</v>
      </c>
      <c r="P1083">
        <f t="shared" si="127"/>
        <v>1.0000000000000001E-5</v>
      </c>
      <c r="R1083" s="15">
        <f t="shared" si="128"/>
        <v>1076</v>
      </c>
      <c r="S1083" s="126">
        <f>IF(VLOOKUP(A1083,Journal!$A$7:$E$70,5)=0,S1082+1,VLOOKUP(A1083,Journal!$A$7:$E$70,5))</f>
        <v>46733</v>
      </c>
      <c r="T1083" s="125">
        <f>IF(H$2=VLOOKUP(A1083,Journal!$A$7:$F$70,6),VLOOKUP(A1083,Journal!$A$7:M$70,9),0)</f>
        <v>0</v>
      </c>
      <c r="U1083" s="125">
        <f>IF(H$2=VLOOKUP(A1083,Journal!$A$7:$G$70,7),VLOOKUP(A1083,Journal!$A$7:M$70,9),0)</f>
        <v>0</v>
      </c>
      <c r="V1083" s="125">
        <f t="shared" si="123"/>
        <v>40</v>
      </c>
      <c r="X1083">
        <f t="shared" si="129"/>
        <v>0</v>
      </c>
      <c r="Y1083" s="143">
        <f t="shared" si="121"/>
        <v>-971.76315789478178</v>
      </c>
    </row>
    <row r="1084" spans="1:25" x14ac:dyDescent="0.25">
      <c r="A1084">
        <f t="shared" si="125"/>
        <v>1077</v>
      </c>
      <c r="B1084" s="88" t="str">
        <f>IF(OR(B1083="Total",B1083=""),"",IF(VLOOKUP(A1084,Journal!$B$7:$E$84,4)=0,"Total",VLOOKUP(A1084,Journal!$B$7:$D$84,3)))</f>
        <v/>
      </c>
      <c r="C1084" s="86" t="str">
        <f>IF(B1084="","",VLOOKUP(A1084,Journal!$B$7:$E$84,4))</f>
        <v/>
      </c>
      <c r="D1084" s="114" t="str">
        <f>IF(B1084="","",VLOOKUP(A1084,Journal!$B$7:$J$84,9))</f>
        <v/>
      </c>
      <c r="E1084" s="116"/>
      <c r="F1084" s="116"/>
      <c r="G1084" s="115"/>
      <c r="H1084" s="84" t="str">
        <f>IF(B1084="","",VLOOKUP(A1084,Journal!$B$7:$L$84,11))</f>
        <v/>
      </c>
      <c r="I1084" s="84" t="str">
        <f>IF(B1084="","",VLOOKUP(A1084,Journal!$B$7:$M$84,12))</f>
        <v/>
      </c>
      <c r="J1084" s="105">
        <f>IF(B1084="Total",SUM(J$8:J1083)+0.0001,IF(OR(B1084="",I$2=I1084),0,VLOOKUP(A1084,Journal!$B$7:M$84,8)))</f>
        <v>0</v>
      </c>
      <c r="K1084" s="102">
        <f>IF(B1084="Total",SUM(K$8:K1083)+0.0001,IF(OR(B1084="",J1084&lt;&gt;0),0,VLOOKUP(A1084,Journal!$B$7:M$84,8)))</f>
        <v>0</v>
      </c>
      <c r="L1084" s="87">
        <f t="shared" si="126"/>
        <v>0</v>
      </c>
      <c r="P1084">
        <f t="shared" si="127"/>
        <v>1.0000000000000001E-5</v>
      </c>
      <c r="R1084" s="15">
        <f t="shared" si="128"/>
        <v>1077</v>
      </c>
      <c r="S1084" s="126">
        <f>IF(VLOOKUP(A1084,Journal!$A$7:$E$70,5)=0,S1083+1,VLOOKUP(A1084,Journal!$A$7:$E$70,5))</f>
        <v>46734</v>
      </c>
      <c r="T1084" s="125">
        <f>IF(H$2=VLOOKUP(A1084,Journal!$A$7:$F$70,6),VLOOKUP(A1084,Journal!$A$7:M$70,9),0)</f>
        <v>0</v>
      </c>
      <c r="U1084" s="125">
        <f>IF(H$2=VLOOKUP(A1084,Journal!$A$7:$G$70,7),VLOOKUP(A1084,Journal!$A$7:M$70,9),0)</f>
        <v>0</v>
      </c>
      <c r="V1084" s="125">
        <f t="shared" si="123"/>
        <v>40</v>
      </c>
      <c r="X1084">
        <f t="shared" si="129"/>
        <v>0</v>
      </c>
      <c r="Y1084" s="143">
        <f t="shared" si="121"/>
        <v>-971.73684210530814</v>
      </c>
    </row>
    <row r="1085" spans="1:25" x14ac:dyDescent="0.25">
      <c r="A1085">
        <f t="shared" si="125"/>
        <v>1078</v>
      </c>
      <c r="B1085" s="88" t="str">
        <f>IF(OR(B1084="Total",B1084=""),"",IF(VLOOKUP(A1085,Journal!$B$7:$E$84,4)=0,"Total",VLOOKUP(A1085,Journal!$B$7:$D$84,3)))</f>
        <v/>
      </c>
      <c r="C1085" s="86" t="str">
        <f>IF(B1085="","",VLOOKUP(A1085,Journal!$B$7:$E$84,4))</f>
        <v/>
      </c>
      <c r="D1085" s="114" t="str">
        <f>IF(B1085="","",VLOOKUP(A1085,Journal!$B$7:$J$84,9))</f>
        <v/>
      </c>
      <c r="E1085" s="116"/>
      <c r="F1085" s="116"/>
      <c r="G1085" s="115"/>
      <c r="H1085" s="84" t="str">
        <f>IF(B1085="","",VLOOKUP(A1085,Journal!$B$7:$L$84,11))</f>
        <v/>
      </c>
      <c r="I1085" s="84" t="str">
        <f>IF(B1085="","",VLOOKUP(A1085,Journal!$B$7:$M$84,12))</f>
        <v/>
      </c>
      <c r="J1085" s="105">
        <f>IF(B1085="Total",SUM(J$8:J1084)+0.0001,IF(OR(B1085="",I$2=I1085),0,VLOOKUP(A1085,Journal!$B$7:M$84,8)))</f>
        <v>0</v>
      </c>
      <c r="K1085" s="102">
        <f>IF(B1085="Total",SUM(K$8:K1084)+0.0001,IF(OR(B1085="",J1085&lt;&gt;0),0,VLOOKUP(A1085,Journal!$B$7:M$84,8)))</f>
        <v>0</v>
      </c>
      <c r="L1085" s="87">
        <f t="shared" si="126"/>
        <v>0</v>
      </c>
      <c r="P1085">
        <f t="shared" si="127"/>
        <v>1.0000000000000001E-5</v>
      </c>
      <c r="R1085" s="15">
        <f t="shared" si="128"/>
        <v>1078</v>
      </c>
      <c r="S1085" s="126">
        <f>IF(VLOOKUP(A1085,Journal!$A$7:$E$70,5)=0,S1084+1,VLOOKUP(A1085,Journal!$A$7:$E$70,5))</f>
        <v>46735</v>
      </c>
      <c r="T1085" s="125">
        <f>IF(H$2=VLOOKUP(A1085,Journal!$A$7:$F$70,6),VLOOKUP(A1085,Journal!$A$7:M$70,9),0)</f>
        <v>0</v>
      </c>
      <c r="U1085" s="125">
        <f>IF(H$2=VLOOKUP(A1085,Journal!$A$7:$G$70,7),VLOOKUP(A1085,Journal!$A$7:M$70,9),0)</f>
        <v>0</v>
      </c>
      <c r="V1085" s="125">
        <f t="shared" si="123"/>
        <v>40</v>
      </c>
      <c r="X1085">
        <f t="shared" si="129"/>
        <v>0</v>
      </c>
      <c r="Y1085" s="143">
        <f t="shared" si="121"/>
        <v>-971.7105263158345</v>
      </c>
    </row>
    <row r="1086" spans="1:25" x14ac:dyDescent="0.25">
      <c r="A1086">
        <f t="shared" si="125"/>
        <v>1079</v>
      </c>
      <c r="B1086" s="88" t="str">
        <f>IF(OR(B1085="Total",B1085=""),"",IF(VLOOKUP(A1086,Journal!$B$7:$E$84,4)=0,"Total",VLOOKUP(A1086,Journal!$B$7:$D$84,3)))</f>
        <v/>
      </c>
      <c r="C1086" s="86" t="str">
        <f>IF(B1086="","",VLOOKUP(A1086,Journal!$B$7:$E$84,4))</f>
        <v/>
      </c>
      <c r="D1086" s="114" t="str">
        <f>IF(B1086="","",VLOOKUP(A1086,Journal!$B$7:$J$84,9))</f>
        <v/>
      </c>
      <c r="E1086" s="116"/>
      <c r="F1086" s="116"/>
      <c r="G1086" s="115"/>
      <c r="H1086" s="84" t="str">
        <f>IF(B1086="","",VLOOKUP(A1086,Journal!$B$7:$L$84,11))</f>
        <v/>
      </c>
      <c r="I1086" s="84" t="str">
        <f>IF(B1086="","",VLOOKUP(A1086,Journal!$B$7:$M$84,12))</f>
        <v/>
      </c>
      <c r="J1086" s="105">
        <f>IF(B1086="Total",SUM(J$8:J1085)+0.0001,IF(OR(B1086="",I$2=I1086),0,VLOOKUP(A1086,Journal!$B$7:M$84,8)))</f>
        <v>0</v>
      </c>
      <c r="K1086" s="102">
        <f>IF(B1086="Total",SUM(K$8:K1085)+0.0001,IF(OR(B1086="",J1086&lt;&gt;0),0,VLOOKUP(A1086,Journal!$B$7:M$84,8)))</f>
        <v>0</v>
      </c>
      <c r="L1086" s="87">
        <f t="shared" si="126"/>
        <v>0</v>
      </c>
      <c r="P1086">
        <f t="shared" si="127"/>
        <v>1.0000000000000001E-5</v>
      </c>
      <c r="R1086" s="15">
        <f t="shared" si="128"/>
        <v>1079</v>
      </c>
      <c r="S1086" s="126">
        <f>IF(VLOOKUP(A1086,Journal!$A$7:$E$70,5)=0,S1085+1,VLOOKUP(A1086,Journal!$A$7:$E$70,5))</f>
        <v>46736</v>
      </c>
      <c r="T1086" s="125">
        <f>IF(H$2=VLOOKUP(A1086,Journal!$A$7:$F$70,6),VLOOKUP(A1086,Journal!$A$7:M$70,9),0)</f>
        <v>0</v>
      </c>
      <c r="U1086" s="125">
        <f>IF(H$2=VLOOKUP(A1086,Journal!$A$7:$G$70,7),VLOOKUP(A1086,Journal!$A$7:M$70,9),0)</f>
        <v>0</v>
      </c>
      <c r="V1086" s="125">
        <f t="shared" si="123"/>
        <v>40</v>
      </c>
      <c r="X1086">
        <f t="shared" si="129"/>
        <v>0</v>
      </c>
      <c r="Y1086" s="143">
        <f t="shared" si="121"/>
        <v>-971.68421052636086</v>
      </c>
    </row>
    <row r="1087" spans="1:25" x14ac:dyDescent="0.25">
      <c r="A1087">
        <f t="shared" si="125"/>
        <v>1080</v>
      </c>
      <c r="B1087" s="88" t="str">
        <f>IF(OR(B1086="Total",B1086=""),"",IF(VLOOKUP(A1087,Journal!$B$7:$E$84,4)=0,"Total",VLOOKUP(A1087,Journal!$B$7:$D$84,3)))</f>
        <v/>
      </c>
      <c r="C1087" s="86" t="str">
        <f>IF(B1087="","",VLOOKUP(A1087,Journal!$B$7:$E$84,4))</f>
        <v/>
      </c>
      <c r="D1087" s="114" t="str">
        <f>IF(B1087="","",VLOOKUP(A1087,Journal!$B$7:$J$84,9))</f>
        <v/>
      </c>
      <c r="E1087" s="116"/>
      <c r="F1087" s="116"/>
      <c r="G1087" s="115"/>
      <c r="H1087" s="84" t="str">
        <f>IF(B1087="","",VLOOKUP(A1087,Journal!$B$7:$L$84,11))</f>
        <v/>
      </c>
      <c r="I1087" s="84" t="str">
        <f>IF(B1087="","",VLOOKUP(A1087,Journal!$B$7:$M$84,12))</f>
        <v/>
      </c>
      <c r="J1087" s="105">
        <f>IF(B1087="Total",SUM(J$8:J1086)+0.0001,IF(OR(B1087="",I$2=I1087),0,VLOOKUP(A1087,Journal!$B$7:M$84,8)))</f>
        <v>0</v>
      </c>
      <c r="K1087" s="102">
        <f>IF(B1087="Total",SUM(K$8:K1086)+0.0001,IF(OR(B1087="",J1087&lt;&gt;0),0,VLOOKUP(A1087,Journal!$B$7:M$84,8)))</f>
        <v>0</v>
      </c>
      <c r="L1087" s="87">
        <f t="shared" si="126"/>
        <v>0</v>
      </c>
      <c r="P1087">
        <f t="shared" si="127"/>
        <v>1.0000000000000001E-5</v>
      </c>
      <c r="R1087" s="15">
        <f t="shared" si="128"/>
        <v>1080</v>
      </c>
      <c r="S1087" s="126">
        <f>IF(VLOOKUP(A1087,Journal!$A$7:$E$70,5)=0,S1086+1,VLOOKUP(A1087,Journal!$A$7:$E$70,5))</f>
        <v>46737</v>
      </c>
      <c r="T1087" s="125">
        <f>IF(H$2=VLOOKUP(A1087,Journal!$A$7:$F$70,6),VLOOKUP(A1087,Journal!$A$7:M$70,9),0)</f>
        <v>0</v>
      </c>
      <c r="U1087" s="125">
        <f>IF(H$2=VLOOKUP(A1087,Journal!$A$7:$G$70,7),VLOOKUP(A1087,Journal!$A$7:M$70,9),0)</f>
        <v>0</v>
      </c>
      <c r="V1087" s="125">
        <f t="shared" si="123"/>
        <v>40</v>
      </c>
      <c r="X1087">
        <f t="shared" si="129"/>
        <v>0</v>
      </c>
      <c r="Y1087" s="143">
        <f t="shared" si="121"/>
        <v>-971.65789473688722</v>
      </c>
    </row>
    <row r="1088" spans="1:25" x14ac:dyDescent="0.25">
      <c r="A1088">
        <f t="shared" si="125"/>
        <v>1081</v>
      </c>
      <c r="B1088" s="88" t="str">
        <f>IF(OR(B1087="Total",B1087=""),"",IF(VLOOKUP(A1088,Journal!$B$7:$E$84,4)=0,"Total",VLOOKUP(A1088,Journal!$B$7:$D$84,3)))</f>
        <v/>
      </c>
      <c r="C1088" s="86" t="str">
        <f>IF(B1088="","",VLOOKUP(A1088,Journal!$B$7:$E$84,4))</f>
        <v/>
      </c>
      <c r="D1088" s="114" t="str">
        <f>IF(B1088="","",VLOOKUP(A1088,Journal!$B$7:$J$84,9))</f>
        <v/>
      </c>
      <c r="E1088" s="116"/>
      <c r="F1088" s="116"/>
      <c r="G1088" s="115"/>
      <c r="H1088" s="84" t="str">
        <f>IF(B1088="","",VLOOKUP(A1088,Journal!$B$7:$L$84,11))</f>
        <v/>
      </c>
      <c r="I1088" s="84" t="str">
        <f>IF(B1088="","",VLOOKUP(A1088,Journal!$B$7:$M$84,12))</f>
        <v/>
      </c>
      <c r="J1088" s="105">
        <f>IF(B1088="Total",SUM(J$8:J1087)+0.0001,IF(OR(B1088="",I$2=I1088),0,VLOOKUP(A1088,Journal!$B$7:M$84,8)))</f>
        <v>0</v>
      </c>
      <c r="K1088" s="102">
        <f>IF(B1088="Total",SUM(K$8:K1087)+0.0001,IF(OR(B1088="",J1088&lt;&gt;0),0,VLOOKUP(A1088,Journal!$B$7:M$84,8)))</f>
        <v>0</v>
      </c>
      <c r="L1088" s="87">
        <f t="shared" si="126"/>
        <v>0</v>
      </c>
      <c r="P1088">
        <f t="shared" si="127"/>
        <v>1.0000000000000001E-5</v>
      </c>
      <c r="R1088" s="15">
        <f t="shared" si="128"/>
        <v>1081</v>
      </c>
      <c r="S1088" s="126">
        <f>IF(VLOOKUP(A1088,Journal!$A$7:$E$70,5)=0,S1087+1,VLOOKUP(A1088,Journal!$A$7:$E$70,5))</f>
        <v>46738</v>
      </c>
      <c r="T1088" s="125">
        <f>IF(H$2=VLOOKUP(A1088,Journal!$A$7:$F$70,6),VLOOKUP(A1088,Journal!$A$7:M$70,9),0)</f>
        <v>0</v>
      </c>
      <c r="U1088" s="125">
        <f>IF(H$2=VLOOKUP(A1088,Journal!$A$7:$G$70,7),VLOOKUP(A1088,Journal!$A$7:M$70,9),0)</f>
        <v>0</v>
      </c>
      <c r="V1088" s="125">
        <f t="shared" si="123"/>
        <v>40</v>
      </c>
      <c r="X1088">
        <f t="shared" si="129"/>
        <v>0</v>
      </c>
      <c r="Y1088" s="143">
        <f t="shared" si="121"/>
        <v>-971.63157894741357</v>
      </c>
    </row>
    <row r="1089" spans="1:25" x14ac:dyDescent="0.25">
      <c r="A1089">
        <f t="shared" si="125"/>
        <v>1082</v>
      </c>
      <c r="B1089" s="88" t="str">
        <f>IF(OR(B1088="Total",B1088=""),"",IF(VLOOKUP(A1089,Journal!$B$7:$E$84,4)=0,"Total",VLOOKUP(A1089,Journal!$B$7:$D$84,3)))</f>
        <v/>
      </c>
      <c r="C1089" s="86" t="str">
        <f>IF(B1089="","",VLOOKUP(A1089,Journal!$B$7:$E$84,4))</f>
        <v/>
      </c>
      <c r="D1089" s="114" t="str">
        <f>IF(B1089="","",VLOOKUP(A1089,Journal!$B$7:$J$84,9))</f>
        <v/>
      </c>
      <c r="E1089" s="116"/>
      <c r="F1089" s="116"/>
      <c r="G1089" s="115"/>
      <c r="H1089" s="84" t="str">
        <f>IF(B1089="","",VLOOKUP(A1089,Journal!$B$7:$L$84,11))</f>
        <v/>
      </c>
      <c r="I1089" s="84" t="str">
        <f>IF(B1089="","",VLOOKUP(A1089,Journal!$B$7:$M$84,12))</f>
        <v/>
      </c>
      <c r="J1089" s="105">
        <f>IF(B1089="Total",SUM(J$8:J1088)+0.0001,IF(OR(B1089="",I$2=I1089),0,VLOOKUP(A1089,Journal!$B$7:M$84,8)))</f>
        <v>0</v>
      </c>
      <c r="K1089" s="102">
        <f>IF(B1089="Total",SUM(K$8:K1088)+0.0001,IF(OR(B1089="",J1089&lt;&gt;0),0,VLOOKUP(A1089,Journal!$B$7:M$84,8)))</f>
        <v>0</v>
      </c>
      <c r="L1089" s="87">
        <f t="shared" si="126"/>
        <v>0</v>
      </c>
      <c r="P1089">
        <f t="shared" si="127"/>
        <v>1.0000000000000001E-5</v>
      </c>
      <c r="R1089" s="15">
        <f t="shared" si="128"/>
        <v>1082</v>
      </c>
      <c r="S1089" s="126">
        <f>IF(VLOOKUP(A1089,Journal!$A$7:$E$70,5)=0,S1088+1,VLOOKUP(A1089,Journal!$A$7:$E$70,5))</f>
        <v>46739</v>
      </c>
      <c r="T1089" s="125">
        <f>IF(H$2=VLOOKUP(A1089,Journal!$A$7:$F$70,6),VLOOKUP(A1089,Journal!$A$7:M$70,9),0)</f>
        <v>0</v>
      </c>
      <c r="U1089" s="125">
        <f>IF(H$2=VLOOKUP(A1089,Journal!$A$7:$G$70,7),VLOOKUP(A1089,Journal!$A$7:M$70,9),0)</f>
        <v>0</v>
      </c>
      <c r="V1089" s="125">
        <f t="shared" si="123"/>
        <v>40</v>
      </c>
      <c r="X1089">
        <f t="shared" si="129"/>
        <v>0</v>
      </c>
      <c r="Y1089" s="143">
        <f t="shared" si="121"/>
        <v>-971.60526315793993</v>
      </c>
    </row>
    <row r="1090" spans="1:25" x14ac:dyDescent="0.25">
      <c r="A1090">
        <f t="shared" si="125"/>
        <v>1083</v>
      </c>
      <c r="B1090" s="88" t="str">
        <f>IF(OR(B1089="Total",B1089=""),"",IF(VLOOKUP(A1090,Journal!$B$7:$E$84,4)=0,"Total",VLOOKUP(A1090,Journal!$B$7:$D$84,3)))</f>
        <v/>
      </c>
      <c r="C1090" s="86" t="str">
        <f>IF(B1090="","",VLOOKUP(A1090,Journal!$B$7:$E$84,4))</f>
        <v/>
      </c>
      <c r="D1090" s="114" t="str">
        <f>IF(B1090="","",VLOOKUP(A1090,Journal!$B$7:$J$84,9))</f>
        <v/>
      </c>
      <c r="E1090" s="116"/>
      <c r="F1090" s="116"/>
      <c r="G1090" s="115"/>
      <c r="H1090" s="84" t="str">
        <f>IF(B1090="","",VLOOKUP(A1090,Journal!$B$7:$L$84,11))</f>
        <v/>
      </c>
      <c r="I1090" s="84" t="str">
        <f>IF(B1090="","",VLOOKUP(A1090,Journal!$B$7:$M$84,12))</f>
        <v/>
      </c>
      <c r="J1090" s="105">
        <f>IF(B1090="Total",SUM(J$8:J1089)+0.0001,IF(OR(B1090="",I$2=I1090),0,VLOOKUP(A1090,Journal!$B$7:M$84,8)))</f>
        <v>0</v>
      </c>
      <c r="K1090" s="102">
        <f>IF(B1090="Total",SUM(K$8:K1089)+0.0001,IF(OR(B1090="",J1090&lt;&gt;0),0,VLOOKUP(A1090,Journal!$B$7:M$84,8)))</f>
        <v>0</v>
      </c>
      <c r="L1090" s="87">
        <f t="shared" si="126"/>
        <v>0</v>
      </c>
      <c r="P1090">
        <f t="shared" si="127"/>
        <v>1.0000000000000001E-5</v>
      </c>
      <c r="R1090" s="15">
        <f t="shared" si="128"/>
        <v>1083</v>
      </c>
      <c r="S1090" s="126">
        <f>IF(VLOOKUP(A1090,Journal!$A$7:$E$70,5)=0,S1089+1,VLOOKUP(A1090,Journal!$A$7:$E$70,5))</f>
        <v>46740</v>
      </c>
      <c r="T1090" s="125">
        <f>IF(H$2=VLOOKUP(A1090,Journal!$A$7:$F$70,6),VLOOKUP(A1090,Journal!$A$7:M$70,9),0)</f>
        <v>0</v>
      </c>
      <c r="U1090" s="125">
        <f>IF(H$2=VLOOKUP(A1090,Journal!$A$7:$G$70,7),VLOOKUP(A1090,Journal!$A$7:M$70,9),0)</f>
        <v>0</v>
      </c>
      <c r="V1090" s="125">
        <f t="shared" si="123"/>
        <v>40</v>
      </c>
      <c r="X1090">
        <f t="shared" si="129"/>
        <v>0</v>
      </c>
      <c r="Y1090" s="143">
        <f t="shared" si="121"/>
        <v>-971.57894736846629</v>
      </c>
    </row>
    <row r="1091" spans="1:25" x14ac:dyDescent="0.25">
      <c r="A1091">
        <f t="shared" si="125"/>
        <v>1084</v>
      </c>
      <c r="B1091" s="88" t="str">
        <f>IF(OR(B1090="Total",B1090=""),"",IF(VLOOKUP(A1091,Journal!$B$7:$E$84,4)=0,"Total",VLOOKUP(A1091,Journal!$B$7:$D$84,3)))</f>
        <v/>
      </c>
      <c r="C1091" s="86" t="str">
        <f>IF(B1091="","",VLOOKUP(A1091,Journal!$B$7:$E$84,4))</f>
        <v/>
      </c>
      <c r="D1091" s="114" t="str">
        <f>IF(B1091="","",VLOOKUP(A1091,Journal!$B$7:$J$84,9))</f>
        <v/>
      </c>
      <c r="E1091" s="116"/>
      <c r="F1091" s="116"/>
      <c r="G1091" s="115"/>
      <c r="H1091" s="84" t="str">
        <f>IF(B1091="","",VLOOKUP(A1091,Journal!$B$7:$L$84,11))</f>
        <v/>
      </c>
      <c r="I1091" s="84" t="str">
        <f>IF(B1091="","",VLOOKUP(A1091,Journal!$B$7:$M$84,12))</f>
        <v/>
      </c>
      <c r="J1091" s="105">
        <f>IF(B1091="Total",SUM(J$8:J1090)+0.0001,IF(OR(B1091="",I$2=I1091),0,VLOOKUP(A1091,Journal!$B$7:M$84,8)))</f>
        <v>0</v>
      </c>
      <c r="K1091" s="102">
        <f>IF(B1091="Total",SUM(K$8:K1090)+0.0001,IF(OR(B1091="",J1091&lt;&gt;0),0,VLOOKUP(A1091,Journal!$B$7:M$84,8)))</f>
        <v>0</v>
      </c>
      <c r="L1091" s="87">
        <f t="shared" si="126"/>
        <v>0</v>
      </c>
      <c r="P1091">
        <f t="shared" si="127"/>
        <v>1.0000000000000001E-5</v>
      </c>
      <c r="R1091" s="15">
        <f t="shared" si="128"/>
        <v>1084</v>
      </c>
      <c r="S1091" s="126">
        <f>IF(VLOOKUP(A1091,Journal!$A$7:$E$70,5)=0,S1090+1,VLOOKUP(A1091,Journal!$A$7:$E$70,5))</f>
        <v>46741</v>
      </c>
      <c r="T1091" s="125">
        <f>IF(H$2=VLOOKUP(A1091,Journal!$A$7:$F$70,6),VLOOKUP(A1091,Journal!$A$7:M$70,9),0)</f>
        <v>0</v>
      </c>
      <c r="U1091" s="125">
        <f>IF(H$2=VLOOKUP(A1091,Journal!$A$7:$G$70,7),VLOOKUP(A1091,Journal!$A$7:M$70,9),0)</f>
        <v>0</v>
      </c>
      <c r="V1091" s="125">
        <f t="shared" si="123"/>
        <v>40</v>
      </c>
      <c r="X1091">
        <f t="shared" si="129"/>
        <v>0</v>
      </c>
      <c r="Y1091" s="143">
        <f t="shared" si="121"/>
        <v>-971.55263157899265</v>
      </c>
    </row>
    <row r="1092" spans="1:25" x14ac:dyDescent="0.25">
      <c r="A1092">
        <f t="shared" si="125"/>
        <v>1085</v>
      </c>
      <c r="B1092" s="88" t="str">
        <f>IF(OR(B1091="Total",B1091=""),"",IF(VLOOKUP(A1092,Journal!$B$7:$E$84,4)=0,"Total",VLOOKUP(A1092,Journal!$B$7:$D$84,3)))</f>
        <v/>
      </c>
      <c r="C1092" s="86" t="str">
        <f>IF(B1092="","",VLOOKUP(A1092,Journal!$B$7:$E$84,4))</f>
        <v/>
      </c>
      <c r="D1092" s="114" t="str">
        <f>IF(B1092="","",VLOOKUP(A1092,Journal!$B$7:$J$84,9))</f>
        <v/>
      </c>
      <c r="E1092" s="116"/>
      <c r="F1092" s="116"/>
      <c r="G1092" s="115"/>
      <c r="H1092" s="84" t="str">
        <f>IF(B1092="","",VLOOKUP(A1092,Journal!$B$7:$L$84,11))</f>
        <v/>
      </c>
      <c r="I1092" s="84" t="str">
        <f>IF(B1092="","",VLOOKUP(A1092,Journal!$B$7:$M$84,12))</f>
        <v/>
      </c>
      <c r="J1092" s="105">
        <f>IF(B1092="Total",SUM(J$8:J1091)+0.0001,IF(OR(B1092="",I$2=I1092),0,VLOOKUP(A1092,Journal!$B$7:M$84,8)))</f>
        <v>0</v>
      </c>
      <c r="K1092" s="102">
        <f>IF(B1092="Total",SUM(K$8:K1091)+0.0001,IF(OR(B1092="",J1092&lt;&gt;0),0,VLOOKUP(A1092,Journal!$B$7:M$84,8)))</f>
        <v>0</v>
      </c>
      <c r="L1092" s="87">
        <f t="shared" si="126"/>
        <v>0</v>
      </c>
      <c r="P1092">
        <f t="shared" si="127"/>
        <v>1.0000000000000001E-5</v>
      </c>
      <c r="R1092" s="15">
        <f t="shared" si="128"/>
        <v>1085</v>
      </c>
      <c r="S1092" s="126">
        <f>IF(VLOOKUP(A1092,Journal!$A$7:$E$70,5)=0,S1091+1,VLOOKUP(A1092,Journal!$A$7:$E$70,5))</f>
        <v>46742</v>
      </c>
      <c r="T1092" s="125">
        <f>IF(H$2=VLOOKUP(A1092,Journal!$A$7:$F$70,6),VLOOKUP(A1092,Journal!$A$7:M$70,9),0)</f>
        <v>0</v>
      </c>
      <c r="U1092" s="125">
        <f>IF(H$2=VLOOKUP(A1092,Journal!$A$7:$G$70,7),VLOOKUP(A1092,Journal!$A$7:M$70,9),0)</f>
        <v>0</v>
      </c>
      <c r="V1092" s="125">
        <f t="shared" si="123"/>
        <v>40</v>
      </c>
      <c r="X1092">
        <f t="shared" si="129"/>
        <v>0</v>
      </c>
      <c r="Y1092" s="143">
        <f t="shared" si="121"/>
        <v>-971.526315789519</v>
      </c>
    </row>
    <row r="1093" spans="1:25" x14ac:dyDescent="0.25">
      <c r="A1093">
        <f t="shared" si="125"/>
        <v>1086</v>
      </c>
      <c r="B1093" s="88" t="str">
        <f>IF(OR(B1092="Total",B1092=""),"",IF(VLOOKUP(A1093,Journal!$B$7:$E$84,4)=0,"Total",VLOOKUP(A1093,Journal!$B$7:$D$84,3)))</f>
        <v/>
      </c>
      <c r="C1093" s="86" t="str">
        <f>IF(B1093="","",VLOOKUP(A1093,Journal!$B$7:$E$84,4))</f>
        <v/>
      </c>
      <c r="D1093" s="114" t="str">
        <f>IF(B1093="","",VLOOKUP(A1093,Journal!$B$7:$J$84,9))</f>
        <v/>
      </c>
      <c r="E1093" s="116"/>
      <c r="F1093" s="116"/>
      <c r="G1093" s="115"/>
      <c r="H1093" s="84" t="str">
        <f>IF(B1093="","",VLOOKUP(A1093,Journal!$B$7:$L$84,11))</f>
        <v/>
      </c>
      <c r="I1093" s="84" t="str">
        <f>IF(B1093="","",VLOOKUP(A1093,Journal!$B$7:$M$84,12))</f>
        <v/>
      </c>
      <c r="J1093" s="105">
        <f>IF(B1093="Total",SUM(J$8:J1092)+0.0001,IF(OR(B1093="",I$2=I1093),0,VLOOKUP(A1093,Journal!$B$7:M$84,8)))</f>
        <v>0</v>
      </c>
      <c r="K1093" s="102">
        <f>IF(B1093="Total",SUM(K$8:K1092)+0.0001,IF(OR(B1093="",J1093&lt;&gt;0),0,VLOOKUP(A1093,Journal!$B$7:M$84,8)))</f>
        <v>0</v>
      </c>
      <c r="L1093" s="87">
        <f t="shared" si="126"/>
        <v>0</v>
      </c>
      <c r="P1093">
        <f t="shared" si="127"/>
        <v>1.0000000000000001E-5</v>
      </c>
      <c r="R1093" s="15">
        <f t="shared" si="128"/>
        <v>1086</v>
      </c>
      <c r="S1093" s="126">
        <f>IF(VLOOKUP(A1093,Journal!$A$7:$E$70,5)=0,S1092+1,VLOOKUP(A1093,Journal!$A$7:$E$70,5))</f>
        <v>46743</v>
      </c>
      <c r="T1093" s="125">
        <f>IF(H$2=VLOOKUP(A1093,Journal!$A$7:$F$70,6),VLOOKUP(A1093,Journal!$A$7:M$70,9),0)</f>
        <v>0</v>
      </c>
      <c r="U1093" s="125">
        <f>IF(H$2=VLOOKUP(A1093,Journal!$A$7:$G$70,7),VLOOKUP(A1093,Journal!$A$7:M$70,9),0)</f>
        <v>0</v>
      </c>
      <c r="V1093" s="125">
        <f t="shared" si="123"/>
        <v>40</v>
      </c>
      <c r="X1093">
        <f t="shared" si="129"/>
        <v>0</v>
      </c>
      <c r="Y1093" s="143">
        <f t="shared" si="121"/>
        <v>-971.50000000004536</v>
      </c>
    </row>
    <row r="1094" spans="1:25" x14ac:dyDescent="0.25">
      <c r="A1094">
        <f t="shared" si="125"/>
        <v>1087</v>
      </c>
      <c r="B1094" s="88" t="str">
        <f>IF(OR(B1093="Total",B1093=""),"",IF(VLOOKUP(A1094,Journal!$B$7:$E$84,4)=0,"Total",VLOOKUP(A1094,Journal!$B$7:$D$84,3)))</f>
        <v/>
      </c>
      <c r="C1094" s="86" t="str">
        <f>IF(B1094="","",VLOOKUP(A1094,Journal!$B$7:$E$84,4))</f>
        <v/>
      </c>
      <c r="D1094" s="114" t="str">
        <f>IF(B1094="","",VLOOKUP(A1094,Journal!$B$7:$J$84,9))</f>
        <v/>
      </c>
      <c r="E1094" s="116"/>
      <c r="F1094" s="116"/>
      <c r="G1094" s="115"/>
      <c r="H1094" s="84" t="str">
        <f>IF(B1094="","",VLOOKUP(A1094,Journal!$B$7:$L$84,11))</f>
        <v/>
      </c>
      <c r="I1094" s="84" t="str">
        <f>IF(B1094="","",VLOOKUP(A1094,Journal!$B$7:$M$84,12))</f>
        <v/>
      </c>
      <c r="J1094" s="105">
        <f>IF(B1094="Total",SUM(J$8:J1093)+0.0001,IF(OR(B1094="",I$2=I1094),0,VLOOKUP(A1094,Journal!$B$7:M$84,8)))</f>
        <v>0</v>
      </c>
      <c r="K1094" s="102">
        <f>IF(B1094="Total",SUM(K$8:K1093)+0.0001,IF(OR(B1094="",J1094&lt;&gt;0),0,VLOOKUP(A1094,Journal!$B$7:M$84,8)))</f>
        <v>0</v>
      </c>
      <c r="L1094" s="87">
        <f t="shared" si="126"/>
        <v>0</v>
      </c>
      <c r="P1094">
        <f t="shared" si="127"/>
        <v>1.0000000000000001E-5</v>
      </c>
      <c r="R1094" s="15">
        <f t="shared" si="128"/>
        <v>1087</v>
      </c>
      <c r="S1094" s="126">
        <f>IF(VLOOKUP(A1094,Journal!$A$7:$E$70,5)=0,S1093+1,VLOOKUP(A1094,Journal!$A$7:$E$70,5))</f>
        <v>46744</v>
      </c>
      <c r="T1094" s="125">
        <f>IF(H$2=VLOOKUP(A1094,Journal!$A$7:$F$70,6),VLOOKUP(A1094,Journal!$A$7:M$70,9),0)</f>
        <v>0</v>
      </c>
      <c r="U1094" s="125">
        <f>IF(H$2=VLOOKUP(A1094,Journal!$A$7:$G$70,7),VLOOKUP(A1094,Journal!$A$7:M$70,9),0)</f>
        <v>0</v>
      </c>
      <c r="V1094" s="125">
        <f t="shared" si="123"/>
        <v>40</v>
      </c>
      <c r="X1094">
        <f t="shared" si="129"/>
        <v>0</v>
      </c>
      <c r="Y1094" s="143">
        <f t="shared" si="121"/>
        <v>-971.47368421057172</v>
      </c>
    </row>
    <row r="1095" spans="1:25" x14ac:dyDescent="0.25">
      <c r="A1095">
        <f t="shared" si="125"/>
        <v>1088</v>
      </c>
      <c r="B1095" s="88" t="str">
        <f>IF(OR(B1094="Total",B1094=""),"",IF(VLOOKUP(A1095,Journal!$B$7:$E$84,4)=0,"Total",VLOOKUP(A1095,Journal!$B$7:$D$84,3)))</f>
        <v/>
      </c>
      <c r="C1095" s="86" t="str">
        <f>IF(B1095="","",VLOOKUP(A1095,Journal!$B$7:$E$84,4))</f>
        <v/>
      </c>
      <c r="D1095" s="114" t="str">
        <f>IF(B1095="","",VLOOKUP(A1095,Journal!$B$7:$J$84,9))</f>
        <v/>
      </c>
      <c r="E1095" s="116"/>
      <c r="F1095" s="116"/>
      <c r="G1095" s="115"/>
      <c r="H1095" s="84" t="str">
        <f>IF(B1095="","",VLOOKUP(A1095,Journal!$B$7:$L$84,11))</f>
        <v/>
      </c>
      <c r="I1095" s="84" t="str">
        <f>IF(B1095="","",VLOOKUP(A1095,Journal!$B$7:$M$84,12))</f>
        <v/>
      </c>
      <c r="J1095" s="105">
        <f>IF(B1095="Total",SUM(J$8:J1094)+0.0001,IF(OR(B1095="",I$2=I1095),0,VLOOKUP(A1095,Journal!$B$7:M$84,8)))</f>
        <v>0</v>
      </c>
      <c r="K1095" s="102">
        <f>IF(B1095="Total",SUM(K$8:K1094)+0.0001,IF(OR(B1095="",J1095&lt;&gt;0),0,VLOOKUP(A1095,Journal!$B$7:M$84,8)))</f>
        <v>0</v>
      </c>
      <c r="L1095" s="87">
        <f t="shared" si="126"/>
        <v>0</v>
      </c>
      <c r="P1095">
        <f t="shared" si="127"/>
        <v>1.0000000000000001E-5</v>
      </c>
      <c r="R1095" s="15">
        <f t="shared" si="128"/>
        <v>1088</v>
      </c>
      <c r="S1095" s="126">
        <f>IF(VLOOKUP(A1095,Journal!$A$7:$E$70,5)=0,S1094+1,VLOOKUP(A1095,Journal!$A$7:$E$70,5))</f>
        <v>46745</v>
      </c>
      <c r="T1095" s="125">
        <f>IF(H$2=VLOOKUP(A1095,Journal!$A$7:$F$70,6),VLOOKUP(A1095,Journal!$A$7:M$70,9),0)</f>
        <v>0</v>
      </c>
      <c r="U1095" s="125">
        <f>IF(H$2=VLOOKUP(A1095,Journal!$A$7:$G$70,7),VLOOKUP(A1095,Journal!$A$7:M$70,9),0)</f>
        <v>0</v>
      </c>
      <c r="V1095" s="125">
        <f t="shared" si="123"/>
        <v>40</v>
      </c>
      <c r="X1095">
        <f t="shared" si="129"/>
        <v>0</v>
      </c>
      <c r="Y1095" s="143">
        <f t="shared" si="121"/>
        <v>-971.44736842109808</v>
      </c>
    </row>
    <row r="1096" spans="1:25" x14ac:dyDescent="0.25">
      <c r="A1096">
        <f t="shared" si="125"/>
        <v>1089</v>
      </c>
      <c r="B1096" s="88" t="str">
        <f>IF(OR(B1095="Total",B1095=""),"",IF(VLOOKUP(A1096,Journal!$B$7:$E$84,4)=0,"Total",VLOOKUP(A1096,Journal!$B$7:$D$84,3)))</f>
        <v/>
      </c>
      <c r="C1096" s="86" t="str">
        <f>IF(B1096="","",VLOOKUP(A1096,Journal!$B$7:$E$84,4))</f>
        <v/>
      </c>
      <c r="D1096" s="114" t="str">
        <f>IF(B1096="","",VLOOKUP(A1096,Journal!$B$7:$J$84,9))</f>
        <v/>
      </c>
      <c r="E1096" s="116"/>
      <c r="F1096" s="116"/>
      <c r="G1096" s="115"/>
      <c r="H1096" s="84" t="str">
        <f>IF(B1096="","",VLOOKUP(A1096,Journal!$B$7:$L$84,11))</f>
        <v/>
      </c>
      <c r="I1096" s="84" t="str">
        <f>IF(B1096="","",VLOOKUP(A1096,Journal!$B$7:$M$84,12))</f>
        <v/>
      </c>
      <c r="J1096" s="105">
        <f>IF(B1096="Total",SUM(J$8:J1095)+0.0001,IF(OR(B1096="",I$2=I1096),0,VLOOKUP(A1096,Journal!$B$7:M$84,8)))</f>
        <v>0</v>
      </c>
      <c r="K1096" s="102">
        <f>IF(B1096="Total",SUM(K$8:K1095)+0.0001,IF(OR(B1096="",J1096&lt;&gt;0),0,VLOOKUP(A1096,Journal!$B$7:M$84,8)))</f>
        <v>0</v>
      </c>
      <c r="L1096" s="87">
        <f t="shared" si="126"/>
        <v>0</v>
      </c>
      <c r="P1096">
        <f t="shared" si="127"/>
        <v>1.0000000000000001E-5</v>
      </c>
      <c r="R1096" s="15">
        <f t="shared" si="128"/>
        <v>1089</v>
      </c>
      <c r="S1096" s="126">
        <f>IF(VLOOKUP(A1096,Journal!$A$7:$E$70,5)=0,S1095+1,VLOOKUP(A1096,Journal!$A$7:$E$70,5))</f>
        <v>46746</v>
      </c>
      <c r="T1096" s="125">
        <f>IF(H$2=VLOOKUP(A1096,Journal!$A$7:$F$70,6),VLOOKUP(A1096,Journal!$A$7:M$70,9),0)</f>
        <v>0</v>
      </c>
      <c r="U1096" s="125">
        <f>IF(H$2=VLOOKUP(A1096,Journal!$A$7:$G$70,7),VLOOKUP(A1096,Journal!$A$7:M$70,9),0)</f>
        <v>0</v>
      </c>
      <c r="V1096" s="125">
        <f t="shared" si="123"/>
        <v>40</v>
      </c>
      <c r="X1096">
        <f t="shared" si="129"/>
        <v>0</v>
      </c>
      <c r="Y1096" s="143">
        <f t="shared" ref="Y1096:Y1159" si="130">IF(B1095="Total",-1000,Y1095+Y$4)</f>
        <v>-971.42105263162443</v>
      </c>
    </row>
    <row r="1097" spans="1:25" x14ac:dyDescent="0.25">
      <c r="A1097">
        <f t="shared" si="125"/>
        <v>1090</v>
      </c>
      <c r="B1097" s="88" t="str">
        <f>IF(OR(B1096="Total",B1096=""),"",IF(VLOOKUP(A1097,Journal!$B$7:$E$84,4)=0,"Total",VLOOKUP(A1097,Journal!$B$7:$D$84,3)))</f>
        <v/>
      </c>
      <c r="C1097" s="86" t="str">
        <f>IF(B1097="","",VLOOKUP(A1097,Journal!$B$7:$E$84,4))</f>
        <v/>
      </c>
      <c r="D1097" s="114" t="str">
        <f>IF(B1097="","",VLOOKUP(A1097,Journal!$B$7:$J$84,9))</f>
        <v/>
      </c>
      <c r="E1097" s="116"/>
      <c r="F1097" s="116"/>
      <c r="G1097" s="115"/>
      <c r="H1097" s="84" t="str">
        <f>IF(B1097="","",VLOOKUP(A1097,Journal!$B$7:$L$84,11))</f>
        <v/>
      </c>
      <c r="I1097" s="84" t="str">
        <f>IF(B1097="","",VLOOKUP(A1097,Journal!$B$7:$M$84,12))</f>
        <v/>
      </c>
      <c r="J1097" s="105">
        <f>IF(B1097="Total",SUM(J$8:J1096)+0.0001,IF(OR(B1097="",I$2=I1097),0,VLOOKUP(A1097,Journal!$B$7:M$84,8)))</f>
        <v>0</v>
      </c>
      <c r="K1097" s="102">
        <f>IF(B1097="Total",SUM(K$8:K1096)+0.0001,IF(OR(B1097="",J1097&lt;&gt;0),0,VLOOKUP(A1097,Journal!$B$7:M$84,8)))</f>
        <v>0</v>
      </c>
      <c r="L1097" s="87">
        <f t="shared" si="126"/>
        <v>0</v>
      </c>
      <c r="P1097">
        <f t="shared" si="127"/>
        <v>1.0000000000000001E-5</v>
      </c>
      <c r="R1097" s="15">
        <f t="shared" si="128"/>
        <v>1090</v>
      </c>
      <c r="S1097" s="126">
        <f>IF(VLOOKUP(A1097,Journal!$A$7:$E$70,5)=0,S1096+1,VLOOKUP(A1097,Journal!$A$7:$E$70,5))</f>
        <v>46747</v>
      </c>
      <c r="T1097" s="125">
        <f>IF(H$2=VLOOKUP(A1097,Journal!$A$7:$F$70,6),VLOOKUP(A1097,Journal!$A$7:M$70,9),0)</f>
        <v>0</v>
      </c>
      <c r="U1097" s="125">
        <f>IF(H$2=VLOOKUP(A1097,Journal!$A$7:$G$70,7),VLOOKUP(A1097,Journal!$A$7:M$70,9),0)</f>
        <v>0</v>
      </c>
      <c r="V1097" s="125">
        <f t="shared" si="123"/>
        <v>40</v>
      </c>
      <c r="X1097">
        <f t="shared" si="129"/>
        <v>0</v>
      </c>
      <c r="Y1097" s="143">
        <f t="shared" si="130"/>
        <v>-971.39473684215079</v>
      </c>
    </row>
    <row r="1098" spans="1:25" x14ac:dyDescent="0.25">
      <c r="A1098">
        <f t="shared" si="125"/>
        <v>1091</v>
      </c>
      <c r="B1098" s="88" t="str">
        <f>IF(OR(B1097="Total",B1097=""),"",IF(VLOOKUP(A1098,Journal!$B$7:$E$84,4)=0,"Total",VLOOKUP(A1098,Journal!$B$7:$D$84,3)))</f>
        <v/>
      </c>
      <c r="C1098" s="86" t="str">
        <f>IF(B1098="","",VLOOKUP(A1098,Journal!$B$7:$E$84,4))</f>
        <v/>
      </c>
      <c r="D1098" s="114" t="str">
        <f>IF(B1098="","",VLOOKUP(A1098,Journal!$B$7:$J$84,9))</f>
        <v/>
      </c>
      <c r="E1098" s="116"/>
      <c r="F1098" s="116"/>
      <c r="G1098" s="115"/>
      <c r="H1098" s="84" t="str">
        <f>IF(B1098="","",VLOOKUP(A1098,Journal!$B$7:$L$84,11))</f>
        <v/>
      </c>
      <c r="I1098" s="84" t="str">
        <f>IF(B1098="","",VLOOKUP(A1098,Journal!$B$7:$M$84,12))</f>
        <v/>
      </c>
      <c r="J1098" s="105">
        <f>IF(B1098="Total",SUM(J$8:J1097)+0.0001,IF(OR(B1098="",I$2=I1098),0,VLOOKUP(A1098,Journal!$B$7:M$84,8)))</f>
        <v>0</v>
      </c>
      <c r="K1098" s="102">
        <f>IF(B1098="Total",SUM(K$8:K1097)+0.0001,IF(OR(B1098="",J1098&lt;&gt;0),0,VLOOKUP(A1098,Journal!$B$7:M$84,8)))</f>
        <v>0</v>
      </c>
      <c r="L1098" s="87">
        <f t="shared" si="126"/>
        <v>0</v>
      </c>
      <c r="P1098">
        <f t="shared" si="127"/>
        <v>1.0000000000000001E-5</v>
      </c>
      <c r="R1098" s="15">
        <f t="shared" si="128"/>
        <v>1091</v>
      </c>
      <c r="S1098" s="126">
        <f>IF(VLOOKUP(A1098,Journal!$A$7:$E$70,5)=0,S1097+1,VLOOKUP(A1098,Journal!$A$7:$E$70,5))</f>
        <v>46748</v>
      </c>
      <c r="T1098" s="125">
        <f>IF(H$2=VLOOKUP(A1098,Journal!$A$7:$F$70,6),VLOOKUP(A1098,Journal!$A$7:M$70,9),0)</f>
        <v>0</v>
      </c>
      <c r="U1098" s="125">
        <f>IF(H$2=VLOOKUP(A1098,Journal!$A$7:$G$70,7),VLOOKUP(A1098,Journal!$A$7:M$70,9),0)</f>
        <v>0</v>
      </c>
      <c r="V1098" s="125">
        <f t="shared" ref="V1098:V1161" si="131">IF($M$1=1,V1097+T1098-U1098,V1097-T1098+U1098)</f>
        <v>40</v>
      </c>
      <c r="X1098">
        <f t="shared" si="129"/>
        <v>0</v>
      </c>
      <c r="Y1098" s="143">
        <f t="shared" si="130"/>
        <v>-971.36842105267715</v>
      </c>
    </row>
    <row r="1099" spans="1:25" x14ac:dyDescent="0.25">
      <c r="A1099">
        <f t="shared" si="125"/>
        <v>1092</v>
      </c>
      <c r="B1099" s="88" t="str">
        <f>IF(OR(B1098="Total",B1098=""),"",IF(VLOOKUP(A1099,Journal!$B$7:$E$84,4)=0,"Total",VLOOKUP(A1099,Journal!$B$7:$D$84,3)))</f>
        <v/>
      </c>
      <c r="C1099" s="86" t="str">
        <f>IF(B1099="","",VLOOKUP(A1099,Journal!$B$7:$E$84,4))</f>
        <v/>
      </c>
      <c r="D1099" s="114" t="str">
        <f>IF(B1099="","",VLOOKUP(A1099,Journal!$B$7:$J$84,9))</f>
        <v/>
      </c>
      <c r="E1099" s="116"/>
      <c r="F1099" s="116"/>
      <c r="G1099" s="115"/>
      <c r="H1099" s="84" t="str">
        <f>IF(B1099="","",VLOOKUP(A1099,Journal!$B$7:$L$84,11))</f>
        <v/>
      </c>
      <c r="I1099" s="84" t="str">
        <f>IF(B1099="","",VLOOKUP(A1099,Journal!$B$7:$M$84,12))</f>
        <v/>
      </c>
      <c r="J1099" s="105">
        <f>IF(B1099="Total",SUM(J$8:J1098)+0.0001,IF(OR(B1099="",I$2=I1099),0,VLOOKUP(A1099,Journal!$B$7:M$84,8)))</f>
        <v>0</v>
      </c>
      <c r="K1099" s="102">
        <f>IF(B1099="Total",SUM(K$8:K1098)+0.0001,IF(OR(B1099="",J1099&lt;&gt;0),0,VLOOKUP(A1099,Journal!$B$7:M$84,8)))</f>
        <v>0</v>
      </c>
      <c r="L1099" s="87">
        <f t="shared" si="126"/>
        <v>0</v>
      </c>
      <c r="P1099">
        <f t="shared" si="127"/>
        <v>1.0000000000000001E-5</v>
      </c>
      <c r="R1099" s="15">
        <f t="shared" si="128"/>
        <v>1092</v>
      </c>
      <c r="S1099" s="126">
        <f>IF(VLOOKUP(A1099,Journal!$A$7:$E$70,5)=0,S1098+1,VLOOKUP(A1099,Journal!$A$7:$E$70,5))</f>
        <v>46749</v>
      </c>
      <c r="T1099" s="125">
        <f>IF(H$2=VLOOKUP(A1099,Journal!$A$7:$F$70,6),VLOOKUP(A1099,Journal!$A$7:M$70,9),0)</f>
        <v>0</v>
      </c>
      <c r="U1099" s="125">
        <f>IF(H$2=VLOOKUP(A1099,Journal!$A$7:$G$70,7),VLOOKUP(A1099,Journal!$A$7:M$70,9),0)</f>
        <v>0</v>
      </c>
      <c r="V1099" s="125">
        <f t="shared" si="131"/>
        <v>40</v>
      </c>
      <c r="X1099">
        <f t="shared" si="129"/>
        <v>0</v>
      </c>
      <c r="Y1099" s="143">
        <f t="shared" si="130"/>
        <v>-971.34210526320351</v>
      </c>
    </row>
    <row r="1100" spans="1:25" x14ac:dyDescent="0.25">
      <c r="A1100">
        <f t="shared" si="125"/>
        <v>1093</v>
      </c>
      <c r="B1100" s="88" t="str">
        <f>IF(OR(B1099="Total",B1099=""),"",IF(VLOOKUP(A1100,Journal!$B$7:$E$84,4)=0,"Total",VLOOKUP(A1100,Journal!$B$7:$D$84,3)))</f>
        <v/>
      </c>
      <c r="C1100" s="86" t="str">
        <f>IF(B1100="","",VLOOKUP(A1100,Journal!$B$7:$E$84,4))</f>
        <v/>
      </c>
      <c r="D1100" s="114" t="str">
        <f>IF(B1100="","",VLOOKUP(A1100,Journal!$B$7:$J$84,9))</f>
        <v/>
      </c>
      <c r="E1100" s="116"/>
      <c r="F1100" s="116"/>
      <c r="G1100" s="115"/>
      <c r="H1100" s="84" t="str">
        <f>IF(B1100="","",VLOOKUP(A1100,Journal!$B$7:$L$84,11))</f>
        <v/>
      </c>
      <c r="I1100" s="84" t="str">
        <f>IF(B1100="","",VLOOKUP(A1100,Journal!$B$7:$M$84,12))</f>
        <v/>
      </c>
      <c r="J1100" s="105">
        <f>IF(B1100="Total",SUM(J$8:J1099)+0.0001,IF(OR(B1100="",I$2=I1100),0,VLOOKUP(A1100,Journal!$B$7:M$84,8)))</f>
        <v>0</v>
      </c>
      <c r="K1100" s="102">
        <f>IF(B1100="Total",SUM(K$8:K1099)+0.0001,IF(OR(B1100="",J1100&lt;&gt;0),0,VLOOKUP(A1100,Journal!$B$7:M$84,8)))</f>
        <v>0</v>
      </c>
      <c r="L1100" s="87">
        <f t="shared" si="126"/>
        <v>0</v>
      </c>
      <c r="P1100">
        <f t="shared" si="127"/>
        <v>1.0000000000000001E-5</v>
      </c>
      <c r="R1100" s="15">
        <f t="shared" si="128"/>
        <v>1093</v>
      </c>
      <c r="S1100" s="126">
        <f>IF(VLOOKUP(A1100,Journal!$A$7:$E$70,5)=0,S1099+1,VLOOKUP(A1100,Journal!$A$7:$E$70,5))</f>
        <v>46750</v>
      </c>
      <c r="T1100" s="125">
        <f>IF(H$2=VLOOKUP(A1100,Journal!$A$7:$F$70,6),VLOOKUP(A1100,Journal!$A$7:M$70,9),0)</f>
        <v>0</v>
      </c>
      <c r="U1100" s="125">
        <f>IF(H$2=VLOOKUP(A1100,Journal!$A$7:$G$70,7),VLOOKUP(A1100,Journal!$A$7:M$70,9),0)</f>
        <v>0</v>
      </c>
      <c r="V1100" s="125">
        <f t="shared" si="131"/>
        <v>40</v>
      </c>
      <c r="X1100">
        <f t="shared" si="129"/>
        <v>0</v>
      </c>
      <c r="Y1100" s="143">
        <f t="shared" si="130"/>
        <v>-971.31578947372986</v>
      </c>
    </row>
    <row r="1101" spans="1:25" x14ac:dyDescent="0.25">
      <c r="A1101">
        <f t="shared" si="125"/>
        <v>1094</v>
      </c>
      <c r="B1101" s="88" t="str">
        <f>IF(OR(B1100="Total",B1100=""),"",IF(VLOOKUP(A1101,Journal!$B$7:$E$84,4)=0,"Total",VLOOKUP(A1101,Journal!$B$7:$D$84,3)))</f>
        <v/>
      </c>
      <c r="C1101" s="86" t="str">
        <f>IF(B1101="","",VLOOKUP(A1101,Journal!$B$7:$E$84,4))</f>
        <v/>
      </c>
      <c r="D1101" s="114" t="str">
        <f>IF(B1101="","",VLOOKUP(A1101,Journal!$B$7:$J$84,9))</f>
        <v/>
      </c>
      <c r="E1101" s="116"/>
      <c r="F1101" s="116"/>
      <c r="G1101" s="115"/>
      <c r="H1101" s="84" t="str">
        <f>IF(B1101="","",VLOOKUP(A1101,Journal!$B$7:$L$84,11))</f>
        <v/>
      </c>
      <c r="I1101" s="84" t="str">
        <f>IF(B1101="","",VLOOKUP(A1101,Journal!$B$7:$M$84,12))</f>
        <v/>
      </c>
      <c r="J1101" s="105">
        <f>IF(B1101="Total",SUM(J$8:J1100)+0.0001,IF(OR(B1101="",I$2=I1101),0,VLOOKUP(A1101,Journal!$B$7:M$84,8)))</f>
        <v>0</v>
      </c>
      <c r="K1101" s="102">
        <f>IF(B1101="Total",SUM(K$8:K1100)+0.0001,IF(OR(B1101="",J1101&lt;&gt;0),0,VLOOKUP(A1101,Journal!$B$7:M$84,8)))</f>
        <v>0</v>
      </c>
      <c r="L1101" s="87">
        <f t="shared" si="126"/>
        <v>0</v>
      </c>
      <c r="P1101">
        <f t="shared" si="127"/>
        <v>1.0000000000000001E-5</v>
      </c>
      <c r="R1101" s="15">
        <f t="shared" si="128"/>
        <v>1094</v>
      </c>
      <c r="S1101" s="126">
        <f>IF(VLOOKUP(A1101,Journal!$A$7:$E$70,5)=0,S1100+1,VLOOKUP(A1101,Journal!$A$7:$E$70,5))</f>
        <v>46751</v>
      </c>
      <c r="T1101" s="125">
        <f>IF(H$2=VLOOKUP(A1101,Journal!$A$7:$F$70,6),VLOOKUP(A1101,Journal!$A$7:M$70,9),0)</f>
        <v>0</v>
      </c>
      <c r="U1101" s="125">
        <f>IF(H$2=VLOOKUP(A1101,Journal!$A$7:$G$70,7),VLOOKUP(A1101,Journal!$A$7:M$70,9),0)</f>
        <v>0</v>
      </c>
      <c r="V1101" s="125">
        <f t="shared" si="131"/>
        <v>40</v>
      </c>
      <c r="X1101">
        <f t="shared" si="129"/>
        <v>0</v>
      </c>
      <c r="Y1101" s="143">
        <f t="shared" si="130"/>
        <v>-971.28947368425622</v>
      </c>
    </row>
    <row r="1102" spans="1:25" x14ac:dyDescent="0.25">
      <c r="A1102">
        <f t="shared" si="125"/>
        <v>1095</v>
      </c>
      <c r="B1102" s="88" t="str">
        <f>IF(OR(B1101="Total",B1101=""),"",IF(VLOOKUP(A1102,Journal!$B$7:$E$84,4)=0,"Total",VLOOKUP(A1102,Journal!$B$7:$D$84,3)))</f>
        <v/>
      </c>
      <c r="C1102" s="86" t="str">
        <f>IF(B1102="","",VLOOKUP(A1102,Journal!$B$7:$E$84,4))</f>
        <v/>
      </c>
      <c r="D1102" s="114" t="str">
        <f>IF(B1102="","",VLOOKUP(A1102,Journal!$B$7:$J$84,9))</f>
        <v/>
      </c>
      <c r="E1102" s="116"/>
      <c r="F1102" s="116"/>
      <c r="G1102" s="115"/>
      <c r="H1102" s="84" t="str">
        <f>IF(B1102="","",VLOOKUP(A1102,Journal!$B$7:$L$84,11))</f>
        <v/>
      </c>
      <c r="I1102" s="84" t="str">
        <f>IF(B1102="","",VLOOKUP(A1102,Journal!$B$7:$M$84,12))</f>
        <v/>
      </c>
      <c r="J1102" s="105">
        <f>IF(B1102="Total",SUM(J$8:J1101)+0.0001,IF(OR(B1102="",I$2=I1102),0,VLOOKUP(A1102,Journal!$B$7:M$84,8)))</f>
        <v>0</v>
      </c>
      <c r="K1102" s="102">
        <f>IF(B1102="Total",SUM(K$8:K1101)+0.0001,IF(OR(B1102="",J1102&lt;&gt;0),0,VLOOKUP(A1102,Journal!$B$7:M$84,8)))</f>
        <v>0</v>
      </c>
      <c r="L1102" s="87">
        <f t="shared" si="126"/>
        <v>0</v>
      </c>
      <c r="P1102">
        <f t="shared" si="127"/>
        <v>1.0000000000000001E-5</v>
      </c>
      <c r="R1102" s="15">
        <f t="shared" si="128"/>
        <v>1095</v>
      </c>
      <c r="S1102" s="126">
        <f>IF(VLOOKUP(A1102,Journal!$A$7:$E$70,5)=0,S1101+1,VLOOKUP(A1102,Journal!$A$7:$E$70,5))</f>
        <v>46752</v>
      </c>
      <c r="T1102" s="125">
        <f>IF(H$2=VLOOKUP(A1102,Journal!$A$7:$F$70,6),VLOOKUP(A1102,Journal!$A$7:M$70,9),0)</f>
        <v>0</v>
      </c>
      <c r="U1102" s="125">
        <f>IF(H$2=VLOOKUP(A1102,Journal!$A$7:$G$70,7),VLOOKUP(A1102,Journal!$A$7:M$70,9),0)</f>
        <v>0</v>
      </c>
      <c r="V1102" s="125">
        <f t="shared" si="131"/>
        <v>40</v>
      </c>
      <c r="X1102">
        <f t="shared" si="129"/>
        <v>0</v>
      </c>
      <c r="Y1102" s="143">
        <f t="shared" si="130"/>
        <v>-971.26315789478258</v>
      </c>
    </row>
    <row r="1103" spans="1:25" x14ac:dyDescent="0.25">
      <c r="A1103">
        <f t="shared" si="125"/>
        <v>1096</v>
      </c>
      <c r="B1103" s="88" t="str">
        <f>IF(OR(B1102="Total",B1102=""),"",IF(VLOOKUP(A1103,Journal!$B$7:$E$84,4)=0,"Total",VLOOKUP(A1103,Journal!$B$7:$D$84,3)))</f>
        <v/>
      </c>
      <c r="C1103" s="86" t="str">
        <f>IF(B1103="","",VLOOKUP(A1103,Journal!$B$7:$E$84,4))</f>
        <v/>
      </c>
      <c r="D1103" s="114" t="str">
        <f>IF(B1103="","",VLOOKUP(A1103,Journal!$B$7:$J$84,9))</f>
        <v/>
      </c>
      <c r="E1103" s="116"/>
      <c r="F1103" s="116"/>
      <c r="G1103" s="115"/>
      <c r="H1103" s="84" t="str">
        <f>IF(B1103="","",VLOOKUP(A1103,Journal!$B$7:$L$84,11))</f>
        <v/>
      </c>
      <c r="I1103" s="84" t="str">
        <f>IF(B1103="","",VLOOKUP(A1103,Journal!$B$7:$M$84,12))</f>
        <v/>
      </c>
      <c r="J1103" s="105">
        <f>IF(B1103="Total",SUM(J$8:J1102)+0.0001,IF(OR(B1103="",I$2=I1103),0,VLOOKUP(A1103,Journal!$B$7:M$84,8)))</f>
        <v>0</v>
      </c>
      <c r="K1103" s="102">
        <f>IF(B1103="Total",SUM(K$8:K1102)+0.0001,IF(OR(B1103="",J1103&lt;&gt;0),0,VLOOKUP(A1103,Journal!$B$7:M$84,8)))</f>
        <v>0</v>
      </c>
      <c r="L1103" s="87">
        <f t="shared" si="126"/>
        <v>0</v>
      </c>
      <c r="P1103">
        <f t="shared" si="127"/>
        <v>1.0000000000000001E-5</v>
      </c>
      <c r="R1103" s="15">
        <f t="shared" si="128"/>
        <v>1096</v>
      </c>
      <c r="S1103" s="126">
        <f>IF(VLOOKUP(A1103,Journal!$A$7:$E$70,5)=0,S1102+1,VLOOKUP(A1103,Journal!$A$7:$E$70,5))</f>
        <v>46753</v>
      </c>
      <c r="T1103" s="125">
        <f>IF(H$2=VLOOKUP(A1103,Journal!$A$7:$F$70,6),VLOOKUP(A1103,Journal!$A$7:M$70,9),0)</f>
        <v>0</v>
      </c>
      <c r="U1103" s="125">
        <f>IF(H$2=VLOOKUP(A1103,Journal!$A$7:$G$70,7),VLOOKUP(A1103,Journal!$A$7:M$70,9),0)</f>
        <v>0</v>
      </c>
      <c r="V1103" s="125">
        <f t="shared" si="131"/>
        <v>40</v>
      </c>
      <c r="X1103">
        <f t="shared" si="129"/>
        <v>0</v>
      </c>
      <c r="Y1103" s="143">
        <f t="shared" si="130"/>
        <v>-971.23684210530894</v>
      </c>
    </row>
    <row r="1104" spans="1:25" x14ac:dyDescent="0.25">
      <c r="A1104">
        <f t="shared" si="125"/>
        <v>1097</v>
      </c>
      <c r="B1104" s="88" t="str">
        <f>IF(OR(B1103="Total",B1103=""),"",IF(VLOOKUP(A1104,Journal!$B$7:$E$84,4)=0,"Total",VLOOKUP(A1104,Journal!$B$7:$D$84,3)))</f>
        <v/>
      </c>
      <c r="C1104" s="86" t="str">
        <f>IF(B1104="","",VLOOKUP(A1104,Journal!$B$7:$E$84,4))</f>
        <v/>
      </c>
      <c r="D1104" s="114" t="str">
        <f>IF(B1104="","",VLOOKUP(A1104,Journal!$B$7:$J$84,9))</f>
        <v/>
      </c>
      <c r="E1104" s="116"/>
      <c r="F1104" s="116"/>
      <c r="G1104" s="115"/>
      <c r="H1104" s="84" t="str">
        <f>IF(B1104="","",VLOOKUP(A1104,Journal!$B$7:$L$84,11))</f>
        <v/>
      </c>
      <c r="I1104" s="84" t="str">
        <f>IF(B1104="","",VLOOKUP(A1104,Journal!$B$7:$M$84,12))</f>
        <v/>
      </c>
      <c r="J1104" s="105">
        <f>IF(B1104="Total",SUM(J$8:J1103)+0.0001,IF(OR(B1104="",I$2=I1104),0,VLOOKUP(A1104,Journal!$B$7:M$84,8)))</f>
        <v>0</v>
      </c>
      <c r="K1104" s="102">
        <f>IF(B1104="Total",SUM(K$8:K1103)+0.0001,IF(OR(B1104="",J1104&lt;&gt;0),0,VLOOKUP(A1104,Journal!$B$7:M$84,8)))</f>
        <v>0</v>
      </c>
      <c r="L1104" s="87">
        <f t="shared" si="126"/>
        <v>0</v>
      </c>
      <c r="P1104">
        <f t="shared" si="127"/>
        <v>1.0000000000000001E-5</v>
      </c>
      <c r="R1104" s="15">
        <f t="shared" si="128"/>
        <v>1097</v>
      </c>
      <c r="S1104" s="126">
        <f>IF(VLOOKUP(A1104,Journal!$A$7:$E$70,5)=0,S1103+1,VLOOKUP(A1104,Journal!$A$7:$E$70,5))</f>
        <v>46754</v>
      </c>
      <c r="T1104" s="125">
        <f>IF(H$2=VLOOKUP(A1104,Journal!$A$7:$F$70,6),VLOOKUP(A1104,Journal!$A$7:M$70,9),0)</f>
        <v>0</v>
      </c>
      <c r="U1104" s="125">
        <f>IF(H$2=VLOOKUP(A1104,Journal!$A$7:$G$70,7),VLOOKUP(A1104,Journal!$A$7:M$70,9),0)</f>
        <v>0</v>
      </c>
      <c r="V1104" s="125">
        <f t="shared" si="131"/>
        <v>40</v>
      </c>
      <c r="X1104">
        <f t="shared" si="129"/>
        <v>0</v>
      </c>
      <c r="Y1104" s="143">
        <f t="shared" si="130"/>
        <v>-971.2105263158353</v>
      </c>
    </row>
    <row r="1105" spans="1:25" x14ac:dyDescent="0.25">
      <c r="A1105">
        <f t="shared" si="125"/>
        <v>1098</v>
      </c>
      <c r="B1105" s="88" t="str">
        <f>IF(OR(B1104="Total",B1104=""),"",IF(VLOOKUP(A1105,Journal!$B$7:$E$84,4)=0,"Total",VLOOKUP(A1105,Journal!$B$7:$D$84,3)))</f>
        <v/>
      </c>
      <c r="C1105" s="86" t="str">
        <f>IF(B1105="","",VLOOKUP(A1105,Journal!$B$7:$E$84,4))</f>
        <v/>
      </c>
      <c r="D1105" s="114" t="str">
        <f>IF(B1105="","",VLOOKUP(A1105,Journal!$B$7:$J$84,9))</f>
        <v/>
      </c>
      <c r="E1105" s="116"/>
      <c r="F1105" s="116"/>
      <c r="G1105" s="115"/>
      <c r="H1105" s="84" t="str">
        <f>IF(B1105="","",VLOOKUP(A1105,Journal!$B$7:$L$84,11))</f>
        <v/>
      </c>
      <c r="I1105" s="84" t="str">
        <f>IF(B1105="","",VLOOKUP(A1105,Journal!$B$7:$M$84,12))</f>
        <v/>
      </c>
      <c r="J1105" s="105">
        <f>IF(B1105="Total",SUM(J$8:J1104)+0.0001,IF(OR(B1105="",I$2=I1105),0,VLOOKUP(A1105,Journal!$B$7:M$84,8)))</f>
        <v>0</v>
      </c>
      <c r="K1105" s="102">
        <f>IF(B1105="Total",SUM(K$8:K1104)+0.0001,IF(OR(B1105="",J1105&lt;&gt;0),0,VLOOKUP(A1105,Journal!$B$7:M$84,8)))</f>
        <v>0</v>
      </c>
      <c r="L1105" s="87">
        <f t="shared" si="126"/>
        <v>0</v>
      </c>
      <c r="P1105">
        <f t="shared" si="127"/>
        <v>1.0000000000000001E-5</v>
      </c>
      <c r="R1105" s="15">
        <f t="shared" si="128"/>
        <v>1098</v>
      </c>
      <c r="S1105" s="126">
        <f>IF(VLOOKUP(A1105,Journal!$A$7:$E$70,5)=0,S1104+1,VLOOKUP(A1105,Journal!$A$7:$E$70,5))</f>
        <v>46755</v>
      </c>
      <c r="T1105" s="125">
        <f>IF(H$2=VLOOKUP(A1105,Journal!$A$7:$F$70,6),VLOOKUP(A1105,Journal!$A$7:M$70,9),0)</f>
        <v>0</v>
      </c>
      <c r="U1105" s="125">
        <f>IF(H$2=VLOOKUP(A1105,Journal!$A$7:$G$70,7),VLOOKUP(A1105,Journal!$A$7:M$70,9),0)</f>
        <v>0</v>
      </c>
      <c r="V1105" s="125">
        <f t="shared" si="131"/>
        <v>40</v>
      </c>
      <c r="X1105">
        <f t="shared" si="129"/>
        <v>0</v>
      </c>
      <c r="Y1105" s="143">
        <f t="shared" si="130"/>
        <v>-971.18421052636165</v>
      </c>
    </row>
    <row r="1106" spans="1:25" x14ac:dyDescent="0.25">
      <c r="A1106">
        <f t="shared" ref="A1106:A1169" si="132">A1105+1</f>
        <v>1099</v>
      </c>
      <c r="B1106" s="88" t="str">
        <f>IF(OR(B1105="Total",B1105=""),"",IF(VLOOKUP(A1106,Journal!$B$7:$E$84,4)=0,"Total",VLOOKUP(A1106,Journal!$B$7:$D$84,3)))</f>
        <v/>
      </c>
      <c r="C1106" s="86" t="str">
        <f>IF(B1106="","",VLOOKUP(A1106,Journal!$B$7:$E$84,4))</f>
        <v/>
      </c>
      <c r="D1106" s="114" t="str">
        <f>IF(B1106="","",VLOOKUP(A1106,Journal!$B$7:$J$84,9))</f>
        <v/>
      </c>
      <c r="E1106" s="116"/>
      <c r="F1106" s="116"/>
      <c r="G1106" s="115"/>
      <c r="H1106" s="84" t="str">
        <f>IF(B1106="","",VLOOKUP(A1106,Journal!$B$7:$L$84,11))</f>
        <v/>
      </c>
      <c r="I1106" s="84" t="str">
        <f>IF(B1106="","",VLOOKUP(A1106,Journal!$B$7:$M$84,12))</f>
        <v/>
      </c>
      <c r="J1106" s="105">
        <f>IF(B1106="Total",SUM(J$8:J1105)+0.0001,IF(OR(B1106="",I$2=I1106),0,VLOOKUP(A1106,Journal!$B$7:M$84,8)))</f>
        <v>0</v>
      </c>
      <c r="K1106" s="102">
        <f>IF(B1106="Total",SUM(K$8:K1105)+0.0001,IF(OR(B1106="",J1106&lt;&gt;0),0,VLOOKUP(A1106,Journal!$B$7:M$84,8)))</f>
        <v>0</v>
      </c>
      <c r="L1106" s="87">
        <f t="shared" ref="L1106:L1169" si="133">IF(B1106="Total",L1105,IF(B1106="",0,IF($M$1=1,L1105+J1106-K1106,L1105-J1106+K1106)))</f>
        <v>0</v>
      </c>
      <c r="P1106">
        <f t="shared" ref="P1106:P1169" si="134">IF(L1105=L1106,L1105+0.00001,L1106)</f>
        <v>1.0000000000000001E-5</v>
      </c>
      <c r="R1106" s="15">
        <f t="shared" ref="R1106:R1169" si="135">R1105+1</f>
        <v>1099</v>
      </c>
      <c r="S1106" s="126">
        <f>IF(VLOOKUP(A1106,Journal!$A$7:$E$70,5)=0,S1105+1,VLOOKUP(A1106,Journal!$A$7:$E$70,5))</f>
        <v>46756</v>
      </c>
      <c r="T1106" s="125">
        <f>IF(H$2=VLOOKUP(A1106,Journal!$A$7:$F$70,6),VLOOKUP(A1106,Journal!$A$7:M$70,9),0)</f>
        <v>0</v>
      </c>
      <c r="U1106" s="125">
        <f>IF(H$2=VLOOKUP(A1106,Journal!$A$7:$G$70,7),VLOOKUP(A1106,Journal!$A$7:M$70,9),0)</f>
        <v>0</v>
      </c>
      <c r="V1106" s="125">
        <f t="shared" si="131"/>
        <v>40</v>
      </c>
      <c r="X1106">
        <f t="shared" ref="X1106:X1169" si="136">IF(J$2&gt;S1106,1,0)</f>
        <v>0</v>
      </c>
      <c r="Y1106" s="143">
        <f t="shared" si="130"/>
        <v>-971.15789473688801</v>
      </c>
    </row>
    <row r="1107" spans="1:25" x14ac:dyDescent="0.25">
      <c r="A1107">
        <f t="shared" si="132"/>
        <v>1100</v>
      </c>
      <c r="B1107" s="88" t="str">
        <f>IF(OR(B1106="Total",B1106=""),"",IF(VLOOKUP(A1107,Journal!$B$7:$E$84,4)=0,"Total",VLOOKUP(A1107,Journal!$B$7:$D$84,3)))</f>
        <v/>
      </c>
      <c r="C1107" s="86" t="str">
        <f>IF(B1107="","",VLOOKUP(A1107,Journal!$B$7:$E$84,4))</f>
        <v/>
      </c>
      <c r="D1107" s="114" t="str">
        <f>IF(B1107="","",VLOOKUP(A1107,Journal!$B$7:$J$84,9))</f>
        <v/>
      </c>
      <c r="E1107" s="116"/>
      <c r="F1107" s="116"/>
      <c r="G1107" s="115"/>
      <c r="H1107" s="84" t="str">
        <f>IF(B1107="","",VLOOKUP(A1107,Journal!$B$7:$L$84,11))</f>
        <v/>
      </c>
      <c r="I1107" s="84" t="str">
        <f>IF(B1107="","",VLOOKUP(A1107,Journal!$B$7:$M$84,12))</f>
        <v/>
      </c>
      <c r="J1107" s="105">
        <f>IF(B1107="Total",SUM(J$8:J1106)+0.0001,IF(OR(B1107="",I$2=I1107),0,VLOOKUP(A1107,Journal!$B$7:M$84,8)))</f>
        <v>0</v>
      </c>
      <c r="K1107" s="102">
        <f>IF(B1107="Total",SUM(K$8:K1106)+0.0001,IF(OR(B1107="",J1107&lt;&gt;0),0,VLOOKUP(A1107,Journal!$B$7:M$84,8)))</f>
        <v>0</v>
      </c>
      <c r="L1107" s="87">
        <f t="shared" si="133"/>
        <v>0</v>
      </c>
      <c r="P1107">
        <f t="shared" si="134"/>
        <v>1.0000000000000001E-5</v>
      </c>
      <c r="R1107" s="15">
        <f t="shared" si="135"/>
        <v>1100</v>
      </c>
      <c r="S1107" s="126">
        <f>IF(VLOOKUP(A1107,Journal!$A$7:$E$70,5)=0,S1106+1,VLOOKUP(A1107,Journal!$A$7:$E$70,5))</f>
        <v>46757</v>
      </c>
      <c r="T1107" s="125">
        <f>IF(H$2=VLOOKUP(A1107,Journal!$A$7:$F$70,6),VLOOKUP(A1107,Journal!$A$7:M$70,9),0)</f>
        <v>0</v>
      </c>
      <c r="U1107" s="125">
        <f>IF(H$2=VLOOKUP(A1107,Journal!$A$7:$G$70,7),VLOOKUP(A1107,Journal!$A$7:M$70,9),0)</f>
        <v>0</v>
      </c>
      <c r="V1107" s="125">
        <f t="shared" si="131"/>
        <v>40</v>
      </c>
      <c r="X1107">
        <f t="shared" si="136"/>
        <v>0</v>
      </c>
      <c r="Y1107" s="143">
        <f t="shared" si="130"/>
        <v>-971.13157894741437</v>
      </c>
    </row>
    <row r="1108" spans="1:25" x14ac:dyDescent="0.25">
      <c r="A1108">
        <f t="shared" si="132"/>
        <v>1101</v>
      </c>
      <c r="B1108" s="88" t="str">
        <f>IF(OR(B1107="Total",B1107=""),"",IF(VLOOKUP(A1108,Journal!$B$7:$E$84,4)=0,"Total",VLOOKUP(A1108,Journal!$B$7:$D$84,3)))</f>
        <v/>
      </c>
      <c r="C1108" s="86" t="str">
        <f>IF(B1108="","",VLOOKUP(A1108,Journal!$B$7:$E$84,4))</f>
        <v/>
      </c>
      <c r="D1108" s="114" t="str">
        <f>IF(B1108="","",VLOOKUP(A1108,Journal!$B$7:$J$84,9))</f>
        <v/>
      </c>
      <c r="E1108" s="116"/>
      <c r="F1108" s="116"/>
      <c r="G1108" s="115"/>
      <c r="H1108" s="84" t="str">
        <f>IF(B1108="","",VLOOKUP(A1108,Journal!$B$7:$L$84,11))</f>
        <v/>
      </c>
      <c r="I1108" s="84" t="str">
        <f>IF(B1108="","",VLOOKUP(A1108,Journal!$B$7:$M$84,12))</f>
        <v/>
      </c>
      <c r="J1108" s="105">
        <f>IF(B1108="Total",SUM(J$8:J1107)+0.0001,IF(OR(B1108="",I$2=I1108),0,VLOOKUP(A1108,Journal!$B$7:M$84,8)))</f>
        <v>0</v>
      </c>
      <c r="K1108" s="102">
        <f>IF(B1108="Total",SUM(K$8:K1107)+0.0001,IF(OR(B1108="",J1108&lt;&gt;0),0,VLOOKUP(A1108,Journal!$B$7:M$84,8)))</f>
        <v>0</v>
      </c>
      <c r="L1108" s="87">
        <f t="shared" si="133"/>
        <v>0</v>
      </c>
      <c r="P1108">
        <f t="shared" si="134"/>
        <v>1.0000000000000001E-5</v>
      </c>
      <c r="R1108" s="15">
        <f t="shared" si="135"/>
        <v>1101</v>
      </c>
      <c r="S1108" s="126">
        <f>IF(VLOOKUP(A1108,Journal!$A$7:$E$70,5)=0,S1107+1,VLOOKUP(A1108,Journal!$A$7:$E$70,5))</f>
        <v>46758</v>
      </c>
      <c r="T1108" s="125">
        <f>IF(H$2=VLOOKUP(A1108,Journal!$A$7:$F$70,6),VLOOKUP(A1108,Journal!$A$7:M$70,9),0)</f>
        <v>0</v>
      </c>
      <c r="U1108" s="125">
        <f>IF(H$2=VLOOKUP(A1108,Journal!$A$7:$G$70,7),VLOOKUP(A1108,Journal!$A$7:M$70,9),0)</f>
        <v>0</v>
      </c>
      <c r="V1108" s="125">
        <f t="shared" si="131"/>
        <v>40</v>
      </c>
      <c r="X1108">
        <f t="shared" si="136"/>
        <v>0</v>
      </c>
      <c r="Y1108" s="143">
        <f t="shared" si="130"/>
        <v>-971.10526315794073</v>
      </c>
    </row>
    <row r="1109" spans="1:25" x14ac:dyDescent="0.25">
      <c r="A1109">
        <f t="shared" si="132"/>
        <v>1102</v>
      </c>
      <c r="B1109" s="88" t="str">
        <f>IF(OR(B1108="Total",B1108=""),"",IF(VLOOKUP(A1109,Journal!$B$7:$E$84,4)=0,"Total",VLOOKUP(A1109,Journal!$B$7:$D$84,3)))</f>
        <v/>
      </c>
      <c r="C1109" s="86" t="str">
        <f>IF(B1109="","",VLOOKUP(A1109,Journal!$B$7:$E$84,4))</f>
        <v/>
      </c>
      <c r="D1109" s="114" t="str">
        <f>IF(B1109="","",VLOOKUP(A1109,Journal!$B$7:$J$84,9))</f>
        <v/>
      </c>
      <c r="E1109" s="116"/>
      <c r="F1109" s="116"/>
      <c r="G1109" s="115"/>
      <c r="H1109" s="84" t="str">
        <f>IF(B1109="","",VLOOKUP(A1109,Journal!$B$7:$L$84,11))</f>
        <v/>
      </c>
      <c r="I1109" s="84" t="str">
        <f>IF(B1109="","",VLOOKUP(A1109,Journal!$B$7:$M$84,12))</f>
        <v/>
      </c>
      <c r="J1109" s="105">
        <f>IF(B1109="Total",SUM(J$8:J1108)+0.0001,IF(OR(B1109="",I$2=I1109),0,VLOOKUP(A1109,Journal!$B$7:M$84,8)))</f>
        <v>0</v>
      </c>
      <c r="K1109" s="102">
        <f>IF(B1109="Total",SUM(K$8:K1108)+0.0001,IF(OR(B1109="",J1109&lt;&gt;0),0,VLOOKUP(A1109,Journal!$B$7:M$84,8)))</f>
        <v>0</v>
      </c>
      <c r="L1109" s="87">
        <f t="shared" si="133"/>
        <v>0</v>
      </c>
      <c r="P1109">
        <f t="shared" si="134"/>
        <v>1.0000000000000001E-5</v>
      </c>
      <c r="R1109" s="15">
        <f t="shared" si="135"/>
        <v>1102</v>
      </c>
      <c r="S1109" s="126">
        <f>IF(VLOOKUP(A1109,Journal!$A$7:$E$70,5)=0,S1108+1,VLOOKUP(A1109,Journal!$A$7:$E$70,5))</f>
        <v>46759</v>
      </c>
      <c r="T1109" s="125">
        <f>IF(H$2=VLOOKUP(A1109,Journal!$A$7:$F$70,6),VLOOKUP(A1109,Journal!$A$7:M$70,9),0)</f>
        <v>0</v>
      </c>
      <c r="U1109" s="125">
        <f>IF(H$2=VLOOKUP(A1109,Journal!$A$7:$G$70,7),VLOOKUP(A1109,Journal!$A$7:M$70,9),0)</f>
        <v>0</v>
      </c>
      <c r="V1109" s="125">
        <f t="shared" si="131"/>
        <v>40</v>
      </c>
      <c r="X1109">
        <f t="shared" si="136"/>
        <v>0</v>
      </c>
      <c r="Y1109" s="143">
        <f t="shared" si="130"/>
        <v>-971.07894736846708</v>
      </c>
    </row>
    <row r="1110" spans="1:25" x14ac:dyDescent="0.25">
      <c r="A1110">
        <f t="shared" si="132"/>
        <v>1103</v>
      </c>
      <c r="B1110" s="88" t="str">
        <f>IF(OR(B1109="Total",B1109=""),"",IF(VLOOKUP(A1110,Journal!$B$7:$E$84,4)=0,"Total",VLOOKUP(A1110,Journal!$B$7:$D$84,3)))</f>
        <v/>
      </c>
      <c r="C1110" s="86" t="str">
        <f>IF(B1110="","",VLOOKUP(A1110,Journal!$B$7:$E$84,4))</f>
        <v/>
      </c>
      <c r="D1110" s="114" t="str">
        <f>IF(B1110="","",VLOOKUP(A1110,Journal!$B$7:$J$84,9))</f>
        <v/>
      </c>
      <c r="E1110" s="116"/>
      <c r="F1110" s="116"/>
      <c r="G1110" s="115"/>
      <c r="H1110" s="84" t="str">
        <f>IF(B1110="","",VLOOKUP(A1110,Journal!$B$7:$L$84,11))</f>
        <v/>
      </c>
      <c r="I1110" s="84" t="str">
        <f>IF(B1110="","",VLOOKUP(A1110,Journal!$B$7:$M$84,12))</f>
        <v/>
      </c>
      <c r="J1110" s="105">
        <f>IF(B1110="Total",SUM(J$8:J1109)+0.0001,IF(OR(B1110="",I$2=I1110),0,VLOOKUP(A1110,Journal!$B$7:M$84,8)))</f>
        <v>0</v>
      </c>
      <c r="K1110" s="102">
        <f>IF(B1110="Total",SUM(K$8:K1109)+0.0001,IF(OR(B1110="",J1110&lt;&gt;0),0,VLOOKUP(A1110,Journal!$B$7:M$84,8)))</f>
        <v>0</v>
      </c>
      <c r="L1110" s="87">
        <f t="shared" si="133"/>
        <v>0</v>
      </c>
      <c r="P1110">
        <f t="shared" si="134"/>
        <v>1.0000000000000001E-5</v>
      </c>
      <c r="R1110" s="15">
        <f t="shared" si="135"/>
        <v>1103</v>
      </c>
      <c r="S1110" s="126">
        <f>IF(VLOOKUP(A1110,Journal!$A$7:$E$70,5)=0,S1109+1,VLOOKUP(A1110,Journal!$A$7:$E$70,5))</f>
        <v>46760</v>
      </c>
      <c r="T1110" s="125">
        <f>IF(H$2=VLOOKUP(A1110,Journal!$A$7:$F$70,6),VLOOKUP(A1110,Journal!$A$7:M$70,9),0)</f>
        <v>0</v>
      </c>
      <c r="U1110" s="125">
        <f>IF(H$2=VLOOKUP(A1110,Journal!$A$7:$G$70,7),VLOOKUP(A1110,Journal!$A$7:M$70,9),0)</f>
        <v>0</v>
      </c>
      <c r="V1110" s="125">
        <f t="shared" si="131"/>
        <v>40</v>
      </c>
      <c r="X1110">
        <f t="shared" si="136"/>
        <v>0</v>
      </c>
      <c r="Y1110" s="143">
        <f t="shared" si="130"/>
        <v>-971.05263157899344</v>
      </c>
    </row>
    <row r="1111" spans="1:25" x14ac:dyDescent="0.25">
      <c r="A1111">
        <f t="shared" si="132"/>
        <v>1104</v>
      </c>
      <c r="B1111" s="88" t="str">
        <f>IF(OR(B1110="Total",B1110=""),"",IF(VLOOKUP(A1111,Journal!$B$7:$E$84,4)=0,"Total",VLOOKUP(A1111,Journal!$B$7:$D$84,3)))</f>
        <v/>
      </c>
      <c r="C1111" s="86" t="str">
        <f>IF(B1111="","",VLOOKUP(A1111,Journal!$B$7:$E$84,4))</f>
        <v/>
      </c>
      <c r="D1111" s="114" t="str">
        <f>IF(B1111="","",VLOOKUP(A1111,Journal!$B$7:$J$84,9))</f>
        <v/>
      </c>
      <c r="E1111" s="116"/>
      <c r="F1111" s="116"/>
      <c r="G1111" s="115"/>
      <c r="H1111" s="84" t="str">
        <f>IF(B1111="","",VLOOKUP(A1111,Journal!$B$7:$L$84,11))</f>
        <v/>
      </c>
      <c r="I1111" s="84" t="str">
        <f>IF(B1111="","",VLOOKUP(A1111,Journal!$B$7:$M$84,12))</f>
        <v/>
      </c>
      <c r="J1111" s="105">
        <f>IF(B1111="Total",SUM(J$8:J1110)+0.0001,IF(OR(B1111="",I$2=I1111),0,VLOOKUP(A1111,Journal!$B$7:M$84,8)))</f>
        <v>0</v>
      </c>
      <c r="K1111" s="102">
        <f>IF(B1111="Total",SUM(K$8:K1110)+0.0001,IF(OR(B1111="",J1111&lt;&gt;0),0,VLOOKUP(A1111,Journal!$B$7:M$84,8)))</f>
        <v>0</v>
      </c>
      <c r="L1111" s="87">
        <f t="shared" si="133"/>
        <v>0</v>
      </c>
      <c r="P1111">
        <f t="shared" si="134"/>
        <v>1.0000000000000001E-5</v>
      </c>
      <c r="R1111" s="15">
        <f t="shared" si="135"/>
        <v>1104</v>
      </c>
      <c r="S1111" s="126">
        <f>IF(VLOOKUP(A1111,Journal!$A$7:$E$70,5)=0,S1110+1,VLOOKUP(A1111,Journal!$A$7:$E$70,5))</f>
        <v>46761</v>
      </c>
      <c r="T1111" s="125">
        <f>IF(H$2=VLOOKUP(A1111,Journal!$A$7:$F$70,6),VLOOKUP(A1111,Journal!$A$7:M$70,9),0)</f>
        <v>0</v>
      </c>
      <c r="U1111" s="125">
        <f>IF(H$2=VLOOKUP(A1111,Journal!$A$7:$G$70,7),VLOOKUP(A1111,Journal!$A$7:M$70,9),0)</f>
        <v>0</v>
      </c>
      <c r="V1111" s="125">
        <f t="shared" si="131"/>
        <v>40</v>
      </c>
      <c r="X1111">
        <f t="shared" si="136"/>
        <v>0</v>
      </c>
      <c r="Y1111" s="143">
        <f t="shared" si="130"/>
        <v>-971.0263157895198</v>
      </c>
    </row>
    <row r="1112" spans="1:25" x14ac:dyDescent="0.25">
      <c r="A1112">
        <f t="shared" si="132"/>
        <v>1105</v>
      </c>
      <c r="B1112" s="88" t="str">
        <f>IF(OR(B1111="Total",B1111=""),"",IF(VLOOKUP(A1112,Journal!$B$7:$E$84,4)=0,"Total",VLOOKUP(A1112,Journal!$B$7:$D$84,3)))</f>
        <v/>
      </c>
      <c r="C1112" s="86" t="str">
        <f>IF(B1112="","",VLOOKUP(A1112,Journal!$B$7:$E$84,4))</f>
        <v/>
      </c>
      <c r="D1112" s="114" t="str">
        <f>IF(B1112="","",VLOOKUP(A1112,Journal!$B$7:$J$84,9))</f>
        <v/>
      </c>
      <c r="E1112" s="116"/>
      <c r="F1112" s="116"/>
      <c r="G1112" s="115"/>
      <c r="H1112" s="84" t="str">
        <f>IF(B1112="","",VLOOKUP(A1112,Journal!$B$7:$L$84,11))</f>
        <v/>
      </c>
      <c r="I1112" s="84" t="str">
        <f>IF(B1112="","",VLOOKUP(A1112,Journal!$B$7:$M$84,12))</f>
        <v/>
      </c>
      <c r="J1112" s="105">
        <f>IF(B1112="Total",SUM(J$8:J1111)+0.0001,IF(OR(B1112="",I$2=I1112),0,VLOOKUP(A1112,Journal!$B$7:M$84,8)))</f>
        <v>0</v>
      </c>
      <c r="K1112" s="102">
        <f>IF(B1112="Total",SUM(K$8:K1111)+0.0001,IF(OR(B1112="",J1112&lt;&gt;0),0,VLOOKUP(A1112,Journal!$B$7:M$84,8)))</f>
        <v>0</v>
      </c>
      <c r="L1112" s="87">
        <f t="shared" si="133"/>
        <v>0</v>
      </c>
      <c r="P1112">
        <f t="shared" si="134"/>
        <v>1.0000000000000001E-5</v>
      </c>
      <c r="R1112" s="15">
        <f t="shared" si="135"/>
        <v>1105</v>
      </c>
      <c r="S1112" s="126">
        <f>IF(VLOOKUP(A1112,Journal!$A$7:$E$70,5)=0,S1111+1,VLOOKUP(A1112,Journal!$A$7:$E$70,5))</f>
        <v>46762</v>
      </c>
      <c r="T1112" s="125">
        <f>IF(H$2=VLOOKUP(A1112,Journal!$A$7:$F$70,6),VLOOKUP(A1112,Journal!$A$7:M$70,9),0)</f>
        <v>0</v>
      </c>
      <c r="U1112" s="125">
        <f>IF(H$2=VLOOKUP(A1112,Journal!$A$7:$G$70,7),VLOOKUP(A1112,Journal!$A$7:M$70,9),0)</f>
        <v>0</v>
      </c>
      <c r="V1112" s="125">
        <f t="shared" si="131"/>
        <v>40</v>
      </c>
      <c r="X1112">
        <f t="shared" si="136"/>
        <v>0</v>
      </c>
      <c r="Y1112" s="143">
        <f t="shared" si="130"/>
        <v>-971.00000000004616</v>
      </c>
    </row>
    <row r="1113" spans="1:25" x14ac:dyDescent="0.25">
      <c r="A1113">
        <f t="shared" si="132"/>
        <v>1106</v>
      </c>
      <c r="B1113" s="88" t="str">
        <f>IF(OR(B1112="Total",B1112=""),"",IF(VLOOKUP(A1113,Journal!$B$7:$E$84,4)=0,"Total",VLOOKUP(A1113,Journal!$B$7:$D$84,3)))</f>
        <v/>
      </c>
      <c r="C1113" s="86" t="str">
        <f>IF(B1113="","",VLOOKUP(A1113,Journal!$B$7:$E$84,4))</f>
        <v/>
      </c>
      <c r="D1113" s="114" t="str">
        <f>IF(B1113="","",VLOOKUP(A1113,Journal!$B$7:$J$84,9))</f>
        <v/>
      </c>
      <c r="E1113" s="116"/>
      <c r="F1113" s="116"/>
      <c r="G1113" s="115"/>
      <c r="H1113" s="84" t="str">
        <f>IF(B1113="","",VLOOKUP(A1113,Journal!$B$7:$L$84,11))</f>
        <v/>
      </c>
      <c r="I1113" s="84" t="str">
        <f>IF(B1113="","",VLOOKUP(A1113,Journal!$B$7:$M$84,12))</f>
        <v/>
      </c>
      <c r="J1113" s="105">
        <f>IF(B1113="Total",SUM(J$8:J1112)+0.0001,IF(OR(B1113="",I$2=I1113),0,VLOOKUP(A1113,Journal!$B$7:M$84,8)))</f>
        <v>0</v>
      </c>
      <c r="K1113" s="102">
        <f>IF(B1113="Total",SUM(K$8:K1112)+0.0001,IF(OR(B1113="",J1113&lt;&gt;0),0,VLOOKUP(A1113,Journal!$B$7:M$84,8)))</f>
        <v>0</v>
      </c>
      <c r="L1113" s="87">
        <f t="shared" si="133"/>
        <v>0</v>
      </c>
      <c r="P1113">
        <f t="shared" si="134"/>
        <v>1.0000000000000001E-5</v>
      </c>
      <c r="R1113" s="15">
        <f t="shared" si="135"/>
        <v>1106</v>
      </c>
      <c r="S1113" s="126">
        <f>IF(VLOOKUP(A1113,Journal!$A$7:$E$70,5)=0,S1112+1,VLOOKUP(A1113,Journal!$A$7:$E$70,5))</f>
        <v>46763</v>
      </c>
      <c r="T1113" s="125">
        <f>IF(H$2=VLOOKUP(A1113,Journal!$A$7:$F$70,6),VLOOKUP(A1113,Journal!$A$7:M$70,9),0)</f>
        <v>0</v>
      </c>
      <c r="U1113" s="125">
        <f>IF(H$2=VLOOKUP(A1113,Journal!$A$7:$G$70,7),VLOOKUP(A1113,Journal!$A$7:M$70,9),0)</f>
        <v>0</v>
      </c>
      <c r="V1113" s="125">
        <f t="shared" si="131"/>
        <v>40</v>
      </c>
      <c r="X1113">
        <f t="shared" si="136"/>
        <v>0</v>
      </c>
      <c r="Y1113" s="143">
        <f t="shared" si="130"/>
        <v>-970.97368421057251</v>
      </c>
    </row>
    <row r="1114" spans="1:25" x14ac:dyDescent="0.25">
      <c r="A1114">
        <f t="shared" si="132"/>
        <v>1107</v>
      </c>
      <c r="B1114" s="88" t="str">
        <f>IF(OR(B1113="Total",B1113=""),"",IF(VLOOKUP(A1114,Journal!$B$7:$E$84,4)=0,"Total",VLOOKUP(A1114,Journal!$B$7:$D$84,3)))</f>
        <v/>
      </c>
      <c r="C1114" s="86" t="str">
        <f>IF(B1114="","",VLOOKUP(A1114,Journal!$B$7:$E$84,4))</f>
        <v/>
      </c>
      <c r="D1114" s="114" t="str">
        <f>IF(B1114="","",VLOOKUP(A1114,Journal!$B$7:$J$84,9))</f>
        <v/>
      </c>
      <c r="E1114" s="116"/>
      <c r="F1114" s="116"/>
      <c r="G1114" s="115"/>
      <c r="H1114" s="84" t="str">
        <f>IF(B1114="","",VLOOKUP(A1114,Journal!$B$7:$L$84,11))</f>
        <v/>
      </c>
      <c r="I1114" s="84" t="str">
        <f>IF(B1114="","",VLOOKUP(A1114,Journal!$B$7:$M$84,12))</f>
        <v/>
      </c>
      <c r="J1114" s="105">
        <f>IF(B1114="Total",SUM(J$8:J1113)+0.0001,IF(OR(B1114="",I$2=I1114),0,VLOOKUP(A1114,Journal!$B$7:M$84,8)))</f>
        <v>0</v>
      </c>
      <c r="K1114" s="102">
        <f>IF(B1114="Total",SUM(K$8:K1113)+0.0001,IF(OR(B1114="",J1114&lt;&gt;0),0,VLOOKUP(A1114,Journal!$B$7:M$84,8)))</f>
        <v>0</v>
      </c>
      <c r="L1114" s="87">
        <f t="shared" si="133"/>
        <v>0</v>
      </c>
      <c r="P1114">
        <f t="shared" si="134"/>
        <v>1.0000000000000001E-5</v>
      </c>
      <c r="R1114" s="15">
        <f t="shared" si="135"/>
        <v>1107</v>
      </c>
      <c r="S1114" s="126">
        <f>IF(VLOOKUP(A1114,Journal!$A$7:$E$70,5)=0,S1113+1,VLOOKUP(A1114,Journal!$A$7:$E$70,5))</f>
        <v>46764</v>
      </c>
      <c r="T1114" s="125">
        <f>IF(H$2=VLOOKUP(A1114,Journal!$A$7:$F$70,6),VLOOKUP(A1114,Journal!$A$7:M$70,9),0)</f>
        <v>0</v>
      </c>
      <c r="U1114" s="125">
        <f>IF(H$2=VLOOKUP(A1114,Journal!$A$7:$G$70,7),VLOOKUP(A1114,Journal!$A$7:M$70,9),0)</f>
        <v>0</v>
      </c>
      <c r="V1114" s="125">
        <f t="shared" si="131"/>
        <v>40</v>
      </c>
      <c r="X1114">
        <f t="shared" si="136"/>
        <v>0</v>
      </c>
      <c r="Y1114" s="143">
        <f t="shared" si="130"/>
        <v>-970.94736842109887</v>
      </c>
    </row>
    <row r="1115" spans="1:25" x14ac:dyDescent="0.25">
      <c r="A1115">
        <f t="shared" si="132"/>
        <v>1108</v>
      </c>
      <c r="B1115" s="88" t="str">
        <f>IF(OR(B1114="Total",B1114=""),"",IF(VLOOKUP(A1115,Journal!$B$7:$E$84,4)=0,"Total",VLOOKUP(A1115,Journal!$B$7:$D$84,3)))</f>
        <v/>
      </c>
      <c r="C1115" s="86" t="str">
        <f>IF(B1115="","",VLOOKUP(A1115,Journal!$B$7:$E$84,4))</f>
        <v/>
      </c>
      <c r="D1115" s="114" t="str">
        <f>IF(B1115="","",VLOOKUP(A1115,Journal!$B$7:$J$84,9))</f>
        <v/>
      </c>
      <c r="E1115" s="116"/>
      <c r="F1115" s="116"/>
      <c r="G1115" s="115"/>
      <c r="H1115" s="84" t="str">
        <f>IF(B1115="","",VLOOKUP(A1115,Journal!$B$7:$L$84,11))</f>
        <v/>
      </c>
      <c r="I1115" s="84" t="str">
        <f>IF(B1115="","",VLOOKUP(A1115,Journal!$B$7:$M$84,12))</f>
        <v/>
      </c>
      <c r="J1115" s="105">
        <f>IF(B1115="Total",SUM(J$8:J1114)+0.0001,IF(OR(B1115="",I$2=I1115),0,VLOOKUP(A1115,Journal!$B$7:M$84,8)))</f>
        <v>0</v>
      </c>
      <c r="K1115" s="102">
        <f>IF(B1115="Total",SUM(K$8:K1114)+0.0001,IF(OR(B1115="",J1115&lt;&gt;0),0,VLOOKUP(A1115,Journal!$B$7:M$84,8)))</f>
        <v>0</v>
      </c>
      <c r="L1115" s="87">
        <f t="shared" si="133"/>
        <v>0</v>
      </c>
      <c r="P1115">
        <f t="shared" si="134"/>
        <v>1.0000000000000001E-5</v>
      </c>
      <c r="R1115" s="15">
        <f t="shared" si="135"/>
        <v>1108</v>
      </c>
      <c r="S1115" s="126">
        <f>IF(VLOOKUP(A1115,Journal!$A$7:$E$70,5)=0,S1114+1,VLOOKUP(A1115,Journal!$A$7:$E$70,5))</f>
        <v>46765</v>
      </c>
      <c r="T1115" s="125">
        <f>IF(H$2=VLOOKUP(A1115,Journal!$A$7:$F$70,6),VLOOKUP(A1115,Journal!$A$7:M$70,9),0)</f>
        <v>0</v>
      </c>
      <c r="U1115" s="125">
        <f>IF(H$2=VLOOKUP(A1115,Journal!$A$7:$G$70,7),VLOOKUP(A1115,Journal!$A$7:M$70,9),0)</f>
        <v>0</v>
      </c>
      <c r="V1115" s="125">
        <f t="shared" si="131"/>
        <v>40</v>
      </c>
      <c r="X1115">
        <f t="shared" si="136"/>
        <v>0</v>
      </c>
      <c r="Y1115" s="143">
        <f t="shared" si="130"/>
        <v>-970.92105263162523</v>
      </c>
    </row>
    <row r="1116" spans="1:25" x14ac:dyDescent="0.25">
      <c r="A1116">
        <f t="shared" si="132"/>
        <v>1109</v>
      </c>
      <c r="B1116" s="88" t="str">
        <f>IF(OR(B1115="Total",B1115=""),"",IF(VLOOKUP(A1116,Journal!$B$7:$E$84,4)=0,"Total",VLOOKUP(A1116,Journal!$B$7:$D$84,3)))</f>
        <v/>
      </c>
      <c r="C1116" s="86" t="str">
        <f>IF(B1116="","",VLOOKUP(A1116,Journal!$B$7:$E$84,4))</f>
        <v/>
      </c>
      <c r="D1116" s="114" t="str">
        <f>IF(B1116="","",VLOOKUP(A1116,Journal!$B$7:$J$84,9))</f>
        <v/>
      </c>
      <c r="E1116" s="116"/>
      <c r="F1116" s="116"/>
      <c r="G1116" s="115"/>
      <c r="H1116" s="84" t="str">
        <f>IF(B1116="","",VLOOKUP(A1116,Journal!$B$7:$L$84,11))</f>
        <v/>
      </c>
      <c r="I1116" s="84" t="str">
        <f>IF(B1116="","",VLOOKUP(A1116,Journal!$B$7:$M$84,12))</f>
        <v/>
      </c>
      <c r="J1116" s="105">
        <f>IF(B1116="Total",SUM(J$8:J1115)+0.0001,IF(OR(B1116="",I$2=I1116),0,VLOOKUP(A1116,Journal!$B$7:M$84,8)))</f>
        <v>0</v>
      </c>
      <c r="K1116" s="102">
        <f>IF(B1116="Total",SUM(K$8:K1115)+0.0001,IF(OR(B1116="",J1116&lt;&gt;0),0,VLOOKUP(A1116,Journal!$B$7:M$84,8)))</f>
        <v>0</v>
      </c>
      <c r="L1116" s="87">
        <f t="shared" si="133"/>
        <v>0</v>
      </c>
      <c r="P1116">
        <f t="shared" si="134"/>
        <v>1.0000000000000001E-5</v>
      </c>
      <c r="R1116" s="15">
        <f t="shared" si="135"/>
        <v>1109</v>
      </c>
      <c r="S1116" s="126">
        <f>IF(VLOOKUP(A1116,Journal!$A$7:$E$70,5)=0,S1115+1,VLOOKUP(A1116,Journal!$A$7:$E$70,5))</f>
        <v>46766</v>
      </c>
      <c r="T1116" s="125">
        <f>IF(H$2=VLOOKUP(A1116,Journal!$A$7:$F$70,6),VLOOKUP(A1116,Journal!$A$7:M$70,9),0)</f>
        <v>0</v>
      </c>
      <c r="U1116" s="125">
        <f>IF(H$2=VLOOKUP(A1116,Journal!$A$7:$G$70,7),VLOOKUP(A1116,Journal!$A$7:M$70,9),0)</f>
        <v>0</v>
      </c>
      <c r="V1116" s="125">
        <f t="shared" si="131"/>
        <v>40</v>
      </c>
      <c r="X1116">
        <f t="shared" si="136"/>
        <v>0</v>
      </c>
      <c r="Y1116" s="143">
        <f t="shared" si="130"/>
        <v>-970.89473684215159</v>
      </c>
    </row>
    <row r="1117" spans="1:25" x14ac:dyDescent="0.25">
      <c r="A1117">
        <f t="shared" si="132"/>
        <v>1110</v>
      </c>
      <c r="B1117" s="88" t="str">
        <f>IF(OR(B1116="Total",B1116=""),"",IF(VLOOKUP(A1117,Journal!$B$7:$E$84,4)=0,"Total",VLOOKUP(A1117,Journal!$B$7:$D$84,3)))</f>
        <v/>
      </c>
      <c r="C1117" s="86" t="str">
        <f>IF(B1117="","",VLOOKUP(A1117,Journal!$B$7:$E$84,4))</f>
        <v/>
      </c>
      <c r="D1117" s="114" t="str">
        <f>IF(B1117="","",VLOOKUP(A1117,Journal!$B$7:$J$84,9))</f>
        <v/>
      </c>
      <c r="E1117" s="116"/>
      <c r="F1117" s="116"/>
      <c r="G1117" s="115"/>
      <c r="H1117" s="84" t="str">
        <f>IF(B1117="","",VLOOKUP(A1117,Journal!$B$7:$L$84,11))</f>
        <v/>
      </c>
      <c r="I1117" s="84" t="str">
        <f>IF(B1117="","",VLOOKUP(A1117,Journal!$B$7:$M$84,12))</f>
        <v/>
      </c>
      <c r="J1117" s="105">
        <f>IF(B1117="Total",SUM(J$8:J1116)+0.0001,IF(OR(B1117="",I$2=I1117),0,VLOOKUP(A1117,Journal!$B$7:M$84,8)))</f>
        <v>0</v>
      </c>
      <c r="K1117" s="102">
        <f>IF(B1117="Total",SUM(K$8:K1116)+0.0001,IF(OR(B1117="",J1117&lt;&gt;0),0,VLOOKUP(A1117,Journal!$B$7:M$84,8)))</f>
        <v>0</v>
      </c>
      <c r="L1117" s="87">
        <f t="shared" si="133"/>
        <v>0</v>
      </c>
      <c r="P1117">
        <f t="shared" si="134"/>
        <v>1.0000000000000001E-5</v>
      </c>
      <c r="R1117" s="15">
        <f t="shared" si="135"/>
        <v>1110</v>
      </c>
      <c r="S1117" s="126">
        <f>IF(VLOOKUP(A1117,Journal!$A$7:$E$70,5)=0,S1116+1,VLOOKUP(A1117,Journal!$A$7:$E$70,5))</f>
        <v>46767</v>
      </c>
      <c r="T1117" s="125">
        <f>IF(H$2=VLOOKUP(A1117,Journal!$A$7:$F$70,6),VLOOKUP(A1117,Journal!$A$7:M$70,9),0)</f>
        <v>0</v>
      </c>
      <c r="U1117" s="125">
        <f>IF(H$2=VLOOKUP(A1117,Journal!$A$7:$G$70,7),VLOOKUP(A1117,Journal!$A$7:M$70,9),0)</f>
        <v>0</v>
      </c>
      <c r="V1117" s="125">
        <f t="shared" si="131"/>
        <v>40</v>
      </c>
      <c r="X1117">
        <f t="shared" si="136"/>
        <v>0</v>
      </c>
      <c r="Y1117" s="143">
        <f t="shared" si="130"/>
        <v>-970.86842105267795</v>
      </c>
    </row>
    <row r="1118" spans="1:25" x14ac:dyDescent="0.25">
      <c r="A1118">
        <f t="shared" si="132"/>
        <v>1111</v>
      </c>
      <c r="B1118" s="88" t="str">
        <f>IF(OR(B1117="Total",B1117=""),"",IF(VLOOKUP(A1118,Journal!$B$7:$E$84,4)=0,"Total",VLOOKUP(A1118,Journal!$B$7:$D$84,3)))</f>
        <v/>
      </c>
      <c r="C1118" s="86" t="str">
        <f>IF(B1118="","",VLOOKUP(A1118,Journal!$B$7:$E$84,4))</f>
        <v/>
      </c>
      <c r="D1118" s="114" t="str">
        <f>IF(B1118="","",VLOOKUP(A1118,Journal!$B$7:$J$84,9))</f>
        <v/>
      </c>
      <c r="E1118" s="116"/>
      <c r="F1118" s="116"/>
      <c r="G1118" s="115"/>
      <c r="H1118" s="84" t="str">
        <f>IF(B1118="","",VLOOKUP(A1118,Journal!$B$7:$L$84,11))</f>
        <v/>
      </c>
      <c r="I1118" s="84" t="str">
        <f>IF(B1118="","",VLOOKUP(A1118,Journal!$B$7:$M$84,12))</f>
        <v/>
      </c>
      <c r="J1118" s="105">
        <f>IF(B1118="Total",SUM(J$8:J1117)+0.0001,IF(OR(B1118="",I$2=I1118),0,VLOOKUP(A1118,Journal!$B$7:M$84,8)))</f>
        <v>0</v>
      </c>
      <c r="K1118" s="102">
        <f>IF(B1118="Total",SUM(K$8:K1117)+0.0001,IF(OR(B1118="",J1118&lt;&gt;0),0,VLOOKUP(A1118,Journal!$B$7:M$84,8)))</f>
        <v>0</v>
      </c>
      <c r="L1118" s="87">
        <f t="shared" si="133"/>
        <v>0</v>
      </c>
      <c r="P1118">
        <f t="shared" si="134"/>
        <v>1.0000000000000001E-5</v>
      </c>
      <c r="R1118" s="15">
        <f t="shared" si="135"/>
        <v>1111</v>
      </c>
      <c r="S1118" s="126">
        <f>IF(VLOOKUP(A1118,Journal!$A$7:$E$70,5)=0,S1117+1,VLOOKUP(A1118,Journal!$A$7:$E$70,5))</f>
        <v>46768</v>
      </c>
      <c r="T1118" s="125">
        <f>IF(H$2=VLOOKUP(A1118,Journal!$A$7:$F$70,6),VLOOKUP(A1118,Journal!$A$7:M$70,9),0)</f>
        <v>0</v>
      </c>
      <c r="U1118" s="125">
        <f>IF(H$2=VLOOKUP(A1118,Journal!$A$7:$G$70,7),VLOOKUP(A1118,Journal!$A$7:M$70,9),0)</f>
        <v>0</v>
      </c>
      <c r="V1118" s="125">
        <f t="shared" si="131"/>
        <v>40</v>
      </c>
      <c r="X1118">
        <f t="shared" si="136"/>
        <v>0</v>
      </c>
      <c r="Y1118" s="143">
        <f t="shared" si="130"/>
        <v>-970.8421052632043</v>
      </c>
    </row>
    <row r="1119" spans="1:25" x14ac:dyDescent="0.25">
      <c r="A1119">
        <f t="shared" si="132"/>
        <v>1112</v>
      </c>
      <c r="B1119" s="88" t="str">
        <f>IF(OR(B1118="Total",B1118=""),"",IF(VLOOKUP(A1119,Journal!$B$7:$E$84,4)=0,"Total",VLOOKUP(A1119,Journal!$B$7:$D$84,3)))</f>
        <v/>
      </c>
      <c r="C1119" s="86" t="str">
        <f>IF(B1119="","",VLOOKUP(A1119,Journal!$B$7:$E$84,4))</f>
        <v/>
      </c>
      <c r="D1119" s="114" t="str">
        <f>IF(B1119="","",VLOOKUP(A1119,Journal!$B$7:$J$84,9))</f>
        <v/>
      </c>
      <c r="E1119" s="116"/>
      <c r="F1119" s="116"/>
      <c r="G1119" s="115"/>
      <c r="H1119" s="84" t="str">
        <f>IF(B1119="","",VLOOKUP(A1119,Journal!$B$7:$L$84,11))</f>
        <v/>
      </c>
      <c r="I1119" s="84" t="str">
        <f>IF(B1119="","",VLOOKUP(A1119,Journal!$B$7:$M$84,12))</f>
        <v/>
      </c>
      <c r="J1119" s="105">
        <f>IF(B1119="Total",SUM(J$8:J1118)+0.0001,IF(OR(B1119="",I$2=I1119),0,VLOOKUP(A1119,Journal!$B$7:M$84,8)))</f>
        <v>0</v>
      </c>
      <c r="K1119" s="102">
        <f>IF(B1119="Total",SUM(K$8:K1118)+0.0001,IF(OR(B1119="",J1119&lt;&gt;0),0,VLOOKUP(A1119,Journal!$B$7:M$84,8)))</f>
        <v>0</v>
      </c>
      <c r="L1119" s="87">
        <f t="shared" si="133"/>
        <v>0</v>
      </c>
      <c r="P1119">
        <f t="shared" si="134"/>
        <v>1.0000000000000001E-5</v>
      </c>
      <c r="R1119" s="15">
        <f t="shared" si="135"/>
        <v>1112</v>
      </c>
      <c r="S1119" s="126">
        <f>IF(VLOOKUP(A1119,Journal!$A$7:$E$70,5)=0,S1118+1,VLOOKUP(A1119,Journal!$A$7:$E$70,5))</f>
        <v>46769</v>
      </c>
      <c r="T1119" s="125">
        <f>IF(H$2=VLOOKUP(A1119,Journal!$A$7:$F$70,6),VLOOKUP(A1119,Journal!$A$7:M$70,9),0)</f>
        <v>0</v>
      </c>
      <c r="U1119" s="125">
        <f>IF(H$2=VLOOKUP(A1119,Journal!$A$7:$G$70,7),VLOOKUP(A1119,Journal!$A$7:M$70,9),0)</f>
        <v>0</v>
      </c>
      <c r="V1119" s="125">
        <f t="shared" si="131"/>
        <v>40</v>
      </c>
      <c r="X1119">
        <f t="shared" si="136"/>
        <v>0</v>
      </c>
      <c r="Y1119" s="143">
        <f t="shared" si="130"/>
        <v>-970.81578947373066</v>
      </c>
    </row>
    <row r="1120" spans="1:25" x14ac:dyDescent="0.25">
      <c r="A1120">
        <f t="shared" si="132"/>
        <v>1113</v>
      </c>
      <c r="B1120" s="88" t="str">
        <f>IF(OR(B1119="Total",B1119=""),"",IF(VLOOKUP(A1120,Journal!$B$7:$E$84,4)=0,"Total",VLOOKUP(A1120,Journal!$B$7:$D$84,3)))</f>
        <v/>
      </c>
      <c r="C1120" s="86" t="str">
        <f>IF(B1120="","",VLOOKUP(A1120,Journal!$B$7:$E$84,4))</f>
        <v/>
      </c>
      <c r="D1120" s="114" t="str">
        <f>IF(B1120="","",VLOOKUP(A1120,Journal!$B$7:$J$84,9))</f>
        <v/>
      </c>
      <c r="E1120" s="116"/>
      <c r="F1120" s="116"/>
      <c r="G1120" s="115"/>
      <c r="H1120" s="84" t="str">
        <f>IF(B1120="","",VLOOKUP(A1120,Journal!$B$7:$L$84,11))</f>
        <v/>
      </c>
      <c r="I1120" s="84" t="str">
        <f>IF(B1120="","",VLOOKUP(A1120,Journal!$B$7:$M$84,12))</f>
        <v/>
      </c>
      <c r="J1120" s="105">
        <f>IF(B1120="Total",SUM(J$8:J1119)+0.0001,IF(OR(B1120="",I$2=I1120),0,VLOOKUP(A1120,Journal!$B$7:M$84,8)))</f>
        <v>0</v>
      </c>
      <c r="K1120" s="102">
        <f>IF(B1120="Total",SUM(K$8:K1119)+0.0001,IF(OR(B1120="",J1120&lt;&gt;0),0,VLOOKUP(A1120,Journal!$B$7:M$84,8)))</f>
        <v>0</v>
      </c>
      <c r="L1120" s="87">
        <f t="shared" si="133"/>
        <v>0</v>
      </c>
      <c r="P1120">
        <f t="shared" si="134"/>
        <v>1.0000000000000001E-5</v>
      </c>
      <c r="R1120" s="15">
        <f t="shared" si="135"/>
        <v>1113</v>
      </c>
      <c r="S1120" s="126">
        <f>IF(VLOOKUP(A1120,Journal!$A$7:$E$70,5)=0,S1119+1,VLOOKUP(A1120,Journal!$A$7:$E$70,5))</f>
        <v>46770</v>
      </c>
      <c r="T1120" s="125">
        <f>IF(H$2=VLOOKUP(A1120,Journal!$A$7:$F$70,6),VLOOKUP(A1120,Journal!$A$7:M$70,9),0)</f>
        <v>0</v>
      </c>
      <c r="U1120" s="125">
        <f>IF(H$2=VLOOKUP(A1120,Journal!$A$7:$G$70,7),VLOOKUP(A1120,Journal!$A$7:M$70,9),0)</f>
        <v>0</v>
      </c>
      <c r="V1120" s="125">
        <f t="shared" si="131"/>
        <v>40</v>
      </c>
      <c r="X1120">
        <f t="shared" si="136"/>
        <v>0</v>
      </c>
      <c r="Y1120" s="143">
        <f t="shared" si="130"/>
        <v>-970.78947368425702</v>
      </c>
    </row>
    <row r="1121" spans="1:25" x14ac:dyDescent="0.25">
      <c r="A1121">
        <f t="shared" si="132"/>
        <v>1114</v>
      </c>
      <c r="B1121" s="88" t="str">
        <f>IF(OR(B1120="Total",B1120=""),"",IF(VLOOKUP(A1121,Journal!$B$7:$E$84,4)=0,"Total",VLOOKUP(A1121,Journal!$B$7:$D$84,3)))</f>
        <v/>
      </c>
      <c r="C1121" s="86" t="str">
        <f>IF(B1121="","",VLOOKUP(A1121,Journal!$B$7:$E$84,4))</f>
        <v/>
      </c>
      <c r="D1121" s="114" t="str">
        <f>IF(B1121="","",VLOOKUP(A1121,Journal!$B$7:$J$84,9))</f>
        <v/>
      </c>
      <c r="E1121" s="116"/>
      <c r="F1121" s="116"/>
      <c r="G1121" s="115"/>
      <c r="H1121" s="84" t="str">
        <f>IF(B1121="","",VLOOKUP(A1121,Journal!$B$7:$L$84,11))</f>
        <v/>
      </c>
      <c r="I1121" s="84" t="str">
        <f>IF(B1121="","",VLOOKUP(A1121,Journal!$B$7:$M$84,12))</f>
        <v/>
      </c>
      <c r="J1121" s="105">
        <f>IF(B1121="Total",SUM(J$8:J1120)+0.0001,IF(OR(B1121="",I$2=I1121),0,VLOOKUP(A1121,Journal!$B$7:M$84,8)))</f>
        <v>0</v>
      </c>
      <c r="K1121" s="102">
        <f>IF(B1121="Total",SUM(K$8:K1120)+0.0001,IF(OR(B1121="",J1121&lt;&gt;0),0,VLOOKUP(A1121,Journal!$B$7:M$84,8)))</f>
        <v>0</v>
      </c>
      <c r="L1121" s="87">
        <f t="shared" si="133"/>
        <v>0</v>
      </c>
      <c r="P1121">
        <f t="shared" si="134"/>
        <v>1.0000000000000001E-5</v>
      </c>
      <c r="R1121" s="15">
        <f t="shared" si="135"/>
        <v>1114</v>
      </c>
      <c r="S1121" s="126">
        <f>IF(VLOOKUP(A1121,Journal!$A$7:$E$70,5)=0,S1120+1,VLOOKUP(A1121,Journal!$A$7:$E$70,5))</f>
        <v>46771</v>
      </c>
      <c r="T1121" s="125">
        <f>IF(H$2=VLOOKUP(A1121,Journal!$A$7:$F$70,6),VLOOKUP(A1121,Journal!$A$7:M$70,9),0)</f>
        <v>0</v>
      </c>
      <c r="U1121" s="125">
        <f>IF(H$2=VLOOKUP(A1121,Journal!$A$7:$G$70,7),VLOOKUP(A1121,Journal!$A$7:M$70,9),0)</f>
        <v>0</v>
      </c>
      <c r="V1121" s="125">
        <f t="shared" si="131"/>
        <v>40</v>
      </c>
      <c r="X1121">
        <f t="shared" si="136"/>
        <v>0</v>
      </c>
      <c r="Y1121" s="143">
        <f t="shared" si="130"/>
        <v>-970.76315789478338</v>
      </c>
    </row>
    <row r="1122" spans="1:25" x14ac:dyDescent="0.25">
      <c r="A1122">
        <f t="shared" si="132"/>
        <v>1115</v>
      </c>
      <c r="B1122" s="88" t="str">
        <f>IF(OR(B1121="Total",B1121=""),"",IF(VLOOKUP(A1122,Journal!$B$7:$E$84,4)=0,"Total",VLOOKUP(A1122,Journal!$B$7:$D$84,3)))</f>
        <v/>
      </c>
      <c r="C1122" s="86" t="str">
        <f>IF(B1122="","",VLOOKUP(A1122,Journal!$B$7:$E$84,4))</f>
        <v/>
      </c>
      <c r="D1122" s="114" t="str">
        <f>IF(B1122="","",VLOOKUP(A1122,Journal!$B$7:$J$84,9))</f>
        <v/>
      </c>
      <c r="E1122" s="116"/>
      <c r="F1122" s="116"/>
      <c r="G1122" s="115"/>
      <c r="H1122" s="84" t="str">
        <f>IF(B1122="","",VLOOKUP(A1122,Journal!$B$7:$L$84,11))</f>
        <v/>
      </c>
      <c r="I1122" s="84" t="str">
        <f>IF(B1122="","",VLOOKUP(A1122,Journal!$B$7:$M$84,12))</f>
        <v/>
      </c>
      <c r="J1122" s="105">
        <f>IF(B1122="Total",SUM(J$8:J1121)+0.0001,IF(OR(B1122="",I$2=I1122),0,VLOOKUP(A1122,Journal!$B$7:M$84,8)))</f>
        <v>0</v>
      </c>
      <c r="K1122" s="102">
        <f>IF(B1122="Total",SUM(K$8:K1121)+0.0001,IF(OR(B1122="",J1122&lt;&gt;0),0,VLOOKUP(A1122,Journal!$B$7:M$84,8)))</f>
        <v>0</v>
      </c>
      <c r="L1122" s="87">
        <f t="shared" si="133"/>
        <v>0</v>
      </c>
      <c r="P1122">
        <f t="shared" si="134"/>
        <v>1.0000000000000001E-5</v>
      </c>
      <c r="R1122" s="15">
        <f t="shared" si="135"/>
        <v>1115</v>
      </c>
      <c r="S1122" s="126">
        <f>IF(VLOOKUP(A1122,Journal!$A$7:$E$70,5)=0,S1121+1,VLOOKUP(A1122,Journal!$A$7:$E$70,5))</f>
        <v>46772</v>
      </c>
      <c r="T1122" s="125">
        <f>IF(H$2=VLOOKUP(A1122,Journal!$A$7:$F$70,6),VLOOKUP(A1122,Journal!$A$7:M$70,9),0)</f>
        <v>0</v>
      </c>
      <c r="U1122" s="125">
        <f>IF(H$2=VLOOKUP(A1122,Journal!$A$7:$G$70,7),VLOOKUP(A1122,Journal!$A$7:M$70,9),0)</f>
        <v>0</v>
      </c>
      <c r="V1122" s="125">
        <f t="shared" si="131"/>
        <v>40</v>
      </c>
      <c r="X1122">
        <f t="shared" si="136"/>
        <v>0</v>
      </c>
      <c r="Y1122" s="143">
        <f t="shared" si="130"/>
        <v>-970.73684210530973</v>
      </c>
    </row>
    <row r="1123" spans="1:25" x14ac:dyDescent="0.25">
      <c r="A1123">
        <f t="shared" si="132"/>
        <v>1116</v>
      </c>
      <c r="B1123" s="88" t="str">
        <f>IF(OR(B1122="Total",B1122=""),"",IF(VLOOKUP(A1123,Journal!$B$7:$E$84,4)=0,"Total",VLOOKUP(A1123,Journal!$B$7:$D$84,3)))</f>
        <v/>
      </c>
      <c r="C1123" s="86" t="str">
        <f>IF(B1123="","",VLOOKUP(A1123,Journal!$B$7:$E$84,4))</f>
        <v/>
      </c>
      <c r="D1123" s="114" t="str">
        <f>IF(B1123="","",VLOOKUP(A1123,Journal!$B$7:$J$84,9))</f>
        <v/>
      </c>
      <c r="E1123" s="116"/>
      <c r="F1123" s="116"/>
      <c r="G1123" s="115"/>
      <c r="H1123" s="84" t="str">
        <f>IF(B1123="","",VLOOKUP(A1123,Journal!$B$7:$L$84,11))</f>
        <v/>
      </c>
      <c r="I1123" s="84" t="str">
        <f>IF(B1123="","",VLOOKUP(A1123,Journal!$B$7:$M$84,12))</f>
        <v/>
      </c>
      <c r="J1123" s="105">
        <f>IF(B1123="Total",SUM(J$8:J1122)+0.0001,IF(OR(B1123="",I$2=I1123),0,VLOOKUP(A1123,Journal!$B$7:M$84,8)))</f>
        <v>0</v>
      </c>
      <c r="K1123" s="102">
        <f>IF(B1123="Total",SUM(K$8:K1122)+0.0001,IF(OR(B1123="",J1123&lt;&gt;0),0,VLOOKUP(A1123,Journal!$B$7:M$84,8)))</f>
        <v>0</v>
      </c>
      <c r="L1123" s="87">
        <f t="shared" si="133"/>
        <v>0</v>
      </c>
      <c r="P1123">
        <f t="shared" si="134"/>
        <v>1.0000000000000001E-5</v>
      </c>
      <c r="R1123" s="15">
        <f t="shared" si="135"/>
        <v>1116</v>
      </c>
      <c r="S1123" s="126">
        <f>IF(VLOOKUP(A1123,Journal!$A$7:$E$70,5)=0,S1122+1,VLOOKUP(A1123,Journal!$A$7:$E$70,5))</f>
        <v>46773</v>
      </c>
      <c r="T1123" s="125">
        <f>IF(H$2=VLOOKUP(A1123,Journal!$A$7:$F$70,6),VLOOKUP(A1123,Journal!$A$7:M$70,9),0)</f>
        <v>0</v>
      </c>
      <c r="U1123" s="125">
        <f>IF(H$2=VLOOKUP(A1123,Journal!$A$7:$G$70,7),VLOOKUP(A1123,Journal!$A$7:M$70,9),0)</f>
        <v>0</v>
      </c>
      <c r="V1123" s="125">
        <f t="shared" si="131"/>
        <v>40</v>
      </c>
      <c r="X1123">
        <f t="shared" si="136"/>
        <v>0</v>
      </c>
      <c r="Y1123" s="143">
        <f t="shared" si="130"/>
        <v>-970.71052631583609</v>
      </c>
    </row>
    <row r="1124" spans="1:25" x14ac:dyDescent="0.25">
      <c r="A1124">
        <f t="shared" si="132"/>
        <v>1117</v>
      </c>
      <c r="B1124" s="88" t="str">
        <f>IF(OR(B1123="Total",B1123=""),"",IF(VLOOKUP(A1124,Journal!$B$7:$E$84,4)=0,"Total",VLOOKUP(A1124,Journal!$B$7:$D$84,3)))</f>
        <v/>
      </c>
      <c r="C1124" s="86" t="str">
        <f>IF(B1124="","",VLOOKUP(A1124,Journal!$B$7:$E$84,4))</f>
        <v/>
      </c>
      <c r="D1124" s="114" t="str">
        <f>IF(B1124="","",VLOOKUP(A1124,Journal!$B$7:$J$84,9))</f>
        <v/>
      </c>
      <c r="E1124" s="116"/>
      <c r="F1124" s="116"/>
      <c r="G1124" s="115"/>
      <c r="H1124" s="84" t="str">
        <f>IF(B1124="","",VLOOKUP(A1124,Journal!$B$7:$L$84,11))</f>
        <v/>
      </c>
      <c r="I1124" s="84" t="str">
        <f>IF(B1124="","",VLOOKUP(A1124,Journal!$B$7:$M$84,12))</f>
        <v/>
      </c>
      <c r="J1124" s="105">
        <f>IF(B1124="Total",SUM(J$8:J1123)+0.0001,IF(OR(B1124="",I$2=I1124),0,VLOOKUP(A1124,Journal!$B$7:M$84,8)))</f>
        <v>0</v>
      </c>
      <c r="K1124" s="102">
        <f>IF(B1124="Total",SUM(K$8:K1123)+0.0001,IF(OR(B1124="",J1124&lt;&gt;0),0,VLOOKUP(A1124,Journal!$B$7:M$84,8)))</f>
        <v>0</v>
      </c>
      <c r="L1124" s="87">
        <f t="shared" si="133"/>
        <v>0</v>
      </c>
      <c r="P1124">
        <f t="shared" si="134"/>
        <v>1.0000000000000001E-5</v>
      </c>
      <c r="R1124" s="15">
        <f t="shared" si="135"/>
        <v>1117</v>
      </c>
      <c r="S1124" s="126">
        <f>IF(VLOOKUP(A1124,Journal!$A$7:$E$70,5)=0,S1123+1,VLOOKUP(A1124,Journal!$A$7:$E$70,5))</f>
        <v>46774</v>
      </c>
      <c r="T1124" s="125">
        <f>IF(H$2=VLOOKUP(A1124,Journal!$A$7:$F$70,6),VLOOKUP(A1124,Journal!$A$7:M$70,9),0)</f>
        <v>0</v>
      </c>
      <c r="U1124" s="125">
        <f>IF(H$2=VLOOKUP(A1124,Journal!$A$7:$G$70,7),VLOOKUP(A1124,Journal!$A$7:M$70,9),0)</f>
        <v>0</v>
      </c>
      <c r="V1124" s="125">
        <f t="shared" si="131"/>
        <v>40</v>
      </c>
      <c r="X1124">
        <f t="shared" si="136"/>
        <v>0</v>
      </c>
      <c r="Y1124" s="143">
        <f t="shared" si="130"/>
        <v>-970.68421052636245</v>
      </c>
    </row>
    <row r="1125" spans="1:25" x14ac:dyDescent="0.25">
      <c r="A1125">
        <f t="shared" si="132"/>
        <v>1118</v>
      </c>
      <c r="B1125" s="88" t="str">
        <f>IF(OR(B1124="Total",B1124=""),"",IF(VLOOKUP(A1125,Journal!$B$7:$E$84,4)=0,"Total",VLOOKUP(A1125,Journal!$B$7:$D$84,3)))</f>
        <v/>
      </c>
      <c r="C1125" s="86" t="str">
        <f>IF(B1125="","",VLOOKUP(A1125,Journal!$B$7:$E$84,4))</f>
        <v/>
      </c>
      <c r="D1125" s="114" t="str">
        <f>IF(B1125="","",VLOOKUP(A1125,Journal!$B$7:$J$84,9))</f>
        <v/>
      </c>
      <c r="E1125" s="116"/>
      <c r="F1125" s="116"/>
      <c r="G1125" s="115"/>
      <c r="H1125" s="84" t="str">
        <f>IF(B1125="","",VLOOKUP(A1125,Journal!$B$7:$L$84,11))</f>
        <v/>
      </c>
      <c r="I1125" s="84" t="str">
        <f>IF(B1125="","",VLOOKUP(A1125,Journal!$B$7:$M$84,12))</f>
        <v/>
      </c>
      <c r="J1125" s="105">
        <f>IF(B1125="Total",SUM(J$8:J1124)+0.0001,IF(OR(B1125="",I$2=I1125),0,VLOOKUP(A1125,Journal!$B$7:M$84,8)))</f>
        <v>0</v>
      </c>
      <c r="K1125" s="102">
        <f>IF(B1125="Total",SUM(K$8:K1124)+0.0001,IF(OR(B1125="",J1125&lt;&gt;0),0,VLOOKUP(A1125,Journal!$B$7:M$84,8)))</f>
        <v>0</v>
      </c>
      <c r="L1125" s="87">
        <f t="shared" si="133"/>
        <v>0</v>
      </c>
      <c r="P1125">
        <f t="shared" si="134"/>
        <v>1.0000000000000001E-5</v>
      </c>
      <c r="R1125" s="15">
        <f t="shared" si="135"/>
        <v>1118</v>
      </c>
      <c r="S1125" s="126">
        <f>IF(VLOOKUP(A1125,Journal!$A$7:$E$70,5)=0,S1124+1,VLOOKUP(A1125,Journal!$A$7:$E$70,5))</f>
        <v>46775</v>
      </c>
      <c r="T1125" s="125">
        <f>IF(H$2=VLOOKUP(A1125,Journal!$A$7:$F$70,6),VLOOKUP(A1125,Journal!$A$7:M$70,9),0)</f>
        <v>0</v>
      </c>
      <c r="U1125" s="125">
        <f>IF(H$2=VLOOKUP(A1125,Journal!$A$7:$G$70,7),VLOOKUP(A1125,Journal!$A$7:M$70,9),0)</f>
        <v>0</v>
      </c>
      <c r="V1125" s="125">
        <f t="shared" si="131"/>
        <v>40</v>
      </c>
      <c r="X1125">
        <f t="shared" si="136"/>
        <v>0</v>
      </c>
      <c r="Y1125" s="143">
        <f t="shared" si="130"/>
        <v>-970.65789473688881</v>
      </c>
    </row>
    <row r="1126" spans="1:25" x14ac:dyDescent="0.25">
      <c r="A1126">
        <f t="shared" si="132"/>
        <v>1119</v>
      </c>
      <c r="B1126" s="88" t="str">
        <f>IF(OR(B1125="Total",B1125=""),"",IF(VLOOKUP(A1126,Journal!$B$7:$E$84,4)=0,"Total",VLOOKUP(A1126,Journal!$B$7:$D$84,3)))</f>
        <v/>
      </c>
      <c r="C1126" s="86" t="str">
        <f>IF(B1126="","",VLOOKUP(A1126,Journal!$B$7:$E$84,4))</f>
        <v/>
      </c>
      <c r="D1126" s="114" t="str">
        <f>IF(B1126="","",VLOOKUP(A1126,Journal!$B$7:$J$84,9))</f>
        <v/>
      </c>
      <c r="E1126" s="116"/>
      <c r="F1126" s="116"/>
      <c r="G1126" s="115"/>
      <c r="H1126" s="84" t="str">
        <f>IF(B1126="","",VLOOKUP(A1126,Journal!$B$7:$L$84,11))</f>
        <v/>
      </c>
      <c r="I1126" s="84" t="str">
        <f>IF(B1126="","",VLOOKUP(A1126,Journal!$B$7:$M$84,12))</f>
        <v/>
      </c>
      <c r="J1126" s="105">
        <f>IF(B1126="Total",SUM(J$8:J1125)+0.0001,IF(OR(B1126="",I$2=I1126),0,VLOOKUP(A1126,Journal!$B$7:M$84,8)))</f>
        <v>0</v>
      </c>
      <c r="K1126" s="102">
        <f>IF(B1126="Total",SUM(K$8:K1125)+0.0001,IF(OR(B1126="",J1126&lt;&gt;0),0,VLOOKUP(A1126,Journal!$B$7:M$84,8)))</f>
        <v>0</v>
      </c>
      <c r="L1126" s="87">
        <f t="shared" si="133"/>
        <v>0</v>
      </c>
      <c r="P1126">
        <f t="shared" si="134"/>
        <v>1.0000000000000001E-5</v>
      </c>
      <c r="R1126" s="15">
        <f t="shared" si="135"/>
        <v>1119</v>
      </c>
      <c r="S1126" s="126">
        <f>IF(VLOOKUP(A1126,Journal!$A$7:$E$70,5)=0,S1125+1,VLOOKUP(A1126,Journal!$A$7:$E$70,5))</f>
        <v>46776</v>
      </c>
      <c r="T1126" s="125">
        <f>IF(H$2=VLOOKUP(A1126,Journal!$A$7:$F$70,6),VLOOKUP(A1126,Journal!$A$7:M$70,9),0)</f>
        <v>0</v>
      </c>
      <c r="U1126" s="125">
        <f>IF(H$2=VLOOKUP(A1126,Journal!$A$7:$G$70,7),VLOOKUP(A1126,Journal!$A$7:M$70,9),0)</f>
        <v>0</v>
      </c>
      <c r="V1126" s="125">
        <f t="shared" si="131"/>
        <v>40</v>
      </c>
      <c r="X1126">
        <f t="shared" si="136"/>
        <v>0</v>
      </c>
      <c r="Y1126" s="143">
        <f t="shared" si="130"/>
        <v>-970.63157894741516</v>
      </c>
    </row>
    <row r="1127" spans="1:25" x14ac:dyDescent="0.25">
      <c r="A1127">
        <f t="shared" si="132"/>
        <v>1120</v>
      </c>
      <c r="B1127" s="88" t="str">
        <f>IF(OR(B1126="Total",B1126=""),"",IF(VLOOKUP(A1127,Journal!$B$7:$E$84,4)=0,"Total",VLOOKUP(A1127,Journal!$B$7:$D$84,3)))</f>
        <v/>
      </c>
      <c r="C1127" s="86" t="str">
        <f>IF(B1127="","",VLOOKUP(A1127,Journal!$B$7:$E$84,4))</f>
        <v/>
      </c>
      <c r="D1127" s="114" t="str">
        <f>IF(B1127="","",VLOOKUP(A1127,Journal!$B$7:$J$84,9))</f>
        <v/>
      </c>
      <c r="E1127" s="116"/>
      <c r="F1127" s="116"/>
      <c r="G1127" s="115"/>
      <c r="H1127" s="84" t="str">
        <f>IF(B1127="","",VLOOKUP(A1127,Journal!$B$7:$L$84,11))</f>
        <v/>
      </c>
      <c r="I1127" s="84" t="str">
        <f>IF(B1127="","",VLOOKUP(A1127,Journal!$B$7:$M$84,12))</f>
        <v/>
      </c>
      <c r="J1127" s="105">
        <f>IF(B1127="Total",SUM(J$8:J1126)+0.0001,IF(OR(B1127="",I$2=I1127),0,VLOOKUP(A1127,Journal!$B$7:M$84,8)))</f>
        <v>0</v>
      </c>
      <c r="K1127" s="102">
        <f>IF(B1127="Total",SUM(K$8:K1126)+0.0001,IF(OR(B1127="",J1127&lt;&gt;0),0,VLOOKUP(A1127,Journal!$B$7:M$84,8)))</f>
        <v>0</v>
      </c>
      <c r="L1127" s="87">
        <f t="shared" si="133"/>
        <v>0</v>
      </c>
      <c r="P1127">
        <f t="shared" si="134"/>
        <v>1.0000000000000001E-5</v>
      </c>
      <c r="R1127" s="15">
        <f t="shared" si="135"/>
        <v>1120</v>
      </c>
      <c r="S1127" s="126">
        <f>IF(VLOOKUP(A1127,Journal!$A$7:$E$70,5)=0,S1126+1,VLOOKUP(A1127,Journal!$A$7:$E$70,5))</f>
        <v>46777</v>
      </c>
      <c r="T1127" s="125">
        <f>IF(H$2=VLOOKUP(A1127,Journal!$A$7:$F$70,6),VLOOKUP(A1127,Journal!$A$7:M$70,9),0)</f>
        <v>0</v>
      </c>
      <c r="U1127" s="125">
        <f>IF(H$2=VLOOKUP(A1127,Journal!$A$7:$G$70,7),VLOOKUP(A1127,Journal!$A$7:M$70,9),0)</f>
        <v>0</v>
      </c>
      <c r="V1127" s="125">
        <f t="shared" si="131"/>
        <v>40</v>
      </c>
      <c r="X1127">
        <f t="shared" si="136"/>
        <v>0</v>
      </c>
      <c r="Y1127" s="143">
        <f t="shared" si="130"/>
        <v>-970.60526315794152</v>
      </c>
    </row>
    <row r="1128" spans="1:25" x14ac:dyDescent="0.25">
      <c r="A1128">
        <f t="shared" si="132"/>
        <v>1121</v>
      </c>
      <c r="B1128" s="88" t="str">
        <f>IF(OR(B1127="Total",B1127=""),"",IF(VLOOKUP(A1128,Journal!$B$7:$E$84,4)=0,"Total",VLOOKUP(A1128,Journal!$B$7:$D$84,3)))</f>
        <v/>
      </c>
      <c r="C1128" s="86" t="str">
        <f>IF(B1128="","",VLOOKUP(A1128,Journal!$B$7:$E$84,4))</f>
        <v/>
      </c>
      <c r="D1128" s="114" t="str">
        <f>IF(B1128="","",VLOOKUP(A1128,Journal!$B$7:$J$84,9))</f>
        <v/>
      </c>
      <c r="E1128" s="116"/>
      <c r="F1128" s="116"/>
      <c r="G1128" s="115"/>
      <c r="H1128" s="84" t="str">
        <f>IF(B1128="","",VLOOKUP(A1128,Journal!$B$7:$L$84,11))</f>
        <v/>
      </c>
      <c r="I1128" s="84" t="str">
        <f>IF(B1128="","",VLOOKUP(A1128,Journal!$B$7:$M$84,12))</f>
        <v/>
      </c>
      <c r="J1128" s="105">
        <f>IF(B1128="Total",SUM(J$8:J1127)+0.0001,IF(OR(B1128="",I$2=I1128),0,VLOOKUP(A1128,Journal!$B$7:M$84,8)))</f>
        <v>0</v>
      </c>
      <c r="K1128" s="102">
        <f>IF(B1128="Total",SUM(K$8:K1127)+0.0001,IF(OR(B1128="",J1128&lt;&gt;0),0,VLOOKUP(A1128,Journal!$B$7:M$84,8)))</f>
        <v>0</v>
      </c>
      <c r="L1128" s="87">
        <f t="shared" si="133"/>
        <v>0</v>
      </c>
      <c r="P1128">
        <f t="shared" si="134"/>
        <v>1.0000000000000001E-5</v>
      </c>
      <c r="R1128" s="15">
        <f t="shared" si="135"/>
        <v>1121</v>
      </c>
      <c r="S1128" s="126">
        <f>IF(VLOOKUP(A1128,Journal!$A$7:$E$70,5)=0,S1127+1,VLOOKUP(A1128,Journal!$A$7:$E$70,5))</f>
        <v>46778</v>
      </c>
      <c r="T1128" s="125">
        <f>IF(H$2=VLOOKUP(A1128,Journal!$A$7:$F$70,6),VLOOKUP(A1128,Journal!$A$7:M$70,9),0)</f>
        <v>0</v>
      </c>
      <c r="U1128" s="125">
        <f>IF(H$2=VLOOKUP(A1128,Journal!$A$7:$G$70,7),VLOOKUP(A1128,Journal!$A$7:M$70,9),0)</f>
        <v>0</v>
      </c>
      <c r="V1128" s="125">
        <f t="shared" si="131"/>
        <v>40</v>
      </c>
      <c r="X1128">
        <f t="shared" si="136"/>
        <v>0</v>
      </c>
      <c r="Y1128" s="143">
        <f t="shared" si="130"/>
        <v>-970.57894736846788</v>
      </c>
    </row>
    <row r="1129" spans="1:25" x14ac:dyDescent="0.25">
      <c r="A1129">
        <f t="shared" si="132"/>
        <v>1122</v>
      </c>
      <c r="B1129" s="88" t="str">
        <f>IF(OR(B1128="Total",B1128=""),"",IF(VLOOKUP(A1129,Journal!$B$7:$E$84,4)=0,"Total",VLOOKUP(A1129,Journal!$B$7:$D$84,3)))</f>
        <v/>
      </c>
      <c r="C1129" s="86" t="str">
        <f>IF(B1129="","",VLOOKUP(A1129,Journal!$B$7:$E$84,4))</f>
        <v/>
      </c>
      <c r="D1129" s="114" t="str">
        <f>IF(B1129="","",VLOOKUP(A1129,Journal!$B$7:$J$84,9))</f>
        <v/>
      </c>
      <c r="E1129" s="116"/>
      <c r="F1129" s="116"/>
      <c r="G1129" s="115"/>
      <c r="H1129" s="84" t="str">
        <f>IF(B1129="","",VLOOKUP(A1129,Journal!$B$7:$L$84,11))</f>
        <v/>
      </c>
      <c r="I1129" s="84" t="str">
        <f>IF(B1129="","",VLOOKUP(A1129,Journal!$B$7:$M$84,12))</f>
        <v/>
      </c>
      <c r="J1129" s="105">
        <f>IF(B1129="Total",SUM(J$8:J1128)+0.0001,IF(OR(B1129="",I$2=I1129),0,VLOOKUP(A1129,Journal!$B$7:M$84,8)))</f>
        <v>0</v>
      </c>
      <c r="K1129" s="102">
        <f>IF(B1129="Total",SUM(K$8:K1128)+0.0001,IF(OR(B1129="",J1129&lt;&gt;0),0,VLOOKUP(A1129,Journal!$B$7:M$84,8)))</f>
        <v>0</v>
      </c>
      <c r="L1129" s="87">
        <f t="shared" si="133"/>
        <v>0</v>
      </c>
      <c r="P1129">
        <f t="shared" si="134"/>
        <v>1.0000000000000001E-5</v>
      </c>
      <c r="R1129" s="15">
        <f t="shared" si="135"/>
        <v>1122</v>
      </c>
      <c r="S1129" s="126">
        <f>IF(VLOOKUP(A1129,Journal!$A$7:$E$70,5)=0,S1128+1,VLOOKUP(A1129,Journal!$A$7:$E$70,5))</f>
        <v>46779</v>
      </c>
      <c r="T1129" s="125">
        <f>IF(H$2=VLOOKUP(A1129,Journal!$A$7:$F$70,6),VLOOKUP(A1129,Journal!$A$7:M$70,9),0)</f>
        <v>0</v>
      </c>
      <c r="U1129" s="125">
        <f>IF(H$2=VLOOKUP(A1129,Journal!$A$7:$G$70,7),VLOOKUP(A1129,Journal!$A$7:M$70,9),0)</f>
        <v>0</v>
      </c>
      <c r="V1129" s="125">
        <f t="shared" si="131"/>
        <v>40</v>
      </c>
      <c r="X1129">
        <f t="shared" si="136"/>
        <v>0</v>
      </c>
      <c r="Y1129" s="143">
        <f t="shared" si="130"/>
        <v>-970.55263157899424</v>
      </c>
    </row>
    <row r="1130" spans="1:25" x14ac:dyDescent="0.25">
      <c r="A1130">
        <f t="shared" si="132"/>
        <v>1123</v>
      </c>
      <c r="B1130" s="88" t="str">
        <f>IF(OR(B1129="Total",B1129=""),"",IF(VLOOKUP(A1130,Journal!$B$7:$E$84,4)=0,"Total",VLOOKUP(A1130,Journal!$B$7:$D$84,3)))</f>
        <v/>
      </c>
      <c r="C1130" s="86" t="str">
        <f>IF(B1130="","",VLOOKUP(A1130,Journal!$B$7:$E$84,4))</f>
        <v/>
      </c>
      <c r="D1130" s="114" t="str">
        <f>IF(B1130="","",VLOOKUP(A1130,Journal!$B$7:$J$84,9))</f>
        <v/>
      </c>
      <c r="E1130" s="116"/>
      <c r="F1130" s="116"/>
      <c r="G1130" s="115"/>
      <c r="H1130" s="84" t="str">
        <f>IF(B1130="","",VLOOKUP(A1130,Journal!$B$7:$L$84,11))</f>
        <v/>
      </c>
      <c r="I1130" s="84" t="str">
        <f>IF(B1130="","",VLOOKUP(A1130,Journal!$B$7:$M$84,12))</f>
        <v/>
      </c>
      <c r="J1130" s="105">
        <f>IF(B1130="Total",SUM(J$8:J1129)+0.0001,IF(OR(B1130="",I$2=I1130),0,VLOOKUP(A1130,Journal!$B$7:M$84,8)))</f>
        <v>0</v>
      </c>
      <c r="K1130" s="102">
        <f>IF(B1130="Total",SUM(K$8:K1129)+0.0001,IF(OR(B1130="",J1130&lt;&gt;0),0,VLOOKUP(A1130,Journal!$B$7:M$84,8)))</f>
        <v>0</v>
      </c>
      <c r="L1130" s="87">
        <f t="shared" si="133"/>
        <v>0</v>
      </c>
      <c r="P1130">
        <f t="shared" si="134"/>
        <v>1.0000000000000001E-5</v>
      </c>
      <c r="R1130" s="15">
        <f t="shared" si="135"/>
        <v>1123</v>
      </c>
      <c r="S1130" s="126">
        <f>IF(VLOOKUP(A1130,Journal!$A$7:$E$70,5)=0,S1129+1,VLOOKUP(A1130,Journal!$A$7:$E$70,5))</f>
        <v>46780</v>
      </c>
      <c r="T1130" s="125">
        <f>IF(H$2=VLOOKUP(A1130,Journal!$A$7:$F$70,6),VLOOKUP(A1130,Journal!$A$7:M$70,9),0)</f>
        <v>0</v>
      </c>
      <c r="U1130" s="125">
        <f>IF(H$2=VLOOKUP(A1130,Journal!$A$7:$G$70,7),VLOOKUP(A1130,Journal!$A$7:M$70,9),0)</f>
        <v>0</v>
      </c>
      <c r="V1130" s="125">
        <f t="shared" si="131"/>
        <v>40</v>
      </c>
      <c r="X1130">
        <f t="shared" si="136"/>
        <v>0</v>
      </c>
      <c r="Y1130" s="143">
        <f t="shared" si="130"/>
        <v>-970.52631578952059</v>
      </c>
    </row>
    <row r="1131" spans="1:25" x14ac:dyDescent="0.25">
      <c r="A1131">
        <f t="shared" si="132"/>
        <v>1124</v>
      </c>
      <c r="B1131" s="88" t="str">
        <f>IF(OR(B1130="Total",B1130=""),"",IF(VLOOKUP(A1131,Journal!$B$7:$E$84,4)=0,"Total",VLOOKUP(A1131,Journal!$B$7:$D$84,3)))</f>
        <v/>
      </c>
      <c r="C1131" s="86" t="str">
        <f>IF(B1131="","",VLOOKUP(A1131,Journal!$B$7:$E$84,4))</f>
        <v/>
      </c>
      <c r="D1131" s="114" t="str">
        <f>IF(B1131="","",VLOOKUP(A1131,Journal!$B$7:$J$84,9))</f>
        <v/>
      </c>
      <c r="E1131" s="116"/>
      <c r="F1131" s="116"/>
      <c r="G1131" s="115"/>
      <c r="H1131" s="84" t="str">
        <f>IF(B1131="","",VLOOKUP(A1131,Journal!$B$7:$L$84,11))</f>
        <v/>
      </c>
      <c r="I1131" s="84" t="str">
        <f>IF(B1131="","",VLOOKUP(A1131,Journal!$B$7:$M$84,12))</f>
        <v/>
      </c>
      <c r="J1131" s="105">
        <f>IF(B1131="Total",SUM(J$8:J1130)+0.0001,IF(OR(B1131="",I$2=I1131),0,VLOOKUP(A1131,Journal!$B$7:M$84,8)))</f>
        <v>0</v>
      </c>
      <c r="K1131" s="102">
        <f>IF(B1131="Total",SUM(K$8:K1130)+0.0001,IF(OR(B1131="",J1131&lt;&gt;0),0,VLOOKUP(A1131,Journal!$B$7:M$84,8)))</f>
        <v>0</v>
      </c>
      <c r="L1131" s="87">
        <f t="shared" si="133"/>
        <v>0</v>
      </c>
      <c r="P1131">
        <f t="shared" si="134"/>
        <v>1.0000000000000001E-5</v>
      </c>
      <c r="R1131" s="15">
        <f t="shared" si="135"/>
        <v>1124</v>
      </c>
      <c r="S1131" s="126">
        <f>IF(VLOOKUP(A1131,Journal!$A$7:$E$70,5)=0,S1130+1,VLOOKUP(A1131,Journal!$A$7:$E$70,5))</f>
        <v>46781</v>
      </c>
      <c r="T1131" s="125">
        <f>IF(H$2=VLOOKUP(A1131,Journal!$A$7:$F$70,6),VLOOKUP(A1131,Journal!$A$7:M$70,9),0)</f>
        <v>0</v>
      </c>
      <c r="U1131" s="125">
        <f>IF(H$2=VLOOKUP(A1131,Journal!$A$7:$G$70,7),VLOOKUP(A1131,Journal!$A$7:M$70,9),0)</f>
        <v>0</v>
      </c>
      <c r="V1131" s="125">
        <f t="shared" si="131"/>
        <v>40</v>
      </c>
      <c r="X1131">
        <f t="shared" si="136"/>
        <v>0</v>
      </c>
      <c r="Y1131" s="143">
        <f t="shared" si="130"/>
        <v>-970.50000000004695</v>
      </c>
    </row>
    <row r="1132" spans="1:25" x14ac:dyDescent="0.25">
      <c r="A1132">
        <f t="shared" si="132"/>
        <v>1125</v>
      </c>
      <c r="B1132" s="88" t="str">
        <f>IF(OR(B1131="Total",B1131=""),"",IF(VLOOKUP(A1132,Journal!$B$7:$E$84,4)=0,"Total",VLOOKUP(A1132,Journal!$B$7:$D$84,3)))</f>
        <v/>
      </c>
      <c r="C1132" s="86" t="str">
        <f>IF(B1132="","",VLOOKUP(A1132,Journal!$B$7:$E$84,4))</f>
        <v/>
      </c>
      <c r="D1132" s="114" t="str">
        <f>IF(B1132="","",VLOOKUP(A1132,Journal!$B$7:$J$84,9))</f>
        <v/>
      </c>
      <c r="E1132" s="116"/>
      <c r="F1132" s="116"/>
      <c r="G1132" s="115"/>
      <c r="H1132" s="84" t="str">
        <f>IF(B1132="","",VLOOKUP(A1132,Journal!$B$7:$L$84,11))</f>
        <v/>
      </c>
      <c r="I1132" s="84" t="str">
        <f>IF(B1132="","",VLOOKUP(A1132,Journal!$B$7:$M$84,12))</f>
        <v/>
      </c>
      <c r="J1132" s="105">
        <f>IF(B1132="Total",SUM(J$8:J1131)+0.0001,IF(OR(B1132="",I$2=I1132),0,VLOOKUP(A1132,Journal!$B$7:M$84,8)))</f>
        <v>0</v>
      </c>
      <c r="K1132" s="102">
        <f>IF(B1132="Total",SUM(K$8:K1131)+0.0001,IF(OR(B1132="",J1132&lt;&gt;0),0,VLOOKUP(A1132,Journal!$B$7:M$84,8)))</f>
        <v>0</v>
      </c>
      <c r="L1132" s="87">
        <f t="shared" si="133"/>
        <v>0</v>
      </c>
      <c r="P1132">
        <f t="shared" si="134"/>
        <v>1.0000000000000001E-5</v>
      </c>
      <c r="R1132" s="15">
        <f t="shared" si="135"/>
        <v>1125</v>
      </c>
      <c r="S1132" s="126">
        <f>IF(VLOOKUP(A1132,Journal!$A$7:$E$70,5)=0,S1131+1,VLOOKUP(A1132,Journal!$A$7:$E$70,5))</f>
        <v>46782</v>
      </c>
      <c r="T1132" s="125">
        <f>IF(H$2=VLOOKUP(A1132,Journal!$A$7:$F$70,6),VLOOKUP(A1132,Journal!$A$7:M$70,9),0)</f>
        <v>0</v>
      </c>
      <c r="U1132" s="125">
        <f>IF(H$2=VLOOKUP(A1132,Journal!$A$7:$G$70,7),VLOOKUP(A1132,Journal!$A$7:M$70,9),0)</f>
        <v>0</v>
      </c>
      <c r="V1132" s="125">
        <f t="shared" si="131"/>
        <v>40</v>
      </c>
      <c r="X1132">
        <f t="shared" si="136"/>
        <v>0</v>
      </c>
      <c r="Y1132" s="143">
        <f t="shared" si="130"/>
        <v>-970.47368421057331</v>
      </c>
    </row>
    <row r="1133" spans="1:25" x14ac:dyDescent="0.25">
      <c r="A1133">
        <f t="shared" si="132"/>
        <v>1126</v>
      </c>
      <c r="B1133" s="88" t="str">
        <f>IF(OR(B1132="Total",B1132=""),"",IF(VLOOKUP(A1133,Journal!$B$7:$E$84,4)=0,"Total",VLOOKUP(A1133,Journal!$B$7:$D$84,3)))</f>
        <v/>
      </c>
      <c r="C1133" s="86" t="str">
        <f>IF(B1133="","",VLOOKUP(A1133,Journal!$B$7:$E$84,4))</f>
        <v/>
      </c>
      <c r="D1133" s="114" t="str">
        <f>IF(B1133="","",VLOOKUP(A1133,Journal!$B$7:$J$84,9))</f>
        <v/>
      </c>
      <c r="E1133" s="116"/>
      <c r="F1133" s="116"/>
      <c r="G1133" s="115"/>
      <c r="H1133" s="84" t="str">
        <f>IF(B1133="","",VLOOKUP(A1133,Journal!$B$7:$L$84,11))</f>
        <v/>
      </c>
      <c r="I1133" s="84" t="str">
        <f>IF(B1133="","",VLOOKUP(A1133,Journal!$B$7:$M$84,12))</f>
        <v/>
      </c>
      <c r="J1133" s="105">
        <f>IF(B1133="Total",SUM(J$8:J1132)+0.0001,IF(OR(B1133="",I$2=I1133),0,VLOOKUP(A1133,Journal!$B$7:M$84,8)))</f>
        <v>0</v>
      </c>
      <c r="K1133" s="102">
        <f>IF(B1133="Total",SUM(K$8:K1132)+0.0001,IF(OR(B1133="",J1133&lt;&gt;0),0,VLOOKUP(A1133,Journal!$B$7:M$84,8)))</f>
        <v>0</v>
      </c>
      <c r="L1133" s="87">
        <f t="shared" si="133"/>
        <v>0</v>
      </c>
      <c r="P1133">
        <f t="shared" si="134"/>
        <v>1.0000000000000001E-5</v>
      </c>
      <c r="R1133" s="15">
        <f t="shared" si="135"/>
        <v>1126</v>
      </c>
      <c r="S1133" s="126">
        <f>IF(VLOOKUP(A1133,Journal!$A$7:$E$70,5)=0,S1132+1,VLOOKUP(A1133,Journal!$A$7:$E$70,5))</f>
        <v>46783</v>
      </c>
      <c r="T1133" s="125">
        <f>IF(H$2=VLOOKUP(A1133,Journal!$A$7:$F$70,6),VLOOKUP(A1133,Journal!$A$7:M$70,9),0)</f>
        <v>0</v>
      </c>
      <c r="U1133" s="125">
        <f>IF(H$2=VLOOKUP(A1133,Journal!$A$7:$G$70,7),VLOOKUP(A1133,Journal!$A$7:M$70,9),0)</f>
        <v>0</v>
      </c>
      <c r="V1133" s="125">
        <f t="shared" si="131"/>
        <v>40</v>
      </c>
      <c r="X1133">
        <f t="shared" si="136"/>
        <v>0</v>
      </c>
      <c r="Y1133" s="143">
        <f t="shared" si="130"/>
        <v>-970.44736842109967</v>
      </c>
    </row>
    <row r="1134" spans="1:25" x14ac:dyDescent="0.25">
      <c r="A1134">
        <f t="shared" si="132"/>
        <v>1127</v>
      </c>
      <c r="B1134" s="88" t="str">
        <f>IF(OR(B1133="Total",B1133=""),"",IF(VLOOKUP(A1134,Journal!$B$7:$E$84,4)=0,"Total",VLOOKUP(A1134,Journal!$B$7:$D$84,3)))</f>
        <v/>
      </c>
      <c r="C1134" s="86" t="str">
        <f>IF(B1134="","",VLOOKUP(A1134,Journal!$B$7:$E$84,4))</f>
        <v/>
      </c>
      <c r="D1134" s="114" t="str">
        <f>IF(B1134="","",VLOOKUP(A1134,Journal!$B$7:$J$84,9))</f>
        <v/>
      </c>
      <c r="E1134" s="116"/>
      <c r="F1134" s="116"/>
      <c r="G1134" s="115"/>
      <c r="H1134" s="84" t="str">
        <f>IF(B1134="","",VLOOKUP(A1134,Journal!$B$7:$L$84,11))</f>
        <v/>
      </c>
      <c r="I1134" s="84" t="str">
        <f>IF(B1134="","",VLOOKUP(A1134,Journal!$B$7:$M$84,12))</f>
        <v/>
      </c>
      <c r="J1134" s="105">
        <f>IF(B1134="Total",SUM(J$8:J1133)+0.0001,IF(OR(B1134="",I$2=I1134),0,VLOOKUP(A1134,Journal!$B$7:M$84,8)))</f>
        <v>0</v>
      </c>
      <c r="K1134" s="102">
        <f>IF(B1134="Total",SUM(K$8:K1133)+0.0001,IF(OR(B1134="",J1134&lt;&gt;0),0,VLOOKUP(A1134,Journal!$B$7:M$84,8)))</f>
        <v>0</v>
      </c>
      <c r="L1134" s="87">
        <f t="shared" si="133"/>
        <v>0</v>
      </c>
      <c r="P1134">
        <f t="shared" si="134"/>
        <v>1.0000000000000001E-5</v>
      </c>
      <c r="R1134" s="15">
        <f t="shared" si="135"/>
        <v>1127</v>
      </c>
      <c r="S1134" s="126">
        <f>IF(VLOOKUP(A1134,Journal!$A$7:$E$70,5)=0,S1133+1,VLOOKUP(A1134,Journal!$A$7:$E$70,5))</f>
        <v>46784</v>
      </c>
      <c r="T1134" s="125">
        <f>IF(H$2=VLOOKUP(A1134,Journal!$A$7:$F$70,6),VLOOKUP(A1134,Journal!$A$7:M$70,9),0)</f>
        <v>0</v>
      </c>
      <c r="U1134" s="125">
        <f>IF(H$2=VLOOKUP(A1134,Journal!$A$7:$G$70,7),VLOOKUP(A1134,Journal!$A$7:M$70,9),0)</f>
        <v>0</v>
      </c>
      <c r="V1134" s="125">
        <f t="shared" si="131"/>
        <v>40</v>
      </c>
      <c r="X1134">
        <f t="shared" si="136"/>
        <v>0</v>
      </c>
      <c r="Y1134" s="143">
        <f t="shared" si="130"/>
        <v>-970.42105263162603</v>
      </c>
    </row>
    <row r="1135" spans="1:25" x14ac:dyDescent="0.25">
      <c r="A1135">
        <f t="shared" si="132"/>
        <v>1128</v>
      </c>
      <c r="B1135" s="88" t="str">
        <f>IF(OR(B1134="Total",B1134=""),"",IF(VLOOKUP(A1135,Journal!$B$7:$E$84,4)=0,"Total",VLOOKUP(A1135,Journal!$B$7:$D$84,3)))</f>
        <v/>
      </c>
      <c r="C1135" s="86" t="str">
        <f>IF(B1135="","",VLOOKUP(A1135,Journal!$B$7:$E$84,4))</f>
        <v/>
      </c>
      <c r="D1135" s="114" t="str">
        <f>IF(B1135="","",VLOOKUP(A1135,Journal!$B$7:$J$84,9))</f>
        <v/>
      </c>
      <c r="E1135" s="116"/>
      <c r="F1135" s="116"/>
      <c r="G1135" s="115"/>
      <c r="H1135" s="84" t="str">
        <f>IF(B1135="","",VLOOKUP(A1135,Journal!$B$7:$L$84,11))</f>
        <v/>
      </c>
      <c r="I1135" s="84" t="str">
        <f>IF(B1135="","",VLOOKUP(A1135,Journal!$B$7:$M$84,12))</f>
        <v/>
      </c>
      <c r="J1135" s="105">
        <f>IF(B1135="Total",SUM(J$8:J1134)+0.0001,IF(OR(B1135="",I$2=I1135),0,VLOOKUP(A1135,Journal!$B$7:M$84,8)))</f>
        <v>0</v>
      </c>
      <c r="K1135" s="102">
        <f>IF(B1135="Total",SUM(K$8:K1134)+0.0001,IF(OR(B1135="",J1135&lt;&gt;0),0,VLOOKUP(A1135,Journal!$B$7:M$84,8)))</f>
        <v>0</v>
      </c>
      <c r="L1135" s="87">
        <f t="shared" si="133"/>
        <v>0</v>
      </c>
      <c r="P1135">
        <f t="shared" si="134"/>
        <v>1.0000000000000001E-5</v>
      </c>
      <c r="R1135" s="15">
        <f t="shared" si="135"/>
        <v>1128</v>
      </c>
      <c r="S1135" s="126">
        <f>IF(VLOOKUP(A1135,Journal!$A$7:$E$70,5)=0,S1134+1,VLOOKUP(A1135,Journal!$A$7:$E$70,5))</f>
        <v>46785</v>
      </c>
      <c r="T1135" s="125">
        <f>IF(H$2=VLOOKUP(A1135,Journal!$A$7:$F$70,6),VLOOKUP(A1135,Journal!$A$7:M$70,9),0)</f>
        <v>0</v>
      </c>
      <c r="U1135" s="125">
        <f>IF(H$2=VLOOKUP(A1135,Journal!$A$7:$G$70,7),VLOOKUP(A1135,Journal!$A$7:M$70,9),0)</f>
        <v>0</v>
      </c>
      <c r="V1135" s="125">
        <f t="shared" si="131"/>
        <v>40</v>
      </c>
      <c r="X1135">
        <f t="shared" si="136"/>
        <v>0</v>
      </c>
      <c r="Y1135" s="143">
        <f t="shared" si="130"/>
        <v>-970.39473684215238</v>
      </c>
    </row>
    <row r="1136" spans="1:25" x14ac:dyDescent="0.25">
      <c r="A1136">
        <f t="shared" si="132"/>
        <v>1129</v>
      </c>
      <c r="B1136" s="88" t="str">
        <f>IF(OR(B1135="Total",B1135=""),"",IF(VLOOKUP(A1136,Journal!$B$7:$E$84,4)=0,"Total",VLOOKUP(A1136,Journal!$B$7:$D$84,3)))</f>
        <v/>
      </c>
      <c r="C1136" s="86" t="str">
        <f>IF(B1136="","",VLOOKUP(A1136,Journal!$B$7:$E$84,4))</f>
        <v/>
      </c>
      <c r="D1136" s="114" t="str">
        <f>IF(B1136="","",VLOOKUP(A1136,Journal!$B$7:$J$84,9))</f>
        <v/>
      </c>
      <c r="E1136" s="116"/>
      <c r="F1136" s="116"/>
      <c r="G1136" s="115"/>
      <c r="H1136" s="84" t="str">
        <f>IF(B1136="","",VLOOKUP(A1136,Journal!$B$7:$L$84,11))</f>
        <v/>
      </c>
      <c r="I1136" s="84" t="str">
        <f>IF(B1136="","",VLOOKUP(A1136,Journal!$B$7:$M$84,12))</f>
        <v/>
      </c>
      <c r="J1136" s="105">
        <f>IF(B1136="Total",SUM(J$8:J1135)+0.0001,IF(OR(B1136="",I$2=I1136),0,VLOOKUP(A1136,Journal!$B$7:M$84,8)))</f>
        <v>0</v>
      </c>
      <c r="K1136" s="102">
        <f>IF(B1136="Total",SUM(K$8:K1135)+0.0001,IF(OR(B1136="",J1136&lt;&gt;0),0,VLOOKUP(A1136,Journal!$B$7:M$84,8)))</f>
        <v>0</v>
      </c>
      <c r="L1136" s="87">
        <f t="shared" si="133"/>
        <v>0</v>
      </c>
      <c r="P1136">
        <f t="shared" si="134"/>
        <v>1.0000000000000001E-5</v>
      </c>
      <c r="R1136" s="15">
        <f t="shared" si="135"/>
        <v>1129</v>
      </c>
      <c r="S1136" s="126">
        <f>IF(VLOOKUP(A1136,Journal!$A$7:$E$70,5)=0,S1135+1,VLOOKUP(A1136,Journal!$A$7:$E$70,5))</f>
        <v>46786</v>
      </c>
      <c r="T1136" s="125">
        <f>IF(H$2=VLOOKUP(A1136,Journal!$A$7:$F$70,6),VLOOKUP(A1136,Journal!$A$7:M$70,9),0)</f>
        <v>0</v>
      </c>
      <c r="U1136" s="125">
        <f>IF(H$2=VLOOKUP(A1136,Journal!$A$7:$G$70,7),VLOOKUP(A1136,Journal!$A$7:M$70,9),0)</f>
        <v>0</v>
      </c>
      <c r="V1136" s="125">
        <f t="shared" si="131"/>
        <v>40</v>
      </c>
      <c r="X1136">
        <f t="shared" si="136"/>
        <v>0</v>
      </c>
      <c r="Y1136" s="143">
        <f t="shared" si="130"/>
        <v>-970.36842105267874</v>
      </c>
    </row>
    <row r="1137" spans="1:25" x14ac:dyDescent="0.25">
      <c r="A1137">
        <f t="shared" si="132"/>
        <v>1130</v>
      </c>
      <c r="B1137" s="88" t="str">
        <f>IF(OR(B1136="Total",B1136=""),"",IF(VLOOKUP(A1137,Journal!$B$7:$E$84,4)=0,"Total",VLOOKUP(A1137,Journal!$B$7:$D$84,3)))</f>
        <v/>
      </c>
      <c r="C1137" s="86" t="str">
        <f>IF(B1137="","",VLOOKUP(A1137,Journal!$B$7:$E$84,4))</f>
        <v/>
      </c>
      <c r="D1137" s="114" t="str">
        <f>IF(B1137="","",VLOOKUP(A1137,Journal!$B$7:$J$84,9))</f>
        <v/>
      </c>
      <c r="E1137" s="116"/>
      <c r="F1137" s="116"/>
      <c r="G1137" s="115"/>
      <c r="H1137" s="84" t="str">
        <f>IF(B1137="","",VLOOKUP(A1137,Journal!$B$7:$L$84,11))</f>
        <v/>
      </c>
      <c r="I1137" s="84" t="str">
        <f>IF(B1137="","",VLOOKUP(A1137,Journal!$B$7:$M$84,12))</f>
        <v/>
      </c>
      <c r="J1137" s="105">
        <f>IF(B1137="Total",SUM(J$8:J1136)+0.0001,IF(OR(B1137="",I$2=I1137),0,VLOOKUP(A1137,Journal!$B$7:M$84,8)))</f>
        <v>0</v>
      </c>
      <c r="K1137" s="102">
        <f>IF(B1137="Total",SUM(K$8:K1136)+0.0001,IF(OR(B1137="",J1137&lt;&gt;0),0,VLOOKUP(A1137,Journal!$B$7:M$84,8)))</f>
        <v>0</v>
      </c>
      <c r="L1137" s="87">
        <f t="shared" si="133"/>
        <v>0</v>
      </c>
      <c r="P1137">
        <f t="shared" si="134"/>
        <v>1.0000000000000001E-5</v>
      </c>
      <c r="R1137" s="15">
        <f t="shared" si="135"/>
        <v>1130</v>
      </c>
      <c r="S1137" s="126">
        <f>IF(VLOOKUP(A1137,Journal!$A$7:$E$70,5)=0,S1136+1,VLOOKUP(A1137,Journal!$A$7:$E$70,5))</f>
        <v>46787</v>
      </c>
      <c r="T1137" s="125">
        <f>IF(H$2=VLOOKUP(A1137,Journal!$A$7:$F$70,6),VLOOKUP(A1137,Journal!$A$7:M$70,9),0)</f>
        <v>0</v>
      </c>
      <c r="U1137" s="125">
        <f>IF(H$2=VLOOKUP(A1137,Journal!$A$7:$G$70,7),VLOOKUP(A1137,Journal!$A$7:M$70,9),0)</f>
        <v>0</v>
      </c>
      <c r="V1137" s="125">
        <f t="shared" si="131"/>
        <v>40</v>
      </c>
      <c r="X1137">
        <f t="shared" si="136"/>
        <v>0</v>
      </c>
      <c r="Y1137" s="143">
        <f t="shared" si="130"/>
        <v>-970.3421052632051</v>
      </c>
    </row>
    <row r="1138" spans="1:25" x14ac:dyDescent="0.25">
      <c r="A1138">
        <f t="shared" si="132"/>
        <v>1131</v>
      </c>
      <c r="B1138" s="88" t="str">
        <f>IF(OR(B1137="Total",B1137=""),"",IF(VLOOKUP(A1138,Journal!$B$7:$E$84,4)=0,"Total",VLOOKUP(A1138,Journal!$B$7:$D$84,3)))</f>
        <v/>
      </c>
      <c r="C1138" s="86" t="str">
        <f>IF(B1138="","",VLOOKUP(A1138,Journal!$B$7:$E$84,4))</f>
        <v/>
      </c>
      <c r="D1138" s="114" t="str">
        <f>IF(B1138="","",VLOOKUP(A1138,Journal!$B$7:$J$84,9))</f>
        <v/>
      </c>
      <c r="E1138" s="116"/>
      <c r="F1138" s="116"/>
      <c r="G1138" s="115"/>
      <c r="H1138" s="84" t="str">
        <f>IF(B1138="","",VLOOKUP(A1138,Journal!$B$7:$L$84,11))</f>
        <v/>
      </c>
      <c r="I1138" s="84" t="str">
        <f>IF(B1138="","",VLOOKUP(A1138,Journal!$B$7:$M$84,12))</f>
        <v/>
      </c>
      <c r="J1138" s="105">
        <f>IF(B1138="Total",SUM(J$8:J1137)+0.0001,IF(OR(B1138="",I$2=I1138),0,VLOOKUP(A1138,Journal!$B$7:M$84,8)))</f>
        <v>0</v>
      </c>
      <c r="K1138" s="102">
        <f>IF(B1138="Total",SUM(K$8:K1137)+0.0001,IF(OR(B1138="",J1138&lt;&gt;0),0,VLOOKUP(A1138,Journal!$B$7:M$84,8)))</f>
        <v>0</v>
      </c>
      <c r="L1138" s="87">
        <f t="shared" si="133"/>
        <v>0</v>
      </c>
      <c r="P1138">
        <f t="shared" si="134"/>
        <v>1.0000000000000001E-5</v>
      </c>
      <c r="R1138" s="15">
        <f t="shared" si="135"/>
        <v>1131</v>
      </c>
      <c r="S1138" s="126">
        <f>IF(VLOOKUP(A1138,Journal!$A$7:$E$70,5)=0,S1137+1,VLOOKUP(A1138,Journal!$A$7:$E$70,5))</f>
        <v>46788</v>
      </c>
      <c r="T1138" s="125">
        <f>IF(H$2=VLOOKUP(A1138,Journal!$A$7:$F$70,6),VLOOKUP(A1138,Journal!$A$7:M$70,9),0)</f>
        <v>0</v>
      </c>
      <c r="U1138" s="125">
        <f>IF(H$2=VLOOKUP(A1138,Journal!$A$7:$G$70,7),VLOOKUP(A1138,Journal!$A$7:M$70,9),0)</f>
        <v>0</v>
      </c>
      <c r="V1138" s="125">
        <f t="shared" si="131"/>
        <v>40</v>
      </c>
      <c r="X1138">
        <f t="shared" si="136"/>
        <v>0</v>
      </c>
      <c r="Y1138" s="143">
        <f t="shared" si="130"/>
        <v>-970.31578947373146</v>
      </c>
    </row>
    <row r="1139" spans="1:25" x14ac:dyDescent="0.25">
      <c r="A1139">
        <f t="shared" si="132"/>
        <v>1132</v>
      </c>
      <c r="B1139" s="88" t="str">
        <f>IF(OR(B1138="Total",B1138=""),"",IF(VLOOKUP(A1139,Journal!$B$7:$E$84,4)=0,"Total",VLOOKUP(A1139,Journal!$B$7:$D$84,3)))</f>
        <v/>
      </c>
      <c r="C1139" s="86" t="str">
        <f>IF(B1139="","",VLOOKUP(A1139,Journal!$B$7:$E$84,4))</f>
        <v/>
      </c>
      <c r="D1139" s="114" t="str">
        <f>IF(B1139="","",VLOOKUP(A1139,Journal!$B$7:$J$84,9))</f>
        <v/>
      </c>
      <c r="E1139" s="116"/>
      <c r="F1139" s="116"/>
      <c r="G1139" s="115"/>
      <c r="H1139" s="84" t="str">
        <f>IF(B1139="","",VLOOKUP(A1139,Journal!$B$7:$L$84,11))</f>
        <v/>
      </c>
      <c r="I1139" s="84" t="str">
        <f>IF(B1139="","",VLOOKUP(A1139,Journal!$B$7:$M$84,12))</f>
        <v/>
      </c>
      <c r="J1139" s="105">
        <f>IF(B1139="Total",SUM(J$8:J1138)+0.0001,IF(OR(B1139="",I$2=I1139),0,VLOOKUP(A1139,Journal!$B$7:M$84,8)))</f>
        <v>0</v>
      </c>
      <c r="K1139" s="102">
        <f>IF(B1139="Total",SUM(K$8:K1138)+0.0001,IF(OR(B1139="",J1139&lt;&gt;0),0,VLOOKUP(A1139,Journal!$B$7:M$84,8)))</f>
        <v>0</v>
      </c>
      <c r="L1139" s="87">
        <f t="shared" si="133"/>
        <v>0</v>
      </c>
      <c r="P1139">
        <f t="shared" si="134"/>
        <v>1.0000000000000001E-5</v>
      </c>
      <c r="R1139" s="15">
        <f t="shared" si="135"/>
        <v>1132</v>
      </c>
      <c r="S1139" s="126">
        <f>IF(VLOOKUP(A1139,Journal!$A$7:$E$70,5)=0,S1138+1,VLOOKUP(A1139,Journal!$A$7:$E$70,5))</f>
        <v>46789</v>
      </c>
      <c r="T1139" s="125">
        <f>IF(H$2=VLOOKUP(A1139,Journal!$A$7:$F$70,6),VLOOKUP(A1139,Journal!$A$7:M$70,9),0)</f>
        <v>0</v>
      </c>
      <c r="U1139" s="125">
        <f>IF(H$2=VLOOKUP(A1139,Journal!$A$7:$G$70,7),VLOOKUP(A1139,Journal!$A$7:M$70,9),0)</f>
        <v>0</v>
      </c>
      <c r="V1139" s="125">
        <f t="shared" si="131"/>
        <v>40</v>
      </c>
      <c r="X1139">
        <f t="shared" si="136"/>
        <v>0</v>
      </c>
      <c r="Y1139" s="143">
        <f t="shared" si="130"/>
        <v>-970.28947368425781</v>
      </c>
    </row>
    <row r="1140" spans="1:25" x14ac:dyDescent="0.25">
      <c r="A1140">
        <f t="shared" si="132"/>
        <v>1133</v>
      </c>
      <c r="B1140" s="88" t="str">
        <f>IF(OR(B1139="Total",B1139=""),"",IF(VLOOKUP(A1140,Journal!$B$7:$E$84,4)=0,"Total",VLOOKUP(A1140,Journal!$B$7:$D$84,3)))</f>
        <v/>
      </c>
      <c r="C1140" s="86" t="str">
        <f>IF(B1140="","",VLOOKUP(A1140,Journal!$B$7:$E$84,4))</f>
        <v/>
      </c>
      <c r="D1140" s="114" t="str">
        <f>IF(B1140="","",VLOOKUP(A1140,Journal!$B$7:$J$84,9))</f>
        <v/>
      </c>
      <c r="E1140" s="116"/>
      <c r="F1140" s="116"/>
      <c r="G1140" s="115"/>
      <c r="H1140" s="84" t="str">
        <f>IF(B1140="","",VLOOKUP(A1140,Journal!$B$7:$L$84,11))</f>
        <v/>
      </c>
      <c r="I1140" s="84" t="str">
        <f>IF(B1140="","",VLOOKUP(A1140,Journal!$B$7:$M$84,12))</f>
        <v/>
      </c>
      <c r="J1140" s="105">
        <f>IF(B1140="Total",SUM(J$8:J1139)+0.0001,IF(OR(B1140="",I$2=I1140),0,VLOOKUP(A1140,Journal!$B$7:M$84,8)))</f>
        <v>0</v>
      </c>
      <c r="K1140" s="102">
        <f>IF(B1140="Total",SUM(K$8:K1139)+0.0001,IF(OR(B1140="",J1140&lt;&gt;0),0,VLOOKUP(A1140,Journal!$B$7:M$84,8)))</f>
        <v>0</v>
      </c>
      <c r="L1140" s="87">
        <f t="shared" si="133"/>
        <v>0</v>
      </c>
      <c r="P1140">
        <f t="shared" si="134"/>
        <v>1.0000000000000001E-5</v>
      </c>
      <c r="R1140" s="15">
        <f t="shared" si="135"/>
        <v>1133</v>
      </c>
      <c r="S1140" s="126">
        <f>IF(VLOOKUP(A1140,Journal!$A$7:$E$70,5)=0,S1139+1,VLOOKUP(A1140,Journal!$A$7:$E$70,5))</f>
        <v>46790</v>
      </c>
      <c r="T1140" s="125">
        <f>IF(H$2=VLOOKUP(A1140,Journal!$A$7:$F$70,6),VLOOKUP(A1140,Journal!$A$7:M$70,9),0)</f>
        <v>0</v>
      </c>
      <c r="U1140" s="125">
        <f>IF(H$2=VLOOKUP(A1140,Journal!$A$7:$G$70,7),VLOOKUP(A1140,Journal!$A$7:M$70,9),0)</f>
        <v>0</v>
      </c>
      <c r="V1140" s="125">
        <f t="shared" si="131"/>
        <v>40</v>
      </c>
      <c r="X1140">
        <f t="shared" si="136"/>
        <v>0</v>
      </c>
      <c r="Y1140" s="143">
        <f t="shared" si="130"/>
        <v>-970.26315789478417</v>
      </c>
    </row>
    <row r="1141" spans="1:25" x14ac:dyDescent="0.25">
      <c r="A1141">
        <f t="shared" si="132"/>
        <v>1134</v>
      </c>
      <c r="B1141" s="88" t="str">
        <f>IF(OR(B1140="Total",B1140=""),"",IF(VLOOKUP(A1141,Journal!$B$7:$E$84,4)=0,"Total",VLOOKUP(A1141,Journal!$B$7:$D$84,3)))</f>
        <v/>
      </c>
      <c r="C1141" s="86" t="str">
        <f>IF(B1141="","",VLOOKUP(A1141,Journal!$B$7:$E$84,4))</f>
        <v/>
      </c>
      <c r="D1141" s="114" t="str">
        <f>IF(B1141="","",VLOOKUP(A1141,Journal!$B$7:$J$84,9))</f>
        <v/>
      </c>
      <c r="E1141" s="116"/>
      <c r="F1141" s="116"/>
      <c r="G1141" s="115"/>
      <c r="H1141" s="84" t="str">
        <f>IF(B1141="","",VLOOKUP(A1141,Journal!$B$7:$L$84,11))</f>
        <v/>
      </c>
      <c r="I1141" s="84" t="str">
        <f>IF(B1141="","",VLOOKUP(A1141,Journal!$B$7:$M$84,12))</f>
        <v/>
      </c>
      <c r="J1141" s="105">
        <f>IF(B1141="Total",SUM(J$8:J1140)+0.0001,IF(OR(B1141="",I$2=I1141),0,VLOOKUP(A1141,Journal!$B$7:M$84,8)))</f>
        <v>0</v>
      </c>
      <c r="K1141" s="102">
        <f>IF(B1141="Total",SUM(K$8:K1140)+0.0001,IF(OR(B1141="",J1141&lt;&gt;0),0,VLOOKUP(A1141,Journal!$B$7:M$84,8)))</f>
        <v>0</v>
      </c>
      <c r="L1141" s="87">
        <f t="shared" si="133"/>
        <v>0</v>
      </c>
      <c r="P1141">
        <f t="shared" si="134"/>
        <v>1.0000000000000001E-5</v>
      </c>
      <c r="R1141" s="15">
        <f t="shared" si="135"/>
        <v>1134</v>
      </c>
      <c r="S1141" s="126">
        <f>IF(VLOOKUP(A1141,Journal!$A$7:$E$70,5)=0,S1140+1,VLOOKUP(A1141,Journal!$A$7:$E$70,5))</f>
        <v>46791</v>
      </c>
      <c r="T1141" s="125">
        <f>IF(H$2=VLOOKUP(A1141,Journal!$A$7:$F$70,6),VLOOKUP(A1141,Journal!$A$7:M$70,9),0)</f>
        <v>0</v>
      </c>
      <c r="U1141" s="125">
        <f>IF(H$2=VLOOKUP(A1141,Journal!$A$7:$G$70,7),VLOOKUP(A1141,Journal!$A$7:M$70,9),0)</f>
        <v>0</v>
      </c>
      <c r="V1141" s="125">
        <f t="shared" si="131"/>
        <v>40</v>
      </c>
      <c r="X1141">
        <f t="shared" si="136"/>
        <v>0</v>
      </c>
      <c r="Y1141" s="143">
        <f t="shared" si="130"/>
        <v>-970.23684210531053</v>
      </c>
    </row>
    <row r="1142" spans="1:25" x14ac:dyDescent="0.25">
      <c r="A1142">
        <f t="shared" si="132"/>
        <v>1135</v>
      </c>
      <c r="B1142" s="88" t="str">
        <f>IF(OR(B1141="Total",B1141=""),"",IF(VLOOKUP(A1142,Journal!$B$7:$E$84,4)=0,"Total",VLOOKUP(A1142,Journal!$B$7:$D$84,3)))</f>
        <v/>
      </c>
      <c r="C1142" s="86" t="str">
        <f>IF(B1142="","",VLOOKUP(A1142,Journal!$B$7:$E$84,4))</f>
        <v/>
      </c>
      <c r="D1142" s="114" t="str">
        <f>IF(B1142="","",VLOOKUP(A1142,Journal!$B$7:$J$84,9))</f>
        <v/>
      </c>
      <c r="E1142" s="116"/>
      <c r="F1142" s="116"/>
      <c r="G1142" s="115"/>
      <c r="H1142" s="84" t="str">
        <f>IF(B1142="","",VLOOKUP(A1142,Journal!$B$7:$L$84,11))</f>
        <v/>
      </c>
      <c r="I1142" s="84" t="str">
        <f>IF(B1142="","",VLOOKUP(A1142,Journal!$B$7:$M$84,12))</f>
        <v/>
      </c>
      <c r="J1142" s="105">
        <f>IF(B1142="Total",SUM(J$8:J1141)+0.0001,IF(OR(B1142="",I$2=I1142),0,VLOOKUP(A1142,Journal!$B$7:M$84,8)))</f>
        <v>0</v>
      </c>
      <c r="K1142" s="102">
        <f>IF(B1142="Total",SUM(K$8:K1141)+0.0001,IF(OR(B1142="",J1142&lt;&gt;0),0,VLOOKUP(A1142,Journal!$B$7:M$84,8)))</f>
        <v>0</v>
      </c>
      <c r="L1142" s="87">
        <f t="shared" si="133"/>
        <v>0</v>
      </c>
      <c r="P1142">
        <f t="shared" si="134"/>
        <v>1.0000000000000001E-5</v>
      </c>
      <c r="R1142" s="15">
        <f t="shared" si="135"/>
        <v>1135</v>
      </c>
      <c r="S1142" s="126">
        <f>IF(VLOOKUP(A1142,Journal!$A$7:$E$70,5)=0,S1141+1,VLOOKUP(A1142,Journal!$A$7:$E$70,5))</f>
        <v>46792</v>
      </c>
      <c r="T1142" s="125">
        <f>IF(H$2=VLOOKUP(A1142,Journal!$A$7:$F$70,6),VLOOKUP(A1142,Journal!$A$7:M$70,9),0)</f>
        <v>0</v>
      </c>
      <c r="U1142" s="125">
        <f>IF(H$2=VLOOKUP(A1142,Journal!$A$7:$G$70,7),VLOOKUP(A1142,Journal!$A$7:M$70,9),0)</f>
        <v>0</v>
      </c>
      <c r="V1142" s="125">
        <f t="shared" si="131"/>
        <v>40</v>
      </c>
      <c r="X1142">
        <f t="shared" si="136"/>
        <v>0</v>
      </c>
      <c r="Y1142" s="143">
        <f t="shared" si="130"/>
        <v>-970.21052631583689</v>
      </c>
    </row>
    <row r="1143" spans="1:25" x14ac:dyDescent="0.25">
      <c r="A1143">
        <f t="shared" si="132"/>
        <v>1136</v>
      </c>
      <c r="B1143" s="88" t="str">
        <f>IF(OR(B1142="Total",B1142=""),"",IF(VLOOKUP(A1143,Journal!$B$7:$E$84,4)=0,"Total",VLOOKUP(A1143,Journal!$B$7:$D$84,3)))</f>
        <v/>
      </c>
      <c r="C1143" s="86" t="str">
        <f>IF(B1143="","",VLOOKUP(A1143,Journal!$B$7:$E$84,4))</f>
        <v/>
      </c>
      <c r="D1143" s="114" t="str">
        <f>IF(B1143="","",VLOOKUP(A1143,Journal!$B$7:$J$84,9))</f>
        <v/>
      </c>
      <c r="E1143" s="116"/>
      <c r="F1143" s="116"/>
      <c r="G1143" s="115"/>
      <c r="H1143" s="84" t="str">
        <f>IF(B1143="","",VLOOKUP(A1143,Journal!$B$7:$L$84,11))</f>
        <v/>
      </c>
      <c r="I1143" s="84" t="str">
        <f>IF(B1143="","",VLOOKUP(A1143,Journal!$B$7:$M$84,12))</f>
        <v/>
      </c>
      <c r="J1143" s="105">
        <f>IF(B1143="Total",SUM(J$8:J1142)+0.0001,IF(OR(B1143="",I$2=I1143),0,VLOOKUP(A1143,Journal!$B$7:M$84,8)))</f>
        <v>0</v>
      </c>
      <c r="K1143" s="102">
        <f>IF(B1143="Total",SUM(K$8:K1142)+0.0001,IF(OR(B1143="",J1143&lt;&gt;0),0,VLOOKUP(A1143,Journal!$B$7:M$84,8)))</f>
        <v>0</v>
      </c>
      <c r="L1143" s="87">
        <f t="shared" si="133"/>
        <v>0</v>
      </c>
      <c r="P1143">
        <f t="shared" si="134"/>
        <v>1.0000000000000001E-5</v>
      </c>
      <c r="R1143" s="15">
        <f t="shared" si="135"/>
        <v>1136</v>
      </c>
      <c r="S1143" s="126">
        <f>IF(VLOOKUP(A1143,Journal!$A$7:$E$70,5)=0,S1142+1,VLOOKUP(A1143,Journal!$A$7:$E$70,5))</f>
        <v>46793</v>
      </c>
      <c r="T1143" s="125">
        <f>IF(H$2=VLOOKUP(A1143,Journal!$A$7:$F$70,6),VLOOKUP(A1143,Journal!$A$7:M$70,9),0)</f>
        <v>0</v>
      </c>
      <c r="U1143" s="125">
        <f>IF(H$2=VLOOKUP(A1143,Journal!$A$7:$G$70,7),VLOOKUP(A1143,Journal!$A$7:M$70,9),0)</f>
        <v>0</v>
      </c>
      <c r="V1143" s="125">
        <f t="shared" si="131"/>
        <v>40</v>
      </c>
      <c r="X1143">
        <f t="shared" si="136"/>
        <v>0</v>
      </c>
      <c r="Y1143" s="143">
        <f t="shared" si="130"/>
        <v>-970.18421052636324</v>
      </c>
    </row>
    <row r="1144" spans="1:25" x14ac:dyDescent="0.25">
      <c r="A1144">
        <f t="shared" si="132"/>
        <v>1137</v>
      </c>
      <c r="B1144" s="88" t="str">
        <f>IF(OR(B1143="Total",B1143=""),"",IF(VLOOKUP(A1144,Journal!$B$7:$E$84,4)=0,"Total",VLOOKUP(A1144,Journal!$B$7:$D$84,3)))</f>
        <v/>
      </c>
      <c r="C1144" s="86" t="str">
        <f>IF(B1144="","",VLOOKUP(A1144,Journal!$B$7:$E$84,4))</f>
        <v/>
      </c>
      <c r="D1144" s="114" t="str">
        <f>IF(B1144="","",VLOOKUP(A1144,Journal!$B$7:$J$84,9))</f>
        <v/>
      </c>
      <c r="E1144" s="116"/>
      <c r="F1144" s="116"/>
      <c r="G1144" s="115"/>
      <c r="H1144" s="84" t="str">
        <f>IF(B1144="","",VLOOKUP(A1144,Journal!$B$7:$L$84,11))</f>
        <v/>
      </c>
      <c r="I1144" s="84" t="str">
        <f>IF(B1144="","",VLOOKUP(A1144,Journal!$B$7:$M$84,12))</f>
        <v/>
      </c>
      <c r="J1144" s="105">
        <f>IF(B1144="Total",SUM(J$8:J1143)+0.0001,IF(OR(B1144="",I$2=I1144),0,VLOOKUP(A1144,Journal!$B$7:M$84,8)))</f>
        <v>0</v>
      </c>
      <c r="K1144" s="102">
        <f>IF(B1144="Total",SUM(K$8:K1143)+0.0001,IF(OR(B1144="",J1144&lt;&gt;0),0,VLOOKUP(A1144,Journal!$B$7:M$84,8)))</f>
        <v>0</v>
      </c>
      <c r="L1144" s="87">
        <f t="shared" si="133"/>
        <v>0</v>
      </c>
      <c r="P1144">
        <f t="shared" si="134"/>
        <v>1.0000000000000001E-5</v>
      </c>
      <c r="R1144" s="15">
        <f t="shared" si="135"/>
        <v>1137</v>
      </c>
      <c r="S1144" s="126">
        <f>IF(VLOOKUP(A1144,Journal!$A$7:$E$70,5)=0,S1143+1,VLOOKUP(A1144,Journal!$A$7:$E$70,5))</f>
        <v>46794</v>
      </c>
      <c r="T1144" s="125">
        <f>IF(H$2=VLOOKUP(A1144,Journal!$A$7:$F$70,6),VLOOKUP(A1144,Journal!$A$7:M$70,9),0)</f>
        <v>0</v>
      </c>
      <c r="U1144" s="125">
        <f>IF(H$2=VLOOKUP(A1144,Journal!$A$7:$G$70,7),VLOOKUP(A1144,Journal!$A$7:M$70,9),0)</f>
        <v>0</v>
      </c>
      <c r="V1144" s="125">
        <f t="shared" si="131"/>
        <v>40</v>
      </c>
      <c r="X1144">
        <f t="shared" si="136"/>
        <v>0</v>
      </c>
      <c r="Y1144" s="143">
        <f t="shared" si="130"/>
        <v>-970.1578947368896</v>
      </c>
    </row>
    <row r="1145" spans="1:25" x14ac:dyDescent="0.25">
      <c r="A1145">
        <f t="shared" si="132"/>
        <v>1138</v>
      </c>
      <c r="B1145" s="88" t="str">
        <f>IF(OR(B1144="Total",B1144=""),"",IF(VLOOKUP(A1145,Journal!$B$7:$E$84,4)=0,"Total",VLOOKUP(A1145,Journal!$B$7:$D$84,3)))</f>
        <v/>
      </c>
      <c r="C1145" s="86" t="str">
        <f>IF(B1145="","",VLOOKUP(A1145,Journal!$B$7:$E$84,4))</f>
        <v/>
      </c>
      <c r="D1145" s="114" t="str">
        <f>IF(B1145="","",VLOOKUP(A1145,Journal!$B$7:$J$84,9))</f>
        <v/>
      </c>
      <c r="E1145" s="116"/>
      <c r="F1145" s="116"/>
      <c r="G1145" s="115"/>
      <c r="H1145" s="84" t="str">
        <f>IF(B1145="","",VLOOKUP(A1145,Journal!$B$7:$L$84,11))</f>
        <v/>
      </c>
      <c r="I1145" s="84" t="str">
        <f>IF(B1145="","",VLOOKUP(A1145,Journal!$B$7:$M$84,12))</f>
        <v/>
      </c>
      <c r="J1145" s="105">
        <f>IF(B1145="Total",SUM(J$8:J1144)+0.0001,IF(OR(B1145="",I$2=I1145),0,VLOOKUP(A1145,Journal!$B$7:M$84,8)))</f>
        <v>0</v>
      </c>
      <c r="K1145" s="102">
        <f>IF(B1145="Total",SUM(K$8:K1144)+0.0001,IF(OR(B1145="",J1145&lt;&gt;0),0,VLOOKUP(A1145,Journal!$B$7:M$84,8)))</f>
        <v>0</v>
      </c>
      <c r="L1145" s="87">
        <f t="shared" si="133"/>
        <v>0</v>
      </c>
      <c r="P1145">
        <f t="shared" si="134"/>
        <v>1.0000000000000001E-5</v>
      </c>
      <c r="R1145" s="15">
        <f t="shared" si="135"/>
        <v>1138</v>
      </c>
      <c r="S1145" s="126">
        <f>IF(VLOOKUP(A1145,Journal!$A$7:$E$70,5)=0,S1144+1,VLOOKUP(A1145,Journal!$A$7:$E$70,5))</f>
        <v>46795</v>
      </c>
      <c r="T1145" s="125">
        <f>IF(H$2=VLOOKUP(A1145,Journal!$A$7:$F$70,6),VLOOKUP(A1145,Journal!$A$7:M$70,9),0)</f>
        <v>0</v>
      </c>
      <c r="U1145" s="125">
        <f>IF(H$2=VLOOKUP(A1145,Journal!$A$7:$G$70,7),VLOOKUP(A1145,Journal!$A$7:M$70,9),0)</f>
        <v>0</v>
      </c>
      <c r="V1145" s="125">
        <f t="shared" si="131"/>
        <v>40</v>
      </c>
      <c r="X1145">
        <f t="shared" si="136"/>
        <v>0</v>
      </c>
      <c r="Y1145" s="143">
        <f t="shared" si="130"/>
        <v>-970.13157894741596</v>
      </c>
    </row>
    <row r="1146" spans="1:25" x14ac:dyDescent="0.25">
      <c r="A1146">
        <f t="shared" si="132"/>
        <v>1139</v>
      </c>
      <c r="B1146" s="88" t="str">
        <f>IF(OR(B1145="Total",B1145=""),"",IF(VLOOKUP(A1146,Journal!$B$7:$E$84,4)=0,"Total",VLOOKUP(A1146,Journal!$B$7:$D$84,3)))</f>
        <v/>
      </c>
      <c r="C1146" s="86" t="str">
        <f>IF(B1146="","",VLOOKUP(A1146,Journal!$B$7:$E$84,4))</f>
        <v/>
      </c>
      <c r="D1146" s="114" t="str">
        <f>IF(B1146="","",VLOOKUP(A1146,Journal!$B$7:$J$84,9))</f>
        <v/>
      </c>
      <c r="E1146" s="116"/>
      <c r="F1146" s="116"/>
      <c r="G1146" s="115"/>
      <c r="H1146" s="84" t="str">
        <f>IF(B1146="","",VLOOKUP(A1146,Journal!$B$7:$L$84,11))</f>
        <v/>
      </c>
      <c r="I1146" s="84" t="str">
        <f>IF(B1146="","",VLOOKUP(A1146,Journal!$B$7:$M$84,12))</f>
        <v/>
      </c>
      <c r="J1146" s="105">
        <f>IF(B1146="Total",SUM(J$8:J1145)+0.0001,IF(OR(B1146="",I$2=I1146),0,VLOOKUP(A1146,Journal!$B$7:M$84,8)))</f>
        <v>0</v>
      </c>
      <c r="K1146" s="102">
        <f>IF(B1146="Total",SUM(K$8:K1145)+0.0001,IF(OR(B1146="",J1146&lt;&gt;0),0,VLOOKUP(A1146,Journal!$B$7:M$84,8)))</f>
        <v>0</v>
      </c>
      <c r="L1146" s="87">
        <f t="shared" si="133"/>
        <v>0</v>
      </c>
      <c r="P1146">
        <f t="shared" si="134"/>
        <v>1.0000000000000001E-5</v>
      </c>
      <c r="R1146" s="15">
        <f t="shared" si="135"/>
        <v>1139</v>
      </c>
      <c r="S1146" s="126">
        <f>IF(VLOOKUP(A1146,Journal!$A$7:$E$70,5)=0,S1145+1,VLOOKUP(A1146,Journal!$A$7:$E$70,5))</f>
        <v>46796</v>
      </c>
      <c r="T1146" s="125">
        <f>IF(H$2=VLOOKUP(A1146,Journal!$A$7:$F$70,6),VLOOKUP(A1146,Journal!$A$7:M$70,9),0)</f>
        <v>0</v>
      </c>
      <c r="U1146" s="125">
        <f>IF(H$2=VLOOKUP(A1146,Journal!$A$7:$G$70,7),VLOOKUP(A1146,Journal!$A$7:M$70,9),0)</f>
        <v>0</v>
      </c>
      <c r="V1146" s="125">
        <f t="shared" si="131"/>
        <v>40</v>
      </c>
      <c r="X1146">
        <f t="shared" si="136"/>
        <v>0</v>
      </c>
      <c r="Y1146" s="143">
        <f t="shared" si="130"/>
        <v>-970.10526315794232</v>
      </c>
    </row>
    <row r="1147" spans="1:25" x14ac:dyDescent="0.25">
      <c r="A1147">
        <f t="shared" si="132"/>
        <v>1140</v>
      </c>
      <c r="B1147" s="88" t="str">
        <f>IF(OR(B1146="Total",B1146=""),"",IF(VLOOKUP(A1147,Journal!$B$7:$E$84,4)=0,"Total",VLOOKUP(A1147,Journal!$B$7:$D$84,3)))</f>
        <v/>
      </c>
      <c r="C1147" s="86" t="str">
        <f>IF(B1147="","",VLOOKUP(A1147,Journal!$B$7:$E$84,4))</f>
        <v/>
      </c>
      <c r="D1147" s="114" t="str">
        <f>IF(B1147="","",VLOOKUP(A1147,Journal!$B$7:$J$84,9))</f>
        <v/>
      </c>
      <c r="E1147" s="116"/>
      <c r="F1147" s="116"/>
      <c r="G1147" s="115"/>
      <c r="H1147" s="84" t="str">
        <f>IF(B1147="","",VLOOKUP(A1147,Journal!$B$7:$L$84,11))</f>
        <v/>
      </c>
      <c r="I1147" s="84" t="str">
        <f>IF(B1147="","",VLOOKUP(A1147,Journal!$B$7:$M$84,12))</f>
        <v/>
      </c>
      <c r="J1147" s="105">
        <f>IF(B1147="Total",SUM(J$8:J1146)+0.0001,IF(OR(B1147="",I$2=I1147),0,VLOOKUP(A1147,Journal!$B$7:M$84,8)))</f>
        <v>0</v>
      </c>
      <c r="K1147" s="102">
        <f>IF(B1147="Total",SUM(K$8:K1146)+0.0001,IF(OR(B1147="",J1147&lt;&gt;0),0,VLOOKUP(A1147,Journal!$B$7:M$84,8)))</f>
        <v>0</v>
      </c>
      <c r="L1147" s="87">
        <f t="shared" si="133"/>
        <v>0</v>
      </c>
      <c r="P1147">
        <f t="shared" si="134"/>
        <v>1.0000000000000001E-5</v>
      </c>
      <c r="R1147" s="15">
        <f t="shared" si="135"/>
        <v>1140</v>
      </c>
      <c r="S1147" s="126">
        <f>IF(VLOOKUP(A1147,Journal!$A$7:$E$70,5)=0,S1146+1,VLOOKUP(A1147,Journal!$A$7:$E$70,5))</f>
        <v>46797</v>
      </c>
      <c r="T1147" s="125">
        <f>IF(H$2=VLOOKUP(A1147,Journal!$A$7:$F$70,6),VLOOKUP(A1147,Journal!$A$7:M$70,9),0)</f>
        <v>0</v>
      </c>
      <c r="U1147" s="125">
        <f>IF(H$2=VLOOKUP(A1147,Journal!$A$7:$G$70,7),VLOOKUP(A1147,Journal!$A$7:M$70,9),0)</f>
        <v>0</v>
      </c>
      <c r="V1147" s="125">
        <f t="shared" si="131"/>
        <v>40</v>
      </c>
      <c r="X1147">
        <f t="shared" si="136"/>
        <v>0</v>
      </c>
      <c r="Y1147" s="143">
        <f t="shared" si="130"/>
        <v>-970.07894736846868</v>
      </c>
    </row>
    <row r="1148" spans="1:25" x14ac:dyDescent="0.25">
      <c r="A1148">
        <f t="shared" si="132"/>
        <v>1141</v>
      </c>
      <c r="B1148" s="88" t="str">
        <f>IF(OR(B1147="Total",B1147=""),"",IF(VLOOKUP(A1148,Journal!$B$7:$E$84,4)=0,"Total",VLOOKUP(A1148,Journal!$B$7:$D$84,3)))</f>
        <v/>
      </c>
      <c r="C1148" s="86" t="str">
        <f>IF(B1148="","",VLOOKUP(A1148,Journal!$B$7:$E$84,4))</f>
        <v/>
      </c>
      <c r="D1148" s="114" t="str">
        <f>IF(B1148="","",VLOOKUP(A1148,Journal!$B$7:$J$84,9))</f>
        <v/>
      </c>
      <c r="E1148" s="116"/>
      <c r="F1148" s="116"/>
      <c r="G1148" s="115"/>
      <c r="H1148" s="84" t="str">
        <f>IF(B1148="","",VLOOKUP(A1148,Journal!$B$7:$L$84,11))</f>
        <v/>
      </c>
      <c r="I1148" s="84" t="str">
        <f>IF(B1148="","",VLOOKUP(A1148,Journal!$B$7:$M$84,12))</f>
        <v/>
      </c>
      <c r="J1148" s="105">
        <f>IF(B1148="Total",SUM(J$8:J1147)+0.0001,IF(OR(B1148="",I$2=I1148),0,VLOOKUP(A1148,Journal!$B$7:M$84,8)))</f>
        <v>0</v>
      </c>
      <c r="K1148" s="102">
        <f>IF(B1148="Total",SUM(K$8:K1147)+0.0001,IF(OR(B1148="",J1148&lt;&gt;0),0,VLOOKUP(A1148,Journal!$B$7:M$84,8)))</f>
        <v>0</v>
      </c>
      <c r="L1148" s="87">
        <f t="shared" si="133"/>
        <v>0</v>
      </c>
      <c r="P1148">
        <f t="shared" si="134"/>
        <v>1.0000000000000001E-5</v>
      </c>
      <c r="R1148" s="15">
        <f t="shared" si="135"/>
        <v>1141</v>
      </c>
      <c r="S1148" s="126">
        <f>IF(VLOOKUP(A1148,Journal!$A$7:$E$70,5)=0,S1147+1,VLOOKUP(A1148,Journal!$A$7:$E$70,5))</f>
        <v>46798</v>
      </c>
      <c r="T1148" s="125">
        <f>IF(H$2=VLOOKUP(A1148,Journal!$A$7:$F$70,6),VLOOKUP(A1148,Journal!$A$7:M$70,9),0)</f>
        <v>0</v>
      </c>
      <c r="U1148" s="125">
        <f>IF(H$2=VLOOKUP(A1148,Journal!$A$7:$G$70,7),VLOOKUP(A1148,Journal!$A$7:M$70,9),0)</f>
        <v>0</v>
      </c>
      <c r="V1148" s="125">
        <f t="shared" si="131"/>
        <v>40</v>
      </c>
      <c r="X1148">
        <f t="shared" si="136"/>
        <v>0</v>
      </c>
      <c r="Y1148" s="143">
        <f t="shared" si="130"/>
        <v>-970.05263157899503</v>
      </c>
    </row>
    <row r="1149" spans="1:25" x14ac:dyDescent="0.25">
      <c r="A1149">
        <f t="shared" si="132"/>
        <v>1142</v>
      </c>
      <c r="B1149" s="88" t="str">
        <f>IF(OR(B1148="Total",B1148=""),"",IF(VLOOKUP(A1149,Journal!$B$7:$E$84,4)=0,"Total",VLOOKUP(A1149,Journal!$B$7:$D$84,3)))</f>
        <v/>
      </c>
      <c r="C1149" s="86" t="str">
        <f>IF(B1149="","",VLOOKUP(A1149,Journal!$B$7:$E$84,4))</f>
        <v/>
      </c>
      <c r="D1149" s="114" t="str">
        <f>IF(B1149="","",VLOOKUP(A1149,Journal!$B$7:$J$84,9))</f>
        <v/>
      </c>
      <c r="E1149" s="116"/>
      <c r="F1149" s="116"/>
      <c r="G1149" s="115"/>
      <c r="H1149" s="84" t="str">
        <f>IF(B1149="","",VLOOKUP(A1149,Journal!$B$7:$L$84,11))</f>
        <v/>
      </c>
      <c r="I1149" s="84" t="str">
        <f>IF(B1149="","",VLOOKUP(A1149,Journal!$B$7:$M$84,12))</f>
        <v/>
      </c>
      <c r="J1149" s="105">
        <f>IF(B1149="Total",SUM(J$8:J1148)+0.0001,IF(OR(B1149="",I$2=I1149),0,VLOOKUP(A1149,Journal!$B$7:M$84,8)))</f>
        <v>0</v>
      </c>
      <c r="K1149" s="102">
        <f>IF(B1149="Total",SUM(K$8:K1148)+0.0001,IF(OR(B1149="",J1149&lt;&gt;0),0,VLOOKUP(A1149,Journal!$B$7:M$84,8)))</f>
        <v>0</v>
      </c>
      <c r="L1149" s="87">
        <f t="shared" si="133"/>
        <v>0</v>
      </c>
      <c r="P1149">
        <f t="shared" si="134"/>
        <v>1.0000000000000001E-5</v>
      </c>
      <c r="R1149" s="15">
        <f t="shared" si="135"/>
        <v>1142</v>
      </c>
      <c r="S1149" s="126">
        <f>IF(VLOOKUP(A1149,Journal!$A$7:$E$70,5)=0,S1148+1,VLOOKUP(A1149,Journal!$A$7:$E$70,5))</f>
        <v>46799</v>
      </c>
      <c r="T1149" s="125">
        <f>IF(H$2=VLOOKUP(A1149,Journal!$A$7:$F$70,6),VLOOKUP(A1149,Journal!$A$7:M$70,9),0)</f>
        <v>0</v>
      </c>
      <c r="U1149" s="125">
        <f>IF(H$2=VLOOKUP(A1149,Journal!$A$7:$G$70,7),VLOOKUP(A1149,Journal!$A$7:M$70,9),0)</f>
        <v>0</v>
      </c>
      <c r="V1149" s="125">
        <f t="shared" si="131"/>
        <v>40</v>
      </c>
      <c r="X1149">
        <f t="shared" si="136"/>
        <v>0</v>
      </c>
      <c r="Y1149" s="143">
        <f t="shared" si="130"/>
        <v>-970.02631578952139</v>
      </c>
    </row>
    <row r="1150" spans="1:25" x14ac:dyDescent="0.25">
      <c r="A1150">
        <f t="shared" si="132"/>
        <v>1143</v>
      </c>
      <c r="B1150" s="88" t="str">
        <f>IF(OR(B1149="Total",B1149=""),"",IF(VLOOKUP(A1150,Journal!$B$7:$E$84,4)=0,"Total",VLOOKUP(A1150,Journal!$B$7:$D$84,3)))</f>
        <v/>
      </c>
      <c r="C1150" s="86" t="str">
        <f>IF(B1150="","",VLOOKUP(A1150,Journal!$B$7:$E$84,4))</f>
        <v/>
      </c>
      <c r="D1150" s="114" t="str">
        <f>IF(B1150="","",VLOOKUP(A1150,Journal!$B$7:$J$84,9))</f>
        <v/>
      </c>
      <c r="E1150" s="116"/>
      <c r="F1150" s="116"/>
      <c r="G1150" s="115"/>
      <c r="H1150" s="84" t="str">
        <f>IF(B1150="","",VLOOKUP(A1150,Journal!$B$7:$L$84,11))</f>
        <v/>
      </c>
      <c r="I1150" s="84" t="str">
        <f>IF(B1150="","",VLOOKUP(A1150,Journal!$B$7:$M$84,12))</f>
        <v/>
      </c>
      <c r="J1150" s="105">
        <f>IF(B1150="Total",SUM(J$8:J1149)+0.0001,IF(OR(B1150="",I$2=I1150),0,VLOOKUP(A1150,Journal!$B$7:M$84,8)))</f>
        <v>0</v>
      </c>
      <c r="K1150" s="102">
        <f>IF(B1150="Total",SUM(K$8:K1149)+0.0001,IF(OR(B1150="",J1150&lt;&gt;0),0,VLOOKUP(A1150,Journal!$B$7:M$84,8)))</f>
        <v>0</v>
      </c>
      <c r="L1150" s="87">
        <f t="shared" si="133"/>
        <v>0</v>
      </c>
      <c r="P1150">
        <f t="shared" si="134"/>
        <v>1.0000000000000001E-5</v>
      </c>
      <c r="R1150" s="15">
        <f t="shared" si="135"/>
        <v>1143</v>
      </c>
      <c r="S1150" s="126">
        <f>IF(VLOOKUP(A1150,Journal!$A$7:$E$70,5)=0,S1149+1,VLOOKUP(A1150,Journal!$A$7:$E$70,5))</f>
        <v>46800</v>
      </c>
      <c r="T1150" s="125">
        <f>IF(H$2=VLOOKUP(A1150,Journal!$A$7:$F$70,6),VLOOKUP(A1150,Journal!$A$7:M$70,9),0)</f>
        <v>0</v>
      </c>
      <c r="U1150" s="125">
        <f>IF(H$2=VLOOKUP(A1150,Journal!$A$7:$G$70,7),VLOOKUP(A1150,Journal!$A$7:M$70,9),0)</f>
        <v>0</v>
      </c>
      <c r="V1150" s="125">
        <f t="shared" si="131"/>
        <v>40</v>
      </c>
      <c r="X1150">
        <f t="shared" si="136"/>
        <v>0</v>
      </c>
      <c r="Y1150" s="143">
        <f t="shared" si="130"/>
        <v>-970.00000000004775</v>
      </c>
    </row>
    <row r="1151" spans="1:25" x14ac:dyDescent="0.25">
      <c r="A1151">
        <f t="shared" si="132"/>
        <v>1144</v>
      </c>
      <c r="B1151" s="88" t="str">
        <f>IF(OR(B1150="Total",B1150=""),"",IF(VLOOKUP(A1151,Journal!$B$7:$E$84,4)=0,"Total",VLOOKUP(A1151,Journal!$B$7:$D$84,3)))</f>
        <v/>
      </c>
      <c r="C1151" s="86" t="str">
        <f>IF(B1151="","",VLOOKUP(A1151,Journal!$B$7:$E$84,4))</f>
        <v/>
      </c>
      <c r="D1151" s="114" t="str">
        <f>IF(B1151="","",VLOOKUP(A1151,Journal!$B$7:$J$84,9))</f>
        <v/>
      </c>
      <c r="E1151" s="116"/>
      <c r="F1151" s="116"/>
      <c r="G1151" s="115"/>
      <c r="H1151" s="84" t="str">
        <f>IF(B1151="","",VLOOKUP(A1151,Journal!$B$7:$L$84,11))</f>
        <v/>
      </c>
      <c r="I1151" s="84" t="str">
        <f>IF(B1151="","",VLOOKUP(A1151,Journal!$B$7:$M$84,12))</f>
        <v/>
      </c>
      <c r="J1151" s="105">
        <f>IF(B1151="Total",SUM(J$8:J1150)+0.0001,IF(OR(B1151="",I$2=I1151),0,VLOOKUP(A1151,Journal!$B$7:M$84,8)))</f>
        <v>0</v>
      </c>
      <c r="K1151" s="102">
        <f>IF(B1151="Total",SUM(K$8:K1150)+0.0001,IF(OR(B1151="",J1151&lt;&gt;0),0,VLOOKUP(A1151,Journal!$B$7:M$84,8)))</f>
        <v>0</v>
      </c>
      <c r="L1151" s="87">
        <f t="shared" si="133"/>
        <v>0</v>
      </c>
      <c r="P1151">
        <f t="shared" si="134"/>
        <v>1.0000000000000001E-5</v>
      </c>
      <c r="R1151" s="15">
        <f t="shared" si="135"/>
        <v>1144</v>
      </c>
      <c r="S1151" s="126">
        <f>IF(VLOOKUP(A1151,Journal!$A$7:$E$70,5)=0,S1150+1,VLOOKUP(A1151,Journal!$A$7:$E$70,5))</f>
        <v>46801</v>
      </c>
      <c r="T1151" s="125">
        <f>IF(H$2=VLOOKUP(A1151,Journal!$A$7:$F$70,6),VLOOKUP(A1151,Journal!$A$7:M$70,9),0)</f>
        <v>0</v>
      </c>
      <c r="U1151" s="125">
        <f>IF(H$2=VLOOKUP(A1151,Journal!$A$7:$G$70,7),VLOOKUP(A1151,Journal!$A$7:M$70,9),0)</f>
        <v>0</v>
      </c>
      <c r="V1151" s="125">
        <f t="shared" si="131"/>
        <v>40</v>
      </c>
      <c r="X1151">
        <f t="shared" si="136"/>
        <v>0</v>
      </c>
      <c r="Y1151" s="143">
        <f t="shared" si="130"/>
        <v>-969.97368421057411</v>
      </c>
    </row>
    <row r="1152" spans="1:25" x14ac:dyDescent="0.25">
      <c r="A1152">
        <f t="shared" si="132"/>
        <v>1145</v>
      </c>
      <c r="B1152" s="88" t="str">
        <f>IF(OR(B1151="Total",B1151=""),"",IF(VLOOKUP(A1152,Journal!$B$7:$E$84,4)=0,"Total",VLOOKUP(A1152,Journal!$B$7:$D$84,3)))</f>
        <v/>
      </c>
      <c r="C1152" s="86" t="str">
        <f>IF(B1152="","",VLOOKUP(A1152,Journal!$B$7:$E$84,4))</f>
        <v/>
      </c>
      <c r="D1152" s="114" t="str">
        <f>IF(B1152="","",VLOOKUP(A1152,Journal!$B$7:$J$84,9))</f>
        <v/>
      </c>
      <c r="E1152" s="116"/>
      <c r="F1152" s="116"/>
      <c r="G1152" s="115"/>
      <c r="H1152" s="84" t="str">
        <f>IF(B1152="","",VLOOKUP(A1152,Journal!$B$7:$L$84,11))</f>
        <v/>
      </c>
      <c r="I1152" s="84" t="str">
        <f>IF(B1152="","",VLOOKUP(A1152,Journal!$B$7:$M$84,12))</f>
        <v/>
      </c>
      <c r="J1152" s="105">
        <f>IF(B1152="Total",SUM(J$8:J1151)+0.0001,IF(OR(B1152="",I$2=I1152),0,VLOOKUP(A1152,Journal!$B$7:M$84,8)))</f>
        <v>0</v>
      </c>
      <c r="K1152" s="102">
        <f>IF(B1152="Total",SUM(K$8:K1151)+0.0001,IF(OR(B1152="",J1152&lt;&gt;0),0,VLOOKUP(A1152,Journal!$B$7:M$84,8)))</f>
        <v>0</v>
      </c>
      <c r="L1152" s="87">
        <f t="shared" si="133"/>
        <v>0</v>
      </c>
      <c r="P1152">
        <f t="shared" si="134"/>
        <v>1.0000000000000001E-5</v>
      </c>
      <c r="R1152" s="15">
        <f t="shared" si="135"/>
        <v>1145</v>
      </c>
      <c r="S1152" s="126">
        <f>IF(VLOOKUP(A1152,Journal!$A$7:$E$70,5)=0,S1151+1,VLOOKUP(A1152,Journal!$A$7:$E$70,5))</f>
        <v>46802</v>
      </c>
      <c r="T1152" s="125">
        <f>IF(H$2=VLOOKUP(A1152,Journal!$A$7:$F$70,6),VLOOKUP(A1152,Journal!$A$7:M$70,9),0)</f>
        <v>0</v>
      </c>
      <c r="U1152" s="125">
        <f>IF(H$2=VLOOKUP(A1152,Journal!$A$7:$G$70,7),VLOOKUP(A1152,Journal!$A$7:M$70,9),0)</f>
        <v>0</v>
      </c>
      <c r="V1152" s="125">
        <f t="shared" si="131"/>
        <v>40</v>
      </c>
      <c r="X1152">
        <f t="shared" si="136"/>
        <v>0</v>
      </c>
      <c r="Y1152" s="143">
        <f t="shared" si="130"/>
        <v>-969.94736842110046</v>
      </c>
    </row>
    <row r="1153" spans="1:25" x14ac:dyDescent="0.25">
      <c r="A1153">
        <f t="shared" si="132"/>
        <v>1146</v>
      </c>
      <c r="B1153" s="88" t="str">
        <f>IF(OR(B1152="Total",B1152=""),"",IF(VLOOKUP(A1153,Journal!$B$7:$E$84,4)=0,"Total",VLOOKUP(A1153,Journal!$B$7:$D$84,3)))</f>
        <v/>
      </c>
      <c r="C1153" s="86" t="str">
        <f>IF(B1153="","",VLOOKUP(A1153,Journal!$B$7:$E$84,4))</f>
        <v/>
      </c>
      <c r="D1153" s="114" t="str">
        <f>IF(B1153="","",VLOOKUP(A1153,Journal!$B$7:$J$84,9))</f>
        <v/>
      </c>
      <c r="E1153" s="116"/>
      <c r="F1153" s="116"/>
      <c r="G1153" s="115"/>
      <c r="H1153" s="84" t="str">
        <f>IF(B1153="","",VLOOKUP(A1153,Journal!$B$7:$L$84,11))</f>
        <v/>
      </c>
      <c r="I1153" s="84" t="str">
        <f>IF(B1153="","",VLOOKUP(A1153,Journal!$B$7:$M$84,12))</f>
        <v/>
      </c>
      <c r="J1153" s="105">
        <f>IF(B1153="Total",SUM(J$8:J1152)+0.0001,IF(OR(B1153="",I$2=I1153),0,VLOOKUP(A1153,Journal!$B$7:M$84,8)))</f>
        <v>0</v>
      </c>
      <c r="K1153" s="102">
        <f>IF(B1153="Total",SUM(K$8:K1152)+0.0001,IF(OR(B1153="",J1153&lt;&gt;0),0,VLOOKUP(A1153,Journal!$B$7:M$84,8)))</f>
        <v>0</v>
      </c>
      <c r="L1153" s="87">
        <f t="shared" si="133"/>
        <v>0</v>
      </c>
      <c r="P1153">
        <f t="shared" si="134"/>
        <v>1.0000000000000001E-5</v>
      </c>
      <c r="R1153" s="15">
        <f t="shared" si="135"/>
        <v>1146</v>
      </c>
      <c r="S1153" s="126">
        <f>IF(VLOOKUP(A1153,Journal!$A$7:$E$70,5)=0,S1152+1,VLOOKUP(A1153,Journal!$A$7:$E$70,5))</f>
        <v>46803</v>
      </c>
      <c r="T1153" s="125">
        <f>IF(H$2=VLOOKUP(A1153,Journal!$A$7:$F$70,6),VLOOKUP(A1153,Journal!$A$7:M$70,9),0)</f>
        <v>0</v>
      </c>
      <c r="U1153" s="125">
        <f>IF(H$2=VLOOKUP(A1153,Journal!$A$7:$G$70,7),VLOOKUP(A1153,Journal!$A$7:M$70,9),0)</f>
        <v>0</v>
      </c>
      <c r="V1153" s="125">
        <f t="shared" si="131"/>
        <v>40</v>
      </c>
      <c r="X1153">
        <f t="shared" si="136"/>
        <v>0</v>
      </c>
      <c r="Y1153" s="143">
        <f t="shared" si="130"/>
        <v>-969.92105263162682</v>
      </c>
    </row>
    <row r="1154" spans="1:25" x14ac:dyDescent="0.25">
      <c r="A1154">
        <f t="shared" si="132"/>
        <v>1147</v>
      </c>
      <c r="B1154" s="88" t="str">
        <f>IF(OR(B1153="Total",B1153=""),"",IF(VLOOKUP(A1154,Journal!$B$7:$E$84,4)=0,"Total",VLOOKUP(A1154,Journal!$B$7:$D$84,3)))</f>
        <v/>
      </c>
      <c r="C1154" s="86" t="str">
        <f>IF(B1154="","",VLOOKUP(A1154,Journal!$B$7:$E$84,4))</f>
        <v/>
      </c>
      <c r="D1154" s="114" t="str">
        <f>IF(B1154="","",VLOOKUP(A1154,Journal!$B$7:$J$84,9))</f>
        <v/>
      </c>
      <c r="E1154" s="116"/>
      <c r="F1154" s="116"/>
      <c r="G1154" s="115"/>
      <c r="H1154" s="84" t="str">
        <f>IF(B1154="","",VLOOKUP(A1154,Journal!$B$7:$L$84,11))</f>
        <v/>
      </c>
      <c r="I1154" s="84" t="str">
        <f>IF(B1154="","",VLOOKUP(A1154,Journal!$B$7:$M$84,12))</f>
        <v/>
      </c>
      <c r="J1154" s="105">
        <f>IF(B1154="Total",SUM(J$8:J1153)+0.0001,IF(OR(B1154="",I$2=I1154),0,VLOOKUP(A1154,Journal!$B$7:M$84,8)))</f>
        <v>0</v>
      </c>
      <c r="K1154" s="102">
        <f>IF(B1154="Total",SUM(K$8:K1153)+0.0001,IF(OR(B1154="",J1154&lt;&gt;0),0,VLOOKUP(A1154,Journal!$B$7:M$84,8)))</f>
        <v>0</v>
      </c>
      <c r="L1154" s="87">
        <f t="shared" si="133"/>
        <v>0</v>
      </c>
      <c r="P1154">
        <f t="shared" si="134"/>
        <v>1.0000000000000001E-5</v>
      </c>
      <c r="R1154" s="15">
        <f t="shared" si="135"/>
        <v>1147</v>
      </c>
      <c r="S1154" s="126">
        <f>IF(VLOOKUP(A1154,Journal!$A$7:$E$70,5)=0,S1153+1,VLOOKUP(A1154,Journal!$A$7:$E$70,5))</f>
        <v>46804</v>
      </c>
      <c r="T1154" s="125">
        <f>IF(H$2=VLOOKUP(A1154,Journal!$A$7:$F$70,6),VLOOKUP(A1154,Journal!$A$7:M$70,9),0)</f>
        <v>0</v>
      </c>
      <c r="U1154" s="125">
        <f>IF(H$2=VLOOKUP(A1154,Journal!$A$7:$G$70,7),VLOOKUP(A1154,Journal!$A$7:M$70,9),0)</f>
        <v>0</v>
      </c>
      <c r="V1154" s="125">
        <f t="shared" si="131"/>
        <v>40</v>
      </c>
      <c r="X1154">
        <f t="shared" si="136"/>
        <v>0</v>
      </c>
      <c r="Y1154" s="143">
        <f t="shared" si="130"/>
        <v>-969.89473684215318</v>
      </c>
    </row>
    <row r="1155" spans="1:25" x14ac:dyDescent="0.25">
      <c r="A1155">
        <f t="shared" si="132"/>
        <v>1148</v>
      </c>
      <c r="B1155" s="88" t="str">
        <f>IF(OR(B1154="Total",B1154=""),"",IF(VLOOKUP(A1155,Journal!$B$7:$E$84,4)=0,"Total",VLOOKUP(A1155,Journal!$B$7:$D$84,3)))</f>
        <v/>
      </c>
      <c r="C1155" s="86" t="str">
        <f>IF(B1155="","",VLOOKUP(A1155,Journal!$B$7:$E$84,4))</f>
        <v/>
      </c>
      <c r="D1155" s="114" t="str">
        <f>IF(B1155="","",VLOOKUP(A1155,Journal!$B$7:$J$84,9))</f>
        <v/>
      </c>
      <c r="E1155" s="116"/>
      <c r="F1155" s="116"/>
      <c r="G1155" s="115"/>
      <c r="H1155" s="84" t="str">
        <f>IF(B1155="","",VLOOKUP(A1155,Journal!$B$7:$L$84,11))</f>
        <v/>
      </c>
      <c r="I1155" s="84" t="str">
        <f>IF(B1155="","",VLOOKUP(A1155,Journal!$B$7:$M$84,12))</f>
        <v/>
      </c>
      <c r="J1155" s="105">
        <f>IF(B1155="Total",SUM(J$8:J1154)+0.0001,IF(OR(B1155="",I$2=I1155),0,VLOOKUP(A1155,Journal!$B$7:M$84,8)))</f>
        <v>0</v>
      </c>
      <c r="K1155" s="102">
        <f>IF(B1155="Total",SUM(K$8:K1154)+0.0001,IF(OR(B1155="",J1155&lt;&gt;0),0,VLOOKUP(A1155,Journal!$B$7:M$84,8)))</f>
        <v>0</v>
      </c>
      <c r="L1155" s="87">
        <f t="shared" si="133"/>
        <v>0</v>
      </c>
      <c r="P1155">
        <f t="shared" si="134"/>
        <v>1.0000000000000001E-5</v>
      </c>
      <c r="R1155" s="15">
        <f t="shared" si="135"/>
        <v>1148</v>
      </c>
      <c r="S1155" s="126">
        <f>IF(VLOOKUP(A1155,Journal!$A$7:$E$70,5)=0,S1154+1,VLOOKUP(A1155,Journal!$A$7:$E$70,5))</f>
        <v>46805</v>
      </c>
      <c r="T1155" s="125">
        <f>IF(H$2=VLOOKUP(A1155,Journal!$A$7:$F$70,6),VLOOKUP(A1155,Journal!$A$7:M$70,9),0)</f>
        <v>0</v>
      </c>
      <c r="U1155" s="125">
        <f>IF(H$2=VLOOKUP(A1155,Journal!$A$7:$G$70,7),VLOOKUP(A1155,Journal!$A$7:M$70,9),0)</f>
        <v>0</v>
      </c>
      <c r="V1155" s="125">
        <f t="shared" si="131"/>
        <v>40</v>
      </c>
      <c r="X1155">
        <f t="shared" si="136"/>
        <v>0</v>
      </c>
      <c r="Y1155" s="143">
        <f t="shared" si="130"/>
        <v>-969.86842105267954</v>
      </c>
    </row>
    <row r="1156" spans="1:25" x14ac:dyDescent="0.25">
      <c r="A1156">
        <f t="shared" si="132"/>
        <v>1149</v>
      </c>
      <c r="B1156" s="88" t="str">
        <f>IF(OR(B1155="Total",B1155=""),"",IF(VLOOKUP(A1156,Journal!$B$7:$E$84,4)=0,"Total",VLOOKUP(A1156,Journal!$B$7:$D$84,3)))</f>
        <v/>
      </c>
      <c r="C1156" s="86" t="str">
        <f>IF(B1156="","",VLOOKUP(A1156,Journal!$B$7:$E$84,4))</f>
        <v/>
      </c>
      <c r="D1156" s="114" t="str">
        <f>IF(B1156="","",VLOOKUP(A1156,Journal!$B$7:$J$84,9))</f>
        <v/>
      </c>
      <c r="E1156" s="116"/>
      <c r="F1156" s="116"/>
      <c r="G1156" s="115"/>
      <c r="H1156" s="84" t="str">
        <f>IF(B1156="","",VLOOKUP(A1156,Journal!$B$7:$L$84,11))</f>
        <v/>
      </c>
      <c r="I1156" s="84" t="str">
        <f>IF(B1156="","",VLOOKUP(A1156,Journal!$B$7:$M$84,12))</f>
        <v/>
      </c>
      <c r="J1156" s="105">
        <f>IF(B1156="Total",SUM(J$8:J1155)+0.0001,IF(OR(B1156="",I$2=I1156),0,VLOOKUP(A1156,Journal!$B$7:M$84,8)))</f>
        <v>0</v>
      </c>
      <c r="K1156" s="102">
        <f>IF(B1156="Total",SUM(K$8:K1155)+0.0001,IF(OR(B1156="",J1156&lt;&gt;0),0,VLOOKUP(A1156,Journal!$B$7:M$84,8)))</f>
        <v>0</v>
      </c>
      <c r="L1156" s="87">
        <f t="shared" si="133"/>
        <v>0</v>
      </c>
      <c r="P1156">
        <f t="shared" si="134"/>
        <v>1.0000000000000001E-5</v>
      </c>
      <c r="R1156" s="15">
        <f t="shared" si="135"/>
        <v>1149</v>
      </c>
      <c r="S1156" s="126">
        <f>IF(VLOOKUP(A1156,Journal!$A$7:$E$70,5)=0,S1155+1,VLOOKUP(A1156,Journal!$A$7:$E$70,5))</f>
        <v>46806</v>
      </c>
      <c r="T1156" s="125">
        <f>IF(H$2=VLOOKUP(A1156,Journal!$A$7:$F$70,6),VLOOKUP(A1156,Journal!$A$7:M$70,9),0)</f>
        <v>0</v>
      </c>
      <c r="U1156" s="125">
        <f>IF(H$2=VLOOKUP(A1156,Journal!$A$7:$G$70,7),VLOOKUP(A1156,Journal!$A$7:M$70,9),0)</f>
        <v>0</v>
      </c>
      <c r="V1156" s="125">
        <f t="shared" si="131"/>
        <v>40</v>
      </c>
      <c r="X1156">
        <f t="shared" si="136"/>
        <v>0</v>
      </c>
      <c r="Y1156" s="143">
        <f t="shared" si="130"/>
        <v>-969.84210526320589</v>
      </c>
    </row>
    <row r="1157" spans="1:25" x14ac:dyDescent="0.25">
      <c r="A1157">
        <f t="shared" si="132"/>
        <v>1150</v>
      </c>
      <c r="B1157" s="88" t="str">
        <f>IF(OR(B1156="Total",B1156=""),"",IF(VLOOKUP(A1157,Journal!$B$7:$E$84,4)=0,"Total",VLOOKUP(A1157,Journal!$B$7:$D$84,3)))</f>
        <v/>
      </c>
      <c r="C1157" s="86" t="str">
        <f>IF(B1157="","",VLOOKUP(A1157,Journal!$B$7:$E$84,4))</f>
        <v/>
      </c>
      <c r="D1157" s="114" t="str">
        <f>IF(B1157="","",VLOOKUP(A1157,Journal!$B$7:$J$84,9))</f>
        <v/>
      </c>
      <c r="E1157" s="116"/>
      <c r="F1157" s="116"/>
      <c r="G1157" s="115"/>
      <c r="H1157" s="84" t="str">
        <f>IF(B1157="","",VLOOKUP(A1157,Journal!$B$7:$L$84,11))</f>
        <v/>
      </c>
      <c r="I1157" s="84" t="str">
        <f>IF(B1157="","",VLOOKUP(A1157,Journal!$B$7:$M$84,12))</f>
        <v/>
      </c>
      <c r="J1157" s="105">
        <f>IF(B1157="Total",SUM(J$8:J1156)+0.0001,IF(OR(B1157="",I$2=I1157),0,VLOOKUP(A1157,Journal!$B$7:M$84,8)))</f>
        <v>0</v>
      </c>
      <c r="K1157" s="102">
        <f>IF(B1157="Total",SUM(K$8:K1156)+0.0001,IF(OR(B1157="",J1157&lt;&gt;0),0,VLOOKUP(A1157,Journal!$B$7:M$84,8)))</f>
        <v>0</v>
      </c>
      <c r="L1157" s="87">
        <f t="shared" si="133"/>
        <v>0</v>
      </c>
      <c r="P1157">
        <f t="shared" si="134"/>
        <v>1.0000000000000001E-5</v>
      </c>
      <c r="R1157" s="15">
        <f t="shared" si="135"/>
        <v>1150</v>
      </c>
      <c r="S1157" s="126">
        <f>IF(VLOOKUP(A1157,Journal!$A$7:$E$70,5)=0,S1156+1,VLOOKUP(A1157,Journal!$A$7:$E$70,5))</f>
        <v>46807</v>
      </c>
      <c r="T1157" s="125">
        <f>IF(H$2=VLOOKUP(A1157,Journal!$A$7:$F$70,6),VLOOKUP(A1157,Journal!$A$7:M$70,9),0)</f>
        <v>0</v>
      </c>
      <c r="U1157" s="125">
        <f>IF(H$2=VLOOKUP(A1157,Journal!$A$7:$G$70,7),VLOOKUP(A1157,Journal!$A$7:M$70,9),0)</f>
        <v>0</v>
      </c>
      <c r="V1157" s="125">
        <f t="shared" si="131"/>
        <v>40</v>
      </c>
      <c r="X1157">
        <f t="shared" si="136"/>
        <v>0</v>
      </c>
      <c r="Y1157" s="143">
        <f t="shared" si="130"/>
        <v>-969.81578947373225</v>
      </c>
    </row>
    <row r="1158" spans="1:25" x14ac:dyDescent="0.25">
      <c r="A1158">
        <f t="shared" si="132"/>
        <v>1151</v>
      </c>
      <c r="B1158" s="88" t="str">
        <f>IF(OR(B1157="Total",B1157=""),"",IF(VLOOKUP(A1158,Journal!$B$7:$E$84,4)=0,"Total",VLOOKUP(A1158,Journal!$B$7:$D$84,3)))</f>
        <v/>
      </c>
      <c r="C1158" s="86" t="str">
        <f>IF(B1158="","",VLOOKUP(A1158,Journal!$B$7:$E$84,4))</f>
        <v/>
      </c>
      <c r="D1158" s="114" t="str">
        <f>IF(B1158="","",VLOOKUP(A1158,Journal!$B$7:$J$84,9))</f>
        <v/>
      </c>
      <c r="E1158" s="116"/>
      <c r="F1158" s="116"/>
      <c r="G1158" s="115"/>
      <c r="H1158" s="84" t="str">
        <f>IF(B1158="","",VLOOKUP(A1158,Journal!$B$7:$L$84,11))</f>
        <v/>
      </c>
      <c r="I1158" s="84" t="str">
        <f>IF(B1158="","",VLOOKUP(A1158,Journal!$B$7:$M$84,12))</f>
        <v/>
      </c>
      <c r="J1158" s="105">
        <f>IF(B1158="Total",SUM(J$8:J1157)+0.0001,IF(OR(B1158="",I$2=I1158),0,VLOOKUP(A1158,Journal!$B$7:M$84,8)))</f>
        <v>0</v>
      </c>
      <c r="K1158" s="102">
        <f>IF(B1158="Total",SUM(K$8:K1157)+0.0001,IF(OR(B1158="",J1158&lt;&gt;0),0,VLOOKUP(A1158,Journal!$B$7:M$84,8)))</f>
        <v>0</v>
      </c>
      <c r="L1158" s="87">
        <f t="shared" si="133"/>
        <v>0</v>
      </c>
      <c r="P1158">
        <f t="shared" si="134"/>
        <v>1.0000000000000001E-5</v>
      </c>
      <c r="R1158" s="15">
        <f t="shared" si="135"/>
        <v>1151</v>
      </c>
      <c r="S1158" s="126">
        <f>IF(VLOOKUP(A1158,Journal!$A$7:$E$70,5)=0,S1157+1,VLOOKUP(A1158,Journal!$A$7:$E$70,5))</f>
        <v>46808</v>
      </c>
      <c r="T1158" s="125">
        <f>IF(H$2=VLOOKUP(A1158,Journal!$A$7:$F$70,6),VLOOKUP(A1158,Journal!$A$7:M$70,9),0)</f>
        <v>0</v>
      </c>
      <c r="U1158" s="125">
        <f>IF(H$2=VLOOKUP(A1158,Journal!$A$7:$G$70,7),VLOOKUP(A1158,Journal!$A$7:M$70,9),0)</f>
        <v>0</v>
      </c>
      <c r="V1158" s="125">
        <f t="shared" si="131"/>
        <v>40</v>
      </c>
      <c r="X1158">
        <f t="shared" si="136"/>
        <v>0</v>
      </c>
      <c r="Y1158" s="143">
        <f t="shared" si="130"/>
        <v>-969.78947368425861</v>
      </c>
    </row>
    <row r="1159" spans="1:25" x14ac:dyDescent="0.25">
      <c r="A1159">
        <f t="shared" si="132"/>
        <v>1152</v>
      </c>
      <c r="B1159" s="88" t="str">
        <f>IF(OR(B1158="Total",B1158=""),"",IF(VLOOKUP(A1159,Journal!$B$7:$E$84,4)=0,"Total",VLOOKUP(A1159,Journal!$B$7:$D$84,3)))</f>
        <v/>
      </c>
      <c r="C1159" s="86" t="str">
        <f>IF(B1159="","",VLOOKUP(A1159,Journal!$B$7:$E$84,4))</f>
        <v/>
      </c>
      <c r="D1159" s="114" t="str">
        <f>IF(B1159="","",VLOOKUP(A1159,Journal!$B$7:$J$84,9))</f>
        <v/>
      </c>
      <c r="E1159" s="116"/>
      <c r="F1159" s="116"/>
      <c r="G1159" s="115"/>
      <c r="H1159" s="84" t="str">
        <f>IF(B1159="","",VLOOKUP(A1159,Journal!$B$7:$L$84,11))</f>
        <v/>
      </c>
      <c r="I1159" s="84" t="str">
        <f>IF(B1159="","",VLOOKUP(A1159,Journal!$B$7:$M$84,12))</f>
        <v/>
      </c>
      <c r="J1159" s="105">
        <f>IF(B1159="Total",SUM(J$8:J1158)+0.0001,IF(OR(B1159="",I$2=I1159),0,VLOOKUP(A1159,Journal!$B$7:M$84,8)))</f>
        <v>0</v>
      </c>
      <c r="K1159" s="102">
        <f>IF(B1159="Total",SUM(K$8:K1158)+0.0001,IF(OR(B1159="",J1159&lt;&gt;0),0,VLOOKUP(A1159,Journal!$B$7:M$84,8)))</f>
        <v>0</v>
      </c>
      <c r="L1159" s="87">
        <f t="shared" si="133"/>
        <v>0</v>
      </c>
      <c r="P1159">
        <f t="shared" si="134"/>
        <v>1.0000000000000001E-5</v>
      </c>
      <c r="R1159" s="15">
        <f t="shared" si="135"/>
        <v>1152</v>
      </c>
      <c r="S1159" s="126">
        <f>IF(VLOOKUP(A1159,Journal!$A$7:$E$70,5)=0,S1158+1,VLOOKUP(A1159,Journal!$A$7:$E$70,5))</f>
        <v>46809</v>
      </c>
      <c r="T1159" s="125">
        <f>IF(H$2=VLOOKUP(A1159,Journal!$A$7:$F$70,6),VLOOKUP(A1159,Journal!$A$7:M$70,9),0)</f>
        <v>0</v>
      </c>
      <c r="U1159" s="125">
        <f>IF(H$2=VLOOKUP(A1159,Journal!$A$7:$G$70,7),VLOOKUP(A1159,Journal!$A$7:M$70,9),0)</f>
        <v>0</v>
      </c>
      <c r="V1159" s="125">
        <f t="shared" si="131"/>
        <v>40</v>
      </c>
      <c r="X1159">
        <f t="shared" si="136"/>
        <v>0</v>
      </c>
      <c r="Y1159" s="143">
        <f t="shared" si="130"/>
        <v>-969.76315789478497</v>
      </c>
    </row>
    <row r="1160" spans="1:25" x14ac:dyDescent="0.25">
      <c r="A1160">
        <f t="shared" si="132"/>
        <v>1153</v>
      </c>
      <c r="B1160" s="88" t="str">
        <f>IF(OR(B1159="Total",B1159=""),"",IF(VLOOKUP(A1160,Journal!$B$7:$E$84,4)=0,"Total",VLOOKUP(A1160,Journal!$B$7:$D$84,3)))</f>
        <v/>
      </c>
      <c r="C1160" s="86" t="str">
        <f>IF(B1160="","",VLOOKUP(A1160,Journal!$B$7:$E$84,4))</f>
        <v/>
      </c>
      <c r="D1160" s="114" t="str">
        <f>IF(B1160="","",VLOOKUP(A1160,Journal!$B$7:$J$84,9))</f>
        <v/>
      </c>
      <c r="E1160" s="116"/>
      <c r="F1160" s="116"/>
      <c r="G1160" s="115"/>
      <c r="H1160" s="84" t="str">
        <f>IF(B1160="","",VLOOKUP(A1160,Journal!$B$7:$L$84,11))</f>
        <v/>
      </c>
      <c r="I1160" s="84" t="str">
        <f>IF(B1160="","",VLOOKUP(A1160,Journal!$B$7:$M$84,12))</f>
        <v/>
      </c>
      <c r="J1160" s="105">
        <f>IF(B1160="Total",SUM(J$8:J1159)+0.0001,IF(OR(B1160="",I$2=I1160),0,VLOOKUP(A1160,Journal!$B$7:M$84,8)))</f>
        <v>0</v>
      </c>
      <c r="K1160" s="102">
        <f>IF(B1160="Total",SUM(K$8:K1159)+0.0001,IF(OR(B1160="",J1160&lt;&gt;0),0,VLOOKUP(A1160,Journal!$B$7:M$84,8)))</f>
        <v>0</v>
      </c>
      <c r="L1160" s="87">
        <f t="shared" si="133"/>
        <v>0</v>
      </c>
      <c r="P1160">
        <f t="shared" si="134"/>
        <v>1.0000000000000001E-5</v>
      </c>
      <c r="R1160" s="15">
        <f t="shared" si="135"/>
        <v>1153</v>
      </c>
      <c r="S1160" s="126">
        <f>IF(VLOOKUP(A1160,Journal!$A$7:$E$70,5)=0,S1159+1,VLOOKUP(A1160,Journal!$A$7:$E$70,5))</f>
        <v>46810</v>
      </c>
      <c r="T1160" s="125">
        <f>IF(H$2=VLOOKUP(A1160,Journal!$A$7:$F$70,6),VLOOKUP(A1160,Journal!$A$7:M$70,9),0)</f>
        <v>0</v>
      </c>
      <c r="U1160" s="125">
        <f>IF(H$2=VLOOKUP(A1160,Journal!$A$7:$G$70,7),VLOOKUP(A1160,Journal!$A$7:M$70,9),0)</f>
        <v>0</v>
      </c>
      <c r="V1160" s="125">
        <f t="shared" si="131"/>
        <v>40</v>
      </c>
      <c r="X1160">
        <f t="shared" si="136"/>
        <v>0</v>
      </c>
      <c r="Y1160" s="143">
        <f t="shared" ref="Y1160:Y1223" si="137">IF(B1159="Total",-1000,Y1159+Y$4)</f>
        <v>-969.73684210531133</v>
      </c>
    </row>
    <row r="1161" spans="1:25" x14ac:dyDescent="0.25">
      <c r="A1161">
        <f t="shared" si="132"/>
        <v>1154</v>
      </c>
      <c r="B1161" s="88" t="str">
        <f>IF(OR(B1160="Total",B1160=""),"",IF(VLOOKUP(A1161,Journal!$B$7:$E$84,4)=0,"Total",VLOOKUP(A1161,Journal!$B$7:$D$84,3)))</f>
        <v/>
      </c>
      <c r="C1161" s="86" t="str">
        <f>IF(B1161="","",VLOOKUP(A1161,Journal!$B$7:$E$84,4))</f>
        <v/>
      </c>
      <c r="D1161" s="114" t="str">
        <f>IF(B1161="","",VLOOKUP(A1161,Journal!$B$7:$J$84,9))</f>
        <v/>
      </c>
      <c r="E1161" s="116"/>
      <c r="F1161" s="116"/>
      <c r="G1161" s="115"/>
      <c r="H1161" s="84" t="str">
        <f>IF(B1161="","",VLOOKUP(A1161,Journal!$B$7:$L$84,11))</f>
        <v/>
      </c>
      <c r="I1161" s="84" t="str">
        <f>IF(B1161="","",VLOOKUP(A1161,Journal!$B$7:$M$84,12))</f>
        <v/>
      </c>
      <c r="J1161" s="105">
        <f>IF(B1161="Total",SUM(J$8:J1160)+0.0001,IF(OR(B1161="",I$2=I1161),0,VLOOKUP(A1161,Journal!$B$7:M$84,8)))</f>
        <v>0</v>
      </c>
      <c r="K1161" s="102">
        <f>IF(B1161="Total",SUM(K$8:K1160)+0.0001,IF(OR(B1161="",J1161&lt;&gt;0),0,VLOOKUP(A1161,Journal!$B$7:M$84,8)))</f>
        <v>0</v>
      </c>
      <c r="L1161" s="87">
        <f t="shared" si="133"/>
        <v>0</v>
      </c>
      <c r="P1161">
        <f t="shared" si="134"/>
        <v>1.0000000000000001E-5</v>
      </c>
      <c r="R1161" s="15">
        <f t="shared" si="135"/>
        <v>1154</v>
      </c>
      <c r="S1161" s="126">
        <f>IF(VLOOKUP(A1161,Journal!$A$7:$E$70,5)=0,S1160+1,VLOOKUP(A1161,Journal!$A$7:$E$70,5))</f>
        <v>46811</v>
      </c>
      <c r="T1161" s="125">
        <f>IF(H$2=VLOOKUP(A1161,Journal!$A$7:$F$70,6),VLOOKUP(A1161,Journal!$A$7:M$70,9),0)</f>
        <v>0</v>
      </c>
      <c r="U1161" s="125">
        <f>IF(H$2=VLOOKUP(A1161,Journal!$A$7:$G$70,7),VLOOKUP(A1161,Journal!$A$7:M$70,9),0)</f>
        <v>0</v>
      </c>
      <c r="V1161" s="125">
        <f t="shared" si="131"/>
        <v>40</v>
      </c>
      <c r="X1161">
        <f t="shared" si="136"/>
        <v>0</v>
      </c>
      <c r="Y1161" s="143">
        <f t="shared" si="137"/>
        <v>-969.71052631583768</v>
      </c>
    </row>
    <row r="1162" spans="1:25" x14ac:dyDescent="0.25">
      <c r="A1162">
        <f t="shared" si="132"/>
        <v>1155</v>
      </c>
      <c r="B1162" s="88" t="str">
        <f>IF(OR(B1161="Total",B1161=""),"",IF(VLOOKUP(A1162,Journal!$B$7:$E$84,4)=0,"Total",VLOOKUP(A1162,Journal!$B$7:$D$84,3)))</f>
        <v/>
      </c>
      <c r="C1162" s="86" t="str">
        <f>IF(B1162="","",VLOOKUP(A1162,Journal!$B$7:$E$84,4))</f>
        <v/>
      </c>
      <c r="D1162" s="114" t="str">
        <f>IF(B1162="","",VLOOKUP(A1162,Journal!$B$7:$J$84,9))</f>
        <v/>
      </c>
      <c r="E1162" s="116"/>
      <c r="F1162" s="116"/>
      <c r="G1162" s="115"/>
      <c r="H1162" s="84" t="str">
        <f>IF(B1162="","",VLOOKUP(A1162,Journal!$B$7:$L$84,11))</f>
        <v/>
      </c>
      <c r="I1162" s="84" t="str">
        <f>IF(B1162="","",VLOOKUP(A1162,Journal!$B$7:$M$84,12))</f>
        <v/>
      </c>
      <c r="J1162" s="105">
        <f>IF(B1162="Total",SUM(J$8:J1161)+0.0001,IF(OR(B1162="",I$2=I1162),0,VLOOKUP(A1162,Journal!$B$7:M$84,8)))</f>
        <v>0</v>
      </c>
      <c r="K1162" s="102">
        <f>IF(B1162="Total",SUM(K$8:K1161)+0.0001,IF(OR(B1162="",J1162&lt;&gt;0),0,VLOOKUP(A1162,Journal!$B$7:M$84,8)))</f>
        <v>0</v>
      </c>
      <c r="L1162" s="87">
        <f t="shared" si="133"/>
        <v>0</v>
      </c>
      <c r="P1162">
        <f t="shared" si="134"/>
        <v>1.0000000000000001E-5</v>
      </c>
      <c r="R1162" s="15">
        <f t="shared" si="135"/>
        <v>1155</v>
      </c>
      <c r="S1162" s="126">
        <f>IF(VLOOKUP(A1162,Journal!$A$7:$E$70,5)=0,S1161+1,VLOOKUP(A1162,Journal!$A$7:$E$70,5))</f>
        <v>46812</v>
      </c>
      <c r="T1162" s="125">
        <f>IF(H$2=VLOOKUP(A1162,Journal!$A$7:$F$70,6),VLOOKUP(A1162,Journal!$A$7:M$70,9),0)</f>
        <v>0</v>
      </c>
      <c r="U1162" s="125">
        <f>IF(H$2=VLOOKUP(A1162,Journal!$A$7:$G$70,7),VLOOKUP(A1162,Journal!$A$7:M$70,9),0)</f>
        <v>0</v>
      </c>
      <c r="V1162" s="125">
        <f t="shared" ref="V1162:V1225" si="138">IF($M$1=1,V1161+T1162-U1162,V1161-T1162+U1162)</f>
        <v>40</v>
      </c>
      <c r="X1162">
        <f t="shared" si="136"/>
        <v>0</v>
      </c>
      <c r="Y1162" s="143">
        <f t="shared" si="137"/>
        <v>-969.68421052636404</v>
      </c>
    </row>
    <row r="1163" spans="1:25" x14ac:dyDescent="0.25">
      <c r="A1163">
        <f t="shared" si="132"/>
        <v>1156</v>
      </c>
      <c r="B1163" s="88" t="str">
        <f>IF(OR(B1162="Total",B1162=""),"",IF(VLOOKUP(A1163,Journal!$B$7:$E$84,4)=0,"Total",VLOOKUP(A1163,Journal!$B$7:$D$84,3)))</f>
        <v/>
      </c>
      <c r="C1163" s="86" t="str">
        <f>IF(B1163="","",VLOOKUP(A1163,Journal!$B$7:$E$84,4))</f>
        <v/>
      </c>
      <c r="D1163" s="114" t="str">
        <f>IF(B1163="","",VLOOKUP(A1163,Journal!$B$7:$J$84,9))</f>
        <v/>
      </c>
      <c r="E1163" s="116"/>
      <c r="F1163" s="116"/>
      <c r="G1163" s="115"/>
      <c r="H1163" s="84" t="str">
        <f>IF(B1163="","",VLOOKUP(A1163,Journal!$B$7:$L$84,11))</f>
        <v/>
      </c>
      <c r="I1163" s="84" t="str">
        <f>IF(B1163="","",VLOOKUP(A1163,Journal!$B$7:$M$84,12))</f>
        <v/>
      </c>
      <c r="J1163" s="105">
        <f>IF(B1163="Total",SUM(J$8:J1162)+0.0001,IF(OR(B1163="",I$2=I1163),0,VLOOKUP(A1163,Journal!$B$7:M$84,8)))</f>
        <v>0</v>
      </c>
      <c r="K1163" s="102">
        <f>IF(B1163="Total",SUM(K$8:K1162)+0.0001,IF(OR(B1163="",J1163&lt;&gt;0),0,VLOOKUP(A1163,Journal!$B$7:M$84,8)))</f>
        <v>0</v>
      </c>
      <c r="L1163" s="87">
        <f t="shared" si="133"/>
        <v>0</v>
      </c>
      <c r="P1163">
        <f t="shared" si="134"/>
        <v>1.0000000000000001E-5</v>
      </c>
      <c r="R1163" s="15">
        <f t="shared" si="135"/>
        <v>1156</v>
      </c>
      <c r="S1163" s="126">
        <f>IF(VLOOKUP(A1163,Journal!$A$7:$E$70,5)=0,S1162+1,VLOOKUP(A1163,Journal!$A$7:$E$70,5))</f>
        <v>46813</v>
      </c>
      <c r="T1163" s="125">
        <f>IF(H$2=VLOOKUP(A1163,Journal!$A$7:$F$70,6),VLOOKUP(A1163,Journal!$A$7:M$70,9),0)</f>
        <v>0</v>
      </c>
      <c r="U1163" s="125">
        <f>IF(H$2=VLOOKUP(A1163,Journal!$A$7:$G$70,7),VLOOKUP(A1163,Journal!$A$7:M$70,9),0)</f>
        <v>0</v>
      </c>
      <c r="V1163" s="125">
        <f t="shared" si="138"/>
        <v>40</v>
      </c>
      <c r="X1163">
        <f t="shared" si="136"/>
        <v>0</v>
      </c>
      <c r="Y1163" s="143">
        <f t="shared" si="137"/>
        <v>-969.6578947368904</v>
      </c>
    </row>
    <row r="1164" spans="1:25" x14ac:dyDescent="0.25">
      <c r="A1164">
        <f t="shared" si="132"/>
        <v>1157</v>
      </c>
      <c r="B1164" s="88" t="str">
        <f>IF(OR(B1163="Total",B1163=""),"",IF(VLOOKUP(A1164,Journal!$B$7:$E$84,4)=0,"Total",VLOOKUP(A1164,Journal!$B$7:$D$84,3)))</f>
        <v/>
      </c>
      <c r="C1164" s="86" t="str">
        <f>IF(B1164="","",VLOOKUP(A1164,Journal!$B$7:$E$84,4))</f>
        <v/>
      </c>
      <c r="D1164" s="114" t="str">
        <f>IF(B1164="","",VLOOKUP(A1164,Journal!$B$7:$J$84,9))</f>
        <v/>
      </c>
      <c r="E1164" s="116"/>
      <c r="F1164" s="116"/>
      <c r="G1164" s="115"/>
      <c r="H1164" s="84" t="str">
        <f>IF(B1164="","",VLOOKUP(A1164,Journal!$B$7:$L$84,11))</f>
        <v/>
      </c>
      <c r="I1164" s="84" t="str">
        <f>IF(B1164="","",VLOOKUP(A1164,Journal!$B$7:$M$84,12))</f>
        <v/>
      </c>
      <c r="J1164" s="105">
        <f>IF(B1164="Total",SUM(J$8:J1163)+0.0001,IF(OR(B1164="",I$2=I1164),0,VLOOKUP(A1164,Journal!$B$7:M$84,8)))</f>
        <v>0</v>
      </c>
      <c r="K1164" s="102">
        <f>IF(B1164="Total",SUM(K$8:K1163)+0.0001,IF(OR(B1164="",J1164&lt;&gt;0),0,VLOOKUP(A1164,Journal!$B$7:M$84,8)))</f>
        <v>0</v>
      </c>
      <c r="L1164" s="87">
        <f t="shared" si="133"/>
        <v>0</v>
      </c>
      <c r="P1164">
        <f t="shared" si="134"/>
        <v>1.0000000000000001E-5</v>
      </c>
      <c r="R1164" s="15">
        <f t="shared" si="135"/>
        <v>1157</v>
      </c>
      <c r="S1164" s="126">
        <f>IF(VLOOKUP(A1164,Journal!$A$7:$E$70,5)=0,S1163+1,VLOOKUP(A1164,Journal!$A$7:$E$70,5))</f>
        <v>46814</v>
      </c>
      <c r="T1164" s="125">
        <f>IF(H$2=VLOOKUP(A1164,Journal!$A$7:$F$70,6),VLOOKUP(A1164,Journal!$A$7:M$70,9),0)</f>
        <v>0</v>
      </c>
      <c r="U1164" s="125">
        <f>IF(H$2=VLOOKUP(A1164,Journal!$A$7:$G$70,7),VLOOKUP(A1164,Journal!$A$7:M$70,9),0)</f>
        <v>0</v>
      </c>
      <c r="V1164" s="125">
        <f t="shared" si="138"/>
        <v>40</v>
      </c>
      <c r="X1164">
        <f t="shared" si="136"/>
        <v>0</v>
      </c>
      <c r="Y1164" s="143">
        <f t="shared" si="137"/>
        <v>-969.63157894741676</v>
      </c>
    </row>
    <row r="1165" spans="1:25" x14ac:dyDescent="0.25">
      <c r="A1165">
        <f t="shared" si="132"/>
        <v>1158</v>
      </c>
      <c r="B1165" s="88" t="str">
        <f>IF(OR(B1164="Total",B1164=""),"",IF(VLOOKUP(A1165,Journal!$B$7:$E$84,4)=0,"Total",VLOOKUP(A1165,Journal!$B$7:$D$84,3)))</f>
        <v/>
      </c>
      <c r="C1165" s="86" t="str">
        <f>IF(B1165="","",VLOOKUP(A1165,Journal!$B$7:$E$84,4))</f>
        <v/>
      </c>
      <c r="D1165" s="114" t="str">
        <f>IF(B1165="","",VLOOKUP(A1165,Journal!$B$7:$J$84,9))</f>
        <v/>
      </c>
      <c r="E1165" s="116"/>
      <c r="F1165" s="116"/>
      <c r="G1165" s="115"/>
      <c r="H1165" s="84" t="str">
        <f>IF(B1165="","",VLOOKUP(A1165,Journal!$B$7:$L$84,11))</f>
        <v/>
      </c>
      <c r="I1165" s="84" t="str">
        <f>IF(B1165="","",VLOOKUP(A1165,Journal!$B$7:$M$84,12))</f>
        <v/>
      </c>
      <c r="J1165" s="105">
        <f>IF(B1165="Total",SUM(J$8:J1164)+0.0001,IF(OR(B1165="",I$2=I1165),0,VLOOKUP(A1165,Journal!$B$7:M$84,8)))</f>
        <v>0</v>
      </c>
      <c r="K1165" s="102">
        <f>IF(B1165="Total",SUM(K$8:K1164)+0.0001,IF(OR(B1165="",J1165&lt;&gt;0),0,VLOOKUP(A1165,Journal!$B$7:M$84,8)))</f>
        <v>0</v>
      </c>
      <c r="L1165" s="87">
        <f t="shared" si="133"/>
        <v>0</v>
      </c>
      <c r="P1165">
        <f t="shared" si="134"/>
        <v>1.0000000000000001E-5</v>
      </c>
      <c r="R1165" s="15">
        <f t="shared" si="135"/>
        <v>1158</v>
      </c>
      <c r="S1165" s="126">
        <f>IF(VLOOKUP(A1165,Journal!$A$7:$E$70,5)=0,S1164+1,VLOOKUP(A1165,Journal!$A$7:$E$70,5))</f>
        <v>46815</v>
      </c>
      <c r="T1165" s="125">
        <f>IF(H$2=VLOOKUP(A1165,Journal!$A$7:$F$70,6),VLOOKUP(A1165,Journal!$A$7:M$70,9),0)</f>
        <v>0</v>
      </c>
      <c r="U1165" s="125">
        <f>IF(H$2=VLOOKUP(A1165,Journal!$A$7:$G$70,7),VLOOKUP(A1165,Journal!$A$7:M$70,9),0)</f>
        <v>0</v>
      </c>
      <c r="V1165" s="125">
        <f t="shared" si="138"/>
        <v>40</v>
      </c>
      <c r="X1165">
        <f t="shared" si="136"/>
        <v>0</v>
      </c>
      <c r="Y1165" s="143">
        <f t="shared" si="137"/>
        <v>-969.60526315794311</v>
      </c>
    </row>
    <row r="1166" spans="1:25" x14ac:dyDescent="0.25">
      <c r="A1166">
        <f t="shared" si="132"/>
        <v>1159</v>
      </c>
      <c r="B1166" s="88" t="str">
        <f>IF(OR(B1165="Total",B1165=""),"",IF(VLOOKUP(A1166,Journal!$B$7:$E$84,4)=0,"Total",VLOOKUP(A1166,Journal!$B$7:$D$84,3)))</f>
        <v/>
      </c>
      <c r="C1166" s="86" t="str">
        <f>IF(B1166="","",VLOOKUP(A1166,Journal!$B$7:$E$84,4))</f>
        <v/>
      </c>
      <c r="D1166" s="114" t="str">
        <f>IF(B1166="","",VLOOKUP(A1166,Journal!$B$7:$J$84,9))</f>
        <v/>
      </c>
      <c r="E1166" s="116"/>
      <c r="F1166" s="116"/>
      <c r="G1166" s="115"/>
      <c r="H1166" s="84" t="str">
        <f>IF(B1166="","",VLOOKUP(A1166,Journal!$B$7:$L$84,11))</f>
        <v/>
      </c>
      <c r="I1166" s="84" t="str">
        <f>IF(B1166="","",VLOOKUP(A1166,Journal!$B$7:$M$84,12))</f>
        <v/>
      </c>
      <c r="J1166" s="105">
        <f>IF(B1166="Total",SUM(J$8:J1165)+0.0001,IF(OR(B1166="",I$2=I1166),0,VLOOKUP(A1166,Journal!$B$7:M$84,8)))</f>
        <v>0</v>
      </c>
      <c r="K1166" s="102">
        <f>IF(B1166="Total",SUM(K$8:K1165)+0.0001,IF(OR(B1166="",J1166&lt;&gt;0),0,VLOOKUP(A1166,Journal!$B$7:M$84,8)))</f>
        <v>0</v>
      </c>
      <c r="L1166" s="87">
        <f t="shared" si="133"/>
        <v>0</v>
      </c>
      <c r="P1166">
        <f t="shared" si="134"/>
        <v>1.0000000000000001E-5</v>
      </c>
      <c r="R1166" s="15">
        <f t="shared" si="135"/>
        <v>1159</v>
      </c>
      <c r="S1166" s="126">
        <f>IF(VLOOKUP(A1166,Journal!$A$7:$E$70,5)=0,S1165+1,VLOOKUP(A1166,Journal!$A$7:$E$70,5))</f>
        <v>46816</v>
      </c>
      <c r="T1166" s="125">
        <f>IF(H$2=VLOOKUP(A1166,Journal!$A$7:$F$70,6),VLOOKUP(A1166,Journal!$A$7:M$70,9),0)</f>
        <v>0</v>
      </c>
      <c r="U1166" s="125">
        <f>IF(H$2=VLOOKUP(A1166,Journal!$A$7:$G$70,7),VLOOKUP(A1166,Journal!$A$7:M$70,9),0)</f>
        <v>0</v>
      </c>
      <c r="V1166" s="125">
        <f t="shared" si="138"/>
        <v>40</v>
      </c>
      <c r="X1166">
        <f t="shared" si="136"/>
        <v>0</v>
      </c>
      <c r="Y1166" s="143">
        <f t="shared" si="137"/>
        <v>-969.57894736846947</v>
      </c>
    </row>
    <row r="1167" spans="1:25" x14ac:dyDescent="0.25">
      <c r="A1167">
        <f t="shared" si="132"/>
        <v>1160</v>
      </c>
      <c r="B1167" s="88" t="str">
        <f>IF(OR(B1166="Total",B1166=""),"",IF(VLOOKUP(A1167,Journal!$B$7:$E$84,4)=0,"Total",VLOOKUP(A1167,Journal!$B$7:$D$84,3)))</f>
        <v/>
      </c>
      <c r="C1167" s="86" t="str">
        <f>IF(B1167="","",VLOOKUP(A1167,Journal!$B$7:$E$84,4))</f>
        <v/>
      </c>
      <c r="D1167" s="114" t="str">
        <f>IF(B1167="","",VLOOKUP(A1167,Journal!$B$7:$J$84,9))</f>
        <v/>
      </c>
      <c r="E1167" s="116"/>
      <c r="F1167" s="116"/>
      <c r="G1167" s="115"/>
      <c r="H1167" s="84" t="str">
        <f>IF(B1167="","",VLOOKUP(A1167,Journal!$B$7:$L$84,11))</f>
        <v/>
      </c>
      <c r="I1167" s="84" t="str">
        <f>IF(B1167="","",VLOOKUP(A1167,Journal!$B$7:$M$84,12))</f>
        <v/>
      </c>
      <c r="J1167" s="105">
        <f>IF(B1167="Total",SUM(J$8:J1166)+0.0001,IF(OR(B1167="",I$2=I1167),0,VLOOKUP(A1167,Journal!$B$7:M$84,8)))</f>
        <v>0</v>
      </c>
      <c r="K1167" s="102">
        <f>IF(B1167="Total",SUM(K$8:K1166)+0.0001,IF(OR(B1167="",J1167&lt;&gt;0),0,VLOOKUP(A1167,Journal!$B$7:M$84,8)))</f>
        <v>0</v>
      </c>
      <c r="L1167" s="87">
        <f t="shared" si="133"/>
        <v>0</v>
      </c>
      <c r="P1167">
        <f t="shared" si="134"/>
        <v>1.0000000000000001E-5</v>
      </c>
      <c r="R1167" s="15">
        <f t="shared" si="135"/>
        <v>1160</v>
      </c>
      <c r="S1167" s="126">
        <f>IF(VLOOKUP(A1167,Journal!$A$7:$E$70,5)=0,S1166+1,VLOOKUP(A1167,Journal!$A$7:$E$70,5))</f>
        <v>46817</v>
      </c>
      <c r="T1167" s="125">
        <f>IF(H$2=VLOOKUP(A1167,Journal!$A$7:$F$70,6),VLOOKUP(A1167,Journal!$A$7:M$70,9),0)</f>
        <v>0</v>
      </c>
      <c r="U1167" s="125">
        <f>IF(H$2=VLOOKUP(A1167,Journal!$A$7:$G$70,7),VLOOKUP(A1167,Journal!$A$7:M$70,9),0)</f>
        <v>0</v>
      </c>
      <c r="V1167" s="125">
        <f t="shared" si="138"/>
        <v>40</v>
      </c>
      <c r="X1167">
        <f t="shared" si="136"/>
        <v>0</v>
      </c>
      <c r="Y1167" s="143">
        <f t="shared" si="137"/>
        <v>-969.55263157899583</v>
      </c>
    </row>
    <row r="1168" spans="1:25" x14ac:dyDescent="0.25">
      <c r="A1168">
        <f t="shared" si="132"/>
        <v>1161</v>
      </c>
      <c r="B1168" s="88" t="str">
        <f>IF(OR(B1167="Total",B1167=""),"",IF(VLOOKUP(A1168,Journal!$B$7:$E$84,4)=0,"Total",VLOOKUP(A1168,Journal!$B$7:$D$84,3)))</f>
        <v/>
      </c>
      <c r="C1168" s="86" t="str">
        <f>IF(B1168="","",VLOOKUP(A1168,Journal!$B$7:$E$84,4))</f>
        <v/>
      </c>
      <c r="D1168" s="114" t="str">
        <f>IF(B1168="","",VLOOKUP(A1168,Journal!$B$7:$J$84,9))</f>
        <v/>
      </c>
      <c r="E1168" s="116"/>
      <c r="F1168" s="116"/>
      <c r="G1168" s="115"/>
      <c r="H1168" s="84" t="str">
        <f>IF(B1168="","",VLOOKUP(A1168,Journal!$B$7:$L$84,11))</f>
        <v/>
      </c>
      <c r="I1168" s="84" t="str">
        <f>IF(B1168="","",VLOOKUP(A1168,Journal!$B$7:$M$84,12))</f>
        <v/>
      </c>
      <c r="J1168" s="105">
        <f>IF(B1168="Total",SUM(J$8:J1167)+0.0001,IF(OR(B1168="",I$2=I1168),0,VLOOKUP(A1168,Journal!$B$7:M$84,8)))</f>
        <v>0</v>
      </c>
      <c r="K1168" s="102">
        <f>IF(B1168="Total",SUM(K$8:K1167)+0.0001,IF(OR(B1168="",J1168&lt;&gt;0),0,VLOOKUP(A1168,Journal!$B$7:M$84,8)))</f>
        <v>0</v>
      </c>
      <c r="L1168" s="87">
        <f t="shared" si="133"/>
        <v>0</v>
      </c>
      <c r="P1168">
        <f t="shared" si="134"/>
        <v>1.0000000000000001E-5</v>
      </c>
      <c r="R1168" s="15">
        <f t="shared" si="135"/>
        <v>1161</v>
      </c>
      <c r="S1168" s="126">
        <f>IF(VLOOKUP(A1168,Journal!$A$7:$E$70,5)=0,S1167+1,VLOOKUP(A1168,Journal!$A$7:$E$70,5))</f>
        <v>46818</v>
      </c>
      <c r="T1168" s="125">
        <f>IF(H$2=VLOOKUP(A1168,Journal!$A$7:$F$70,6),VLOOKUP(A1168,Journal!$A$7:M$70,9),0)</f>
        <v>0</v>
      </c>
      <c r="U1168" s="125">
        <f>IF(H$2=VLOOKUP(A1168,Journal!$A$7:$G$70,7),VLOOKUP(A1168,Journal!$A$7:M$70,9),0)</f>
        <v>0</v>
      </c>
      <c r="V1168" s="125">
        <f t="shared" si="138"/>
        <v>40</v>
      </c>
      <c r="X1168">
        <f t="shared" si="136"/>
        <v>0</v>
      </c>
      <c r="Y1168" s="143">
        <f t="shared" si="137"/>
        <v>-969.52631578952219</v>
      </c>
    </row>
    <row r="1169" spans="1:25" x14ac:dyDescent="0.25">
      <c r="A1169">
        <f t="shared" si="132"/>
        <v>1162</v>
      </c>
      <c r="B1169" s="88" t="str">
        <f>IF(OR(B1168="Total",B1168=""),"",IF(VLOOKUP(A1169,Journal!$B$7:$E$84,4)=0,"Total",VLOOKUP(A1169,Journal!$B$7:$D$84,3)))</f>
        <v/>
      </c>
      <c r="C1169" s="86" t="str">
        <f>IF(B1169="","",VLOOKUP(A1169,Journal!$B$7:$E$84,4))</f>
        <v/>
      </c>
      <c r="D1169" s="114" t="str">
        <f>IF(B1169="","",VLOOKUP(A1169,Journal!$B$7:$J$84,9))</f>
        <v/>
      </c>
      <c r="E1169" s="116"/>
      <c r="F1169" s="116"/>
      <c r="G1169" s="115"/>
      <c r="H1169" s="84" t="str">
        <f>IF(B1169="","",VLOOKUP(A1169,Journal!$B$7:$L$84,11))</f>
        <v/>
      </c>
      <c r="I1169" s="84" t="str">
        <f>IF(B1169="","",VLOOKUP(A1169,Journal!$B$7:$M$84,12))</f>
        <v/>
      </c>
      <c r="J1169" s="105">
        <f>IF(B1169="Total",SUM(J$8:J1168)+0.0001,IF(OR(B1169="",I$2=I1169),0,VLOOKUP(A1169,Journal!$B$7:M$84,8)))</f>
        <v>0</v>
      </c>
      <c r="K1169" s="102">
        <f>IF(B1169="Total",SUM(K$8:K1168)+0.0001,IF(OR(B1169="",J1169&lt;&gt;0),0,VLOOKUP(A1169,Journal!$B$7:M$84,8)))</f>
        <v>0</v>
      </c>
      <c r="L1169" s="87">
        <f t="shared" si="133"/>
        <v>0</v>
      </c>
      <c r="P1169">
        <f t="shared" si="134"/>
        <v>1.0000000000000001E-5</v>
      </c>
      <c r="R1169" s="15">
        <f t="shared" si="135"/>
        <v>1162</v>
      </c>
      <c r="S1169" s="126">
        <f>IF(VLOOKUP(A1169,Journal!$A$7:$E$70,5)=0,S1168+1,VLOOKUP(A1169,Journal!$A$7:$E$70,5))</f>
        <v>46819</v>
      </c>
      <c r="T1169" s="125">
        <f>IF(H$2=VLOOKUP(A1169,Journal!$A$7:$F$70,6),VLOOKUP(A1169,Journal!$A$7:M$70,9),0)</f>
        <v>0</v>
      </c>
      <c r="U1169" s="125">
        <f>IF(H$2=VLOOKUP(A1169,Journal!$A$7:$G$70,7),VLOOKUP(A1169,Journal!$A$7:M$70,9),0)</f>
        <v>0</v>
      </c>
      <c r="V1169" s="125">
        <f t="shared" si="138"/>
        <v>40</v>
      </c>
      <c r="X1169">
        <f t="shared" si="136"/>
        <v>0</v>
      </c>
      <c r="Y1169" s="143">
        <f t="shared" si="137"/>
        <v>-969.50000000004854</v>
      </c>
    </row>
    <row r="1170" spans="1:25" x14ac:dyDescent="0.25">
      <c r="A1170">
        <f t="shared" ref="A1170:A1233" si="139">A1169+1</f>
        <v>1163</v>
      </c>
      <c r="B1170" s="88" t="str">
        <f>IF(OR(B1169="Total",B1169=""),"",IF(VLOOKUP(A1170,Journal!$B$7:$E$84,4)=0,"Total",VLOOKUP(A1170,Journal!$B$7:$D$84,3)))</f>
        <v/>
      </c>
      <c r="C1170" s="86" t="str">
        <f>IF(B1170="","",VLOOKUP(A1170,Journal!$B$7:$E$84,4))</f>
        <v/>
      </c>
      <c r="D1170" s="114" t="str">
        <f>IF(B1170="","",VLOOKUP(A1170,Journal!$B$7:$J$84,9))</f>
        <v/>
      </c>
      <c r="E1170" s="116"/>
      <c r="F1170" s="116"/>
      <c r="G1170" s="115"/>
      <c r="H1170" s="84" t="str">
        <f>IF(B1170="","",VLOOKUP(A1170,Journal!$B$7:$L$84,11))</f>
        <v/>
      </c>
      <c r="I1170" s="84" t="str">
        <f>IF(B1170="","",VLOOKUP(A1170,Journal!$B$7:$M$84,12))</f>
        <v/>
      </c>
      <c r="J1170" s="105">
        <f>IF(B1170="Total",SUM(J$8:J1169)+0.0001,IF(OR(B1170="",I$2=I1170),0,VLOOKUP(A1170,Journal!$B$7:M$84,8)))</f>
        <v>0</v>
      </c>
      <c r="K1170" s="102">
        <f>IF(B1170="Total",SUM(K$8:K1169)+0.0001,IF(OR(B1170="",J1170&lt;&gt;0),0,VLOOKUP(A1170,Journal!$B$7:M$84,8)))</f>
        <v>0</v>
      </c>
      <c r="L1170" s="87">
        <f t="shared" ref="L1170:L1233" si="140">IF(B1170="Total",L1169,IF(B1170="",0,IF($M$1=1,L1169+J1170-K1170,L1169-J1170+K1170)))</f>
        <v>0</v>
      </c>
      <c r="P1170">
        <f t="shared" ref="P1170:P1233" si="141">IF(L1169=L1170,L1169+0.00001,L1170)</f>
        <v>1.0000000000000001E-5</v>
      </c>
      <c r="R1170" s="15">
        <f t="shared" ref="R1170:R1233" si="142">R1169+1</f>
        <v>1163</v>
      </c>
      <c r="S1170" s="126">
        <f>IF(VLOOKUP(A1170,Journal!$A$7:$E$70,5)=0,S1169+1,VLOOKUP(A1170,Journal!$A$7:$E$70,5))</f>
        <v>46820</v>
      </c>
      <c r="T1170" s="125">
        <f>IF(H$2=VLOOKUP(A1170,Journal!$A$7:$F$70,6),VLOOKUP(A1170,Journal!$A$7:M$70,9),0)</f>
        <v>0</v>
      </c>
      <c r="U1170" s="125">
        <f>IF(H$2=VLOOKUP(A1170,Journal!$A$7:$G$70,7),VLOOKUP(A1170,Journal!$A$7:M$70,9),0)</f>
        <v>0</v>
      </c>
      <c r="V1170" s="125">
        <f t="shared" si="138"/>
        <v>40</v>
      </c>
      <c r="X1170">
        <f t="shared" ref="X1170:X1233" si="143">IF(J$2&gt;S1170,1,0)</f>
        <v>0</v>
      </c>
      <c r="Y1170" s="143">
        <f t="shared" si="137"/>
        <v>-969.4736842105749</v>
      </c>
    </row>
    <row r="1171" spans="1:25" x14ac:dyDescent="0.25">
      <c r="A1171">
        <f t="shared" si="139"/>
        <v>1164</v>
      </c>
      <c r="B1171" s="88" t="str">
        <f>IF(OR(B1170="Total",B1170=""),"",IF(VLOOKUP(A1171,Journal!$B$7:$E$84,4)=0,"Total",VLOOKUP(A1171,Journal!$B$7:$D$84,3)))</f>
        <v/>
      </c>
      <c r="C1171" s="86" t="str">
        <f>IF(B1171="","",VLOOKUP(A1171,Journal!$B$7:$E$84,4))</f>
        <v/>
      </c>
      <c r="D1171" s="114" t="str">
        <f>IF(B1171="","",VLOOKUP(A1171,Journal!$B$7:$J$84,9))</f>
        <v/>
      </c>
      <c r="E1171" s="116"/>
      <c r="F1171" s="116"/>
      <c r="G1171" s="115"/>
      <c r="H1171" s="84" t="str">
        <f>IF(B1171="","",VLOOKUP(A1171,Journal!$B$7:$L$84,11))</f>
        <v/>
      </c>
      <c r="I1171" s="84" t="str">
        <f>IF(B1171="","",VLOOKUP(A1171,Journal!$B$7:$M$84,12))</f>
        <v/>
      </c>
      <c r="J1171" s="105">
        <f>IF(B1171="Total",SUM(J$8:J1170)+0.0001,IF(OR(B1171="",I$2=I1171),0,VLOOKUP(A1171,Journal!$B$7:M$84,8)))</f>
        <v>0</v>
      </c>
      <c r="K1171" s="102">
        <f>IF(B1171="Total",SUM(K$8:K1170)+0.0001,IF(OR(B1171="",J1171&lt;&gt;0),0,VLOOKUP(A1171,Journal!$B$7:M$84,8)))</f>
        <v>0</v>
      </c>
      <c r="L1171" s="87">
        <f t="shared" si="140"/>
        <v>0</v>
      </c>
      <c r="P1171">
        <f t="shared" si="141"/>
        <v>1.0000000000000001E-5</v>
      </c>
      <c r="R1171" s="15">
        <f t="shared" si="142"/>
        <v>1164</v>
      </c>
      <c r="S1171" s="126">
        <f>IF(VLOOKUP(A1171,Journal!$A$7:$E$70,5)=0,S1170+1,VLOOKUP(A1171,Journal!$A$7:$E$70,5))</f>
        <v>46821</v>
      </c>
      <c r="T1171" s="125">
        <f>IF(H$2=VLOOKUP(A1171,Journal!$A$7:$F$70,6),VLOOKUP(A1171,Journal!$A$7:M$70,9),0)</f>
        <v>0</v>
      </c>
      <c r="U1171" s="125">
        <f>IF(H$2=VLOOKUP(A1171,Journal!$A$7:$G$70,7),VLOOKUP(A1171,Journal!$A$7:M$70,9),0)</f>
        <v>0</v>
      </c>
      <c r="V1171" s="125">
        <f t="shared" si="138"/>
        <v>40</v>
      </c>
      <c r="X1171">
        <f t="shared" si="143"/>
        <v>0</v>
      </c>
      <c r="Y1171" s="143">
        <f t="shared" si="137"/>
        <v>-969.44736842110126</v>
      </c>
    </row>
    <row r="1172" spans="1:25" x14ac:dyDescent="0.25">
      <c r="A1172">
        <f t="shared" si="139"/>
        <v>1165</v>
      </c>
      <c r="B1172" s="88" t="str">
        <f>IF(OR(B1171="Total",B1171=""),"",IF(VLOOKUP(A1172,Journal!$B$7:$E$84,4)=0,"Total",VLOOKUP(A1172,Journal!$B$7:$D$84,3)))</f>
        <v/>
      </c>
      <c r="C1172" s="86" t="str">
        <f>IF(B1172="","",VLOOKUP(A1172,Journal!$B$7:$E$84,4))</f>
        <v/>
      </c>
      <c r="D1172" s="114" t="str">
        <f>IF(B1172="","",VLOOKUP(A1172,Journal!$B$7:$J$84,9))</f>
        <v/>
      </c>
      <c r="E1172" s="116"/>
      <c r="F1172" s="116"/>
      <c r="G1172" s="115"/>
      <c r="H1172" s="84" t="str">
        <f>IF(B1172="","",VLOOKUP(A1172,Journal!$B$7:$L$84,11))</f>
        <v/>
      </c>
      <c r="I1172" s="84" t="str">
        <f>IF(B1172="","",VLOOKUP(A1172,Journal!$B$7:$M$84,12))</f>
        <v/>
      </c>
      <c r="J1172" s="105">
        <f>IF(B1172="Total",SUM(J$8:J1171)+0.0001,IF(OR(B1172="",I$2=I1172),0,VLOOKUP(A1172,Journal!$B$7:M$84,8)))</f>
        <v>0</v>
      </c>
      <c r="K1172" s="102">
        <f>IF(B1172="Total",SUM(K$8:K1171)+0.0001,IF(OR(B1172="",J1172&lt;&gt;0),0,VLOOKUP(A1172,Journal!$B$7:M$84,8)))</f>
        <v>0</v>
      </c>
      <c r="L1172" s="87">
        <f t="shared" si="140"/>
        <v>0</v>
      </c>
      <c r="P1172">
        <f t="shared" si="141"/>
        <v>1.0000000000000001E-5</v>
      </c>
      <c r="R1172" s="15">
        <f t="shared" si="142"/>
        <v>1165</v>
      </c>
      <c r="S1172" s="126">
        <f>IF(VLOOKUP(A1172,Journal!$A$7:$E$70,5)=0,S1171+1,VLOOKUP(A1172,Journal!$A$7:$E$70,5))</f>
        <v>46822</v>
      </c>
      <c r="T1172" s="125">
        <f>IF(H$2=VLOOKUP(A1172,Journal!$A$7:$F$70,6),VLOOKUP(A1172,Journal!$A$7:M$70,9),0)</f>
        <v>0</v>
      </c>
      <c r="U1172" s="125">
        <f>IF(H$2=VLOOKUP(A1172,Journal!$A$7:$G$70,7),VLOOKUP(A1172,Journal!$A$7:M$70,9),0)</f>
        <v>0</v>
      </c>
      <c r="V1172" s="125">
        <f t="shared" si="138"/>
        <v>40</v>
      </c>
      <c r="X1172">
        <f t="shared" si="143"/>
        <v>0</v>
      </c>
      <c r="Y1172" s="143">
        <f t="shared" si="137"/>
        <v>-969.42105263162762</v>
      </c>
    </row>
    <row r="1173" spans="1:25" x14ac:dyDescent="0.25">
      <c r="A1173">
        <f t="shared" si="139"/>
        <v>1166</v>
      </c>
      <c r="B1173" s="88" t="str">
        <f>IF(OR(B1172="Total",B1172=""),"",IF(VLOOKUP(A1173,Journal!$B$7:$E$84,4)=0,"Total",VLOOKUP(A1173,Journal!$B$7:$D$84,3)))</f>
        <v/>
      </c>
      <c r="C1173" s="86" t="str">
        <f>IF(B1173="","",VLOOKUP(A1173,Journal!$B$7:$E$84,4))</f>
        <v/>
      </c>
      <c r="D1173" s="114" t="str">
        <f>IF(B1173="","",VLOOKUP(A1173,Journal!$B$7:$J$84,9))</f>
        <v/>
      </c>
      <c r="E1173" s="116"/>
      <c r="F1173" s="116"/>
      <c r="G1173" s="115"/>
      <c r="H1173" s="84" t="str">
        <f>IF(B1173="","",VLOOKUP(A1173,Journal!$B$7:$L$84,11))</f>
        <v/>
      </c>
      <c r="I1173" s="84" t="str">
        <f>IF(B1173="","",VLOOKUP(A1173,Journal!$B$7:$M$84,12))</f>
        <v/>
      </c>
      <c r="J1173" s="105">
        <f>IF(B1173="Total",SUM(J$8:J1172)+0.0001,IF(OR(B1173="",I$2=I1173),0,VLOOKUP(A1173,Journal!$B$7:M$84,8)))</f>
        <v>0</v>
      </c>
      <c r="K1173" s="102">
        <f>IF(B1173="Total",SUM(K$8:K1172)+0.0001,IF(OR(B1173="",J1173&lt;&gt;0),0,VLOOKUP(A1173,Journal!$B$7:M$84,8)))</f>
        <v>0</v>
      </c>
      <c r="L1173" s="87">
        <f t="shared" si="140"/>
        <v>0</v>
      </c>
      <c r="P1173">
        <f t="shared" si="141"/>
        <v>1.0000000000000001E-5</v>
      </c>
      <c r="R1173" s="15">
        <f t="shared" si="142"/>
        <v>1166</v>
      </c>
      <c r="S1173" s="126">
        <f>IF(VLOOKUP(A1173,Journal!$A$7:$E$70,5)=0,S1172+1,VLOOKUP(A1173,Journal!$A$7:$E$70,5))</f>
        <v>46823</v>
      </c>
      <c r="T1173" s="125">
        <f>IF(H$2=VLOOKUP(A1173,Journal!$A$7:$F$70,6),VLOOKUP(A1173,Journal!$A$7:M$70,9),0)</f>
        <v>0</v>
      </c>
      <c r="U1173" s="125">
        <f>IF(H$2=VLOOKUP(A1173,Journal!$A$7:$G$70,7),VLOOKUP(A1173,Journal!$A$7:M$70,9),0)</f>
        <v>0</v>
      </c>
      <c r="V1173" s="125">
        <f t="shared" si="138"/>
        <v>40</v>
      </c>
      <c r="X1173">
        <f t="shared" si="143"/>
        <v>0</v>
      </c>
      <c r="Y1173" s="143">
        <f t="shared" si="137"/>
        <v>-969.39473684215397</v>
      </c>
    </row>
    <row r="1174" spans="1:25" x14ac:dyDescent="0.25">
      <c r="A1174">
        <f t="shared" si="139"/>
        <v>1167</v>
      </c>
      <c r="B1174" s="88" t="str">
        <f>IF(OR(B1173="Total",B1173=""),"",IF(VLOOKUP(A1174,Journal!$B$7:$E$84,4)=0,"Total",VLOOKUP(A1174,Journal!$B$7:$D$84,3)))</f>
        <v/>
      </c>
      <c r="C1174" s="86" t="str">
        <f>IF(B1174="","",VLOOKUP(A1174,Journal!$B$7:$E$84,4))</f>
        <v/>
      </c>
      <c r="D1174" s="114" t="str">
        <f>IF(B1174="","",VLOOKUP(A1174,Journal!$B$7:$J$84,9))</f>
        <v/>
      </c>
      <c r="E1174" s="116"/>
      <c r="F1174" s="116"/>
      <c r="G1174" s="115"/>
      <c r="H1174" s="84" t="str">
        <f>IF(B1174="","",VLOOKUP(A1174,Journal!$B$7:$L$84,11))</f>
        <v/>
      </c>
      <c r="I1174" s="84" t="str">
        <f>IF(B1174="","",VLOOKUP(A1174,Journal!$B$7:$M$84,12))</f>
        <v/>
      </c>
      <c r="J1174" s="105">
        <f>IF(B1174="Total",SUM(J$8:J1173)+0.0001,IF(OR(B1174="",I$2=I1174),0,VLOOKUP(A1174,Journal!$B$7:M$84,8)))</f>
        <v>0</v>
      </c>
      <c r="K1174" s="102">
        <f>IF(B1174="Total",SUM(K$8:K1173)+0.0001,IF(OR(B1174="",J1174&lt;&gt;0),0,VLOOKUP(A1174,Journal!$B$7:M$84,8)))</f>
        <v>0</v>
      </c>
      <c r="L1174" s="87">
        <f t="shared" si="140"/>
        <v>0</v>
      </c>
      <c r="P1174">
        <f t="shared" si="141"/>
        <v>1.0000000000000001E-5</v>
      </c>
      <c r="R1174" s="15">
        <f t="shared" si="142"/>
        <v>1167</v>
      </c>
      <c r="S1174" s="126">
        <f>IF(VLOOKUP(A1174,Journal!$A$7:$E$70,5)=0,S1173+1,VLOOKUP(A1174,Journal!$A$7:$E$70,5))</f>
        <v>46824</v>
      </c>
      <c r="T1174" s="125">
        <f>IF(H$2=VLOOKUP(A1174,Journal!$A$7:$F$70,6),VLOOKUP(A1174,Journal!$A$7:M$70,9),0)</f>
        <v>0</v>
      </c>
      <c r="U1174" s="125">
        <f>IF(H$2=VLOOKUP(A1174,Journal!$A$7:$G$70,7),VLOOKUP(A1174,Journal!$A$7:M$70,9),0)</f>
        <v>0</v>
      </c>
      <c r="V1174" s="125">
        <f t="shared" si="138"/>
        <v>40</v>
      </c>
      <c r="X1174">
        <f t="shared" si="143"/>
        <v>0</v>
      </c>
      <c r="Y1174" s="143">
        <f t="shared" si="137"/>
        <v>-969.36842105268033</v>
      </c>
    </row>
    <row r="1175" spans="1:25" x14ac:dyDescent="0.25">
      <c r="A1175">
        <f t="shared" si="139"/>
        <v>1168</v>
      </c>
      <c r="B1175" s="88" t="str">
        <f>IF(OR(B1174="Total",B1174=""),"",IF(VLOOKUP(A1175,Journal!$B$7:$E$84,4)=0,"Total",VLOOKUP(A1175,Journal!$B$7:$D$84,3)))</f>
        <v/>
      </c>
      <c r="C1175" s="86" t="str">
        <f>IF(B1175="","",VLOOKUP(A1175,Journal!$B$7:$E$84,4))</f>
        <v/>
      </c>
      <c r="D1175" s="114" t="str">
        <f>IF(B1175="","",VLOOKUP(A1175,Journal!$B$7:$J$84,9))</f>
        <v/>
      </c>
      <c r="E1175" s="116"/>
      <c r="F1175" s="116"/>
      <c r="G1175" s="115"/>
      <c r="H1175" s="84" t="str">
        <f>IF(B1175="","",VLOOKUP(A1175,Journal!$B$7:$L$84,11))</f>
        <v/>
      </c>
      <c r="I1175" s="84" t="str">
        <f>IF(B1175="","",VLOOKUP(A1175,Journal!$B$7:$M$84,12))</f>
        <v/>
      </c>
      <c r="J1175" s="105">
        <f>IF(B1175="Total",SUM(J$8:J1174)+0.0001,IF(OR(B1175="",I$2=I1175),0,VLOOKUP(A1175,Journal!$B$7:M$84,8)))</f>
        <v>0</v>
      </c>
      <c r="K1175" s="102">
        <f>IF(B1175="Total",SUM(K$8:K1174)+0.0001,IF(OR(B1175="",J1175&lt;&gt;0),0,VLOOKUP(A1175,Journal!$B$7:M$84,8)))</f>
        <v>0</v>
      </c>
      <c r="L1175" s="87">
        <f t="shared" si="140"/>
        <v>0</v>
      </c>
      <c r="P1175">
        <f t="shared" si="141"/>
        <v>1.0000000000000001E-5</v>
      </c>
      <c r="R1175" s="15">
        <f t="shared" si="142"/>
        <v>1168</v>
      </c>
      <c r="S1175" s="126">
        <f>IF(VLOOKUP(A1175,Journal!$A$7:$E$70,5)=0,S1174+1,VLOOKUP(A1175,Journal!$A$7:$E$70,5))</f>
        <v>46825</v>
      </c>
      <c r="T1175" s="125">
        <f>IF(H$2=VLOOKUP(A1175,Journal!$A$7:$F$70,6),VLOOKUP(A1175,Journal!$A$7:M$70,9),0)</f>
        <v>0</v>
      </c>
      <c r="U1175" s="125">
        <f>IF(H$2=VLOOKUP(A1175,Journal!$A$7:$G$70,7),VLOOKUP(A1175,Journal!$A$7:M$70,9),0)</f>
        <v>0</v>
      </c>
      <c r="V1175" s="125">
        <f t="shared" si="138"/>
        <v>40</v>
      </c>
      <c r="X1175">
        <f t="shared" si="143"/>
        <v>0</v>
      </c>
      <c r="Y1175" s="143">
        <f t="shared" si="137"/>
        <v>-969.34210526320669</v>
      </c>
    </row>
    <row r="1176" spans="1:25" x14ac:dyDescent="0.25">
      <c r="A1176">
        <f t="shared" si="139"/>
        <v>1169</v>
      </c>
      <c r="B1176" s="88" t="str">
        <f>IF(OR(B1175="Total",B1175=""),"",IF(VLOOKUP(A1176,Journal!$B$7:$E$84,4)=0,"Total",VLOOKUP(A1176,Journal!$B$7:$D$84,3)))</f>
        <v/>
      </c>
      <c r="C1176" s="86" t="str">
        <f>IF(B1176="","",VLOOKUP(A1176,Journal!$B$7:$E$84,4))</f>
        <v/>
      </c>
      <c r="D1176" s="114" t="str">
        <f>IF(B1176="","",VLOOKUP(A1176,Journal!$B$7:$J$84,9))</f>
        <v/>
      </c>
      <c r="E1176" s="116"/>
      <c r="F1176" s="116"/>
      <c r="G1176" s="115"/>
      <c r="H1176" s="84" t="str">
        <f>IF(B1176="","",VLOOKUP(A1176,Journal!$B$7:$L$84,11))</f>
        <v/>
      </c>
      <c r="I1176" s="84" t="str">
        <f>IF(B1176="","",VLOOKUP(A1176,Journal!$B$7:$M$84,12))</f>
        <v/>
      </c>
      <c r="J1176" s="105">
        <f>IF(B1176="Total",SUM(J$8:J1175)+0.0001,IF(OR(B1176="",I$2=I1176),0,VLOOKUP(A1176,Journal!$B$7:M$84,8)))</f>
        <v>0</v>
      </c>
      <c r="K1176" s="102">
        <f>IF(B1176="Total",SUM(K$8:K1175)+0.0001,IF(OR(B1176="",J1176&lt;&gt;0),0,VLOOKUP(A1176,Journal!$B$7:M$84,8)))</f>
        <v>0</v>
      </c>
      <c r="L1176" s="87">
        <f t="shared" si="140"/>
        <v>0</v>
      </c>
      <c r="P1176">
        <f t="shared" si="141"/>
        <v>1.0000000000000001E-5</v>
      </c>
      <c r="R1176" s="15">
        <f t="shared" si="142"/>
        <v>1169</v>
      </c>
      <c r="S1176" s="126">
        <f>IF(VLOOKUP(A1176,Journal!$A$7:$E$70,5)=0,S1175+1,VLOOKUP(A1176,Journal!$A$7:$E$70,5))</f>
        <v>46826</v>
      </c>
      <c r="T1176" s="125">
        <f>IF(H$2=VLOOKUP(A1176,Journal!$A$7:$F$70,6),VLOOKUP(A1176,Journal!$A$7:M$70,9),0)</f>
        <v>0</v>
      </c>
      <c r="U1176" s="125">
        <f>IF(H$2=VLOOKUP(A1176,Journal!$A$7:$G$70,7),VLOOKUP(A1176,Journal!$A$7:M$70,9),0)</f>
        <v>0</v>
      </c>
      <c r="V1176" s="125">
        <f t="shared" si="138"/>
        <v>40</v>
      </c>
      <c r="X1176">
        <f t="shared" si="143"/>
        <v>0</v>
      </c>
      <c r="Y1176" s="143">
        <f t="shared" si="137"/>
        <v>-969.31578947373305</v>
      </c>
    </row>
    <row r="1177" spans="1:25" x14ac:dyDescent="0.25">
      <c r="A1177">
        <f t="shared" si="139"/>
        <v>1170</v>
      </c>
      <c r="B1177" s="88" t="str">
        <f>IF(OR(B1176="Total",B1176=""),"",IF(VLOOKUP(A1177,Journal!$B$7:$E$84,4)=0,"Total",VLOOKUP(A1177,Journal!$B$7:$D$84,3)))</f>
        <v/>
      </c>
      <c r="C1177" s="86" t="str">
        <f>IF(B1177="","",VLOOKUP(A1177,Journal!$B$7:$E$84,4))</f>
        <v/>
      </c>
      <c r="D1177" s="114" t="str">
        <f>IF(B1177="","",VLOOKUP(A1177,Journal!$B$7:$J$84,9))</f>
        <v/>
      </c>
      <c r="E1177" s="116"/>
      <c r="F1177" s="116"/>
      <c r="G1177" s="115"/>
      <c r="H1177" s="84" t="str">
        <f>IF(B1177="","",VLOOKUP(A1177,Journal!$B$7:$L$84,11))</f>
        <v/>
      </c>
      <c r="I1177" s="84" t="str">
        <f>IF(B1177="","",VLOOKUP(A1177,Journal!$B$7:$M$84,12))</f>
        <v/>
      </c>
      <c r="J1177" s="105">
        <f>IF(B1177="Total",SUM(J$8:J1176)+0.0001,IF(OR(B1177="",I$2=I1177),0,VLOOKUP(A1177,Journal!$B$7:M$84,8)))</f>
        <v>0</v>
      </c>
      <c r="K1177" s="102">
        <f>IF(B1177="Total",SUM(K$8:K1176)+0.0001,IF(OR(B1177="",J1177&lt;&gt;0),0,VLOOKUP(A1177,Journal!$B$7:M$84,8)))</f>
        <v>0</v>
      </c>
      <c r="L1177" s="87">
        <f t="shared" si="140"/>
        <v>0</v>
      </c>
      <c r="P1177">
        <f t="shared" si="141"/>
        <v>1.0000000000000001E-5</v>
      </c>
      <c r="R1177" s="15">
        <f t="shared" si="142"/>
        <v>1170</v>
      </c>
      <c r="S1177" s="126">
        <f>IF(VLOOKUP(A1177,Journal!$A$7:$E$70,5)=0,S1176+1,VLOOKUP(A1177,Journal!$A$7:$E$70,5))</f>
        <v>46827</v>
      </c>
      <c r="T1177" s="125">
        <f>IF(H$2=VLOOKUP(A1177,Journal!$A$7:$F$70,6),VLOOKUP(A1177,Journal!$A$7:M$70,9),0)</f>
        <v>0</v>
      </c>
      <c r="U1177" s="125">
        <f>IF(H$2=VLOOKUP(A1177,Journal!$A$7:$G$70,7),VLOOKUP(A1177,Journal!$A$7:M$70,9),0)</f>
        <v>0</v>
      </c>
      <c r="V1177" s="125">
        <f t="shared" si="138"/>
        <v>40</v>
      </c>
      <c r="X1177">
        <f t="shared" si="143"/>
        <v>0</v>
      </c>
      <c r="Y1177" s="143">
        <f t="shared" si="137"/>
        <v>-969.28947368425941</v>
      </c>
    </row>
    <row r="1178" spans="1:25" x14ac:dyDescent="0.25">
      <c r="A1178">
        <f t="shared" si="139"/>
        <v>1171</v>
      </c>
      <c r="B1178" s="88" t="str">
        <f>IF(OR(B1177="Total",B1177=""),"",IF(VLOOKUP(A1178,Journal!$B$7:$E$84,4)=0,"Total",VLOOKUP(A1178,Journal!$B$7:$D$84,3)))</f>
        <v/>
      </c>
      <c r="C1178" s="86" t="str">
        <f>IF(B1178="","",VLOOKUP(A1178,Journal!$B$7:$E$84,4))</f>
        <v/>
      </c>
      <c r="D1178" s="114" t="str">
        <f>IF(B1178="","",VLOOKUP(A1178,Journal!$B$7:$J$84,9))</f>
        <v/>
      </c>
      <c r="E1178" s="116"/>
      <c r="F1178" s="116"/>
      <c r="G1178" s="115"/>
      <c r="H1178" s="84" t="str">
        <f>IF(B1178="","",VLOOKUP(A1178,Journal!$B$7:$L$84,11))</f>
        <v/>
      </c>
      <c r="I1178" s="84" t="str">
        <f>IF(B1178="","",VLOOKUP(A1178,Journal!$B$7:$M$84,12))</f>
        <v/>
      </c>
      <c r="J1178" s="105">
        <f>IF(B1178="Total",SUM(J$8:J1177)+0.0001,IF(OR(B1178="",I$2=I1178),0,VLOOKUP(A1178,Journal!$B$7:M$84,8)))</f>
        <v>0</v>
      </c>
      <c r="K1178" s="102">
        <f>IF(B1178="Total",SUM(K$8:K1177)+0.0001,IF(OR(B1178="",J1178&lt;&gt;0),0,VLOOKUP(A1178,Journal!$B$7:M$84,8)))</f>
        <v>0</v>
      </c>
      <c r="L1178" s="87">
        <f t="shared" si="140"/>
        <v>0</v>
      </c>
      <c r="P1178">
        <f t="shared" si="141"/>
        <v>1.0000000000000001E-5</v>
      </c>
      <c r="R1178" s="15">
        <f t="shared" si="142"/>
        <v>1171</v>
      </c>
      <c r="S1178" s="126">
        <f>IF(VLOOKUP(A1178,Journal!$A$7:$E$70,5)=0,S1177+1,VLOOKUP(A1178,Journal!$A$7:$E$70,5))</f>
        <v>46828</v>
      </c>
      <c r="T1178" s="125">
        <f>IF(H$2=VLOOKUP(A1178,Journal!$A$7:$F$70,6),VLOOKUP(A1178,Journal!$A$7:M$70,9),0)</f>
        <v>0</v>
      </c>
      <c r="U1178" s="125">
        <f>IF(H$2=VLOOKUP(A1178,Journal!$A$7:$G$70,7),VLOOKUP(A1178,Journal!$A$7:M$70,9),0)</f>
        <v>0</v>
      </c>
      <c r="V1178" s="125">
        <f t="shared" si="138"/>
        <v>40</v>
      </c>
      <c r="X1178">
        <f t="shared" si="143"/>
        <v>0</v>
      </c>
      <c r="Y1178" s="143">
        <f t="shared" si="137"/>
        <v>-969.26315789478576</v>
      </c>
    </row>
    <row r="1179" spans="1:25" x14ac:dyDescent="0.25">
      <c r="A1179">
        <f t="shared" si="139"/>
        <v>1172</v>
      </c>
      <c r="B1179" s="88" t="str">
        <f>IF(OR(B1178="Total",B1178=""),"",IF(VLOOKUP(A1179,Journal!$B$7:$E$84,4)=0,"Total",VLOOKUP(A1179,Journal!$B$7:$D$84,3)))</f>
        <v/>
      </c>
      <c r="C1179" s="86" t="str">
        <f>IF(B1179="","",VLOOKUP(A1179,Journal!$B$7:$E$84,4))</f>
        <v/>
      </c>
      <c r="D1179" s="114" t="str">
        <f>IF(B1179="","",VLOOKUP(A1179,Journal!$B$7:$J$84,9))</f>
        <v/>
      </c>
      <c r="E1179" s="116"/>
      <c r="F1179" s="116"/>
      <c r="G1179" s="115"/>
      <c r="H1179" s="84" t="str">
        <f>IF(B1179="","",VLOOKUP(A1179,Journal!$B$7:$L$84,11))</f>
        <v/>
      </c>
      <c r="I1179" s="84" t="str">
        <f>IF(B1179="","",VLOOKUP(A1179,Journal!$B$7:$M$84,12))</f>
        <v/>
      </c>
      <c r="J1179" s="105">
        <f>IF(B1179="Total",SUM(J$8:J1178)+0.0001,IF(OR(B1179="",I$2=I1179),0,VLOOKUP(A1179,Journal!$B$7:M$84,8)))</f>
        <v>0</v>
      </c>
      <c r="K1179" s="102">
        <f>IF(B1179="Total",SUM(K$8:K1178)+0.0001,IF(OR(B1179="",J1179&lt;&gt;0),0,VLOOKUP(A1179,Journal!$B$7:M$84,8)))</f>
        <v>0</v>
      </c>
      <c r="L1179" s="87">
        <f t="shared" si="140"/>
        <v>0</v>
      </c>
      <c r="P1179">
        <f t="shared" si="141"/>
        <v>1.0000000000000001E-5</v>
      </c>
      <c r="R1179" s="15">
        <f t="shared" si="142"/>
        <v>1172</v>
      </c>
      <c r="S1179" s="126">
        <f>IF(VLOOKUP(A1179,Journal!$A$7:$E$70,5)=0,S1178+1,VLOOKUP(A1179,Journal!$A$7:$E$70,5))</f>
        <v>46829</v>
      </c>
      <c r="T1179" s="125">
        <f>IF(H$2=VLOOKUP(A1179,Journal!$A$7:$F$70,6),VLOOKUP(A1179,Journal!$A$7:M$70,9),0)</f>
        <v>0</v>
      </c>
      <c r="U1179" s="125">
        <f>IF(H$2=VLOOKUP(A1179,Journal!$A$7:$G$70,7),VLOOKUP(A1179,Journal!$A$7:M$70,9),0)</f>
        <v>0</v>
      </c>
      <c r="V1179" s="125">
        <f t="shared" si="138"/>
        <v>40</v>
      </c>
      <c r="X1179">
        <f t="shared" si="143"/>
        <v>0</v>
      </c>
      <c r="Y1179" s="143">
        <f t="shared" si="137"/>
        <v>-969.23684210531212</v>
      </c>
    </row>
    <row r="1180" spans="1:25" x14ac:dyDescent="0.25">
      <c r="A1180">
        <f t="shared" si="139"/>
        <v>1173</v>
      </c>
      <c r="B1180" s="88" t="str">
        <f>IF(OR(B1179="Total",B1179=""),"",IF(VLOOKUP(A1180,Journal!$B$7:$E$84,4)=0,"Total",VLOOKUP(A1180,Journal!$B$7:$D$84,3)))</f>
        <v/>
      </c>
      <c r="C1180" s="86" t="str">
        <f>IF(B1180="","",VLOOKUP(A1180,Journal!$B$7:$E$84,4))</f>
        <v/>
      </c>
      <c r="D1180" s="114" t="str">
        <f>IF(B1180="","",VLOOKUP(A1180,Journal!$B$7:$J$84,9))</f>
        <v/>
      </c>
      <c r="E1180" s="116"/>
      <c r="F1180" s="116"/>
      <c r="G1180" s="115"/>
      <c r="H1180" s="84" t="str">
        <f>IF(B1180="","",VLOOKUP(A1180,Journal!$B$7:$L$84,11))</f>
        <v/>
      </c>
      <c r="I1180" s="84" t="str">
        <f>IF(B1180="","",VLOOKUP(A1180,Journal!$B$7:$M$84,12))</f>
        <v/>
      </c>
      <c r="J1180" s="105">
        <f>IF(B1180="Total",SUM(J$8:J1179)+0.0001,IF(OR(B1180="",I$2=I1180),0,VLOOKUP(A1180,Journal!$B$7:M$84,8)))</f>
        <v>0</v>
      </c>
      <c r="K1180" s="102">
        <f>IF(B1180="Total",SUM(K$8:K1179)+0.0001,IF(OR(B1180="",J1180&lt;&gt;0),0,VLOOKUP(A1180,Journal!$B$7:M$84,8)))</f>
        <v>0</v>
      </c>
      <c r="L1180" s="87">
        <f t="shared" si="140"/>
        <v>0</v>
      </c>
      <c r="P1180">
        <f t="shared" si="141"/>
        <v>1.0000000000000001E-5</v>
      </c>
      <c r="R1180" s="15">
        <f t="shared" si="142"/>
        <v>1173</v>
      </c>
      <c r="S1180" s="126">
        <f>IF(VLOOKUP(A1180,Journal!$A$7:$E$70,5)=0,S1179+1,VLOOKUP(A1180,Journal!$A$7:$E$70,5))</f>
        <v>46830</v>
      </c>
      <c r="T1180" s="125">
        <f>IF(H$2=VLOOKUP(A1180,Journal!$A$7:$F$70,6),VLOOKUP(A1180,Journal!$A$7:M$70,9),0)</f>
        <v>0</v>
      </c>
      <c r="U1180" s="125">
        <f>IF(H$2=VLOOKUP(A1180,Journal!$A$7:$G$70,7),VLOOKUP(A1180,Journal!$A$7:M$70,9),0)</f>
        <v>0</v>
      </c>
      <c r="V1180" s="125">
        <f t="shared" si="138"/>
        <v>40</v>
      </c>
      <c r="X1180">
        <f t="shared" si="143"/>
        <v>0</v>
      </c>
      <c r="Y1180" s="143">
        <f t="shared" si="137"/>
        <v>-969.21052631583848</v>
      </c>
    </row>
    <row r="1181" spans="1:25" x14ac:dyDescent="0.25">
      <c r="A1181">
        <f t="shared" si="139"/>
        <v>1174</v>
      </c>
      <c r="B1181" s="88" t="str">
        <f>IF(OR(B1180="Total",B1180=""),"",IF(VLOOKUP(A1181,Journal!$B$7:$E$84,4)=0,"Total",VLOOKUP(A1181,Journal!$B$7:$D$84,3)))</f>
        <v/>
      </c>
      <c r="C1181" s="86" t="str">
        <f>IF(B1181="","",VLOOKUP(A1181,Journal!$B$7:$E$84,4))</f>
        <v/>
      </c>
      <c r="D1181" s="114" t="str">
        <f>IF(B1181="","",VLOOKUP(A1181,Journal!$B$7:$J$84,9))</f>
        <v/>
      </c>
      <c r="E1181" s="116"/>
      <c r="F1181" s="116"/>
      <c r="G1181" s="115"/>
      <c r="H1181" s="84" t="str">
        <f>IF(B1181="","",VLOOKUP(A1181,Journal!$B$7:$L$84,11))</f>
        <v/>
      </c>
      <c r="I1181" s="84" t="str">
        <f>IF(B1181="","",VLOOKUP(A1181,Journal!$B$7:$M$84,12))</f>
        <v/>
      </c>
      <c r="J1181" s="105">
        <f>IF(B1181="Total",SUM(J$8:J1180)+0.0001,IF(OR(B1181="",I$2=I1181),0,VLOOKUP(A1181,Journal!$B$7:M$84,8)))</f>
        <v>0</v>
      </c>
      <c r="K1181" s="102">
        <f>IF(B1181="Total",SUM(K$8:K1180)+0.0001,IF(OR(B1181="",J1181&lt;&gt;0),0,VLOOKUP(A1181,Journal!$B$7:M$84,8)))</f>
        <v>0</v>
      </c>
      <c r="L1181" s="87">
        <f t="shared" si="140"/>
        <v>0</v>
      </c>
      <c r="P1181">
        <f t="shared" si="141"/>
        <v>1.0000000000000001E-5</v>
      </c>
      <c r="R1181" s="15">
        <f t="shared" si="142"/>
        <v>1174</v>
      </c>
      <c r="S1181" s="126">
        <f>IF(VLOOKUP(A1181,Journal!$A$7:$E$70,5)=0,S1180+1,VLOOKUP(A1181,Journal!$A$7:$E$70,5))</f>
        <v>46831</v>
      </c>
      <c r="T1181" s="125">
        <f>IF(H$2=VLOOKUP(A1181,Journal!$A$7:$F$70,6),VLOOKUP(A1181,Journal!$A$7:M$70,9),0)</f>
        <v>0</v>
      </c>
      <c r="U1181" s="125">
        <f>IF(H$2=VLOOKUP(A1181,Journal!$A$7:$G$70,7),VLOOKUP(A1181,Journal!$A$7:M$70,9),0)</f>
        <v>0</v>
      </c>
      <c r="V1181" s="125">
        <f t="shared" si="138"/>
        <v>40</v>
      </c>
      <c r="X1181">
        <f t="shared" si="143"/>
        <v>0</v>
      </c>
      <c r="Y1181" s="143">
        <f t="shared" si="137"/>
        <v>-969.18421052636484</v>
      </c>
    </row>
    <row r="1182" spans="1:25" x14ac:dyDescent="0.25">
      <c r="A1182">
        <f t="shared" si="139"/>
        <v>1175</v>
      </c>
      <c r="B1182" s="88" t="str">
        <f>IF(OR(B1181="Total",B1181=""),"",IF(VLOOKUP(A1182,Journal!$B$7:$E$84,4)=0,"Total",VLOOKUP(A1182,Journal!$B$7:$D$84,3)))</f>
        <v/>
      </c>
      <c r="C1182" s="86" t="str">
        <f>IF(B1182="","",VLOOKUP(A1182,Journal!$B$7:$E$84,4))</f>
        <v/>
      </c>
      <c r="D1182" s="114" t="str">
        <f>IF(B1182="","",VLOOKUP(A1182,Journal!$B$7:$J$84,9))</f>
        <v/>
      </c>
      <c r="E1182" s="116"/>
      <c r="F1182" s="116"/>
      <c r="G1182" s="115"/>
      <c r="H1182" s="84" t="str">
        <f>IF(B1182="","",VLOOKUP(A1182,Journal!$B$7:$L$84,11))</f>
        <v/>
      </c>
      <c r="I1182" s="84" t="str">
        <f>IF(B1182="","",VLOOKUP(A1182,Journal!$B$7:$M$84,12))</f>
        <v/>
      </c>
      <c r="J1182" s="105">
        <f>IF(B1182="Total",SUM(J$8:J1181)+0.0001,IF(OR(B1182="",I$2=I1182),0,VLOOKUP(A1182,Journal!$B$7:M$84,8)))</f>
        <v>0</v>
      </c>
      <c r="K1182" s="102">
        <f>IF(B1182="Total",SUM(K$8:K1181)+0.0001,IF(OR(B1182="",J1182&lt;&gt;0),0,VLOOKUP(A1182,Journal!$B$7:M$84,8)))</f>
        <v>0</v>
      </c>
      <c r="L1182" s="87">
        <f t="shared" si="140"/>
        <v>0</v>
      </c>
      <c r="P1182">
        <f t="shared" si="141"/>
        <v>1.0000000000000001E-5</v>
      </c>
      <c r="R1182" s="15">
        <f t="shared" si="142"/>
        <v>1175</v>
      </c>
      <c r="S1182" s="126">
        <f>IF(VLOOKUP(A1182,Journal!$A$7:$E$70,5)=0,S1181+1,VLOOKUP(A1182,Journal!$A$7:$E$70,5))</f>
        <v>46832</v>
      </c>
      <c r="T1182" s="125">
        <f>IF(H$2=VLOOKUP(A1182,Journal!$A$7:$F$70,6),VLOOKUP(A1182,Journal!$A$7:M$70,9),0)</f>
        <v>0</v>
      </c>
      <c r="U1182" s="125">
        <f>IF(H$2=VLOOKUP(A1182,Journal!$A$7:$G$70,7),VLOOKUP(A1182,Journal!$A$7:M$70,9),0)</f>
        <v>0</v>
      </c>
      <c r="V1182" s="125">
        <f t="shared" si="138"/>
        <v>40</v>
      </c>
      <c r="X1182">
        <f t="shared" si="143"/>
        <v>0</v>
      </c>
      <c r="Y1182" s="143">
        <f t="shared" si="137"/>
        <v>-969.15789473689119</v>
      </c>
    </row>
    <row r="1183" spans="1:25" x14ac:dyDescent="0.25">
      <c r="A1183">
        <f t="shared" si="139"/>
        <v>1176</v>
      </c>
      <c r="B1183" s="88" t="str">
        <f>IF(OR(B1182="Total",B1182=""),"",IF(VLOOKUP(A1183,Journal!$B$7:$E$84,4)=0,"Total",VLOOKUP(A1183,Journal!$B$7:$D$84,3)))</f>
        <v/>
      </c>
      <c r="C1183" s="86" t="str">
        <f>IF(B1183="","",VLOOKUP(A1183,Journal!$B$7:$E$84,4))</f>
        <v/>
      </c>
      <c r="D1183" s="114" t="str">
        <f>IF(B1183="","",VLOOKUP(A1183,Journal!$B$7:$J$84,9))</f>
        <v/>
      </c>
      <c r="E1183" s="116"/>
      <c r="F1183" s="116"/>
      <c r="G1183" s="115"/>
      <c r="H1183" s="84" t="str">
        <f>IF(B1183="","",VLOOKUP(A1183,Journal!$B$7:$L$84,11))</f>
        <v/>
      </c>
      <c r="I1183" s="84" t="str">
        <f>IF(B1183="","",VLOOKUP(A1183,Journal!$B$7:$M$84,12))</f>
        <v/>
      </c>
      <c r="J1183" s="105">
        <f>IF(B1183="Total",SUM(J$8:J1182)+0.0001,IF(OR(B1183="",I$2=I1183),0,VLOOKUP(A1183,Journal!$B$7:M$84,8)))</f>
        <v>0</v>
      </c>
      <c r="K1183" s="102">
        <f>IF(B1183="Total",SUM(K$8:K1182)+0.0001,IF(OR(B1183="",J1183&lt;&gt;0),0,VLOOKUP(A1183,Journal!$B$7:M$84,8)))</f>
        <v>0</v>
      </c>
      <c r="L1183" s="87">
        <f t="shared" si="140"/>
        <v>0</v>
      </c>
      <c r="P1183">
        <f t="shared" si="141"/>
        <v>1.0000000000000001E-5</v>
      </c>
      <c r="R1183" s="15">
        <f t="shared" si="142"/>
        <v>1176</v>
      </c>
      <c r="S1183" s="126">
        <f>IF(VLOOKUP(A1183,Journal!$A$7:$E$70,5)=0,S1182+1,VLOOKUP(A1183,Journal!$A$7:$E$70,5))</f>
        <v>46833</v>
      </c>
      <c r="T1183" s="125">
        <f>IF(H$2=VLOOKUP(A1183,Journal!$A$7:$F$70,6),VLOOKUP(A1183,Journal!$A$7:M$70,9),0)</f>
        <v>0</v>
      </c>
      <c r="U1183" s="125">
        <f>IF(H$2=VLOOKUP(A1183,Journal!$A$7:$G$70,7),VLOOKUP(A1183,Journal!$A$7:M$70,9),0)</f>
        <v>0</v>
      </c>
      <c r="V1183" s="125">
        <f t="shared" si="138"/>
        <v>40</v>
      </c>
      <c r="X1183">
        <f t="shared" si="143"/>
        <v>0</v>
      </c>
      <c r="Y1183" s="143">
        <f t="shared" si="137"/>
        <v>-969.13157894741755</v>
      </c>
    </row>
    <row r="1184" spans="1:25" x14ac:dyDescent="0.25">
      <c r="A1184">
        <f t="shared" si="139"/>
        <v>1177</v>
      </c>
      <c r="B1184" s="88" t="str">
        <f>IF(OR(B1183="Total",B1183=""),"",IF(VLOOKUP(A1184,Journal!$B$7:$E$84,4)=0,"Total",VLOOKUP(A1184,Journal!$B$7:$D$84,3)))</f>
        <v/>
      </c>
      <c r="C1184" s="86" t="str">
        <f>IF(B1184="","",VLOOKUP(A1184,Journal!$B$7:$E$84,4))</f>
        <v/>
      </c>
      <c r="D1184" s="114" t="str">
        <f>IF(B1184="","",VLOOKUP(A1184,Journal!$B$7:$J$84,9))</f>
        <v/>
      </c>
      <c r="E1184" s="116"/>
      <c r="F1184" s="116"/>
      <c r="G1184" s="115"/>
      <c r="H1184" s="84" t="str">
        <f>IF(B1184="","",VLOOKUP(A1184,Journal!$B$7:$L$84,11))</f>
        <v/>
      </c>
      <c r="I1184" s="84" t="str">
        <f>IF(B1184="","",VLOOKUP(A1184,Journal!$B$7:$M$84,12))</f>
        <v/>
      </c>
      <c r="J1184" s="105">
        <f>IF(B1184="Total",SUM(J$8:J1183)+0.0001,IF(OR(B1184="",I$2=I1184),0,VLOOKUP(A1184,Journal!$B$7:M$84,8)))</f>
        <v>0</v>
      </c>
      <c r="K1184" s="102">
        <f>IF(B1184="Total",SUM(K$8:K1183)+0.0001,IF(OR(B1184="",J1184&lt;&gt;0),0,VLOOKUP(A1184,Journal!$B$7:M$84,8)))</f>
        <v>0</v>
      </c>
      <c r="L1184" s="87">
        <f t="shared" si="140"/>
        <v>0</v>
      </c>
      <c r="P1184">
        <f t="shared" si="141"/>
        <v>1.0000000000000001E-5</v>
      </c>
      <c r="R1184" s="15">
        <f t="shared" si="142"/>
        <v>1177</v>
      </c>
      <c r="S1184" s="126">
        <f>IF(VLOOKUP(A1184,Journal!$A$7:$E$70,5)=0,S1183+1,VLOOKUP(A1184,Journal!$A$7:$E$70,5))</f>
        <v>46834</v>
      </c>
      <c r="T1184" s="125">
        <f>IF(H$2=VLOOKUP(A1184,Journal!$A$7:$F$70,6),VLOOKUP(A1184,Journal!$A$7:M$70,9),0)</f>
        <v>0</v>
      </c>
      <c r="U1184" s="125">
        <f>IF(H$2=VLOOKUP(A1184,Journal!$A$7:$G$70,7),VLOOKUP(A1184,Journal!$A$7:M$70,9),0)</f>
        <v>0</v>
      </c>
      <c r="V1184" s="125">
        <f t="shared" si="138"/>
        <v>40</v>
      </c>
      <c r="X1184">
        <f t="shared" si="143"/>
        <v>0</v>
      </c>
      <c r="Y1184" s="143">
        <f t="shared" si="137"/>
        <v>-969.10526315794391</v>
      </c>
    </row>
    <row r="1185" spans="1:25" x14ac:dyDescent="0.25">
      <c r="A1185">
        <f t="shared" si="139"/>
        <v>1178</v>
      </c>
      <c r="B1185" s="88" t="str">
        <f>IF(OR(B1184="Total",B1184=""),"",IF(VLOOKUP(A1185,Journal!$B$7:$E$84,4)=0,"Total",VLOOKUP(A1185,Journal!$B$7:$D$84,3)))</f>
        <v/>
      </c>
      <c r="C1185" s="86" t="str">
        <f>IF(B1185="","",VLOOKUP(A1185,Journal!$B$7:$E$84,4))</f>
        <v/>
      </c>
      <c r="D1185" s="114" t="str">
        <f>IF(B1185="","",VLOOKUP(A1185,Journal!$B$7:$J$84,9))</f>
        <v/>
      </c>
      <c r="E1185" s="116"/>
      <c r="F1185" s="116"/>
      <c r="G1185" s="115"/>
      <c r="H1185" s="84" t="str">
        <f>IF(B1185="","",VLOOKUP(A1185,Journal!$B$7:$L$84,11))</f>
        <v/>
      </c>
      <c r="I1185" s="84" t="str">
        <f>IF(B1185="","",VLOOKUP(A1185,Journal!$B$7:$M$84,12))</f>
        <v/>
      </c>
      <c r="J1185" s="105">
        <f>IF(B1185="Total",SUM(J$8:J1184)+0.0001,IF(OR(B1185="",I$2=I1185),0,VLOOKUP(A1185,Journal!$B$7:M$84,8)))</f>
        <v>0</v>
      </c>
      <c r="K1185" s="102">
        <f>IF(B1185="Total",SUM(K$8:K1184)+0.0001,IF(OR(B1185="",J1185&lt;&gt;0),0,VLOOKUP(A1185,Journal!$B$7:M$84,8)))</f>
        <v>0</v>
      </c>
      <c r="L1185" s="87">
        <f t="shared" si="140"/>
        <v>0</v>
      </c>
      <c r="P1185">
        <f t="shared" si="141"/>
        <v>1.0000000000000001E-5</v>
      </c>
      <c r="R1185" s="15">
        <f t="shared" si="142"/>
        <v>1178</v>
      </c>
      <c r="S1185" s="126">
        <f>IF(VLOOKUP(A1185,Journal!$A$7:$E$70,5)=0,S1184+1,VLOOKUP(A1185,Journal!$A$7:$E$70,5))</f>
        <v>46835</v>
      </c>
      <c r="T1185" s="125">
        <f>IF(H$2=VLOOKUP(A1185,Journal!$A$7:$F$70,6),VLOOKUP(A1185,Journal!$A$7:M$70,9),0)</f>
        <v>0</v>
      </c>
      <c r="U1185" s="125">
        <f>IF(H$2=VLOOKUP(A1185,Journal!$A$7:$G$70,7),VLOOKUP(A1185,Journal!$A$7:M$70,9),0)</f>
        <v>0</v>
      </c>
      <c r="V1185" s="125">
        <f t="shared" si="138"/>
        <v>40</v>
      </c>
      <c r="X1185">
        <f t="shared" si="143"/>
        <v>0</v>
      </c>
      <c r="Y1185" s="143">
        <f t="shared" si="137"/>
        <v>-969.07894736847027</v>
      </c>
    </row>
    <row r="1186" spans="1:25" x14ac:dyDescent="0.25">
      <c r="A1186">
        <f t="shared" si="139"/>
        <v>1179</v>
      </c>
      <c r="B1186" s="88" t="str">
        <f>IF(OR(B1185="Total",B1185=""),"",IF(VLOOKUP(A1186,Journal!$B$7:$E$84,4)=0,"Total",VLOOKUP(A1186,Journal!$B$7:$D$84,3)))</f>
        <v/>
      </c>
      <c r="C1186" s="86" t="str">
        <f>IF(B1186="","",VLOOKUP(A1186,Journal!$B$7:$E$84,4))</f>
        <v/>
      </c>
      <c r="D1186" s="114" t="str">
        <f>IF(B1186="","",VLOOKUP(A1186,Journal!$B$7:$J$84,9))</f>
        <v/>
      </c>
      <c r="E1186" s="116"/>
      <c r="F1186" s="116"/>
      <c r="G1186" s="115"/>
      <c r="H1186" s="84" t="str">
        <f>IF(B1186="","",VLOOKUP(A1186,Journal!$B$7:$L$84,11))</f>
        <v/>
      </c>
      <c r="I1186" s="84" t="str">
        <f>IF(B1186="","",VLOOKUP(A1186,Journal!$B$7:$M$84,12))</f>
        <v/>
      </c>
      <c r="J1186" s="105">
        <f>IF(B1186="Total",SUM(J$8:J1185)+0.0001,IF(OR(B1186="",I$2=I1186),0,VLOOKUP(A1186,Journal!$B$7:M$84,8)))</f>
        <v>0</v>
      </c>
      <c r="K1186" s="102">
        <f>IF(B1186="Total",SUM(K$8:K1185)+0.0001,IF(OR(B1186="",J1186&lt;&gt;0),0,VLOOKUP(A1186,Journal!$B$7:M$84,8)))</f>
        <v>0</v>
      </c>
      <c r="L1186" s="87">
        <f t="shared" si="140"/>
        <v>0</v>
      </c>
      <c r="P1186">
        <f t="shared" si="141"/>
        <v>1.0000000000000001E-5</v>
      </c>
      <c r="R1186" s="15">
        <f t="shared" si="142"/>
        <v>1179</v>
      </c>
      <c r="S1186" s="126">
        <f>IF(VLOOKUP(A1186,Journal!$A$7:$E$70,5)=0,S1185+1,VLOOKUP(A1186,Journal!$A$7:$E$70,5))</f>
        <v>46836</v>
      </c>
      <c r="T1186" s="125">
        <f>IF(H$2=VLOOKUP(A1186,Journal!$A$7:$F$70,6),VLOOKUP(A1186,Journal!$A$7:M$70,9),0)</f>
        <v>0</v>
      </c>
      <c r="U1186" s="125">
        <f>IF(H$2=VLOOKUP(A1186,Journal!$A$7:$G$70,7),VLOOKUP(A1186,Journal!$A$7:M$70,9),0)</f>
        <v>0</v>
      </c>
      <c r="V1186" s="125">
        <f t="shared" si="138"/>
        <v>40</v>
      </c>
      <c r="X1186">
        <f t="shared" si="143"/>
        <v>0</v>
      </c>
      <c r="Y1186" s="143">
        <f t="shared" si="137"/>
        <v>-969.05263157899662</v>
      </c>
    </row>
    <row r="1187" spans="1:25" x14ac:dyDescent="0.25">
      <c r="A1187">
        <f t="shared" si="139"/>
        <v>1180</v>
      </c>
      <c r="B1187" s="88" t="str">
        <f>IF(OR(B1186="Total",B1186=""),"",IF(VLOOKUP(A1187,Journal!$B$7:$E$84,4)=0,"Total",VLOOKUP(A1187,Journal!$B$7:$D$84,3)))</f>
        <v/>
      </c>
      <c r="C1187" s="86" t="str">
        <f>IF(B1187="","",VLOOKUP(A1187,Journal!$B$7:$E$84,4))</f>
        <v/>
      </c>
      <c r="D1187" s="114" t="str">
        <f>IF(B1187="","",VLOOKUP(A1187,Journal!$B$7:$J$84,9))</f>
        <v/>
      </c>
      <c r="E1187" s="116"/>
      <c r="F1187" s="116"/>
      <c r="G1187" s="115"/>
      <c r="H1187" s="84" t="str">
        <f>IF(B1187="","",VLOOKUP(A1187,Journal!$B$7:$L$84,11))</f>
        <v/>
      </c>
      <c r="I1187" s="84" t="str">
        <f>IF(B1187="","",VLOOKUP(A1187,Journal!$B$7:$M$84,12))</f>
        <v/>
      </c>
      <c r="J1187" s="105">
        <f>IF(B1187="Total",SUM(J$8:J1186)+0.0001,IF(OR(B1187="",I$2=I1187),0,VLOOKUP(A1187,Journal!$B$7:M$84,8)))</f>
        <v>0</v>
      </c>
      <c r="K1187" s="102">
        <f>IF(B1187="Total",SUM(K$8:K1186)+0.0001,IF(OR(B1187="",J1187&lt;&gt;0),0,VLOOKUP(A1187,Journal!$B$7:M$84,8)))</f>
        <v>0</v>
      </c>
      <c r="L1187" s="87">
        <f t="shared" si="140"/>
        <v>0</v>
      </c>
      <c r="P1187">
        <f t="shared" si="141"/>
        <v>1.0000000000000001E-5</v>
      </c>
      <c r="R1187" s="15">
        <f t="shared" si="142"/>
        <v>1180</v>
      </c>
      <c r="S1187" s="126">
        <f>IF(VLOOKUP(A1187,Journal!$A$7:$E$70,5)=0,S1186+1,VLOOKUP(A1187,Journal!$A$7:$E$70,5))</f>
        <v>46837</v>
      </c>
      <c r="T1187" s="125">
        <f>IF(H$2=VLOOKUP(A1187,Journal!$A$7:$F$70,6),VLOOKUP(A1187,Journal!$A$7:M$70,9),0)</f>
        <v>0</v>
      </c>
      <c r="U1187" s="125">
        <f>IF(H$2=VLOOKUP(A1187,Journal!$A$7:$G$70,7),VLOOKUP(A1187,Journal!$A$7:M$70,9),0)</f>
        <v>0</v>
      </c>
      <c r="V1187" s="125">
        <f t="shared" si="138"/>
        <v>40</v>
      </c>
      <c r="X1187">
        <f t="shared" si="143"/>
        <v>0</v>
      </c>
      <c r="Y1187" s="143">
        <f t="shared" si="137"/>
        <v>-969.02631578952298</v>
      </c>
    </row>
    <row r="1188" spans="1:25" x14ac:dyDescent="0.25">
      <c r="A1188">
        <f t="shared" si="139"/>
        <v>1181</v>
      </c>
      <c r="B1188" s="88" t="str">
        <f>IF(OR(B1187="Total",B1187=""),"",IF(VLOOKUP(A1188,Journal!$B$7:$E$84,4)=0,"Total",VLOOKUP(A1188,Journal!$B$7:$D$84,3)))</f>
        <v/>
      </c>
      <c r="C1188" s="86" t="str">
        <f>IF(B1188="","",VLOOKUP(A1188,Journal!$B$7:$E$84,4))</f>
        <v/>
      </c>
      <c r="D1188" s="114" t="str">
        <f>IF(B1188="","",VLOOKUP(A1188,Journal!$B$7:$J$84,9))</f>
        <v/>
      </c>
      <c r="E1188" s="116"/>
      <c r="F1188" s="116"/>
      <c r="G1188" s="115"/>
      <c r="H1188" s="84" t="str">
        <f>IF(B1188="","",VLOOKUP(A1188,Journal!$B$7:$L$84,11))</f>
        <v/>
      </c>
      <c r="I1188" s="84" t="str">
        <f>IF(B1188="","",VLOOKUP(A1188,Journal!$B$7:$M$84,12))</f>
        <v/>
      </c>
      <c r="J1188" s="105">
        <f>IF(B1188="Total",SUM(J$8:J1187)+0.0001,IF(OR(B1188="",I$2=I1188),0,VLOOKUP(A1188,Journal!$B$7:M$84,8)))</f>
        <v>0</v>
      </c>
      <c r="K1188" s="102">
        <f>IF(B1188="Total",SUM(K$8:K1187)+0.0001,IF(OR(B1188="",J1188&lt;&gt;0),0,VLOOKUP(A1188,Journal!$B$7:M$84,8)))</f>
        <v>0</v>
      </c>
      <c r="L1188" s="87">
        <f t="shared" si="140"/>
        <v>0</v>
      </c>
      <c r="P1188">
        <f t="shared" si="141"/>
        <v>1.0000000000000001E-5</v>
      </c>
      <c r="R1188" s="15">
        <f t="shared" si="142"/>
        <v>1181</v>
      </c>
      <c r="S1188" s="126">
        <f>IF(VLOOKUP(A1188,Journal!$A$7:$E$70,5)=0,S1187+1,VLOOKUP(A1188,Journal!$A$7:$E$70,5))</f>
        <v>46838</v>
      </c>
      <c r="T1188" s="125">
        <f>IF(H$2=VLOOKUP(A1188,Journal!$A$7:$F$70,6),VLOOKUP(A1188,Journal!$A$7:M$70,9),0)</f>
        <v>0</v>
      </c>
      <c r="U1188" s="125">
        <f>IF(H$2=VLOOKUP(A1188,Journal!$A$7:$G$70,7),VLOOKUP(A1188,Journal!$A$7:M$70,9),0)</f>
        <v>0</v>
      </c>
      <c r="V1188" s="125">
        <f t="shared" si="138"/>
        <v>40</v>
      </c>
      <c r="X1188">
        <f t="shared" si="143"/>
        <v>0</v>
      </c>
      <c r="Y1188" s="143">
        <f t="shared" si="137"/>
        <v>-969.00000000004934</v>
      </c>
    </row>
    <row r="1189" spans="1:25" x14ac:dyDescent="0.25">
      <c r="A1189">
        <f t="shared" si="139"/>
        <v>1182</v>
      </c>
      <c r="B1189" s="88" t="str">
        <f>IF(OR(B1188="Total",B1188=""),"",IF(VLOOKUP(A1189,Journal!$B$7:$E$84,4)=0,"Total",VLOOKUP(A1189,Journal!$B$7:$D$84,3)))</f>
        <v/>
      </c>
      <c r="C1189" s="86" t="str">
        <f>IF(B1189="","",VLOOKUP(A1189,Journal!$B$7:$E$84,4))</f>
        <v/>
      </c>
      <c r="D1189" s="114" t="str">
        <f>IF(B1189="","",VLOOKUP(A1189,Journal!$B$7:$J$84,9))</f>
        <v/>
      </c>
      <c r="E1189" s="116"/>
      <c r="F1189" s="116"/>
      <c r="G1189" s="115"/>
      <c r="H1189" s="84" t="str">
        <f>IF(B1189="","",VLOOKUP(A1189,Journal!$B$7:$L$84,11))</f>
        <v/>
      </c>
      <c r="I1189" s="84" t="str">
        <f>IF(B1189="","",VLOOKUP(A1189,Journal!$B$7:$M$84,12))</f>
        <v/>
      </c>
      <c r="J1189" s="105">
        <f>IF(B1189="Total",SUM(J$8:J1188)+0.0001,IF(OR(B1189="",I$2=I1189),0,VLOOKUP(A1189,Journal!$B$7:M$84,8)))</f>
        <v>0</v>
      </c>
      <c r="K1189" s="102">
        <f>IF(B1189="Total",SUM(K$8:K1188)+0.0001,IF(OR(B1189="",J1189&lt;&gt;0),0,VLOOKUP(A1189,Journal!$B$7:M$84,8)))</f>
        <v>0</v>
      </c>
      <c r="L1189" s="87">
        <f t="shared" si="140"/>
        <v>0</v>
      </c>
      <c r="P1189">
        <f t="shared" si="141"/>
        <v>1.0000000000000001E-5</v>
      </c>
      <c r="R1189" s="15">
        <f t="shared" si="142"/>
        <v>1182</v>
      </c>
      <c r="S1189" s="126">
        <f>IF(VLOOKUP(A1189,Journal!$A$7:$E$70,5)=0,S1188+1,VLOOKUP(A1189,Journal!$A$7:$E$70,5))</f>
        <v>46839</v>
      </c>
      <c r="T1189" s="125">
        <f>IF(H$2=VLOOKUP(A1189,Journal!$A$7:$F$70,6),VLOOKUP(A1189,Journal!$A$7:M$70,9),0)</f>
        <v>0</v>
      </c>
      <c r="U1189" s="125">
        <f>IF(H$2=VLOOKUP(A1189,Journal!$A$7:$G$70,7),VLOOKUP(A1189,Journal!$A$7:M$70,9),0)</f>
        <v>0</v>
      </c>
      <c r="V1189" s="125">
        <f t="shared" si="138"/>
        <v>40</v>
      </c>
      <c r="X1189">
        <f t="shared" si="143"/>
        <v>0</v>
      </c>
      <c r="Y1189" s="143">
        <f t="shared" si="137"/>
        <v>-968.9736842105757</v>
      </c>
    </row>
    <row r="1190" spans="1:25" x14ac:dyDescent="0.25">
      <c r="A1190">
        <f t="shared" si="139"/>
        <v>1183</v>
      </c>
      <c r="B1190" s="88" t="str">
        <f>IF(OR(B1189="Total",B1189=""),"",IF(VLOOKUP(A1190,Journal!$B$7:$E$84,4)=0,"Total",VLOOKUP(A1190,Journal!$B$7:$D$84,3)))</f>
        <v/>
      </c>
      <c r="C1190" s="86" t="str">
        <f>IF(B1190="","",VLOOKUP(A1190,Journal!$B$7:$E$84,4))</f>
        <v/>
      </c>
      <c r="D1190" s="114" t="str">
        <f>IF(B1190="","",VLOOKUP(A1190,Journal!$B$7:$J$84,9))</f>
        <v/>
      </c>
      <c r="E1190" s="116"/>
      <c r="F1190" s="116"/>
      <c r="G1190" s="115"/>
      <c r="H1190" s="84" t="str">
        <f>IF(B1190="","",VLOOKUP(A1190,Journal!$B$7:$L$84,11))</f>
        <v/>
      </c>
      <c r="I1190" s="84" t="str">
        <f>IF(B1190="","",VLOOKUP(A1190,Journal!$B$7:$M$84,12))</f>
        <v/>
      </c>
      <c r="J1190" s="105">
        <f>IF(B1190="Total",SUM(J$8:J1189)+0.0001,IF(OR(B1190="",I$2=I1190),0,VLOOKUP(A1190,Journal!$B$7:M$84,8)))</f>
        <v>0</v>
      </c>
      <c r="K1190" s="102">
        <f>IF(B1190="Total",SUM(K$8:K1189)+0.0001,IF(OR(B1190="",J1190&lt;&gt;0),0,VLOOKUP(A1190,Journal!$B$7:M$84,8)))</f>
        <v>0</v>
      </c>
      <c r="L1190" s="87">
        <f t="shared" si="140"/>
        <v>0</v>
      </c>
      <c r="P1190">
        <f t="shared" si="141"/>
        <v>1.0000000000000001E-5</v>
      </c>
      <c r="R1190" s="15">
        <f t="shared" si="142"/>
        <v>1183</v>
      </c>
      <c r="S1190" s="126">
        <f>IF(VLOOKUP(A1190,Journal!$A$7:$E$70,5)=0,S1189+1,VLOOKUP(A1190,Journal!$A$7:$E$70,5))</f>
        <v>46840</v>
      </c>
      <c r="T1190" s="125">
        <f>IF(H$2=VLOOKUP(A1190,Journal!$A$7:$F$70,6),VLOOKUP(A1190,Journal!$A$7:M$70,9),0)</f>
        <v>0</v>
      </c>
      <c r="U1190" s="125">
        <f>IF(H$2=VLOOKUP(A1190,Journal!$A$7:$G$70,7),VLOOKUP(A1190,Journal!$A$7:M$70,9),0)</f>
        <v>0</v>
      </c>
      <c r="V1190" s="125">
        <f t="shared" si="138"/>
        <v>40</v>
      </c>
      <c r="X1190">
        <f t="shared" si="143"/>
        <v>0</v>
      </c>
      <c r="Y1190" s="143">
        <f t="shared" si="137"/>
        <v>-968.94736842110206</v>
      </c>
    </row>
    <row r="1191" spans="1:25" x14ac:dyDescent="0.25">
      <c r="A1191">
        <f t="shared" si="139"/>
        <v>1184</v>
      </c>
      <c r="B1191" s="88" t="str">
        <f>IF(OR(B1190="Total",B1190=""),"",IF(VLOOKUP(A1191,Journal!$B$7:$E$84,4)=0,"Total",VLOOKUP(A1191,Journal!$B$7:$D$84,3)))</f>
        <v/>
      </c>
      <c r="C1191" s="86" t="str">
        <f>IF(B1191="","",VLOOKUP(A1191,Journal!$B$7:$E$84,4))</f>
        <v/>
      </c>
      <c r="D1191" s="114" t="str">
        <f>IF(B1191="","",VLOOKUP(A1191,Journal!$B$7:$J$84,9))</f>
        <v/>
      </c>
      <c r="E1191" s="116"/>
      <c r="F1191" s="116"/>
      <c r="G1191" s="115"/>
      <c r="H1191" s="84" t="str">
        <f>IF(B1191="","",VLOOKUP(A1191,Journal!$B$7:$L$84,11))</f>
        <v/>
      </c>
      <c r="I1191" s="84" t="str">
        <f>IF(B1191="","",VLOOKUP(A1191,Journal!$B$7:$M$84,12))</f>
        <v/>
      </c>
      <c r="J1191" s="105">
        <f>IF(B1191="Total",SUM(J$8:J1190)+0.0001,IF(OR(B1191="",I$2=I1191),0,VLOOKUP(A1191,Journal!$B$7:M$84,8)))</f>
        <v>0</v>
      </c>
      <c r="K1191" s="102">
        <f>IF(B1191="Total",SUM(K$8:K1190)+0.0001,IF(OR(B1191="",J1191&lt;&gt;0),0,VLOOKUP(A1191,Journal!$B$7:M$84,8)))</f>
        <v>0</v>
      </c>
      <c r="L1191" s="87">
        <f t="shared" si="140"/>
        <v>0</v>
      </c>
      <c r="P1191">
        <f t="shared" si="141"/>
        <v>1.0000000000000001E-5</v>
      </c>
      <c r="R1191" s="15">
        <f t="shared" si="142"/>
        <v>1184</v>
      </c>
      <c r="S1191" s="126">
        <f>IF(VLOOKUP(A1191,Journal!$A$7:$E$70,5)=0,S1190+1,VLOOKUP(A1191,Journal!$A$7:$E$70,5))</f>
        <v>46841</v>
      </c>
      <c r="T1191" s="125">
        <f>IF(H$2=VLOOKUP(A1191,Journal!$A$7:$F$70,6),VLOOKUP(A1191,Journal!$A$7:M$70,9),0)</f>
        <v>0</v>
      </c>
      <c r="U1191" s="125">
        <f>IF(H$2=VLOOKUP(A1191,Journal!$A$7:$G$70,7),VLOOKUP(A1191,Journal!$A$7:M$70,9),0)</f>
        <v>0</v>
      </c>
      <c r="V1191" s="125">
        <f t="shared" si="138"/>
        <v>40</v>
      </c>
      <c r="X1191">
        <f t="shared" si="143"/>
        <v>0</v>
      </c>
      <c r="Y1191" s="143">
        <f t="shared" si="137"/>
        <v>-968.92105263162841</v>
      </c>
    </row>
    <row r="1192" spans="1:25" x14ac:dyDescent="0.25">
      <c r="A1192">
        <f t="shared" si="139"/>
        <v>1185</v>
      </c>
      <c r="B1192" s="88" t="str">
        <f>IF(OR(B1191="Total",B1191=""),"",IF(VLOOKUP(A1192,Journal!$B$7:$E$84,4)=0,"Total",VLOOKUP(A1192,Journal!$B$7:$D$84,3)))</f>
        <v/>
      </c>
      <c r="C1192" s="86" t="str">
        <f>IF(B1192="","",VLOOKUP(A1192,Journal!$B$7:$E$84,4))</f>
        <v/>
      </c>
      <c r="D1192" s="114" t="str">
        <f>IF(B1192="","",VLOOKUP(A1192,Journal!$B$7:$J$84,9))</f>
        <v/>
      </c>
      <c r="E1192" s="116"/>
      <c r="F1192" s="116"/>
      <c r="G1192" s="115"/>
      <c r="H1192" s="84" t="str">
        <f>IF(B1192="","",VLOOKUP(A1192,Journal!$B$7:$L$84,11))</f>
        <v/>
      </c>
      <c r="I1192" s="84" t="str">
        <f>IF(B1192="","",VLOOKUP(A1192,Journal!$B$7:$M$84,12))</f>
        <v/>
      </c>
      <c r="J1192" s="105">
        <f>IF(B1192="Total",SUM(J$8:J1191)+0.0001,IF(OR(B1192="",I$2=I1192),0,VLOOKUP(A1192,Journal!$B$7:M$84,8)))</f>
        <v>0</v>
      </c>
      <c r="K1192" s="102">
        <f>IF(B1192="Total",SUM(K$8:K1191)+0.0001,IF(OR(B1192="",J1192&lt;&gt;0),0,VLOOKUP(A1192,Journal!$B$7:M$84,8)))</f>
        <v>0</v>
      </c>
      <c r="L1192" s="87">
        <f t="shared" si="140"/>
        <v>0</v>
      </c>
      <c r="P1192">
        <f t="shared" si="141"/>
        <v>1.0000000000000001E-5</v>
      </c>
      <c r="R1192" s="15">
        <f t="shared" si="142"/>
        <v>1185</v>
      </c>
      <c r="S1192" s="126">
        <f>IF(VLOOKUP(A1192,Journal!$A$7:$E$70,5)=0,S1191+1,VLOOKUP(A1192,Journal!$A$7:$E$70,5))</f>
        <v>46842</v>
      </c>
      <c r="T1192" s="125">
        <f>IF(H$2=VLOOKUP(A1192,Journal!$A$7:$F$70,6),VLOOKUP(A1192,Journal!$A$7:M$70,9),0)</f>
        <v>0</v>
      </c>
      <c r="U1192" s="125">
        <f>IF(H$2=VLOOKUP(A1192,Journal!$A$7:$G$70,7),VLOOKUP(A1192,Journal!$A$7:M$70,9),0)</f>
        <v>0</v>
      </c>
      <c r="V1192" s="125">
        <f t="shared" si="138"/>
        <v>40</v>
      </c>
      <c r="X1192">
        <f t="shared" si="143"/>
        <v>0</v>
      </c>
      <c r="Y1192" s="143">
        <f t="shared" si="137"/>
        <v>-968.89473684215477</v>
      </c>
    </row>
    <row r="1193" spans="1:25" x14ac:dyDescent="0.25">
      <c r="A1193">
        <f t="shared" si="139"/>
        <v>1186</v>
      </c>
      <c r="B1193" s="88" t="str">
        <f>IF(OR(B1192="Total",B1192=""),"",IF(VLOOKUP(A1193,Journal!$B$7:$E$84,4)=0,"Total",VLOOKUP(A1193,Journal!$B$7:$D$84,3)))</f>
        <v/>
      </c>
      <c r="C1193" s="86" t="str">
        <f>IF(B1193="","",VLOOKUP(A1193,Journal!$B$7:$E$84,4))</f>
        <v/>
      </c>
      <c r="D1193" s="114" t="str">
        <f>IF(B1193="","",VLOOKUP(A1193,Journal!$B$7:$J$84,9))</f>
        <v/>
      </c>
      <c r="E1193" s="116"/>
      <c r="F1193" s="116"/>
      <c r="G1193" s="115"/>
      <c r="H1193" s="84" t="str">
        <f>IF(B1193="","",VLOOKUP(A1193,Journal!$B$7:$L$84,11))</f>
        <v/>
      </c>
      <c r="I1193" s="84" t="str">
        <f>IF(B1193="","",VLOOKUP(A1193,Journal!$B$7:$M$84,12))</f>
        <v/>
      </c>
      <c r="J1193" s="105">
        <f>IF(B1193="Total",SUM(J$8:J1192)+0.0001,IF(OR(B1193="",I$2=I1193),0,VLOOKUP(A1193,Journal!$B$7:M$84,8)))</f>
        <v>0</v>
      </c>
      <c r="K1193" s="102">
        <f>IF(B1193="Total",SUM(K$8:K1192)+0.0001,IF(OR(B1193="",J1193&lt;&gt;0),0,VLOOKUP(A1193,Journal!$B$7:M$84,8)))</f>
        <v>0</v>
      </c>
      <c r="L1193" s="87">
        <f t="shared" si="140"/>
        <v>0</v>
      </c>
      <c r="P1193">
        <f t="shared" si="141"/>
        <v>1.0000000000000001E-5</v>
      </c>
      <c r="R1193" s="15">
        <f t="shared" si="142"/>
        <v>1186</v>
      </c>
      <c r="S1193" s="126">
        <f>IF(VLOOKUP(A1193,Journal!$A$7:$E$70,5)=0,S1192+1,VLOOKUP(A1193,Journal!$A$7:$E$70,5))</f>
        <v>46843</v>
      </c>
      <c r="T1193" s="125">
        <f>IF(H$2=VLOOKUP(A1193,Journal!$A$7:$F$70,6),VLOOKUP(A1193,Journal!$A$7:M$70,9),0)</f>
        <v>0</v>
      </c>
      <c r="U1193" s="125">
        <f>IF(H$2=VLOOKUP(A1193,Journal!$A$7:$G$70,7),VLOOKUP(A1193,Journal!$A$7:M$70,9),0)</f>
        <v>0</v>
      </c>
      <c r="V1193" s="125">
        <f t="shared" si="138"/>
        <v>40</v>
      </c>
      <c r="X1193">
        <f t="shared" si="143"/>
        <v>0</v>
      </c>
      <c r="Y1193" s="143">
        <f t="shared" si="137"/>
        <v>-968.86842105268113</v>
      </c>
    </row>
    <row r="1194" spans="1:25" x14ac:dyDescent="0.25">
      <c r="A1194">
        <f t="shared" si="139"/>
        <v>1187</v>
      </c>
      <c r="B1194" s="88" t="str">
        <f>IF(OR(B1193="Total",B1193=""),"",IF(VLOOKUP(A1194,Journal!$B$7:$E$84,4)=0,"Total",VLOOKUP(A1194,Journal!$B$7:$D$84,3)))</f>
        <v/>
      </c>
      <c r="C1194" s="86" t="str">
        <f>IF(B1194="","",VLOOKUP(A1194,Journal!$B$7:$E$84,4))</f>
        <v/>
      </c>
      <c r="D1194" s="114" t="str">
        <f>IF(B1194="","",VLOOKUP(A1194,Journal!$B$7:$J$84,9))</f>
        <v/>
      </c>
      <c r="E1194" s="116"/>
      <c r="F1194" s="116"/>
      <c r="G1194" s="115"/>
      <c r="H1194" s="84" t="str">
        <f>IF(B1194="","",VLOOKUP(A1194,Journal!$B$7:$L$84,11))</f>
        <v/>
      </c>
      <c r="I1194" s="84" t="str">
        <f>IF(B1194="","",VLOOKUP(A1194,Journal!$B$7:$M$84,12))</f>
        <v/>
      </c>
      <c r="J1194" s="105">
        <f>IF(B1194="Total",SUM(J$8:J1193)+0.0001,IF(OR(B1194="",I$2=I1194),0,VLOOKUP(A1194,Journal!$B$7:M$84,8)))</f>
        <v>0</v>
      </c>
      <c r="K1194" s="102">
        <f>IF(B1194="Total",SUM(K$8:K1193)+0.0001,IF(OR(B1194="",J1194&lt;&gt;0),0,VLOOKUP(A1194,Journal!$B$7:M$84,8)))</f>
        <v>0</v>
      </c>
      <c r="L1194" s="87">
        <f t="shared" si="140"/>
        <v>0</v>
      </c>
      <c r="P1194">
        <f t="shared" si="141"/>
        <v>1.0000000000000001E-5</v>
      </c>
      <c r="R1194" s="15">
        <f t="shared" si="142"/>
        <v>1187</v>
      </c>
      <c r="S1194" s="126">
        <f>IF(VLOOKUP(A1194,Journal!$A$7:$E$70,5)=0,S1193+1,VLOOKUP(A1194,Journal!$A$7:$E$70,5))</f>
        <v>46844</v>
      </c>
      <c r="T1194" s="125">
        <f>IF(H$2=VLOOKUP(A1194,Journal!$A$7:$F$70,6),VLOOKUP(A1194,Journal!$A$7:M$70,9),0)</f>
        <v>0</v>
      </c>
      <c r="U1194" s="125">
        <f>IF(H$2=VLOOKUP(A1194,Journal!$A$7:$G$70,7),VLOOKUP(A1194,Journal!$A$7:M$70,9),0)</f>
        <v>0</v>
      </c>
      <c r="V1194" s="125">
        <f t="shared" si="138"/>
        <v>40</v>
      </c>
      <c r="X1194">
        <f t="shared" si="143"/>
        <v>0</v>
      </c>
      <c r="Y1194" s="143">
        <f t="shared" si="137"/>
        <v>-968.84210526320749</v>
      </c>
    </row>
    <row r="1195" spans="1:25" x14ac:dyDescent="0.25">
      <c r="A1195">
        <f t="shared" si="139"/>
        <v>1188</v>
      </c>
      <c r="B1195" s="88" t="str">
        <f>IF(OR(B1194="Total",B1194=""),"",IF(VLOOKUP(A1195,Journal!$B$7:$E$84,4)=0,"Total",VLOOKUP(A1195,Journal!$B$7:$D$84,3)))</f>
        <v/>
      </c>
      <c r="C1195" s="86" t="str">
        <f>IF(B1195="","",VLOOKUP(A1195,Journal!$B$7:$E$84,4))</f>
        <v/>
      </c>
      <c r="D1195" s="114" t="str">
        <f>IF(B1195="","",VLOOKUP(A1195,Journal!$B$7:$J$84,9))</f>
        <v/>
      </c>
      <c r="E1195" s="116"/>
      <c r="F1195" s="116"/>
      <c r="G1195" s="115"/>
      <c r="H1195" s="84" t="str">
        <f>IF(B1195="","",VLOOKUP(A1195,Journal!$B$7:$L$84,11))</f>
        <v/>
      </c>
      <c r="I1195" s="84" t="str">
        <f>IF(B1195="","",VLOOKUP(A1195,Journal!$B$7:$M$84,12))</f>
        <v/>
      </c>
      <c r="J1195" s="105">
        <f>IF(B1195="Total",SUM(J$8:J1194)+0.0001,IF(OR(B1195="",I$2=I1195),0,VLOOKUP(A1195,Journal!$B$7:M$84,8)))</f>
        <v>0</v>
      </c>
      <c r="K1195" s="102">
        <f>IF(B1195="Total",SUM(K$8:K1194)+0.0001,IF(OR(B1195="",J1195&lt;&gt;0),0,VLOOKUP(A1195,Journal!$B$7:M$84,8)))</f>
        <v>0</v>
      </c>
      <c r="L1195" s="87">
        <f t="shared" si="140"/>
        <v>0</v>
      </c>
      <c r="P1195">
        <f t="shared" si="141"/>
        <v>1.0000000000000001E-5</v>
      </c>
      <c r="R1195" s="15">
        <f t="shared" si="142"/>
        <v>1188</v>
      </c>
      <c r="S1195" s="126">
        <f>IF(VLOOKUP(A1195,Journal!$A$7:$E$70,5)=0,S1194+1,VLOOKUP(A1195,Journal!$A$7:$E$70,5))</f>
        <v>46845</v>
      </c>
      <c r="T1195" s="125">
        <f>IF(H$2=VLOOKUP(A1195,Journal!$A$7:$F$70,6),VLOOKUP(A1195,Journal!$A$7:M$70,9),0)</f>
        <v>0</v>
      </c>
      <c r="U1195" s="125">
        <f>IF(H$2=VLOOKUP(A1195,Journal!$A$7:$G$70,7),VLOOKUP(A1195,Journal!$A$7:M$70,9),0)</f>
        <v>0</v>
      </c>
      <c r="V1195" s="125">
        <f t="shared" si="138"/>
        <v>40</v>
      </c>
      <c r="X1195">
        <f t="shared" si="143"/>
        <v>0</v>
      </c>
      <c r="Y1195" s="143">
        <f t="shared" si="137"/>
        <v>-968.81578947373384</v>
      </c>
    </row>
    <row r="1196" spans="1:25" x14ac:dyDescent="0.25">
      <c r="A1196">
        <f t="shared" si="139"/>
        <v>1189</v>
      </c>
      <c r="B1196" s="88" t="str">
        <f>IF(OR(B1195="Total",B1195=""),"",IF(VLOOKUP(A1196,Journal!$B$7:$E$84,4)=0,"Total",VLOOKUP(A1196,Journal!$B$7:$D$84,3)))</f>
        <v/>
      </c>
      <c r="C1196" s="86" t="str">
        <f>IF(B1196="","",VLOOKUP(A1196,Journal!$B$7:$E$84,4))</f>
        <v/>
      </c>
      <c r="D1196" s="114" t="str">
        <f>IF(B1196="","",VLOOKUP(A1196,Journal!$B$7:$J$84,9))</f>
        <v/>
      </c>
      <c r="E1196" s="116"/>
      <c r="F1196" s="116"/>
      <c r="G1196" s="115"/>
      <c r="H1196" s="84" t="str">
        <f>IF(B1196="","",VLOOKUP(A1196,Journal!$B$7:$L$84,11))</f>
        <v/>
      </c>
      <c r="I1196" s="84" t="str">
        <f>IF(B1196="","",VLOOKUP(A1196,Journal!$B$7:$M$84,12))</f>
        <v/>
      </c>
      <c r="J1196" s="105">
        <f>IF(B1196="Total",SUM(J$8:J1195)+0.0001,IF(OR(B1196="",I$2=I1196),0,VLOOKUP(A1196,Journal!$B$7:M$84,8)))</f>
        <v>0</v>
      </c>
      <c r="K1196" s="102">
        <f>IF(B1196="Total",SUM(K$8:K1195)+0.0001,IF(OR(B1196="",J1196&lt;&gt;0),0,VLOOKUP(A1196,Journal!$B$7:M$84,8)))</f>
        <v>0</v>
      </c>
      <c r="L1196" s="87">
        <f t="shared" si="140"/>
        <v>0</v>
      </c>
      <c r="P1196">
        <f t="shared" si="141"/>
        <v>1.0000000000000001E-5</v>
      </c>
      <c r="R1196" s="15">
        <f t="shared" si="142"/>
        <v>1189</v>
      </c>
      <c r="S1196" s="126">
        <f>IF(VLOOKUP(A1196,Journal!$A$7:$E$70,5)=0,S1195+1,VLOOKUP(A1196,Journal!$A$7:$E$70,5))</f>
        <v>46846</v>
      </c>
      <c r="T1196" s="125">
        <f>IF(H$2=VLOOKUP(A1196,Journal!$A$7:$F$70,6),VLOOKUP(A1196,Journal!$A$7:M$70,9),0)</f>
        <v>0</v>
      </c>
      <c r="U1196" s="125">
        <f>IF(H$2=VLOOKUP(A1196,Journal!$A$7:$G$70,7),VLOOKUP(A1196,Journal!$A$7:M$70,9),0)</f>
        <v>0</v>
      </c>
      <c r="V1196" s="125">
        <f t="shared" si="138"/>
        <v>40</v>
      </c>
      <c r="X1196">
        <f t="shared" si="143"/>
        <v>0</v>
      </c>
      <c r="Y1196" s="143">
        <f t="shared" si="137"/>
        <v>-968.7894736842602</v>
      </c>
    </row>
    <row r="1197" spans="1:25" x14ac:dyDescent="0.25">
      <c r="A1197">
        <f t="shared" si="139"/>
        <v>1190</v>
      </c>
      <c r="B1197" s="88" t="str">
        <f>IF(OR(B1196="Total",B1196=""),"",IF(VLOOKUP(A1197,Journal!$B$7:$E$84,4)=0,"Total",VLOOKUP(A1197,Journal!$B$7:$D$84,3)))</f>
        <v/>
      </c>
      <c r="C1197" s="86" t="str">
        <f>IF(B1197="","",VLOOKUP(A1197,Journal!$B$7:$E$84,4))</f>
        <v/>
      </c>
      <c r="D1197" s="114" t="str">
        <f>IF(B1197="","",VLOOKUP(A1197,Journal!$B$7:$J$84,9))</f>
        <v/>
      </c>
      <c r="E1197" s="116"/>
      <c r="F1197" s="116"/>
      <c r="G1197" s="115"/>
      <c r="H1197" s="84" t="str">
        <f>IF(B1197="","",VLOOKUP(A1197,Journal!$B$7:$L$84,11))</f>
        <v/>
      </c>
      <c r="I1197" s="84" t="str">
        <f>IF(B1197="","",VLOOKUP(A1197,Journal!$B$7:$M$84,12))</f>
        <v/>
      </c>
      <c r="J1197" s="105">
        <f>IF(B1197="Total",SUM(J$8:J1196)+0.0001,IF(OR(B1197="",I$2=I1197),0,VLOOKUP(A1197,Journal!$B$7:M$84,8)))</f>
        <v>0</v>
      </c>
      <c r="K1197" s="102">
        <f>IF(B1197="Total",SUM(K$8:K1196)+0.0001,IF(OR(B1197="",J1197&lt;&gt;0),0,VLOOKUP(A1197,Journal!$B$7:M$84,8)))</f>
        <v>0</v>
      </c>
      <c r="L1197" s="87">
        <f t="shared" si="140"/>
        <v>0</v>
      </c>
      <c r="P1197">
        <f t="shared" si="141"/>
        <v>1.0000000000000001E-5</v>
      </c>
      <c r="R1197" s="15">
        <f t="shared" si="142"/>
        <v>1190</v>
      </c>
      <c r="S1197" s="126">
        <f>IF(VLOOKUP(A1197,Journal!$A$7:$E$70,5)=0,S1196+1,VLOOKUP(A1197,Journal!$A$7:$E$70,5))</f>
        <v>46847</v>
      </c>
      <c r="T1197" s="125">
        <f>IF(H$2=VLOOKUP(A1197,Journal!$A$7:$F$70,6),VLOOKUP(A1197,Journal!$A$7:M$70,9),0)</f>
        <v>0</v>
      </c>
      <c r="U1197" s="125">
        <f>IF(H$2=VLOOKUP(A1197,Journal!$A$7:$G$70,7),VLOOKUP(A1197,Journal!$A$7:M$70,9),0)</f>
        <v>0</v>
      </c>
      <c r="V1197" s="125">
        <f t="shared" si="138"/>
        <v>40</v>
      </c>
      <c r="X1197">
        <f t="shared" si="143"/>
        <v>0</v>
      </c>
      <c r="Y1197" s="143">
        <f t="shared" si="137"/>
        <v>-968.76315789478656</v>
      </c>
    </row>
    <row r="1198" spans="1:25" x14ac:dyDescent="0.25">
      <c r="A1198">
        <f t="shared" si="139"/>
        <v>1191</v>
      </c>
      <c r="B1198" s="88" t="str">
        <f>IF(OR(B1197="Total",B1197=""),"",IF(VLOOKUP(A1198,Journal!$B$7:$E$84,4)=0,"Total",VLOOKUP(A1198,Journal!$B$7:$D$84,3)))</f>
        <v/>
      </c>
      <c r="C1198" s="86" t="str">
        <f>IF(B1198="","",VLOOKUP(A1198,Journal!$B$7:$E$84,4))</f>
        <v/>
      </c>
      <c r="D1198" s="114" t="str">
        <f>IF(B1198="","",VLOOKUP(A1198,Journal!$B$7:$J$84,9))</f>
        <v/>
      </c>
      <c r="E1198" s="116"/>
      <c r="F1198" s="116"/>
      <c r="G1198" s="115"/>
      <c r="H1198" s="84" t="str">
        <f>IF(B1198="","",VLOOKUP(A1198,Journal!$B$7:$L$84,11))</f>
        <v/>
      </c>
      <c r="I1198" s="84" t="str">
        <f>IF(B1198="","",VLOOKUP(A1198,Journal!$B$7:$M$84,12))</f>
        <v/>
      </c>
      <c r="J1198" s="105">
        <f>IF(B1198="Total",SUM(J$8:J1197)+0.0001,IF(OR(B1198="",I$2=I1198),0,VLOOKUP(A1198,Journal!$B$7:M$84,8)))</f>
        <v>0</v>
      </c>
      <c r="K1198" s="102">
        <f>IF(B1198="Total",SUM(K$8:K1197)+0.0001,IF(OR(B1198="",J1198&lt;&gt;0),0,VLOOKUP(A1198,Journal!$B$7:M$84,8)))</f>
        <v>0</v>
      </c>
      <c r="L1198" s="87">
        <f t="shared" si="140"/>
        <v>0</v>
      </c>
      <c r="P1198">
        <f t="shared" si="141"/>
        <v>1.0000000000000001E-5</v>
      </c>
      <c r="R1198" s="15">
        <f t="shared" si="142"/>
        <v>1191</v>
      </c>
      <c r="S1198" s="126">
        <f>IF(VLOOKUP(A1198,Journal!$A$7:$E$70,5)=0,S1197+1,VLOOKUP(A1198,Journal!$A$7:$E$70,5))</f>
        <v>46848</v>
      </c>
      <c r="T1198" s="125">
        <f>IF(H$2=VLOOKUP(A1198,Journal!$A$7:$F$70,6),VLOOKUP(A1198,Journal!$A$7:M$70,9),0)</f>
        <v>0</v>
      </c>
      <c r="U1198" s="125">
        <f>IF(H$2=VLOOKUP(A1198,Journal!$A$7:$G$70,7),VLOOKUP(A1198,Journal!$A$7:M$70,9),0)</f>
        <v>0</v>
      </c>
      <c r="V1198" s="125">
        <f t="shared" si="138"/>
        <v>40</v>
      </c>
      <c r="X1198">
        <f t="shared" si="143"/>
        <v>0</v>
      </c>
      <c r="Y1198" s="143">
        <f t="shared" si="137"/>
        <v>-968.73684210531292</v>
      </c>
    </row>
    <row r="1199" spans="1:25" x14ac:dyDescent="0.25">
      <c r="A1199">
        <f t="shared" si="139"/>
        <v>1192</v>
      </c>
      <c r="B1199" s="88" t="str">
        <f>IF(OR(B1198="Total",B1198=""),"",IF(VLOOKUP(A1199,Journal!$B$7:$E$84,4)=0,"Total",VLOOKUP(A1199,Journal!$B$7:$D$84,3)))</f>
        <v/>
      </c>
      <c r="C1199" s="86" t="str">
        <f>IF(B1199="","",VLOOKUP(A1199,Journal!$B$7:$E$84,4))</f>
        <v/>
      </c>
      <c r="D1199" s="114" t="str">
        <f>IF(B1199="","",VLOOKUP(A1199,Journal!$B$7:$J$84,9))</f>
        <v/>
      </c>
      <c r="E1199" s="116"/>
      <c r="F1199" s="116"/>
      <c r="G1199" s="115"/>
      <c r="H1199" s="84" t="str">
        <f>IF(B1199="","",VLOOKUP(A1199,Journal!$B$7:$L$84,11))</f>
        <v/>
      </c>
      <c r="I1199" s="84" t="str">
        <f>IF(B1199="","",VLOOKUP(A1199,Journal!$B$7:$M$84,12))</f>
        <v/>
      </c>
      <c r="J1199" s="105">
        <f>IF(B1199="Total",SUM(J$8:J1198)+0.0001,IF(OR(B1199="",I$2=I1199),0,VLOOKUP(A1199,Journal!$B$7:M$84,8)))</f>
        <v>0</v>
      </c>
      <c r="K1199" s="102">
        <f>IF(B1199="Total",SUM(K$8:K1198)+0.0001,IF(OR(B1199="",J1199&lt;&gt;0),0,VLOOKUP(A1199,Journal!$B$7:M$84,8)))</f>
        <v>0</v>
      </c>
      <c r="L1199" s="87">
        <f t="shared" si="140"/>
        <v>0</v>
      </c>
      <c r="P1199">
        <f t="shared" si="141"/>
        <v>1.0000000000000001E-5</v>
      </c>
      <c r="R1199" s="15">
        <f t="shared" si="142"/>
        <v>1192</v>
      </c>
      <c r="S1199" s="126">
        <f>IF(VLOOKUP(A1199,Journal!$A$7:$E$70,5)=0,S1198+1,VLOOKUP(A1199,Journal!$A$7:$E$70,5))</f>
        <v>46849</v>
      </c>
      <c r="T1199" s="125">
        <f>IF(H$2=VLOOKUP(A1199,Journal!$A$7:$F$70,6),VLOOKUP(A1199,Journal!$A$7:M$70,9),0)</f>
        <v>0</v>
      </c>
      <c r="U1199" s="125">
        <f>IF(H$2=VLOOKUP(A1199,Journal!$A$7:$G$70,7),VLOOKUP(A1199,Journal!$A$7:M$70,9),0)</f>
        <v>0</v>
      </c>
      <c r="V1199" s="125">
        <f t="shared" si="138"/>
        <v>40</v>
      </c>
      <c r="X1199">
        <f t="shared" si="143"/>
        <v>0</v>
      </c>
      <c r="Y1199" s="143">
        <f t="shared" si="137"/>
        <v>-968.71052631583927</v>
      </c>
    </row>
    <row r="1200" spans="1:25" x14ac:dyDescent="0.25">
      <c r="A1200">
        <f t="shared" si="139"/>
        <v>1193</v>
      </c>
      <c r="B1200" s="88" t="str">
        <f>IF(OR(B1199="Total",B1199=""),"",IF(VLOOKUP(A1200,Journal!$B$7:$E$84,4)=0,"Total",VLOOKUP(A1200,Journal!$B$7:$D$84,3)))</f>
        <v/>
      </c>
      <c r="C1200" s="86" t="str">
        <f>IF(B1200="","",VLOOKUP(A1200,Journal!$B$7:$E$84,4))</f>
        <v/>
      </c>
      <c r="D1200" s="114" t="str">
        <f>IF(B1200="","",VLOOKUP(A1200,Journal!$B$7:$J$84,9))</f>
        <v/>
      </c>
      <c r="E1200" s="116"/>
      <c r="F1200" s="116"/>
      <c r="G1200" s="115"/>
      <c r="H1200" s="84" t="str">
        <f>IF(B1200="","",VLOOKUP(A1200,Journal!$B$7:$L$84,11))</f>
        <v/>
      </c>
      <c r="I1200" s="84" t="str">
        <f>IF(B1200="","",VLOOKUP(A1200,Journal!$B$7:$M$84,12))</f>
        <v/>
      </c>
      <c r="J1200" s="105">
        <f>IF(B1200="Total",SUM(J$8:J1199)+0.0001,IF(OR(B1200="",I$2=I1200),0,VLOOKUP(A1200,Journal!$B$7:M$84,8)))</f>
        <v>0</v>
      </c>
      <c r="K1200" s="102">
        <f>IF(B1200="Total",SUM(K$8:K1199)+0.0001,IF(OR(B1200="",J1200&lt;&gt;0),0,VLOOKUP(A1200,Journal!$B$7:M$84,8)))</f>
        <v>0</v>
      </c>
      <c r="L1200" s="87">
        <f t="shared" si="140"/>
        <v>0</v>
      </c>
      <c r="P1200">
        <f t="shared" si="141"/>
        <v>1.0000000000000001E-5</v>
      </c>
      <c r="R1200" s="15">
        <f t="shared" si="142"/>
        <v>1193</v>
      </c>
      <c r="S1200" s="126">
        <f>IF(VLOOKUP(A1200,Journal!$A$7:$E$70,5)=0,S1199+1,VLOOKUP(A1200,Journal!$A$7:$E$70,5))</f>
        <v>46850</v>
      </c>
      <c r="T1200" s="125">
        <f>IF(H$2=VLOOKUP(A1200,Journal!$A$7:$F$70,6),VLOOKUP(A1200,Journal!$A$7:M$70,9),0)</f>
        <v>0</v>
      </c>
      <c r="U1200" s="125">
        <f>IF(H$2=VLOOKUP(A1200,Journal!$A$7:$G$70,7),VLOOKUP(A1200,Journal!$A$7:M$70,9),0)</f>
        <v>0</v>
      </c>
      <c r="V1200" s="125">
        <f t="shared" si="138"/>
        <v>40</v>
      </c>
      <c r="X1200">
        <f t="shared" si="143"/>
        <v>0</v>
      </c>
      <c r="Y1200" s="143">
        <f t="shared" si="137"/>
        <v>-968.68421052636563</v>
      </c>
    </row>
    <row r="1201" spans="1:25" x14ac:dyDescent="0.25">
      <c r="A1201">
        <f t="shared" si="139"/>
        <v>1194</v>
      </c>
      <c r="B1201" s="88" t="str">
        <f>IF(OR(B1200="Total",B1200=""),"",IF(VLOOKUP(A1201,Journal!$B$7:$E$84,4)=0,"Total",VLOOKUP(A1201,Journal!$B$7:$D$84,3)))</f>
        <v/>
      </c>
      <c r="C1201" s="86" t="str">
        <f>IF(B1201="","",VLOOKUP(A1201,Journal!$B$7:$E$84,4))</f>
        <v/>
      </c>
      <c r="D1201" s="114" t="str">
        <f>IF(B1201="","",VLOOKUP(A1201,Journal!$B$7:$J$84,9))</f>
        <v/>
      </c>
      <c r="E1201" s="116"/>
      <c r="F1201" s="116"/>
      <c r="G1201" s="115"/>
      <c r="H1201" s="84" t="str">
        <f>IF(B1201="","",VLOOKUP(A1201,Journal!$B$7:$L$84,11))</f>
        <v/>
      </c>
      <c r="I1201" s="84" t="str">
        <f>IF(B1201="","",VLOOKUP(A1201,Journal!$B$7:$M$84,12))</f>
        <v/>
      </c>
      <c r="J1201" s="105">
        <f>IF(B1201="Total",SUM(J$8:J1200)+0.0001,IF(OR(B1201="",I$2=I1201),0,VLOOKUP(A1201,Journal!$B$7:M$84,8)))</f>
        <v>0</v>
      </c>
      <c r="K1201" s="102">
        <f>IF(B1201="Total",SUM(K$8:K1200)+0.0001,IF(OR(B1201="",J1201&lt;&gt;0),0,VLOOKUP(A1201,Journal!$B$7:M$84,8)))</f>
        <v>0</v>
      </c>
      <c r="L1201" s="87">
        <f t="shared" si="140"/>
        <v>0</v>
      </c>
      <c r="P1201">
        <f t="shared" si="141"/>
        <v>1.0000000000000001E-5</v>
      </c>
      <c r="R1201" s="15">
        <f t="shared" si="142"/>
        <v>1194</v>
      </c>
      <c r="S1201" s="126">
        <f>IF(VLOOKUP(A1201,Journal!$A$7:$E$70,5)=0,S1200+1,VLOOKUP(A1201,Journal!$A$7:$E$70,5))</f>
        <v>46851</v>
      </c>
      <c r="T1201" s="125">
        <f>IF(H$2=VLOOKUP(A1201,Journal!$A$7:$F$70,6),VLOOKUP(A1201,Journal!$A$7:M$70,9),0)</f>
        <v>0</v>
      </c>
      <c r="U1201" s="125">
        <f>IF(H$2=VLOOKUP(A1201,Journal!$A$7:$G$70,7),VLOOKUP(A1201,Journal!$A$7:M$70,9),0)</f>
        <v>0</v>
      </c>
      <c r="V1201" s="125">
        <f t="shared" si="138"/>
        <v>40</v>
      </c>
      <c r="X1201">
        <f t="shared" si="143"/>
        <v>0</v>
      </c>
      <c r="Y1201" s="143">
        <f t="shared" si="137"/>
        <v>-968.65789473689199</v>
      </c>
    </row>
    <row r="1202" spans="1:25" x14ac:dyDescent="0.25">
      <c r="A1202">
        <f t="shared" si="139"/>
        <v>1195</v>
      </c>
      <c r="B1202" s="88" t="str">
        <f>IF(OR(B1201="Total",B1201=""),"",IF(VLOOKUP(A1202,Journal!$B$7:$E$84,4)=0,"Total",VLOOKUP(A1202,Journal!$B$7:$D$84,3)))</f>
        <v/>
      </c>
      <c r="C1202" s="86" t="str">
        <f>IF(B1202="","",VLOOKUP(A1202,Journal!$B$7:$E$84,4))</f>
        <v/>
      </c>
      <c r="D1202" s="114" t="str">
        <f>IF(B1202="","",VLOOKUP(A1202,Journal!$B$7:$J$84,9))</f>
        <v/>
      </c>
      <c r="E1202" s="116"/>
      <c r="F1202" s="116"/>
      <c r="G1202" s="115"/>
      <c r="H1202" s="84" t="str">
        <f>IF(B1202="","",VLOOKUP(A1202,Journal!$B$7:$L$84,11))</f>
        <v/>
      </c>
      <c r="I1202" s="84" t="str">
        <f>IF(B1202="","",VLOOKUP(A1202,Journal!$B$7:$M$84,12))</f>
        <v/>
      </c>
      <c r="J1202" s="105">
        <f>IF(B1202="Total",SUM(J$8:J1201)+0.0001,IF(OR(B1202="",I$2=I1202),0,VLOOKUP(A1202,Journal!$B$7:M$84,8)))</f>
        <v>0</v>
      </c>
      <c r="K1202" s="102">
        <f>IF(B1202="Total",SUM(K$8:K1201)+0.0001,IF(OR(B1202="",J1202&lt;&gt;0),0,VLOOKUP(A1202,Journal!$B$7:M$84,8)))</f>
        <v>0</v>
      </c>
      <c r="L1202" s="87">
        <f t="shared" si="140"/>
        <v>0</v>
      </c>
      <c r="P1202">
        <f t="shared" si="141"/>
        <v>1.0000000000000001E-5</v>
      </c>
      <c r="R1202" s="15">
        <f t="shared" si="142"/>
        <v>1195</v>
      </c>
      <c r="S1202" s="126">
        <f>IF(VLOOKUP(A1202,Journal!$A$7:$E$70,5)=0,S1201+1,VLOOKUP(A1202,Journal!$A$7:$E$70,5))</f>
        <v>46852</v>
      </c>
      <c r="T1202" s="125">
        <f>IF(H$2=VLOOKUP(A1202,Journal!$A$7:$F$70,6),VLOOKUP(A1202,Journal!$A$7:M$70,9),0)</f>
        <v>0</v>
      </c>
      <c r="U1202" s="125">
        <f>IF(H$2=VLOOKUP(A1202,Journal!$A$7:$G$70,7),VLOOKUP(A1202,Journal!$A$7:M$70,9),0)</f>
        <v>0</v>
      </c>
      <c r="V1202" s="125">
        <f t="shared" si="138"/>
        <v>40</v>
      </c>
      <c r="X1202">
        <f t="shared" si="143"/>
        <v>0</v>
      </c>
      <c r="Y1202" s="143">
        <f t="shared" si="137"/>
        <v>-968.63157894741835</v>
      </c>
    </row>
    <row r="1203" spans="1:25" x14ac:dyDescent="0.25">
      <c r="A1203">
        <f t="shared" si="139"/>
        <v>1196</v>
      </c>
      <c r="B1203" s="88" t="str">
        <f>IF(OR(B1202="Total",B1202=""),"",IF(VLOOKUP(A1203,Journal!$B$7:$E$84,4)=0,"Total",VLOOKUP(A1203,Journal!$B$7:$D$84,3)))</f>
        <v/>
      </c>
      <c r="C1203" s="86" t="str">
        <f>IF(B1203="","",VLOOKUP(A1203,Journal!$B$7:$E$84,4))</f>
        <v/>
      </c>
      <c r="D1203" s="114" t="str">
        <f>IF(B1203="","",VLOOKUP(A1203,Journal!$B$7:$J$84,9))</f>
        <v/>
      </c>
      <c r="E1203" s="116"/>
      <c r="F1203" s="116"/>
      <c r="G1203" s="115"/>
      <c r="H1203" s="84" t="str">
        <f>IF(B1203="","",VLOOKUP(A1203,Journal!$B$7:$L$84,11))</f>
        <v/>
      </c>
      <c r="I1203" s="84" t="str">
        <f>IF(B1203="","",VLOOKUP(A1203,Journal!$B$7:$M$84,12))</f>
        <v/>
      </c>
      <c r="J1203" s="105">
        <f>IF(B1203="Total",SUM(J$8:J1202)+0.0001,IF(OR(B1203="",I$2=I1203),0,VLOOKUP(A1203,Journal!$B$7:M$84,8)))</f>
        <v>0</v>
      </c>
      <c r="K1203" s="102">
        <f>IF(B1203="Total",SUM(K$8:K1202)+0.0001,IF(OR(B1203="",J1203&lt;&gt;0),0,VLOOKUP(A1203,Journal!$B$7:M$84,8)))</f>
        <v>0</v>
      </c>
      <c r="L1203" s="87">
        <f t="shared" si="140"/>
        <v>0</v>
      </c>
      <c r="P1203">
        <f t="shared" si="141"/>
        <v>1.0000000000000001E-5</v>
      </c>
      <c r="R1203" s="15">
        <f t="shared" si="142"/>
        <v>1196</v>
      </c>
      <c r="S1203" s="126">
        <f>IF(VLOOKUP(A1203,Journal!$A$7:$E$70,5)=0,S1202+1,VLOOKUP(A1203,Journal!$A$7:$E$70,5))</f>
        <v>46853</v>
      </c>
      <c r="T1203" s="125">
        <f>IF(H$2=VLOOKUP(A1203,Journal!$A$7:$F$70,6),VLOOKUP(A1203,Journal!$A$7:M$70,9),0)</f>
        <v>0</v>
      </c>
      <c r="U1203" s="125">
        <f>IF(H$2=VLOOKUP(A1203,Journal!$A$7:$G$70,7),VLOOKUP(A1203,Journal!$A$7:M$70,9),0)</f>
        <v>0</v>
      </c>
      <c r="V1203" s="125">
        <f t="shared" si="138"/>
        <v>40</v>
      </c>
      <c r="X1203">
        <f t="shared" si="143"/>
        <v>0</v>
      </c>
      <c r="Y1203" s="143">
        <f t="shared" si="137"/>
        <v>-968.60526315794471</v>
      </c>
    </row>
    <row r="1204" spans="1:25" x14ac:dyDescent="0.25">
      <c r="A1204">
        <f t="shared" si="139"/>
        <v>1197</v>
      </c>
      <c r="B1204" s="88" t="str">
        <f>IF(OR(B1203="Total",B1203=""),"",IF(VLOOKUP(A1204,Journal!$B$7:$E$84,4)=0,"Total",VLOOKUP(A1204,Journal!$B$7:$D$84,3)))</f>
        <v/>
      </c>
      <c r="C1204" s="86" t="str">
        <f>IF(B1204="","",VLOOKUP(A1204,Journal!$B$7:$E$84,4))</f>
        <v/>
      </c>
      <c r="D1204" s="114" t="str">
        <f>IF(B1204="","",VLOOKUP(A1204,Journal!$B$7:$J$84,9))</f>
        <v/>
      </c>
      <c r="E1204" s="116"/>
      <c r="F1204" s="116"/>
      <c r="G1204" s="115"/>
      <c r="H1204" s="84" t="str">
        <f>IF(B1204="","",VLOOKUP(A1204,Journal!$B$7:$L$84,11))</f>
        <v/>
      </c>
      <c r="I1204" s="84" t="str">
        <f>IF(B1204="","",VLOOKUP(A1204,Journal!$B$7:$M$84,12))</f>
        <v/>
      </c>
      <c r="J1204" s="105">
        <f>IF(B1204="Total",SUM(J$8:J1203)+0.0001,IF(OR(B1204="",I$2=I1204),0,VLOOKUP(A1204,Journal!$B$7:M$84,8)))</f>
        <v>0</v>
      </c>
      <c r="K1204" s="102">
        <f>IF(B1204="Total",SUM(K$8:K1203)+0.0001,IF(OR(B1204="",J1204&lt;&gt;0),0,VLOOKUP(A1204,Journal!$B$7:M$84,8)))</f>
        <v>0</v>
      </c>
      <c r="L1204" s="87">
        <f t="shared" si="140"/>
        <v>0</v>
      </c>
      <c r="P1204">
        <f t="shared" si="141"/>
        <v>1.0000000000000001E-5</v>
      </c>
      <c r="R1204" s="15">
        <f t="shared" si="142"/>
        <v>1197</v>
      </c>
      <c r="S1204" s="126">
        <f>IF(VLOOKUP(A1204,Journal!$A$7:$E$70,5)=0,S1203+1,VLOOKUP(A1204,Journal!$A$7:$E$70,5))</f>
        <v>46854</v>
      </c>
      <c r="T1204" s="125">
        <f>IF(H$2=VLOOKUP(A1204,Journal!$A$7:$F$70,6),VLOOKUP(A1204,Journal!$A$7:M$70,9),0)</f>
        <v>0</v>
      </c>
      <c r="U1204" s="125">
        <f>IF(H$2=VLOOKUP(A1204,Journal!$A$7:$G$70,7),VLOOKUP(A1204,Journal!$A$7:M$70,9),0)</f>
        <v>0</v>
      </c>
      <c r="V1204" s="125">
        <f t="shared" si="138"/>
        <v>40</v>
      </c>
      <c r="X1204">
        <f t="shared" si="143"/>
        <v>0</v>
      </c>
      <c r="Y1204" s="143">
        <f t="shared" si="137"/>
        <v>-968.57894736847106</v>
      </c>
    </row>
    <row r="1205" spans="1:25" x14ac:dyDescent="0.25">
      <c r="A1205">
        <f t="shared" si="139"/>
        <v>1198</v>
      </c>
      <c r="B1205" s="88" t="str">
        <f>IF(OR(B1204="Total",B1204=""),"",IF(VLOOKUP(A1205,Journal!$B$7:$E$84,4)=0,"Total",VLOOKUP(A1205,Journal!$B$7:$D$84,3)))</f>
        <v/>
      </c>
      <c r="C1205" s="86" t="str">
        <f>IF(B1205="","",VLOOKUP(A1205,Journal!$B$7:$E$84,4))</f>
        <v/>
      </c>
      <c r="D1205" s="114" t="str">
        <f>IF(B1205="","",VLOOKUP(A1205,Journal!$B$7:$J$84,9))</f>
        <v/>
      </c>
      <c r="E1205" s="116"/>
      <c r="F1205" s="116"/>
      <c r="G1205" s="115"/>
      <c r="H1205" s="84" t="str">
        <f>IF(B1205="","",VLOOKUP(A1205,Journal!$B$7:$L$84,11))</f>
        <v/>
      </c>
      <c r="I1205" s="84" t="str">
        <f>IF(B1205="","",VLOOKUP(A1205,Journal!$B$7:$M$84,12))</f>
        <v/>
      </c>
      <c r="J1205" s="105">
        <f>IF(B1205="Total",SUM(J$8:J1204)+0.0001,IF(OR(B1205="",I$2=I1205),0,VLOOKUP(A1205,Journal!$B$7:M$84,8)))</f>
        <v>0</v>
      </c>
      <c r="K1205" s="102">
        <f>IF(B1205="Total",SUM(K$8:K1204)+0.0001,IF(OR(B1205="",J1205&lt;&gt;0),0,VLOOKUP(A1205,Journal!$B$7:M$84,8)))</f>
        <v>0</v>
      </c>
      <c r="L1205" s="87">
        <f t="shared" si="140"/>
        <v>0</v>
      </c>
      <c r="P1205">
        <f t="shared" si="141"/>
        <v>1.0000000000000001E-5</v>
      </c>
      <c r="R1205" s="15">
        <f t="shared" si="142"/>
        <v>1198</v>
      </c>
      <c r="S1205" s="126">
        <f>IF(VLOOKUP(A1205,Journal!$A$7:$E$70,5)=0,S1204+1,VLOOKUP(A1205,Journal!$A$7:$E$70,5))</f>
        <v>46855</v>
      </c>
      <c r="T1205" s="125">
        <f>IF(H$2=VLOOKUP(A1205,Journal!$A$7:$F$70,6),VLOOKUP(A1205,Journal!$A$7:M$70,9),0)</f>
        <v>0</v>
      </c>
      <c r="U1205" s="125">
        <f>IF(H$2=VLOOKUP(A1205,Journal!$A$7:$G$70,7),VLOOKUP(A1205,Journal!$A$7:M$70,9),0)</f>
        <v>0</v>
      </c>
      <c r="V1205" s="125">
        <f t="shared" si="138"/>
        <v>40</v>
      </c>
      <c r="X1205">
        <f t="shared" si="143"/>
        <v>0</v>
      </c>
      <c r="Y1205" s="143">
        <f t="shared" si="137"/>
        <v>-968.55263157899742</v>
      </c>
    </row>
    <row r="1206" spans="1:25" x14ac:dyDescent="0.25">
      <c r="A1206">
        <f t="shared" si="139"/>
        <v>1199</v>
      </c>
      <c r="B1206" s="88" t="str">
        <f>IF(OR(B1205="Total",B1205=""),"",IF(VLOOKUP(A1206,Journal!$B$7:$E$84,4)=0,"Total",VLOOKUP(A1206,Journal!$B$7:$D$84,3)))</f>
        <v/>
      </c>
      <c r="C1206" s="86" t="str">
        <f>IF(B1206="","",VLOOKUP(A1206,Journal!$B$7:$E$84,4))</f>
        <v/>
      </c>
      <c r="D1206" s="114" t="str">
        <f>IF(B1206="","",VLOOKUP(A1206,Journal!$B$7:$J$84,9))</f>
        <v/>
      </c>
      <c r="E1206" s="116"/>
      <c r="F1206" s="116"/>
      <c r="G1206" s="115"/>
      <c r="H1206" s="84" t="str">
        <f>IF(B1206="","",VLOOKUP(A1206,Journal!$B$7:$L$84,11))</f>
        <v/>
      </c>
      <c r="I1206" s="84" t="str">
        <f>IF(B1206="","",VLOOKUP(A1206,Journal!$B$7:$M$84,12))</f>
        <v/>
      </c>
      <c r="J1206" s="105">
        <f>IF(B1206="Total",SUM(J$8:J1205)+0.0001,IF(OR(B1206="",I$2=I1206),0,VLOOKUP(A1206,Journal!$B$7:M$84,8)))</f>
        <v>0</v>
      </c>
      <c r="K1206" s="102">
        <f>IF(B1206="Total",SUM(K$8:K1205)+0.0001,IF(OR(B1206="",J1206&lt;&gt;0),0,VLOOKUP(A1206,Journal!$B$7:M$84,8)))</f>
        <v>0</v>
      </c>
      <c r="L1206" s="87">
        <f t="shared" si="140"/>
        <v>0</v>
      </c>
      <c r="P1206">
        <f t="shared" si="141"/>
        <v>1.0000000000000001E-5</v>
      </c>
      <c r="R1206" s="15">
        <f t="shared" si="142"/>
        <v>1199</v>
      </c>
      <c r="S1206" s="126">
        <f>IF(VLOOKUP(A1206,Journal!$A$7:$E$70,5)=0,S1205+1,VLOOKUP(A1206,Journal!$A$7:$E$70,5))</f>
        <v>46856</v>
      </c>
      <c r="T1206" s="125">
        <f>IF(H$2=VLOOKUP(A1206,Journal!$A$7:$F$70,6),VLOOKUP(A1206,Journal!$A$7:M$70,9),0)</f>
        <v>0</v>
      </c>
      <c r="U1206" s="125">
        <f>IF(H$2=VLOOKUP(A1206,Journal!$A$7:$G$70,7),VLOOKUP(A1206,Journal!$A$7:M$70,9),0)</f>
        <v>0</v>
      </c>
      <c r="V1206" s="125">
        <f t="shared" si="138"/>
        <v>40</v>
      </c>
      <c r="X1206">
        <f t="shared" si="143"/>
        <v>0</v>
      </c>
      <c r="Y1206" s="143">
        <f t="shared" si="137"/>
        <v>-968.52631578952378</v>
      </c>
    </row>
    <row r="1207" spans="1:25" x14ac:dyDescent="0.25">
      <c r="A1207">
        <f t="shared" si="139"/>
        <v>1200</v>
      </c>
      <c r="B1207" s="88" t="str">
        <f>IF(OR(B1206="Total",B1206=""),"",IF(VLOOKUP(A1207,Journal!$B$7:$E$84,4)=0,"Total",VLOOKUP(A1207,Journal!$B$7:$D$84,3)))</f>
        <v/>
      </c>
      <c r="C1207" s="86" t="str">
        <f>IF(B1207="","",VLOOKUP(A1207,Journal!$B$7:$E$84,4))</f>
        <v/>
      </c>
      <c r="D1207" s="114" t="str">
        <f>IF(B1207="","",VLOOKUP(A1207,Journal!$B$7:$J$84,9))</f>
        <v/>
      </c>
      <c r="E1207" s="116"/>
      <c r="F1207" s="116"/>
      <c r="G1207" s="115"/>
      <c r="H1207" s="84" t="str">
        <f>IF(B1207="","",VLOOKUP(A1207,Journal!$B$7:$L$84,11))</f>
        <v/>
      </c>
      <c r="I1207" s="84" t="str">
        <f>IF(B1207="","",VLOOKUP(A1207,Journal!$B$7:$M$84,12))</f>
        <v/>
      </c>
      <c r="J1207" s="105">
        <f>IF(B1207="Total",SUM(J$8:J1206)+0.0001,IF(OR(B1207="",I$2=I1207),0,VLOOKUP(A1207,Journal!$B$7:M$84,8)))</f>
        <v>0</v>
      </c>
      <c r="K1207" s="102">
        <f>IF(B1207="Total",SUM(K$8:K1206)+0.0001,IF(OR(B1207="",J1207&lt;&gt;0),0,VLOOKUP(A1207,Journal!$B$7:M$84,8)))</f>
        <v>0</v>
      </c>
      <c r="L1207" s="87">
        <f t="shared" si="140"/>
        <v>0</v>
      </c>
      <c r="P1207">
        <f t="shared" si="141"/>
        <v>1.0000000000000001E-5</v>
      </c>
      <c r="R1207" s="15">
        <f t="shared" si="142"/>
        <v>1200</v>
      </c>
      <c r="S1207" s="126">
        <f>IF(VLOOKUP(A1207,Journal!$A$7:$E$70,5)=0,S1206+1,VLOOKUP(A1207,Journal!$A$7:$E$70,5))</f>
        <v>46857</v>
      </c>
      <c r="T1207" s="125">
        <f>IF(H$2=VLOOKUP(A1207,Journal!$A$7:$F$70,6),VLOOKUP(A1207,Journal!$A$7:M$70,9),0)</f>
        <v>0</v>
      </c>
      <c r="U1207" s="125">
        <f>IF(H$2=VLOOKUP(A1207,Journal!$A$7:$G$70,7),VLOOKUP(A1207,Journal!$A$7:M$70,9),0)</f>
        <v>0</v>
      </c>
      <c r="V1207" s="125">
        <f t="shared" si="138"/>
        <v>40</v>
      </c>
      <c r="X1207">
        <f t="shared" si="143"/>
        <v>0</v>
      </c>
      <c r="Y1207" s="143">
        <f t="shared" si="137"/>
        <v>-968.50000000005014</v>
      </c>
    </row>
    <row r="1208" spans="1:25" x14ac:dyDescent="0.25">
      <c r="A1208">
        <f t="shared" si="139"/>
        <v>1201</v>
      </c>
      <c r="B1208" s="88" t="str">
        <f>IF(OR(B1207="Total",B1207=""),"",IF(VLOOKUP(A1208,Journal!$B$7:$E$84,4)=0,"Total",VLOOKUP(A1208,Journal!$B$7:$D$84,3)))</f>
        <v/>
      </c>
      <c r="C1208" s="86" t="str">
        <f>IF(B1208="","",VLOOKUP(A1208,Journal!$B$7:$E$84,4))</f>
        <v/>
      </c>
      <c r="D1208" s="114" t="str">
        <f>IF(B1208="","",VLOOKUP(A1208,Journal!$B$7:$J$84,9))</f>
        <v/>
      </c>
      <c r="E1208" s="116"/>
      <c r="F1208" s="116"/>
      <c r="G1208" s="115"/>
      <c r="H1208" s="84" t="str">
        <f>IF(B1208="","",VLOOKUP(A1208,Journal!$B$7:$L$84,11))</f>
        <v/>
      </c>
      <c r="I1208" s="84" t="str">
        <f>IF(B1208="","",VLOOKUP(A1208,Journal!$B$7:$M$84,12))</f>
        <v/>
      </c>
      <c r="J1208" s="105">
        <f>IF(B1208="Total",SUM(J$8:J1207)+0.0001,IF(OR(B1208="",I$2=I1208),0,VLOOKUP(A1208,Journal!$B$7:M$84,8)))</f>
        <v>0</v>
      </c>
      <c r="K1208" s="102">
        <f>IF(B1208="Total",SUM(K$8:K1207)+0.0001,IF(OR(B1208="",J1208&lt;&gt;0),0,VLOOKUP(A1208,Journal!$B$7:M$84,8)))</f>
        <v>0</v>
      </c>
      <c r="L1208" s="87">
        <f t="shared" si="140"/>
        <v>0</v>
      </c>
      <c r="P1208">
        <f t="shared" si="141"/>
        <v>1.0000000000000001E-5</v>
      </c>
      <c r="R1208" s="15">
        <f t="shared" si="142"/>
        <v>1201</v>
      </c>
      <c r="S1208" s="126">
        <f>IF(VLOOKUP(A1208,Journal!$A$7:$E$70,5)=0,S1207+1,VLOOKUP(A1208,Journal!$A$7:$E$70,5))</f>
        <v>46858</v>
      </c>
      <c r="T1208" s="125">
        <f>IF(H$2=VLOOKUP(A1208,Journal!$A$7:$F$70,6),VLOOKUP(A1208,Journal!$A$7:M$70,9),0)</f>
        <v>0</v>
      </c>
      <c r="U1208" s="125">
        <f>IF(H$2=VLOOKUP(A1208,Journal!$A$7:$G$70,7),VLOOKUP(A1208,Journal!$A$7:M$70,9),0)</f>
        <v>0</v>
      </c>
      <c r="V1208" s="125">
        <f t="shared" si="138"/>
        <v>40</v>
      </c>
      <c r="X1208">
        <f t="shared" si="143"/>
        <v>0</v>
      </c>
      <c r="Y1208" s="143">
        <f t="shared" si="137"/>
        <v>-968.47368421057649</v>
      </c>
    </row>
    <row r="1209" spans="1:25" x14ac:dyDescent="0.25">
      <c r="A1209">
        <f t="shared" si="139"/>
        <v>1202</v>
      </c>
      <c r="B1209" s="88" t="str">
        <f>IF(OR(B1208="Total",B1208=""),"",IF(VLOOKUP(A1209,Journal!$B$7:$E$84,4)=0,"Total",VLOOKUP(A1209,Journal!$B$7:$D$84,3)))</f>
        <v/>
      </c>
      <c r="C1209" s="86" t="str">
        <f>IF(B1209="","",VLOOKUP(A1209,Journal!$B$7:$E$84,4))</f>
        <v/>
      </c>
      <c r="D1209" s="114" t="str">
        <f>IF(B1209="","",VLOOKUP(A1209,Journal!$B$7:$J$84,9))</f>
        <v/>
      </c>
      <c r="E1209" s="116"/>
      <c r="F1209" s="116"/>
      <c r="G1209" s="115"/>
      <c r="H1209" s="84" t="str">
        <f>IF(B1209="","",VLOOKUP(A1209,Journal!$B$7:$L$84,11))</f>
        <v/>
      </c>
      <c r="I1209" s="84" t="str">
        <f>IF(B1209="","",VLOOKUP(A1209,Journal!$B$7:$M$84,12))</f>
        <v/>
      </c>
      <c r="J1209" s="105">
        <f>IF(B1209="Total",SUM(J$8:J1208)+0.0001,IF(OR(B1209="",I$2=I1209),0,VLOOKUP(A1209,Journal!$B$7:M$84,8)))</f>
        <v>0</v>
      </c>
      <c r="K1209" s="102">
        <f>IF(B1209="Total",SUM(K$8:K1208)+0.0001,IF(OR(B1209="",J1209&lt;&gt;0),0,VLOOKUP(A1209,Journal!$B$7:M$84,8)))</f>
        <v>0</v>
      </c>
      <c r="L1209" s="87">
        <f t="shared" si="140"/>
        <v>0</v>
      </c>
      <c r="P1209">
        <f t="shared" si="141"/>
        <v>1.0000000000000001E-5</v>
      </c>
      <c r="R1209" s="15">
        <f t="shared" si="142"/>
        <v>1202</v>
      </c>
      <c r="S1209" s="126">
        <f>IF(VLOOKUP(A1209,Journal!$A$7:$E$70,5)=0,S1208+1,VLOOKUP(A1209,Journal!$A$7:$E$70,5))</f>
        <v>46859</v>
      </c>
      <c r="T1209" s="125">
        <f>IF(H$2=VLOOKUP(A1209,Journal!$A$7:$F$70,6),VLOOKUP(A1209,Journal!$A$7:M$70,9),0)</f>
        <v>0</v>
      </c>
      <c r="U1209" s="125">
        <f>IF(H$2=VLOOKUP(A1209,Journal!$A$7:$G$70,7),VLOOKUP(A1209,Journal!$A$7:M$70,9),0)</f>
        <v>0</v>
      </c>
      <c r="V1209" s="125">
        <f t="shared" si="138"/>
        <v>40</v>
      </c>
      <c r="X1209">
        <f t="shared" si="143"/>
        <v>0</v>
      </c>
      <c r="Y1209" s="143">
        <f t="shared" si="137"/>
        <v>-968.44736842110285</v>
      </c>
    </row>
    <row r="1210" spans="1:25" x14ac:dyDescent="0.25">
      <c r="A1210">
        <f t="shared" si="139"/>
        <v>1203</v>
      </c>
      <c r="B1210" s="88" t="str">
        <f>IF(OR(B1209="Total",B1209=""),"",IF(VLOOKUP(A1210,Journal!$B$7:$E$84,4)=0,"Total",VLOOKUP(A1210,Journal!$B$7:$D$84,3)))</f>
        <v/>
      </c>
      <c r="C1210" s="86" t="str">
        <f>IF(B1210="","",VLOOKUP(A1210,Journal!$B$7:$E$84,4))</f>
        <v/>
      </c>
      <c r="D1210" s="114" t="str">
        <f>IF(B1210="","",VLOOKUP(A1210,Journal!$B$7:$J$84,9))</f>
        <v/>
      </c>
      <c r="E1210" s="116"/>
      <c r="F1210" s="116"/>
      <c r="G1210" s="115"/>
      <c r="H1210" s="84" t="str">
        <f>IF(B1210="","",VLOOKUP(A1210,Journal!$B$7:$L$84,11))</f>
        <v/>
      </c>
      <c r="I1210" s="84" t="str">
        <f>IF(B1210="","",VLOOKUP(A1210,Journal!$B$7:$M$84,12))</f>
        <v/>
      </c>
      <c r="J1210" s="105">
        <f>IF(B1210="Total",SUM(J$8:J1209)+0.0001,IF(OR(B1210="",I$2=I1210),0,VLOOKUP(A1210,Journal!$B$7:M$84,8)))</f>
        <v>0</v>
      </c>
      <c r="K1210" s="102">
        <f>IF(B1210="Total",SUM(K$8:K1209)+0.0001,IF(OR(B1210="",J1210&lt;&gt;0),0,VLOOKUP(A1210,Journal!$B$7:M$84,8)))</f>
        <v>0</v>
      </c>
      <c r="L1210" s="87">
        <f t="shared" si="140"/>
        <v>0</v>
      </c>
      <c r="P1210">
        <f t="shared" si="141"/>
        <v>1.0000000000000001E-5</v>
      </c>
      <c r="R1210" s="15">
        <f t="shared" si="142"/>
        <v>1203</v>
      </c>
      <c r="S1210" s="126">
        <f>IF(VLOOKUP(A1210,Journal!$A$7:$E$70,5)=0,S1209+1,VLOOKUP(A1210,Journal!$A$7:$E$70,5))</f>
        <v>46860</v>
      </c>
      <c r="T1210" s="125">
        <f>IF(H$2=VLOOKUP(A1210,Journal!$A$7:$F$70,6),VLOOKUP(A1210,Journal!$A$7:M$70,9),0)</f>
        <v>0</v>
      </c>
      <c r="U1210" s="125">
        <f>IF(H$2=VLOOKUP(A1210,Journal!$A$7:$G$70,7),VLOOKUP(A1210,Journal!$A$7:M$70,9),0)</f>
        <v>0</v>
      </c>
      <c r="V1210" s="125">
        <f t="shared" si="138"/>
        <v>40</v>
      </c>
      <c r="X1210">
        <f t="shared" si="143"/>
        <v>0</v>
      </c>
      <c r="Y1210" s="143">
        <f t="shared" si="137"/>
        <v>-968.42105263162921</v>
      </c>
    </row>
    <row r="1211" spans="1:25" x14ac:dyDescent="0.25">
      <c r="A1211">
        <f t="shared" si="139"/>
        <v>1204</v>
      </c>
      <c r="B1211" s="88" t="str">
        <f>IF(OR(B1210="Total",B1210=""),"",IF(VLOOKUP(A1211,Journal!$B$7:$E$84,4)=0,"Total",VLOOKUP(A1211,Journal!$B$7:$D$84,3)))</f>
        <v/>
      </c>
      <c r="C1211" s="86" t="str">
        <f>IF(B1211="","",VLOOKUP(A1211,Journal!$B$7:$E$84,4))</f>
        <v/>
      </c>
      <c r="D1211" s="114" t="str">
        <f>IF(B1211="","",VLOOKUP(A1211,Journal!$B$7:$J$84,9))</f>
        <v/>
      </c>
      <c r="E1211" s="116"/>
      <c r="F1211" s="116"/>
      <c r="G1211" s="115"/>
      <c r="H1211" s="84" t="str">
        <f>IF(B1211="","",VLOOKUP(A1211,Journal!$B$7:$L$84,11))</f>
        <v/>
      </c>
      <c r="I1211" s="84" t="str">
        <f>IF(B1211="","",VLOOKUP(A1211,Journal!$B$7:$M$84,12))</f>
        <v/>
      </c>
      <c r="J1211" s="105">
        <f>IF(B1211="Total",SUM(J$8:J1210)+0.0001,IF(OR(B1211="",I$2=I1211),0,VLOOKUP(A1211,Journal!$B$7:M$84,8)))</f>
        <v>0</v>
      </c>
      <c r="K1211" s="102">
        <f>IF(B1211="Total",SUM(K$8:K1210)+0.0001,IF(OR(B1211="",J1211&lt;&gt;0),0,VLOOKUP(A1211,Journal!$B$7:M$84,8)))</f>
        <v>0</v>
      </c>
      <c r="L1211" s="87">
        <f t="shared" si="140"/>
        <v>0</v>
      </c>
      <c r="P1211">
        <f t="shared" si="141"/>
        <v>1.0000000000000001E-5</v>
      </c>
      <c r="R1211" s="15">
        <f t="shared" si="142"/>
        <v>1204</v>
      </c>
      <c r="S1211" s="126">
        <f>IF(VLOOKUP(A1211,Journal!$A$7:$E$70,5)=0,S1210+1,VLOOKUP(A1211,Journal!$A$7:$E$70,5))</f>
        <v>46861</v>
      </c>
      <c r="T1211" s="125">
        <f>IF(H$2=VLOOKUP(A1211,Journal!$A$7:$F$70,6),VLOOKUP(A1211,Journal!$A$7:M$70,9),0)</f>
        <v>0</v>
      </c>
      <c r="U1211" s="125">
        <f>IF(H$2=VLOOKUP(A1211,Journal!$A$7:$G$70,7),VLOOKUP(A1211,Journal!$A$7:M$70,9),0)</f>
        <v>0</v>
      </c>
      <c r="V1211" s="125">
        <f t="shared" si="138"/>
        <v>40</v>
      </c>
      <c r="X1211">
        <f t="shared" si="143"/>
        <v>0</v>
      </c>
      <c r="Y1211" s="143">
        <f t="shared" si="137"/>
        <v>-968.39473684215557</v>
      </c>
    </row>
    <row r="1212" spans="1:25" x14ac:dyDescent="0.25">
      <c r="A1212">
        <f t="shared" si="139"/>
        <v>1205</v>
      </c>
      <c r="B1212" s="88" t="str">
        <f>IF(OR(B1211="Total",B1211=""),"",IF(VLOOKUP(A1212,Journal!$B$7:$E$84,4)=0,"Total",VLOOKUP(A1212,Journal!$B$7:$D$84,3)))</f>
        <v/>
      </c>
      <c r="C1212" s="86" t="str">
        <f>IF(B1212="","",VLOOKUP(A1212,Journal!$B$7:$E$84,4))</f>
        <v/>
      </c>
      <c r="D1212" s="114" t="str">
        <f>IF(B1212="","",VLOOKUP(A1212,Journal!$B$7:$J$84,9))</f>
        <v/>
      </c>
      <c r="E1212" s="116"/>
      <c r="F1212" s="116"/>
      <c r="G1212" s="115"/>
      <c r="H1212" s="84" t="str">
        <f>IF(B1212="","",VLOOKUP(A1212,Journal!$B$7:$L$84,11))</f>
        <v/>
      </c>
      <c r="I1212" s="84" t="str">
        <f>IF(B1212="","",VLOOKUP(A1212,Journal!$B$7:$M$84,12))</f>
        <v/>
      </c>
      <c r="J1212" s="105">
        <f>IF(B1212="Total",SUM(J$8:J1211)+0.0001,IF(OR(B1212="",I$2=I1212),0,VLOOKUP(A1212,Journal!$B$7:M$84,8)))</f>
        <v>0</v>
      </c>
      <c r="K1212" s="102">
        <f>IF(B1212="Total",SUM(K$8:K1211)+0.0001,IF(OR(B1212="",J1212&lt;&gt;0),0,VLOOKUP(A1212,Journal!$B$7:M$84,8)))</f>
        <v>0</v>
      </c>
      <c r="L1212" s="87">
        <f t="shared" si="140"/>
        <v>0</v>
      </c>
      <c r="P1212">
        <f t="shared" si="141"/>
        <v>1.0000000000000001E-5</v>
      </c>
      <c r="R1212" s="15">
        <f t="shared" si="142"/>
        <v>1205</v>
      </c>
      <c r="S1212" s="126">
        <f>IF(VLOOKUP(A1212,Journal!$A$7:$E$70,5)=0,S1211+1,VLOOKUP(A1212,Journal!$A$7:$E$70,5))</f>
        <v>46862</v>
      </c>
      <c r="T1212" s="125">
        <f>IF(H$2=VLOOKUP(A1212,Journal!$A$7:$F$70,6),VLOOKUP(A1212,Journal!$A$7:M$70,9),0)</f>
        <v>0</v>
      </c>
      <c r="U1212" s="125">
        <f>IF(H$2=VLOOKUP(A1212,Journal!$A$7:$G$70,7),VLOOKUP(A1212,Journal!$A$7:M$70,9),0)</f>
        <v>0</v>
      </c>
      <c r="V1212" s="125">
        <f t="shared" si="138"/>
        <v>40</v>
      </c>
      <c r="X1212">
        <f t="shared" si="143"/>
        <v>0</v>
      </c>
      <c r="Y1212" s="143">
        <f t="shared" si="137"/>
        <v>-968.36842105268192</v>
      </c>
    </row>
    <row r="1213" spans="1:25" x14ac:dyDescent="0.25">
      <c r="A1213">
        <f t="shared" si="139"/>
        <v>1206</v>
      </c>
      <c r="B1213" s="88" t="str">
        <f>IF(OR(B1212="Total",B1212=""),"",IF(VLOOKUP(A1213,Journal!$B$7:$E$84,4)=0,"Total",VLOOKUP(A1213,Journal!$B$7:$D$84,3)))</f>
        <v/>
      </c>
      <c r="C1213" s="86" t="str">
        <f>IF(B1213="","",VLOOKUP(A1213,Journal!$B$7:$E$84,4))</f>
        <v/>
      </c>
      <c r="D1213" s="114" t="str">
        <f>IF(B1213="","",VLOOKUP(A1213,Journal!$B$7:$J$84,9))</f>
        <v/>
      </c>
      <c r="E1213" s="116"/>
      <c r="F1213" s="116"/>
      <c r="G1213" s="115"/>
      <c r="H1213" s="84" t="str">
        <f>IF(B1213="","",VLOOKUP(A1213,Journal!$B$7:$L$84,11))</f>
        <v/>
      </c>
      <c r="I1213" s="84" t="str">
        <f>IF(B1213="","",VLOOKUP(A1213,Journal!$B$7:$M$84,12))</f>
        <v/>
      </c>
      <c r="J1213" s="105">
        <f>IF(B1213="Total",SUM(J$8:J1212)+0.0001,IF(OR(B1213="",I$2=I1213),0,VLOOKUP(A1213,Journal!$B$7:M$84,8)))</f>
        <v>0</v>
      </c>
      <c r="K1213" s="102">
        <f>IF(B1213="Total",SUM(K$8:K1212)+0.0001,IF(OR(B1213="",J1213&lt;&gt;0),0,VLOOKUP(A1213,Journal!$B$7:M$84,8)))</f>
        <v>0</v>
      </c>
      <c r="L1213" s="87">
        <f t="shared" si="140"/>
        <v>0</v>
      </c>
      <c r="P1213">
        <f t="shared" si="141"/>
        <v>1.0000000000000001E-5</v>
      </c>
      <c r="R1213" s="15">
        <f t="shared" si="142"/>
        <v>1206</v>
      </c>
      <c r="S1213" s="126">
        <f>IF(VLOOKUP(A1213,Journal!$A$7:$E$70,5)=0,S1212+1,VLOOKUP(A1213,Journal!$A$7:$E$70,5))</f>
        <v>46863</v>
      </c>
      <c r="T1213" s="125">
        <f>IF(H$2=VLOOKUP(A1213,Journal!$A$7:$F$70,6),VLOOKUP(A1213,Journal!$A$7:M$70,9),0)</f>
        <v>0</v>
      </c>
      <c r="U1213" s="125">
        <f>IF(H$2=VLOOKUP(A1213,Journal!$A$7:$G$70,7),VLOOKUP(A1213,Journal!$A$7:M$70,9),0)</f>
        <v>0</v>
      </c>
      <c r="V1213" s="125">
        <f t="shared" si="138"/>
        <v>40</v>
      </c>
      <c r="X1213">
        <f t="shared" si="143"/>
        <v>0</v>
      </c>
      <c r="Y1213" s="143">
        <f t="shared" si="137"/>
        <v>-968.34210526320828</v>
      </c>
    </row>
    <row r="1214" spans="1:25" x14ac:dyDescent="0.25">
      <c r="A1214">
        <f t="shared" si="139"/>
        <v>1207</v>
      </c>
      <c r="B1214" s="88" t="str">
        <f>IF(OR(B1213="Total",B1213=""),"",IF(VLOOKUP(A1214,Journal!$B$7:$E$84,4)=0,"Total",VLOOKUP(A1214,Journal!$B$7:$D$84,3)))</f>
        <v/>
      </c>
      <c r="C1214" s="86" t="str">
        <f>IF(B1214="","",VLOOKUP(A1214,Journal!$B$7:$E$84,4))</f>
        <v/>
      </c>
      <c r="D1214" s="114" t="str">
        <f>IF(B1214="","",VLOOKUP(A1214,Journal!$B$7:$J$84,9))</f>
        <v/>
      </c>
      <c r="E1214" s="116"/>
      <c r="F1214" s="116"/>
      <c r="G1214" s="115"/>
      <c r="H1214" s="84" t="str">
        <f>IF(B1214="","",VLOOKUP(A1214,Journal!$B$7:$L$84,11))</f>
        <v/>
      </c>
      <c r="I1214" s="84" t="str">
        <f>IF(B1214="","",VLOOKUP(A1214,Journal!$B$7:$M$84,12))</f>
        <v/>
      </c>
      <c r="J1214" s="105">
        <f>IF(B1214="Total",SUM(J$8:J1213)+0.0001,IF(OR(B1214="",I$2=I1214),0,VLOOKUP(A1214,Journal!$B$7:M$84,8)))</f>
        <v>0</v>
      </c>
      <c r="K1214" s="102">
        <f>IF(B1214="Total",SUM(K$8:K1213)+0.0001,IF(OR(B1214="",J1214&lt;&gt;0),0,VLOOKUP(A1214,Journal!$B$7:M$84,8)))</f>
        <v>0</v>
      </c>
      <c r="L1214" s="87">
        <f t="shared" si="140"/>
        <v>0</v>
      </c>
      <c r="P1214">
        <f t="shared" si="141"/>
        <v>1.0000000000000001E-5</v>
      </c>
      <c r="R1214" s="15">
        <f t="shared" si="142"/>
        <v>1207</v>
      </c>
      <c r="S1214" s="126">
        <f>IF(VLOOKUP(A1214,Journal!$A$7:$E$70,5)=0,S1213+1,VLOOKUP(A1214,Journal!$A$7:$E$70,5))</f>
        <v>46864</v>
      </c>
      <c r="T1214" s="125">
        <f>IF(H$2=VLOOKUP(A1214,Journal!$A$7:$F$70,6),VLOOKUP(A1214,Journal!$A$7:M$70,9),0)</f>
        <v>0</v>
      </c>
      <c r="U1214" s="125">
        <f>IF(H$2=VLOOKUP(A1214,Journal!$A$7:$G$70,7),VLOOKUP(A1214,Journal!$A$7:M$70,9),0)</f>
        <v>0</v>
      </c>
      <c r="V1214" s="125">
        <f t="shared" si="138"/>
        <v>40</v>
      </c>
      <c r="X1214">
        <f t="shared" si="143"/>
        <v>0</v>
      </c>
      <c r="Y1214" s="143">
        <f t="shared" si="137"/>
        <v>-968.31578947373464</v>
      </c>
    </row>
    <row r="1215" spans="1:25" x14ac:dyDescent="0.25">
      <c r="A1215">
        <f t="shared" si="139"/>
        <v>1208</v>
      </c>
      <c r="B1215" s="88" t="str">
        <f>IF(OR(B1214="Total",B1214=""),"",IF(VLOOKUP(A1215,Journal!$B$7:$E$84,4)=0,"Total",VLOOKUP(A1215,Journal!$B$7:$D$84,3)))</f>
        <v/>
      </c>
      <c r="C1215" s="86" t="str">
        <f>IF(B1215="","",VLOOKUP(A1215,Journal!$B$7:$E$84,4))</f>
        <v/>
      </c>
      <c r="D1215" s="114" t="str">
        <f>IF(B1215="","",VLOOKUP(A1215,Journal!$B$7:$J$84,9))</f>
        <v/>
      </c>
      <c r="E1215" s="116"/>
      <c r="F1215" s="116"/>
      <c r="G1215" s="115"/>
      <c r="H1215" s="84" t="str">
        <f>IF(B1215="","",VLOOKUP(A1215,Journal!$B$7:$L$84,11))</f>
        <v/>
      </c>
      <c r="I1215" s="84" t="str">
        <f>IF(B1215="","",VLOOKUP(A1215,Journal!$B$7:$M$84,12))</f>
        <v/>
      </c>
      <c r="J1215" s="105">
        <f>IF(B1215="Total",SUM(J$8:J1214)+0.0001,IF(OR(B1215="",I$2=I1215),0,VLOOKUP(A1215,Journal!$B$7:M$84,8)))</f>
        <v>0</v>
      </c>
      <c r="K1215" s="102">
        <f>IF(B1215="Total",SUM(K$8:K1214)+0.0001,IF(OR(B1215="",J1215&lt;&gt;0),0,VLOOKUP(A1215,Journal!$B$7:M$84,8)))</f>
        <v>0</v>
      </c>
      <c r="L1215" s="87">
        <f t="shared" si="140"/>
        <v>0</v>
      </c>
      <c r="P1215">
        <f t="shared" si="141"/>
        <v>1.0000000000000001E-5</v>
      </c>
      <c r="R1215" s="15">
        <f t="shared" si="142"/>
        <v>1208</v>
      </c>
      <c r="S1215" s="126">
        <f>IF(VLOOKUP(A1215,Journal!$A$7:$E$70,5)=0,S1214+1,VLOOKUP(A1215,Journal!$A$7:$E$70,5))</f>
        <v>46865</v>
      </c>
      <c r="T1215" s="125">
        <f>IF(H$2=VLOOKUP(A1215,Journal!$A$7:$F$70,6),VLOOKUP(A1215,Journal!$A$7:M$70,9),0)</f>
        <v>0</v>
      </c>
      <c r="U1215" s="125">
        <f>IF(H$2=VLOOKUP(A1215,Journal!$A$7:$G$70,7),VLOOKUP(A1215,Journal!$A$7:M$70,9),0)</f>
        <v>0</v>
      </c>
      <c r="V1215" s="125">
        <f t="shared" si="138"/>
        <v>40</v>
      </c>
      <c r="X1215">
        <f t="shared" si="143"/>
        <v>0</v>
      </c>
      <c r="Y1215" s="143">
        <f t="shared" si="137"/>
        <v>-968.289473684261</v>
      </c>
    </row>
    <row r="1216" spans="1:25" x14ac:dyDescent="0.25">
      <c r="A1216">
        <f t="shared" si="139"/>
        <v>1209</v>
      </c>
      <c r="B1216" s="88" t="str">
        <f>IF(OR(B1215="Total",B1215=""),"",IF(VLOOKUP(A1216,Journal!$B$7:$E$84,4)=0,"Total",VLOOKUP(A1216,Journal!$B$7:$D$84,3)))</f>
        <v/>
      </c>
      <c r="C1216" s="86" t="str">
        <f>IF(B1216="","",VLOOKUP(A1216,Journal!$B$7:$E$84,4))</f>
        <v/>
      </c>
      <c r="D1216" s="114" t="str">
        <f>IF(B1216="","",VLOOKUP(A1216,Journal!$B$7:$J$84,9))</f>
        <v/>
      </c>
      <c r="E1216" s="116"/>
      <c r="F1216" s="116"/>
      <c r="G1216" s="115"/>
      <c r="H1216" s="84" t="str">
        <f>IF(B1216="","",VLOOKUP(A1216,Journal!$B$7:$L$84,11))</f>
        <v/>
      </c>
      <c r="I1216" s="84" t="str">
        <f>IF(B1216="","",VLOOKUP(A1216,Journal!$B$7:$M$84,12))</f>
        <v/>
      </c>
      <c r="J1216" s="105">
        <f>IF(B1216="Total",SUM(J$8:J1215)+0.0001,IF(OR(B1216="",I$2=I1216),0,VLOOKUP(A1216,Journal!$B$7:M$84,8)))</f>
        <v>0</v>
      </c>
      <c r="K1216" s="102">
        <f>IF(B1216="Total",SUM(K$8:K1215)+0.0001,IF(OR(B1216="",J1216&lt;&gt;0),0,VLOOKUP(A1216,Journal!$B$7:M$84,8)))</f>
        <v>0</v>
      </c>
      <c r="L1216" s="87">
        <f t="shared" si="140"/>
        <v>0</v>
      </c>
      <c r="P1216">
        <f t="shared" si="141"/>
        <v>1.0000000000000001E-5</v>
      </c>
      <c r="R1216" s="15">
        <f t="shared" si="142"/>
        <v>1209</v>
      </c>
      <c r="S1216" s="126">
        <f>IF(VLOOKUP(A1216,Journal!$A$7:$E$70,5)=0,S1215+1,VLOOKUP(A1216,Journal!$A$7:$E$70,5))</f>
        <v>46866</v>
      </c>
      <c r="T1216" s="125">
        <f>IF(H$2=VLOOKUP(A1216,Journal!$A$7:$F$70,6),VLOOKUP(A1216,Journal!$A$7:M$70,9),0)</f>
        <v>0</v>
      </c>
      <c r="U1216" s="125">
        <f>IF(H$2=VLOOKUP(A1216,Journal!$A$7:$G$70,7),VLOOKUP(A1216,Journal!$A$7:M$70,9),0)</f>
        <v>0</v>
      </c>
      <c r="V1216" s="125">
        <f t="shared" si="138"/>
        <v>40</v>
      </c>
      <c r="X1216">
        <f t="shared" si="143"/>
        <v>0</v>
      </c>
      <c r="Y1216" s="143">
        <f t="shared" si="137"/>
        <v>-968.26315789478735</v>
      </c>
    </row>
    <row r="1217" spans="1:25" x14ac:dyDescent="0.25">
      <c r="A1217">
        <f t="shared" si="139"/>
        <v>1210</v>
      </c>
      <c r="B1217" s="88" t="str">
        <f>IF(OR(B1216="Total",B1216=""),"",IF(VLOOKUP(A1217,Journal!$B$7:$E$84,4)=0,"Total",VLOOKUP(A1217,Journal!$B$7:$D$84,3)))</f>
        <v/>
      </c>
      <c r="C1217" s="86" t="str">
        <f>IF(B1217="","",VLOOKUP(A1217,Journal!$B$7:$E$84,4))</f>
        <v/>
      </c>
      <c r="D1217" s="114" t="str">
        <f>IF(B1217="","",VLOOKUP(A1217,Journal!$B$7:$J$84,9))</f>
        <v/>
      </c>
      <c r="E1217" s="116"/>
      <c r="F1217" s="116"/>
      <c r="G1217" s="115"/>
      <c r="H1217" s="84" t="str">
        <f>IF(B1217="","",VLOOKUP(A1217,Journal!$B$7:$L$84,11))</f>
        <v/>
      </c>
      <c r="I1217" s="84" t="str">
        <f>IF(B1217="","",VLOOKUP(A1217,Journal!$B$7:$M$84,12))</f>
        <v/>
      </c>
      <c r="J1217" s="105">
        <f>IF(B1217="Total",SUM(J$8:J1216)+0.0001,IF(OR(B1217="",I$2=I1217),0,VLOOKUP(A1217,Journal!$B$7:M$84,8)))</f>
        <v>0</v>
      </c>
      <c r="K1217" s="102">
        <f>IF(B1217="Total",SUM(K$8:K1216)+0.0001,IF(OR(B1217="",J1217&lt;&gt;0),0,VLOOKUP(A1217,Journal!$B$7:M$84,8)))</f>
        <v>0</v>
      </c>
      <c r="L1217" s="87">
        <f t="shared" si="140"/>
        <v>0</v>
      </c>
      <c r="P1217">
        <f t="shared" si="141"/>
        <v>1.0000000000000001E-5</v>
      </c>
      <c r="R1217" s="15">
        <f t="shared" si="142"/>
        <v>1210</v>
      </c>
      <c r="S1217" s="126">
        <f>IF(VLOOKUP(A1217,Journal!$A$7:$E$70,5)=0,S1216+1,VLOOKUP(A1217,Journal!$A$7:$E$70,5))</f>
        <v>46867</v>
      </c>
      <c r="T1217" s="125">
        <f>IF(H$2=VLOOKUP(A1217,Journal!$A$7:$F$70,6),VLOOKUP(A1217,Journal!$A$7:M$70,9),0)</f>
        <v>0</v>
      </c>
      <c r="U1217" s="125">
        <f>IF(H$2=VLOOKUP(A1217,Journal!$A$7:$G$70,7),VLOOKUP(A1217,Journal!$A$7:M$70,9),0)</f>
        <v>0</v>
      </c>
      <c r="V1217" s="125">
        <f t="shared" si="138"/>
        <v>40</v>
      </c>
      <c r="X1217">
        <f t="shared" si="143"/>
        <v>0</v>
      </c>
      <c r="Y1217" s="143">
        <f t="shared" si="137"/>
        <v>-968.23684210531371</v>
      </c>
    </row>
    <row r="1218" spans="1:25" x14ac:dyDescent="0.25">
      <c r="A1218">
        <f t="shared" si="139"/>
        <v>1211</v>
      </c>
      <c r="B1218" s="88" t="str">
        <f>IF(OR(B1217="Total",B1217=""),"",IF(VLOOKUP(A1218,Journal!$B$7:$E$84,4)=0,"Total",VLOOKUP(A1218,Journal!$B$7:$D$84,3)))</f>
        <v/>
      </c>
      <c r="C1218" s="86" t="str">
        <f>IF(B1218="","",VLOOKUP(A1218,Journal!$B$7:$E$84,4))</f>
        <v/>
      </c>
      <c r="D1218" s="114" t="str">
        <f>IF(B1218="","",VLOOKUP(A1218,Journal!$B$7:$J$84,9))</f>
        <v/>
      </c>
      <c r="E1218" s="116"/>
      <c r="F1218" s="116"/>
      <c r="G1218" s="115"/>
      <c r="H1218" s="84" t="str">
        <f>IF(B1218="","",VLOOKUP(A1218,Journal!$B$7:$L$84,11))</f>
        <v/>
      </c>
      <c r="I1218" s="84" t="str">
        <f>IF(B1218="","",VLOOKUP(A1218,Journal!$B$7:$M$84,12))</f>
        <v/>
      </c>
      <c r="J1218" s="105">
        <f>IF(B1218="Total",SUM(J$8:J1217)+0.0001,IF(OR(B1218="",I$2=I1218),0,VLOOKUP(A1218,Journal!$B$7:M$84,8)))</f>
        <v>0</v>
      </c>
      <c r="K1218" s="102">
        <f>IF(B1218="Total",SUM(K$8:K1217)+0.0001,IF(OR(B1218="",J1218&lt;&gt;0),0,VLOOKUP(A1218,Journal!$B$7:M$84,8)))</f>
        <v>0</v>
      </c>
      <c r="L1218" s="87">
        <f t="shared" si="140"/>
        <v>0</v>
      </c>
      <c r="P1218">
        <f t="shared" si="141"/>
        <v>1.0000000000000001E-5</v>
      </c>
      <c r="R1218" s="15">
        <f t="shared" si="142"/>
        <v>1211</v>
      </c>
      <c r="S1218" s="126">
        <f>IF(VLOOKUP(A1218,Journal!$A$7:$E$70,5)=0,S1217+1,VLOOKUP(A1218,Journal!$A$7:$E$70,5))</f>
        <v>46868</v>
      </c>
      <c r="T1218" s="125">
        <f>IF(H$2=VLOOKUP(A1218,Journal!$A$7:$F$70,6),VLOOKUP(A1218,Journal!$A$7:M$70,9),0)</f>
        <v>0</v>
      </c>
      <c r="U1218" s="125">
        <f>IF(H$2=VLOOKUP(A1218,Journal!$A$7:$G$70,7),VLOOKUP(A1218,Journal!$A$7:M$70,9),0)</f>
        <v>0</v>
      </c>
      <c r="V1218" s="125">
        <f t="shared" si="138"/>
        <v>40</v>
      </c>
      <c r="X1218">
        <f t="shared" si="143"/>
        <v>0</v>
      </c>
      <c r="Y1218" s="143">
        <f t="shared" si="137"/>
        <v>-968.21052631584007</v>
      </c>
    </row>
    <row r="1219" spans="1:25" x14ac:dyDescent="0.25">
      <c r="A1219">
        <f t="shared" si="139"/>
        <v>1212</v>
      </c>
      <c r="B1219" s="88" t="str">
        <f>IF(OR(B1218="Total",B1218=""),"",IF(VLOOKUP(A1219,Journal!$B$7:$E$84,4)=0,"Total",VLOOKUP(A1219,Journal!$B$7:$D$84,3)))</f>
        <v/>
      </c>
      <c r="C1219" s="86" t="str">
        <f>IF(B1219="","",VLOOKUP(A1219,Journal!$B$7:$E$84,4))</f>
        <v/>
      </c>
      <c r="D1219" s="114" t="str">
        <f>IF(B1219="","",VLOOKUP(A1219,Journal!$B$7:$J$84,9))</f>
        <v/>
      </c>
      <c r="E1219" s="116"/>
      <c r="F1219" s="116"/>
      <c r="G1219" s="115"/>
      <c r="H1219" s="84" t="str">
        <f>IF(B1219="","",VLOOKUP(A1219,Journal!$B$7:$L$84,11))</f>
        <v/>
      </c>
      <c r="I1219" s="84" t="str">
        <f>IF(B1219="","",VLOOKUP(A1219,Journal!$B$7:$M$84,12))</f>
        <v/>
      </c>
      <c r="J1219" s="105">
        <f>IF(B1219="Total",SUM(J$8:J1218)+0.0001,IF(OR(B1219="",I$2=I1219),0,VLOOKUP(A1219,Journal!$B$7:M$84,8)))</f>
        <v>0</v>
      </c>
      <c r="K1219" s="102">
        <f>IF(B1219="Total",SUM(K$8:K1218)+0.0001,IF(OR(B1219="",J1219&lt;&gt;0),0,VLOOKUP(A1219,Journal!$B$7:M$84,8)))</f>
        <v>0</v>
      </c>
      <c r="L1219" s="87">
        <f t="shared" si="140"/>
        <v>0</v>
      </c>
      <c r="P1219">
        <f t="shared" si="141"/>
        <v>1.0000000000000001E-5</v>
      </c>
      <c r="R1219" s="15">
        <f t="shared" si="142"/>
        <v>1212</v>
      </c>
      <c r="S1219" s="126">
        <f>IF(VLOOKUP(A1219,Journal!$A$7:$E$70,5)=0,S1218+1,VLOOKUP(A1219,Journal!$A$7:$E$70,5))</f>
        <v>46869</v>
      </c>
      <c r="T1219" s="125">
        <f>IF(H$2=VLOOKUP(A1219,Journal!$A$7:$F$70,6),VLOOKUP(A1219,Journal!$A$7:M$70,9),0)</f>
        <v>0</v>
      </c>
      <c r="U1219" s="125">
        <f>IF(H$2=VLOOKUP(A1219,Journal!$A$7:$G$70,7),VLOOKUP(A1219,Journal!$A$7:M$70,9),0)</f>
        <v>0</v>
      </c>
      <c r="V1219" s="125">
        <f t="shared" si="138"/>
        <v>40</v>
      </c>
      <c r="X1219">
        <f t="shared" si="143"/>
        <v>0</v>
      </c>
      <c r="Y1219" s="143">
        <f t="shared" si="137"/>
        <v>-968.18421052636643</v>
      </c>
    </row>
    <row r="1220" spans="1:25" x14ac:dyDescent="0.25">
      <c r="A1220">
        <f t="shared" si="139"/>
        <v>1213</v>
      </c>
      <c r="B1220" s="88" t="str">
        <f>IF(OR(B1219="Total",B1219=""),"",IF(VLOOKUP(A1220,Journal!$B$7:$E$84,4)=0,"Total",VLOOKUP(A1220,Journal!$B$7:$D$84,3)))</f>
        <v/>
      </c>
      <c r="C1220" s="86" t="str">
        <f>IF(B1220="","",VLOOKUP(A1220,Journal!$B$7:$E$84,4))</f>
        <v/>
      </c>
      <c r="D1220" s="114" t="str">
        <f>IF(B1220="","",VLOOKUP(A1220,Journal!$B$7:$J$84,9))</f>
        <v/>
      </c>
      <c r="E1220" s="116"/>
      <c r="F1220" s="116"/>
      <c r="G1220" s="115"/>
      <c r="H1220" s="84" t="str">
        <f>IF(B1220="","",VLOOKUP(A1220,Journal!$B$7:$L$84,11))</f>
        <v/>
      </c>
      <c r="I1220" s="84" t="str">
        <f>IF(B1220="","",VLOOKUP(A1220,Journal!$B$7:$M$84,12))</f>
        <v/>
      </c>
      <c r="J1220" s="105">
        <f>IF(B1220="Total",SUM(J$8:J1219)+0.0001,IF(OR(B1220="",I$2=I1220),0,VLOOKUP(A1220,Journal!$B$7:M$84,8)))</f>
        <v>0</v>
      </c>
      <c r="K1220" s="102">
        <f>IF(B1220="Total",SUM(K$8:K1219)+0.0001,IF(OR(B1220="",J1220&lt;&gt;0),0,VLOOKUP(A1220,Journal!$B$7:M$84,8)))</f>
        <v>0</v>
      </c>
      <c r="L1220" s="87">
        <f t="shared" si="140"/>
        <v>0</v>
      </c>
      <c r="P1220">
        <f t="shared" si="141"/>
        <v>1.0000000000000001E-5</v>
      </c>
      <c r="R1220" s="15">
        <f t="shared" si="142"/>
        <v>1213</v>
      </c>
      <c r="S1220" s="126">
        <f>IF(VLOOKUP(A1220,Journal!$A$7:$E$70,5)=0,S1219+1,VLOOKUP(A1220,Journal!$A$7:$E$70,5))</f>
        <v>46870</v>
      </c>
      <c r="T1220" s="125">
        <f>IF(H$2=VLOOKUP(A1220,Journal!$A$7:$F$70,6),VLOOKUP(A1220,Journal!$A$7:M$70,9),0)</f>
        <v>0</v>
      </c>
      <c r="U1220" s="125">
        <f>IF(H$2=VLOOKUP(A1220,Journal!$A$7:$G$70,7),VLOOKUP(A1220,Journal!$A$7:M$70,9),0)</f>
        <v>0</v>
      </c>
      <c r="V1220" s="125">
        <f t="shared" si="138"/>
        <v>40</v>
      </c>
      <c r="X1220">
        <f t="shared" si="143"/>
        <v>0</v>
      </c>
      <c r="Y1220" s="143">
        <f t="shared" si="137"/>
        <v>-968.15789473689279</v>
      </c>
    </row>
    <row r="1221" spans="1:25" x14ac:dyDescent="0.25">
      <c r="A1221">
        <f t="shared" si="139"/>
        <v>1214</v>
      </c>
      <c r="B1221" s="88" t="str">
        <f>IF(OR(B1220="Total",B1220=""),"",IF(VLOOKUP(A1221,Journal!$B$7:$E$84,4)=0,"Total",VLOOKUP(A1221,Journal!$B$7:$D$84,3)))</f>
        <v/>
      </c>
      <c r="C1221" s="86" t="str">
        <f>IF(B1221="","",VLOOKUP(A1221,Journal!$B$7:$E$84,4))</f>
        <v/>
      </c>
      <c r="D1221" s="114" t="str">
        <f>IF(B1221="","",VLOOKUP(A1221,Journal!$B$7:$J$84,9))</f>
        <v/>
      </c>
      <c r="E1221" s="116"/>
      <c r="F1221" s="116"/>
      <c r="G1221" s="115"/>
      <c r="H1221" s="84" t="str">
        <f>IF(B1221="","",VLOOKUP(A1221,Journal!$B$7:$L$84,11))</f>
        <v/>
      </c>
      <c r="I1221" s="84" t="str">
        <f>IF(B1221="","",VLOOKUP(A1221,Journal!$B$7:$M$84,12))</f>
        <v/>
      </c>
      <c r="J1221" s="105">
        <f>IF(B1221="Total",SUM(J$8:J1220)+0.0001,IF(OR(B1221="",I$2=I1221),0,VLOOKUP(A1221,Journal!$B$7:M$84,8)))</f>
        <v>0</v>
      </c>
      <c r="K1221" s="102">
        <f>IF(B1221="Total",SUM(K$8:K1220)+0.0001,IF(OR(B1221="",J1221&lt;&gt;0),0,VLOOKUP(A1221,Journal!$B$7:M$84,8)))</f>
        <v>0</v>
      </c>
      <c r="L1221" s="87">
        <f t="shared" si="140"/>
        <v>0</v>
      </c>
      <c r="P1221">
        <f t="shared" si="141"/>
        <v>1.0000000000000001E-5</v>
      </c>
      <c r="R1221" s="15">
        <f t="shared" si="142"/>
        <v>1214</v>
      </c>
      <c r="S1221" s="126">
        <f>IF(VLOOKUP(A1221,Journal!$A$7:$E$70,5)=0,S1220+1,VLOOKUP(A1221,Journal!$A$7:$E$70,5))</f>
        <v>46871</v>
      </c>
      <c r="T1221" s="125">
        <f>IF(H$2=VLOOKUP(A1221,Journal!$A$7:$F$70,6),VLOOKUP(A1221,Journal!$A$7:M$70,9),0)</f>
        <v>0</v>
      </c>
      <c r="U1221" s="125">
        <f>IF(H$2=VLOOKUP(A1221,Journal!$A$7:$G$70,7),VLOOKUP(A1221,Journal!$A$7:M$70,9),0)</f>
        <v>0</v>
      </c>
      <c r="V1221" s="125">
        <f t="shared" si="138"/>
        <v>40</v>
      </c>
      <c r="X1221">
        <f t="shared" si="143"/>
        <v>0</v>
      </c>
      <c r="Y1221" s="143">
        <f t="shared" si="137"/>
        <v>-968.13157894741914</v>
      </c>
    </row>
    <row r="1222" spans="1:25" x14ac:dyDescent="0.25">
      <c r="A1222">
        <f t="shared" si="139"/>
        <v>1215</v>
      </c>
      <c r="B1222" s="88" t="str">
        <f>IF(OR(B1221="Total",B1221=""),"",IF(VLOOKUP(A1222,Journal!$B$7:$E$84,4)=0,"Total",VLOOKUP(A1222,Journal!$B$7:$D$84,3)))</f>
        <v/>
      </c>
      <c r="C1222" s="86" t="str">
        <f>IF(B1222="","",VLOOKUP(A1222,Journal!$B$7:$E$84,4))</f>
        <v/>
      </c>
      <c r="D1222" s="114" t="str">
        <f>IF(B1222="","",VLOOKUP(A1222,Journal!$B$7:$J$84,9))</f>
        <v/>
      </c>
      <c r="E1222" s="116"/>
      <c r="F1222" s="116"/>
      <c r="G1222" s="115"/>
      <c r="H1222" s="84" t="str">
        <f>IF(B1222="","",VLOOKUP(A1222,Journal!$B$7:$L$84,11))</f>
        <v/>
      </c>
      <c r="I1222" s="84" t="str">
        <f>IF(B1222="","",VLOOKUP(A1222,Journal!$B$7:$M$84,12))</f>
        <v/>
      </c>
      <c r="J1222" s="105">
        <f>IF(B1222="Total",SUM(J$8:J1221)+0.0001,IF(OR(B1222="",I$2=I1222),0,VLOOKUP(A1222,Journal!$B$7:M$84,8)))</f>
        <v>0</v>
      </c>
      <c r="K1222" s="102">
        <f>IF(B1222="Total",SUM(K$8:K1221)+0.0001,IF(OR(B1222="",J1222&lt;&gt;0),0,VLOOKUP(A1222,Journal!$B$7:M$84,8)))</f>
        <v>0</v>
      </c>
      <c r="L1222" s="87">
        <f t="shared" si="140"/>
        <v>0</v>
      </c>
      <c r="P1222">
        <f t="shared" si="141"/>
        <v>1.0000000000000001E-5</v>
      </c>
      <c r="R1222" s="15">
        <f t="shared" si="142"/>
        <v>1215</v>
      </c>
      <c r="S1222" s="126">
        <f>IF(VLOOKUP(A1222,Journal!$A$7:$E$70,5)=0,S1221+1,VLOOKUP(A1222,Journal!$A$7:$E$70,5))</f>
        <v>46872</v>
      </c>
      <c r="T1222" s="125">
        <f>IF(H$2=VLOOKUP(A1222,Journal!$A$7:$F$70,6),VLOOKUP(A1222,Journal!$A$7:M$70,9),0)</f>
        <v>0</v>
      </c>
      <c r="U1222" s="125">
        <f>IF(H$2=VLOOKUP(A1222,Journal!$A$7:$G$70,7),VLOOKUP(A1222,Journal!$A$7:M$70,9),0)</f>
        <v>0</v>
      </c>
      <c r="V1222" s="125">
        <f t="shared" si="138"/>
        <v>40</v>
      </c>
      <c r="X1222">
        <f t="shared" si="143"/>
        <v>0</v>
      </c>
      <c r="Y1222" s="143">
        <f t="shared" si="137"/>
        <v>-968.1052631579455</v>
      </c>
    </row>
    <row r="1223" spans="1:25" x14ac:dyDescent="0.25">
      <c r="A1223">
        <f t="shared" si="139"/>
        <v>1216</v>
      </c>
      <c r="B1223" s="88" t="str">
        <f>IF(OR(B1222="Total",B1222=""),"",IF(VLOOKUP(A1223,Journal!$B$7:$E$84,4)=0,"Total",VLOOKUP(A1223,Journal!$B$7:$D$84,3)))</f>
        <v/>
      </c>
      <c r="C1223" s="86" t="str">
        <f>IF(B1223="","",VLOOKUP(A1223,Journal!$B$7:$E$84,4))</f>
        <v/>
      </c>
      <c r="D1223" s="114" t="str">
        <f>IF(B1223="","",VLOOKUP(A1223,Journal!$B$7:$J$84,9))</f>
        <v/>
      </c>
      <c r="E1223" s="116"/>
      <c r="F1223" s="116"/>
      <c r="G1223" s="115"/>
      <c r="H1223" s="84" t="str">
        <f>IF(B1223="","",VLOOKUP(A1223,Journal!$B$7:$L$84,11))</f>
        <v/>
      </c>
      <c r="I1223" s="84" t="str">
        <f>IF(B1223="","",VLOOKUP(A1223,Journal!$B$7:$M$84,12))</f>
        <v/>
      </c>
      <c r="J1223" s="105">
        <f>IF(B1223="Total",SUM(J$8:J1222)+0.0001,IF(OR(B1223="",I$2=I1223),0,VLOOKUP(A1223,Journal!$B$7:M$84,8)))</f>
        <v>0</v>
      </c>
      <c r="K1223" s="102">
        <f>IF(B1223="Total",SUM(K$8:K1222)+0.0001,IF(OR(B1223="",J1223&lt;&gt;0),0,VLOOKUP(A1223,Journal!$B$7:M$84,8)))</f>
        <v>0</v>
      </c>
      <c r="L1223" s="87">
        <f t="shared" si="140"/>
        <v>0</v>
      </c>
      <c r="P1223">
        <f t="shared" si="141"/>
        <v>1.0000000000000001E-5</v>
      </c>
      <c r="R1223" s="15">
        <f t="shared" si="142"/>
        <v>1216</v>
      </c>
      <c r="S1223" s="126">
        <f>IF(VLOOKUP(A1223,Journal!$A$7:$E$70,5)=0,S1222+1,VLOOKUP(A1223,Journal!$A$7:$E$70,5))</f>
        <v>46873</v>
      </c>
      <c r="T1223" s="125">
        <f>IF(H$2=VLOOKUP(A1223,Journal!$A$7:$F$70,6),VLOOKUP(A1223,Journal!$A$7:M$70,9),0)</f>
        <v>0</v>
      </c>
      <c r="U1223" s="125">
        <f>IF(H$2=VLOOKUP(A1223,Journal!$A$7:$G$70,7),VLOOKUP(A1223,Journal!$A$7:M$70,9),0)</f>
        <v>0</v>
      </c>
      <c r="V1223" s="125">
        <f t="shared" si="138"/>
        <v>40</v>
      </c>
      <c r="X1223">
        <f t="shared" si="143"/>
        <v>0</v>
      </c>
      <c r="Y1223" s="143">
        <f t="shared" si="137"/>
        <v>-968.07894736847186</v>
      </c>
    </row>
    <row r="1224" spans="1:25" x14ac:dyDescent="0.25">
      <c r="A1224">
        <f t="shared" si="139"/>
        <v>1217</v>
      </c>
      <c r="B1224" s="88" t="str">
        <f>IF(OR(B1223="Total",B1223=""),"",IF(VLOOKUP(A1224,Journal!$B$7:$E$84,4)=0,"Total",VLOOKUP(A1224,Journal!$B$7:$D$84,3)))</f>
        <v/>
      </c>
      <c r="C1224" s="86" t="str">
        <f>IF(B1224="","",VLOOKUP(A1224,Journal!$B$7:$E$84,4))</f>
        <v/>
      </c>
      <c r="D1224" s="114" t="str">
        <f>IF(B1224="","",VLOOKUP(A1224,Journal!$B$7:$J$84,9))</f>
        <v/>
      </c>
      <c r="E1224" s="116"/>
      <c r="F1224" s="116"/>
      <c r="G1224" s="115"/>
      <c r="H1224" s="84" t="str">
        <f>IF(B1224="","",VLOOKUP(A1224,Journal!$B$7:$L$84,11))</f>
        <v/>
      </c>
      <c r="I1224" s="84" t="str">
        <f>IF(B1224="","",VLOOKUP(A1224,Journal!$B$7:$M$84,12))</f>
        <v/>
      </c>
      <c r="J1224" s="105">
        <f>IF(B1224="Total",SUM(J$8:J1223)+0.0001,IF(OR(B1224="",I$2=I1224),0,VLOOKUP(A1224,Journal!$B$7:M$84,8)))</f>
        <v>0</v>
      </c>
      <c r="K1224" s="102">
        <f>IF(B1224="Total",SUM(K$8:K1223)+0.0001,IF(OR(B1224="",J1224&lt;&gt;0),0,VLOOKUP(A1224,Journal!$B$7:M$84,8)))</f>
        <v>0</v>
      </c>
      <c r="L1224" s="87">
        <f t="shared" si="140"/>
        <v>0</v>
      </c>
      <c r="P1224">
        <f t="shared" si="141"/>
        <v>1.0000000000000001E-5</v>
      </c>
      <c r="R1224" s="15">
        <f t="shared" si="142"/>
        <v>1217</v>
      </c>
      <c r="S1224" s="126">
        <f>IF(VLOOKUP(A1224,Journal!$A$7:$E$70,5)=0,S1223+1,VLOOKUP(A1224,Journal!$A$7:$E$70,5))</f>
        <v>46874</v>
      </c>
      <c r="T1224" s="125">
        <f>IF(H$2=VLOOKUP(A1224,Journal!$A$7:$F$70,6),VLOOKUP(A1224,Journal!$A$7:M$70,9),0)</f>
        <v>0</v>
      </c>
      <c r="U1224" s="125">
        <f>IF(H$2=VLOOKUP(A1224,Journal!$A$7:$G$70,7),VLOOKUP(A1224,Journal!$A$7:M$70,9),0)</f>
        <v>0</v>
      </c>
      <c r="V1224" s="125">
        <f t="shared" si="138"/>
        <v>40</v>
      </c>
      <c r="X1224">
        <f t="shared" si="143"/>
        <v>0</v>
      </c>
      <c r="Y1224" s="143">
        <f t="shared" ref="Y1224:Y1287" si="144">IF(B1223="Total",-1000,Y1223+Y$4)</f>
        <v>-968.05263157899822</v>
      </c>
    </row>
    <row r="1225" spans="1:25" x14ac:dyDescent="0.25">
      <c r="A1225">
        <f t="shared" si="139"/>
        <v>1218</v>
      </c>
      <c r="B1225" s="88" t="str">
        <f>IF(OR(B1224="Total",B1224=""),"",IF(VLOOKUP(A1225,Journal!$B$7:$E$84,4)=0,"Total",VLOOKUP(A1225,Journal!$B$7:$D$84,3)))</f>
        <v/>
      </c>
      <c r="C1225" s="86" t="str">
        <f>IF(B1225="","",VLOOKUP(A1225,Journal!$B$7:$E$84,4))</f>
        <v/>
      </c>
      <c r="D1225" s="114" t="str">
        <f>IF(B1225="","",VLOOKUP(A1225,Journal!$B$7:$J$84,9))</f>
        <v/>
      </c>
      <c r="E1225" s="116"/>
      <c r="F1225" s="116"/>
      <c r="G1225" s="115"/>
      <c r="H1225" s="84" t="str">
        <f>IF(B1225="","",VLOOKUP(A1225,Journal!$B$7:$L$84,11))</f>
        <v/>
      </c>
      <c r="I1225" s="84" t="str">
        <f>IF(B1225="","",VLOOKUP(A1225,Journal!$B$7:$M$84,12))</f>
        <v/>
      </c>
      <c r="J1225" s="105">
        <f>IF(B1225="Total",SUM(J$8:J1224)+0.0001,IF(OR(B1225="",I$2=I1225),0,VLOOKUP(A1225,Journal!$B$7:M$84,8)))</f>
        <v>0</v>
      </c>
      <c r="K1225" s="102">
        <f>IF(B1225="Total",SUM(K$8:K1224)+0.0001,IF(OR(B1225="",J1225&lt;&gt;0),0,VLOOKUP(A1225,Journal!$B$7:M$84,8)))</f>
        <v>0</v>
      </c>
      <c r="L1225" s="87">
        <f t="shared" si="140"/>
        <v>0</v>
      </c>
      <c r="P1225">
        <f t="shared" si="141"/>
        <v>1.0000000000000001E-5</v>
      </c>
      <c r="R1225" s="15">
        <f t="shared" si="142"/>
        <v>1218</v>
      </c>
      <c r="S1225" s="126">
        <f>IF(VLOOKUP(A1225,Journal!$A$7:$E$70,5)=0,S1224+1,VLOOKUP(A1225,Journal!$A$7:$E$70,5))</f>
        <v>46875</v>
      </c>
      <c r="T1225" s="125">
        <f>IF(H$2=VLOOKUP(A1225,Journal!$A$7:$F$70,6),VLOOKUP(A1225,Journal!$A$7:M$70,9),0)</f>
        <v>0</v>
      </c>
      <c r="U1225" s="125">
        <f>IF(H$2=VLOOKUP(A1225,Journal!$A$7:$G$70,7),VLOOKUP(A1225,Journal!$A$7:M$70,9),0)</f>
        <v>0</v>
      </c>
      <c r="V1225" s="125">
        <f t="shared" si="138"/>
        <v>40</v>
      </c>
      <c r="X1225">
        <f t="shared" si="143"/>
        <v>0</v>
      </c>
      <c r="Y1225" s="143">
        <f t="shared" si="144"/>
        <v>-968.02631578952457</v>
      </c>
    </row>
    <row r="1226" spans="1:25" x14ac:dyDescent="0.25">
      <c r="A1226">
        <f t="shared" si="139"/>
        <v>1219</v>
      </c>
      <c r="B1226" s="88" t="str">
        <f>IF(OR(B1225="Total",B1225=""),"",IF(VLOOKUP(A1226,Journal!$B$7:$E$84,4)=0,"Total",VLOOKUP(A1226,Journal!$B$7:$D$84,3)))</f>
        <v/>
      </c>
      <c r="C1226" s="86" t="str">
        <f>IF(B1226="","",VLOOKUP(A1226,Journal!$B$7:$E$84,4))</f>
        <v/>
      </c>
      <c r="D1226" s="114" t="str">
        <f>IF(B1226="","",VLOOKUP(A1226,Journal!$B$7:$J$84,9))</f>
        <v/>
      </c>
      <c r="E1226" s="116"/>
      <c r="F1226" s="116"/>
      <c r="G1226" s="115"/>
      <c r="H1226" s="84" t="str">
        <f>IF(B1226="","",VLOOKUP(A1226,Journal!$B$7:$L$84,11))</f>
        <v/>
      </c>
      <c r="I1226" s="84" t="str">
        <f>IF(B1226="","",VLOOKUP(A1226,Journal!$B$7:$M$84,12))</f>
        <v/>
      </c>
      <c r="J1226" s="105">
        <f>IF(B1226="Total",SUM(J$8:J1225)+0.0001,IF(OR(B1226="",I$2=I1226),0,VLOOKUP(A1226,Journal!$B$7:M$84,8)))</f>
        <v>0</v>
      </c>
      <c r="K1226" s="102">
        <f>IF(B1226="Total",SUM(K$8:K1225)+0.0001,IF(OR(B1226="",J1226&lt;&gt;0),0,VLOOKUP(A1226,Journal!$B$7:M$84,8)))</f>
        <v>0</v>
      </c>
      <c r="L1226" s="87">
        <f t="shared" si="140"/>
        <v>0</v>
      </c>
      <c r="P1226">
        <f t="shared" si="141"/>
        <v>1.0000000000000001E-5</v>
      </c>
      <c r="R1226" s="15">
        <f t="shared" si="142"/>
        <v>1219</v>
      </c>
      <c r="S1226" s="126">
        <f>IF(VLOOKUP(A1226,Journal!$A$7:$E$70,5)=0,S1225+1,VLOOKUP(A1226,Journal!$A$7:$E$70,5))</f>
        <v>46876</v>
      </c>
      <c r="T1226" s="125">
        <f>IF(H$2=VLOOKUP(A1226,Journal!$A$7:$F$70,6),VLOOKUP(A1226,Journal!$A$7:M$70,9),0)</f>
        <v>0</v>
      </c>
      <c r="U1226" s="125">
        <f>IF(H$2=VLOOKUP(A1226,Journal!$A$7:$G$70,7),VLOOKUP(A1226,Journal!$A$7:M$70,9),0)</f>
        <v>0</v>
      </c>
      <c r="V1226" s="125">
        <f t="shared" ref="V1226:V1289" si="145">IF($M$1=1,V1225+T1226-U1226,V1225-T1226+U1226)</f>
        <v>40</v>
      </c>
      <c r="X1226">
        <f t="shared" si="143"/>
        <v>0</v>
      </c>
      <c r="Y1226" s="143">
        <f t="shared" si="144"/>
        <v>-968.00000000005093</v>
      </c>
    </row>
    <row r="1227" spans="1:25" x14ac:dyDescent="0.25">
      <c r="A1227">
        <f t="shared" si="139"/>
        <v>1220</v>
      </c>
      <c r="B1227" s="88" t="str">
        <f>IF(OR(B1226="Total",B1226=""),"",IF(VLOOKUP(A1227,Journal!$B$7:$E$84,4)=0,"Total",VLOOKUP(A1227,Journal!$B$7:$D$84,3)))</f>
        <v/>
      </c>
      <c r="C1227" s="86" t="str">
        <f>IF(B1227="","",VLOOKUP(A1227,Journal!$B$7:$E$84,4))</f>
        <v/>
      </c>
      <c r="D1227" s="114" t="str">
        <f>IF(B1227="","",VLOOKUP(A1227,Journal!$B$7:$J$84,9))</f>
        <v/>
      </c>
      <c r="E1227" s="116"/>
      <c r="F1227" s="116"/>
      <c r="G1227" s="115"/>
      <c r="H1227" s="84" t="str">
        <f>IF(B1227="","",VLOOKUP(A1227,Journal!$B$7:$L$84,11))</f>
        <v/>
      </c>
      <c r="I1227" s="84" t="str">
        <f>IF(B1227="","",VLOOKUP(A1227,Journal!$B$7:$M$84,12))</f>
        <v/>
      </c>
      <c r="J1227" s="105">
        <f>IF(B1227="Total",SUM(J$8:J1226)+0.0001,IF(OR(B1227="",I$2=I1227),0,VLOOKUP(A1227,Journal!$B$7:M$84,8)))</f>
        <v>0</v>
      </c>
      <c r="K1227" s="102">
        <f>IF(B1227="Total",SUM(K$8:K1226)+0.0001,IF(OR(B1227="",J1227&lt;&gt;0),0,VLOOKUP(A1227,Journal!$B$7:M$84,8)))</f>
        <v>0</v>
      </c>
      <c r="L1227" s="87">
        <f t="shared" si="140"/>
        <v>0</v>
      </c>
      <c r="P1227">
        <f t="shared" si="141"/>
        <v>1.0000000000000001E-5</v>
      </c>
      <c r="R1227" s="15">
        <f t="shared" si="142"/>
        <v>1220</v>
      </c>
      <c r="S1227" s="126">
        <f>IF(VLOOKUP(A1227,Journal!$A$7:$E$70,5)=0,S1226+1,VLOOKUP(A1227,Journal!$A$7:$E$70,5))</f>
        <v>46877</v>
      </c>
      <c r="T1227" s="125">
        <f>IF(H$2=VLOOKUP(A1227,Journal!$A$7:$F$70,6),VLOOKUP(A1227,Journal!$A$7:M$70,9),0)</f>
        <v>0</v>
      </c>
      <c r="U1227" s="125">
        <f>IF(H$2=VLOOKUP(A1227,Journal!$A$7:$G$70,7),VLOOKUP(A1227,Journal!$A$7:M$70,9),0)</f>
        <v>0</v>
      </c>
      <c r="V1227" s="125">
        <f t="shared" si="145"/>
        <v>40</v>
      </c>
      <c r="X1227">
        <f t="shared" si="143"/>
        <v>0</v>
      </c>
      <c r="Y1227" s="143">
        <f t="shared" si="144"/>
        <v>-967.97368421057729</v>
      </c>
    </row>
    <row r="1228" spans="1:25" x14ac:dyDescent="0.25">
      <c r="A1228">
        <f t="shared" si="139"/>
        <v>1221</v>
      </c>
      <c r="B1228" s="88" t="str">
        <f>IF(OR(B1227="Total",B1227=""),"",IF(VLOOKUP(A1228,Journal!$B$7:$E$84,4)=0,"Total",VLOOKUP(A1228,Journal!$B$7:$D$84,3)))</f>
        <v/>
      </c>
      <c r="C1228" s="86" t="str">
        <f>IF(B1228="","",VLOOKUP(A1228,Journal!$B$7:$E$84,4))</f>
        <v/>
      </c>
      <c r="D1228" s="114" t="str">
        <f>IF(B1228="","",VLOOKUP(A1228,Journal!$B$7:$J$84,9))</f>
        <v/>
      </c>
      <c r="E1228" s="116"/>
      <c r="F1228" s="116"/>
      <c r="G1228" s="115"/>
      <c r="H1228" s="84" t="str">
        <f>IF(B1228="","",VLOOKUP(A1228,Journal!$B$7:$L$84,11))</f>
        <v/>
      </c>
      <c r="I1228" s="84" t="str">
        <f>IF(B1228="","",VLOOKUP(A1228,Journal!$B$7:$M$84,12))</f>
        <v/>
      </c>
      <c r="J1228" s="105">
        <f>IF(B1228="Total",SUM(J$8:J1227)+0.0001,IF(OR(B1228="",I$2=I1228),0,VLOOKUP(A1228,Journal!$B$7:M$84,8)))</f>
        <v>0</v>
      </c>
      <c r="K1228" s="102">
        <f>IF(B1228="Total",SUM(K$8:K1227)+0.0001,IF(OR(B1228="",J1228&lt;&gt;0),0,VLOOKUP(A1228,Journal!$B$7:M$84,8)))</f>
        <v>0</v>
      </c>
      <c r="L1228" s="87">
        <f t="shared" si="140"/>
        <v>0</v>
      </c>
      <c r="P1228">
        <f t="shared" si="141"/>
        <v>1.0000000000000001E-5</v>
      </c>
      <c r="R1228" s="15">
        <f t="shared" si="142"/>
        <v>1221</v>
      </c>
      <c r="S1228" s="126">
        <f>IF(VLOOKUP(A1228,Journal!$A$7:$E$70,5)=0,S1227+1,VLOOKUP(A1228,Journal!$A$7:$E$70,5))</f>
        <v>46878</v>
      </c>
      <c r="T1228" s="125">
        <f>IF(H$2=VLOOKUP(A1228,Journal!$A$7:$F$70,6),VLOOKUP(A1228,Journal!$A$7:M$70,9),0)</f>
        <v>0</v>
      </c>
      <c r="U1228" s="125">
        <f>IF(H$2=VLOOKUP(A1228,Journal!$A$7:$G$70,7),VLOOKUP(A1228,Journal!$A$7:M$70,9),0)</f>
        <v>0</v>
      </c>
      <c r="V1228" s="125">
        <f t="shared" si="145"/>
        <v>40</v>
      </c>
      <c r="X1228">
        <f t="shared" si="143"/>
        <v>0</v>
      </c>
      <c r="Y1228" s="143">
        <f t="shared" si="144"/>
        <v>-967.94736842110365</v>
      </c>
    </row>
    <row r="1229" spans="1:25" x14ac:dyDescent="0.25">
      <c r="A1229">
        <f t="shared" si="139"/>
        <v>1222</v>
      </c>
      <c r="B1229" s="88" t="str">
        <f>IF(OR(B1228="Total",B1228=""),"",IF(VLOOKUP(A1229,Journal!$B$7:$E$84,4)=0,"Total",VLOOKUP(A1229,Journal!$B$7:$D$84,3)))</f>
        <v/>
      </c>
      <c r="C1229" s="86" t="str">
        <f>IF(B1229="","",VLOOKUP(A1229,Journal!$B$7:$E$84,4))</f>
        <v/>
      </c>
      <c r="D1229" s="114" t="str">
        <f>IF(B1229="","",VLOOKUP(A1229,Journal!$B$7:$J$84,9))</f>
        <v/>
      </c>
      <c r="E1229" s="116"/>
      <c r="F1229" s="116"/>
      <c r="G1229" s="115"/>
      <c r="H1229" s="84" t="str">
        <f>IF(B1229="","",VLOOKUP(A1229,Journal!$B$7:$L$84,11))</f>
        <v/>
      </c>
      <c r="I1229" s="84" t="str">
        <f>IF(B1229="","",VLOOKUP(A1229,Journal!$B$7:$M$84,12))</f>
        <v/>
      </c>
      <c r="J1229" s="105">
        <f>IF(B1229="Total",SUM(J$8:J1228)+0.0001,IF(OR(B1229="",I$2=I1229),0,VLOOKUP(A1229,Journal!$B$7:M$84,8)))</f>
        <v>0</v>
      </c>
      <c r="K1229" s="102">
        <f>IF(B1229="Total",SUM(K$8:K1228)+0.0001,IF(OR(B1229="",J1229&lt;&gt;0),0,VLOOKUP(A1229,Journal!$B$7:M$84,8)))</f>
        <v>0</v>
      </c>
      <c r="L1229" s="87">
        <f t="shared" si="140"/>
        <v>0</v>
      </c>
      <c r="P1229">
        <f t="shared" si="141"/>
        <v>1.0000000000000001E-5</v>
      </c>
      <c r="R1229" s="15">
        <f t="shared" si="142"/>
        <v>1222</v>
      </c>
      <c r="S1229" s="126">
        <f>IF(VLOOKUP(A1229,Journal!$A$7:$E$70,5)=0,S1228+1,VLOOKUP(A1229,Journal!$A$7:$E$70,5))</f>
        <v>46879</v>
      </c>
      <c r="T1229" s="125">
        <f>IF(H$2=VLOOKUP(A1229,Journal!$A$7:$F$70,6),VLOOKUP(A1229,Journal!$A$7:M$70,9),0)</f>
        <v>0</v>
      </c>
      <c r="U1229" s="125">
        <f>IF(H$2=VLOOKUP(A1229,Journal!$A$7:$G$70,7),VLOOKUP(A1229,Journal!$A$7:M$70,9),0)</f>
        <v>0</v>
      </c>
      <c r="V1229" s="125">
        <f t="shared" si="145"/>
        <v>40</v>
      </c>
      <c r="X1229">
        <f t="shared" si="143"/>
        <v>0</v>
      </c>
      <c r="Y1229" s="143">
        <f t="shared" si="144"/>
        <v>-967.92105263163</v>
      </c>
    </row>
    <row r="1230" spans="1:25" x14ac:dyDescent="0.25">
      <c r="A1230">
        <f t="shared" si="139"/>
        <v>1223</v>
      </c>
      <c r="B1230" s="88" t="str">
        <f>IF(OR(B1229="Total",B1229=""),"",IF(VLOOKUP(A1230,Journal!$B$7:$E$84,4)=0,"Total",VLOOKUP(A1230,Journal!$B$7:$D$84,3)))</f>
        <v/>
      </c>
      <c r="C1230" s="86" t="str">
        <f>IF(B1230="","",VLOOKUP(A1230,Journal!$B$7:$E$84,4))</f>
        <v/>
      </c>
      <c r="D1230" s="114" t="str">
        <f>IF(B1230="","",VLOOKUP(A1230,Journal!$B$7:$J$84,9))</f>
        <v/>
      </c>
      <c r="E1230" s="116"/>
      <c r="F1230" s="116"/>
      <c r="G1230" s="115"/>
      <c r="H1230" s="84" t="str">
        <f>IF(B1230="","",VLOOKUP(A1230,Journal!$B$7:$L$84,11))</f>
        <v/>
      </c>
      <c r="I1230" s="84" t="str">
        <f>IF(B1230="","",VLOOKUP(A1230,Journal!$B$7:$M$84,12))</f>
        <v/>
      </c>
      <c r="J1230" s="105">
        <f>IF(B1230="Total",SUM(J$8:J1229)+0.0001,IF(OR(B1230="",I$2=I1230),0,VLOOKUP(A1230,Journal!$B$7:M$84,8)))</f>
        <v>0</v>
      </c>
      <c r="K1230" s="102">
        <f>IF(B1230="Total",SUM(K$8:K1229)+0.0001,IF(OR(B1230="",J1230&lt;&gt;0),0,VLOOKUP(A1230,Journal!$B$7:M$84,8)))</f>
        <v>0</v>
      </c>
      <c r="L1230" s="87">
        <f t="shared" si="140"/>
        <v>0</v>
      </c>
      <c r="P1230">
        <f t="shared" si="141"/>
        <v>1.0000000000000001E-5</v>
      </c>
      <c r="R1230" s="15">
        <f t="shared" si="142"/>
        <v>1223</v>
      </c>
      <c r="S1230" s="126">
        <f>IF(VLOOKUP(A1230,Journal!$A$7:$E$70,5)=0,S1229+1,VLOOKUP(A1230,Journal!$A$7:$E$70,5))</f>
        <v>46880</v>
      </c>
      <c r="T1230" s="125">
        <f>IF(H$2=VLOOKUP(A1230,Journal!$A$7:$F$70,6),VLOOKUP(A1230,Journal!$A$7:M$70,9),0)</f>
        <v>0</v>
      </c>
      <c r="U1230" s="125">
        <f>IF(H$2=VLOOKUP(A1230,Journal!$A$7:$G$70,7),VLOOKUP(A1230,Journal!$A$7:M$70,9),0)</f>
        <v>0</v>
      </c>
      <c r="V1230" s="125">
        <f t="shared" si="145"/>
        <v>40</v>
      </c>
      <c r="X1230">
        <f t="shared" si="143"/>
        <v>0</v>
      </c>
      <c r="Y1230" s="143">
        <f t="shared" si="144"/>
        <v>-967.89473684215636</v>
      </c>
    </row>
    <row r="1231" spans="1:25" x14ac:dyDescent="0.25">
      <c r="A1231">
        <f t="shared" si="139"/>
        <v>1224</v>
      </c>
      <c r="B1231" s="88" t="str">
        <f>IF(OR(B1230="Total",B1230=""),"",IF(VLOOKUP(A1231,Journal!$B$7:$E$84,4)=0,"Total",VLOOKUP(A1231,Journal!$B$7:$D$84,3)))</f>
        <v/>
      </c>
      <c r="C1231" s="86" t="str">
        <f>IF(B1231="","",VLOOKUP(A1231,Journal!$B$7:$E$84,4))</f>
        <v/>
      </c>
      <c r="D1231" s="114" t="str">
        <f>IF(B1231="","",VLOOKUP(A1231,Journal!$B$7:$J$84,9))</f>
        <v/>
      </c>
      <c r="E1231" s="116"/>
      <c r="F1231" s="116"/>
      <c r="G1231" s="115"/>
      <c r="H1231" s="84" t="str">
        <f>IF(B1231="","",VLOOKUP(A1231,Journal!$B$7:$L$84,11))</f>
        <v/>
      </c>
      <c r="I1231" s="84" t="str">
        <f>IF(B1231="","",VLOOKUP(A1231,Journal!$B$7:$M$84,12))</f>
        <v/>
      </c>
      <c r="J1231" s="105">
        <f>IF(B1231="Total",SUM(J$8:J1230)+0.0001,IF(OR(B1231="",I$2=I1231),0,VLOOKUP(A1231,Journal!$B$7:M$84,8)))</f>
        <v>0</v>
      </c>
      <c r="K1231" s="102">
        <f>IF(B1231="Total",SUM(K$8:K1230)+0.0001,IF(OR(B1231="",J1231&lt;&gt;0),0,VLOOKUP(A1231,Journal!$B$7:M$84,8)))</f>
        <v>0</v>
      </c>
      <c r="L1231" s="87">
        <f t="shared" si="140"/>
        <v>0</v>
      </c>
      <c r="P1231">
        <f t="shared" si="141"/>
        <v>1.0000000000000001E-5</v>
      </c>
      <c r="R1231" s="15">
        <f t="shared" si="142"/>
        <v>1224</v>
      </c>
      <c r="S1231" s="126">
        <f>IF(VLOOKUP(A1231,Journal!$A$7:$E$70,5)=0,S1230+1,VLOOKUP(A1231,Journal!$A$7:$E$70,5))</f>
        <v>46881</v>
      </c>
      <c r="T1231" s="125">
        <f>IF(H$2=VLOOKUP(A1231,Journal!$A$7:$F$70,6),VLOOKUP(A1231,Journal!$A$7:M$70,9),0)</f>
        <v>0</v>
      </c>
      <c r="U1231" s="125">
        <f>IF(H$2=VLOOKUP(A1231,Journal!$A$7:$G$70,7),VLOOKUP(A1231,Journal!$A$7:M$70,9),0)</f>
        <v>0</v>
      </c>
      <c r="V1231" s="125">
        <f t="shared" si="145"/>
        <v>40</v>
      </c>
      <c r="X1231">
        <f t="shared" si="143"/>
        <v>0</v>
      </c>
      <c r="Y1231" s="143">
        <f t="shared" si="144"/>
        <v>-967.86842105268272</v>
      </c>
    </row>
    <row r="1232" spans="1:25" x14ac:dyDescent="0.25">
      <c r="A1232">
        <f t="shared" si="139"/>
        <v>1225</v>
      </c>
      <c r="B1232" s="88" t="str">
        <f>IF(OR(B1231="Total",B1231=""),"",IF(VLOOKUP(A1232,Journal!$B$7:$E$84,4)=0,"Total",VLOOKUP(A1232,Journal!$B$7:$D$84,3)))</f>
        <v/>
      </c>
      <c r="C1232" s="86" t="str">
        <f>IF(B1232="","",VLOOKUP(A1232,Journal!$B$7:$E$84,4))</f>
        <v/>
      </c>
      <c r="D1232" s="114" t="str">
        <f>IF(B1232="","",VLOOKUP(A1232,Journal!$B$7:$J$84,9))</f>
        <v/>
      </c>
      <c r="E1232" s="116"/>
      <c r="F1232" s="116"/>
      <c r="G1232" s="115"/>
      <c r="H1232" s="84" t="str">
        <f>IF(B1232="","",VLOOKUP(A1232,Journal!$B$7:$L$84,11))</f>
        <v/>
      </c>
      <c r="I1232" s="84" t="str">
        <f>IF(B1232="","",VLOOKUP(A1232,Journal!$B$7:$M$84,12))</f>
        <v/>
      </c>
      <c r="J1232" s="105">
        <f>IF(B1232="Total",SUM(J$8:J1231)+0.0001,IF(OR(B1232="",I$2=I1232),0,VLOOKUP(A1232,Journal!$B$7:M$84,8)))</f>
        <v>0</v>
      </c>
      <c r="K1232" s="102">
        <f>IF(B1232="Total",SUM(K$8:K1231)+0.0001,IF(OR(B1232="",J1232&lt;&gt;0),0,VLOOKUP(A1232,Journal!$B$7:M$84,8)))</f>
        <v>0</v>
      </c>
      <c r="L1232" s="87">
        <f t="shared" si="140"/>
        <v>0</v>
      </c>
      <c r="P1232">
        <f t="shared" si="141"/>
        <v>1.0000000000000001E-5</v>
      </c>
      <c r="R1232" s="15">
        <f t="shared" si="142"/>
        <v>1225</v>
      </c>
      <c r="S1232" s="126">
        <f>IF(VLOOKUP(A1232,Journal!$A$7:$E$70,5)=0,S1231+1,VLOOKUP(A1232,Journal!$A$7:$E$70,5))</f>
        <v>46882</v>
      </c>
      <c r="T1232" s="125">
        <f>IF(H$2=VLOOKUP(A1232,Journal!$A$7:$F$70,6),VLOOKUP(A1232,Journal!$A$7:M$70,9),0)</f>
        <v>0</v>
      </c>
      <c r="U1232" s="125">
        <f>IF(H$2=VLOOKUP(A1232,Journal!$A$7:$G$70,7),VLOOKUP(A1232,Journal!$A$7:M$70,9),0)</f>
        <v>0</v>
      </c>
      <c r="V1232" s="125">
        <f t="shared" si="145"/>
        <v>40</v>
      </c>
      <c r="X1232">
        <f t="shared" si="143"/>
        <v>0</v>
      </c>
      <c r="Y1232" s="143">
        <f t="shared" si="144"/>
        <v>-967.84210526320908</v>
      </c>
    </row>
    <row r="1233" spans="1:25" x14ac:dyDescent="0.25">
      <c r="A1233">
        <f t="shared" si="139"/>
        <v>1226</v>
      </c>
      <c r="B1233" s="88" t="str">
        <f>IF(OR(B1232="Total",B1232=""),"",IF(VLOOKUP(A1233,Journal!$B$7:$E$84,4)=0,"Total",VLOOKUP(A1233,Journal!$B$7:$D$84,3)))</f>
        <v/>
      </c>
      <c r="C1233" s="86" t="str">
        <f>IF(B1233="","",VLOOKUP(A1233,Journal!$B$7:$E$84,4))</f>
        <v/>
      </c>
      <c r="D1233" s="114" t="str">
        <f>IF(B1233="","",VLOOKUP(A1233,Journal!$B$7:$J$84,9))</f>
        <v/>
      </c>
      <c r="E1233" s="116"/>
      <c r="F1233" s="116"/>
      <c r="G1233" s="115"/>
      <c r="H1233" s="84" t="str">
        <f>IF(B1233="","",VLOOKUP(A1233,Journal!$B$7:$L$84,11))</f>
        <v/>
      </c>
      <c r="I1233" s="84" t="str">
        <f>IF(B1233="","",VLOOKUP(A1233,Journal!$B$7:$M$84,12))</f>
        <v/>
      </c>
      <c r="J1233" s="105">
        <f>IF(B1233="Total",SUM(J$8:J1232)+0.0001,IF(OR(B1233="",I$2=I1233),0,VLOOKUP(A1233,Journal!$B$7:M$84,8)))</f>
        <v>0</v>
      </c>
      <c r="K1233" s="102">
        <f>IF(B1233="Total",SUM(K$8:K1232)+0.0001,IF(OR(B1233="",J1233&lt;&gt;0),0,VLOOKUP(A1233,Journal!$B$7:M$84,8)))</f>
        <v>0</v>
      </c>
      <c r="L1233" s="87">
        <f t="shared" si="140"/>
        <v>0</v>
      </c>
      <c r="P1233">
        <f t="shared" si="141"/>
        <v>1.0000000000000001E-5</v>
      </c>
      <c r="R1233" s="15">
        <f t="shared" si="142"/>
        <v>1226</v>
      </c>
      <c r="S1233" s="126">
        <f>IF(VLOOKUP(A1233,Journal!$A$7:$E$70,5)=0,S1232+1,VLOOKUP(A1233,Journal!$A$7:$E$70,5))</f>
        <v>46883</v>
      </c>
      <c r="T1233" s="125">
        <f>IF(H$2=VLOOKUP(A1233,Journal!$A$7:$F$70,6),VLOOKUP(A1233,Journal!$A$7:M$70,9),0)</f>
        <v>0</v>
      </c>
      <c r="U1233" s="125">
        <f>IF(H$2=VLOOKUP(A1233,Journal!$A$7:$G$70,7),VLOOKUP(A1233,Journal!$A$7:M$70,9),0)</f>
        <v>0</v>
      </c>
      <c r="V1233" s="125">
        <f t="shared" si="145"/>
        <v>40</v>
      </c>
      <c r="X1233">
        <f t="shared" si="143"/>
        <v>0</v>
      </c>
      <c r="Y1233" s="143">
        <f t="shared" si="144"/>
        <v>-967.81578947373544</v>
      </c>
    </row>
    <row r="1234" spans="1:25" x14ac:dyDescent="0.25">
      <c r="A1234">
        <f t="shared" ref="A1234:A1297" si="146">A1233+1</f>
        <v>1227</v>
      </c>
      <c r="B1234" s="88" t="str">
        <f>IF(OR(B1233="Total",B1233=""),"",IF(VLOOKUP(A1234,Journal!$B$7:$E$84,4)=0,"Total",VLOOKUP(A1234,Journal!$B$7:$D$84,3)))</f>
        <v/>
      </c>
      <c r="C1234" s="86" t="str">
        <f>IF(B1234="","",VLOOKUP(A1234,Journal!$B$7:$E$84,4))</f>
        <v/>
      </c>
      <c r="D1234" s="114" t="str">
        <f>IF(B1234="","",VLOOKUP(A1234,Journal!$B$7:$J$84,9))</f>
        <v/>
      </c>
      <c r="E1234" s="116"/>
      <c r="F1234" s="116"/>
      <c r="G1234" s="115"/>
      <c r="H1234" s="84" t="str">
        <f>IF(B1234="","",VLOOKUP(A1234,Journal!$B$7:$L$84,11))</f>
        <v/>
      </c>
      <c r="I1234" s="84" t="str">
        <f>IF(B1234="","",VLOOKUP(A1234,Journal!$B$7:$M$84,12))</f>
        <v/>
      </c>
      <c r="J1234" s="105">
        <f>IF(B1234="Total",SUM(J$8:J1233)+0.0001,IF(OR(B1234="",I$2=I1234),0,VLOOKUP(A1234,Journal!$B$7:M$84,8)))</f>
        <v>0</v>
      </c>
      <c r="K1234" s="102">
        <f>IF(B1234="Total",SUM(K$8:K1233)+0.0001,IF(OR(B1234="",J1234&lt;&gt;0),0,VLOOKUP(A1234,Journal!$B$7:M$84,8)))</f>
        <v>0</v>
      </c>
      <c r="L1234" s="87">
        <f t="shared" ref="L1234:L1297" si="147">IF(B1234="Total",L1233,IF(B1234="",0,IF($M$1=1,L1233+J1234-K1234,L1233-J1234+K1234)))</f>
        <v>0</v>
      </c>
      <c r="P1234">
        <f t="shared" ref="P1234:P1297" si="148">IF(L1233=L1234,L1233+0.00001,L1234)</f>
        <v>1.0000000000000001E-5</v>
      </c>
      <c r="R1234" s="15">
        <f t="shared" ref="R1234:R1297" si="149">R1233+1</f>
        <v>1227</v>
      </c>
      <c r="S1234" s="126">
        <f>IF(VLOOKUP(A1234,Journal!$A$7:$E$70,5)=0,S1233+1,VLOOKUP(A1234,Journal!$A$7:$E$70,5))</f>
        <v>46884</v>
      </c>
      <c r="T1234" s="125">
        <f>IF(H$2=VLOOKUP(A1234,Journal!$A$7:$F$70,6),VLOOKUP(A1234,Journal!$A$7:M$70,9),0)</f>
        <v>0</v>
      </c>
      <c r="U1234" s="125">
        <f>IF(H$2=VLOOKUP(A1234,Journal!$A$7:$G$70,7),VLOOKUP(A1234,Journal!$A$7:M$70,9),0)</f>
        <v>0</v>
      </c>
      <c r="V1234" s="125">
        <f t="shared" si="145"/>
        <v>40</v>
      </c>
      <c r="X1234">
        <f t="shared" ref="X1234:X1297" si="150">IF(J$2&gt;S1234,1,0)</f>
        <v>0</v>
      </c>
      <c r="Y1234" s="143">
        <f t="shared" si="144"/>
        <v>-967.78947368426179</v>
      </c>
    </row>
    <row r="1235" spans="1:25" x14ac:dyDescent="0.25">
      <c r="A1235">
        <f t="shared" si="146"/>
        <v>1228</v>
      </c>
      <c r="B1235" s="88" t="str">
        <f>IF(OR(B1234="Total",B1234=""),"",IF(VLOOKUP(A1235,Journal!$B$7:$E$84,4)=0,"Total",VLOOKUP(A1235,Journal!$B$7:$D$84,3)))</f>
        <v/>
      </c>
      <c r="C1235" s="86" t="str">
        <f>IF(B1235="","",VLOOKUP(A1235,Journal!$B$7:$E$84,4))</f>
        <v/>
      </c>
      <c r="D1235" s="114" t="str">
        <f>IF(B1235="","",VLOOKUP(A1235,Journal!$B$7:$J$84,9))</f>
        <v/>
      </c>
      <c r="E1235" s="116"/>
      <c r="F1235" s="116"/>
      <c r="G1235" s="115"/>
      <c r="H1235" s="84" t="str">
        <f>IF(B1235="","",VLOOKUP(A1235,Journal!$B$7:$L$84,11))</f>
        <v/>
      </c>
      <c r="I1235" s="84" t="str">
        <f>IF(B1235="","",VLOOKUP(A1235,Journal!$B$7:$M$84,12))</f>
        <v/>
      </c>
      <c r="J1235" s="105">
        <f>IF(B1235="Total",SUM(J$8:J1234)+0.0001,IF(OR(B1235="",I$2=I1235),0,VLOOKUP(A1235,Journal!$B$7:M$84,8)))</f>
        <v>0</v>
      </c>
      <c r="K1235" s="102">
        <f>IF(B1235="Total",SUM(K$8:K1234)+0.0001,IF(OR(B1235="",J1235&lt;&gt;0),0,VLOOKUP(A1235,Journal!$B$7:M$84,8)))</f>
        <v>0</v>
      </c>
      <c r="L1235" s="87">
        <f t="shared" si="147"/>
        <v>0</v>
      </c>
      <c r="P1235">
        <f t="shared" si="148"/>
        <v>1.0000000000000001E-5</v>
      </c>
      <c r="R1235" s="15">
        <f t="shared" si="149"/>
        <v>1228</v>
      </c>
      <c r="S1235" s="126">
        <f>IF(VLOOKUP(A1235,Journal!$A$7:$E$70,5)=0,S1234+1,VLOOKUP(A1235,Journal!$A$7:$E$70,5))</f>
        <v>46885</v>
      </c>
      <c r="T1235" s="125">
        <f>IF(H$2=VLOOKUP(A1235,Journal!$A$7:$F$70,6),VLOOKUP(A1235,Journal!$A$7:M$70,9),0)</f>
        <v>0</v>
      </c>
      <c r="U1235" s="125">
        <f>IF(H$2=VLOOKUP(A1235,Journal!$A$7:$G$70,7),VLOOKUP(A1235,Journal!$A$7:M$70,9),0)</f>
        <v>0</v>
      </c>
      <c r="V1235" s="125">
        <f t="shared" si="145"/>
        <v>40</v>
      </c>
      <c r="X1235">
        <f t="shared" si="150"/>
        <v>0</v>
      </c>
      <c r="Y1235" s="143">
        <f t="shared" si="144"/>
        <v>-967.76315789478815</v>
      </c>
    </row>
    <row r="1236" spans="1:25" x14ac:dyDescent="0.25">
      <c r="A1236">
        <f t="shared" si="146"/>
        <v>1229</v>
      </c>
      <c r="B1236" s="88" t="str">
        <f>IF(OR(B1235="Total",B1235=""),"",IF(VLOOKUP(A1236,Journal!$B$7:$E$84,4)=0,"Total",VLOOKUP(A1236,Journal!$B$7:$D$84,3)))</f>
        <v/>
      </c>
      <c r="C1236" s="86" t="str">
        <f>IF(B1236="","",VLOOKUP(A1236,Journal!$B$7:$E$84,4))</f>
        <v/>
      </c>
      <c r="D1236" s="114" t="str">
        <f>IF(B1236="","",VLOOKUP(A1236,Journal!$B$7:$J$84,9))</f>
        <v/>
      </c>
      <c r="E1236" s="116"/>
      <c r="F1236" s="116"/>
      <c r="G1236" s="115"/>
      <c r="H1236" s="84" t="str">
        <f>IF(B1236="","",VLOOKUP(A1236,Journal!$B$7:$L$84,11))</f>
        <v/>
      </c>
      <c r="I1236" s="84" t="str">
        <f>IF(B1236="","",VLOOKUP(A1236,Journal!$B$7:$M$84,12))</f>
        <v/>
      </c>
      <c r="J1236" s="105">
        <f>IF(B1236="Total",SUM(J$8:J1235)+0.0001,IF(OR(B1236="",I$2=I1236),0,VLOOKUP(A1236,Journal!$B$7:M$84,8)))</f>
        <v>0</v>
      </c>
      <c r="K1236" s="102">
        <f>IF(B1236="Total",SUM(K$8:K1235)+0.0001,IF(OR(B1236="",J1236&lt;&gt;0),0,VLOOKUP(A1236,Journal!$B$7:M$84,8)))</f>
        <v>0</v>
      </c>
      <c r="L1236" s="87">
        <f t="shared" si="147"/>
        <v>0</v>
      </c>
      <c r="P1236">
        <f t="shared" si="148"/>
        <v>1.0000000000000001E-5</v>
      </c>
      <c r="R1236" s="15">
        <f t="shared" si="149"/>
        <v>1229</v>
      </c>
      <c r="S1236" s="126">
        <f>IF(VLOOKUP(A1236,Journal!$A$7:$E$70,5)=0,S1235+1,VLOOKUP(A1236,Journal!$A$7:$E$70,5))</f>
        <v>46886</v>
      </c>
      <c r="T1236" s="125">
        <f>IF(H$2=VLOOKUP(A1236,Journal!$A$7:$F$70,6),VLOOKUP(A1236,Journal!$A$7:M$70,9),0)</f>
        <v>0</v>
      </c>
      <c r="U1236" s="125">
        <f>IF(H$2=VLOOKUP(A1236,Journal!$A$7:$G$70,7),VLOOKUP(A1236,Journal!$A$7:M$70,9),0)</f>
        <v>0</v>
      </c>
      <c r="V1236" s="125">
        <f t="shared" si="145"/>
        <v>40</v>
      </c>
      <c r="X1236">
        <f t="shared" si="150"/>
        <v>0</v>
      </c>
      <c r="Y1236" s="143">
        <f t="shared" si="144"/>
        <v>-967.73684210531451</v>
      </c>
    </row>
    <row r="1237" spans="1:25" x14ac:dyDescent="0.25">
      <c r="A1237">
        <f t="shared" si="146"/>
        <v>1230</v>
      </c>
      <c r="B1237" s="88" t="str">
        <f>IF(OR(B1236="Total",B1236=""),"",IF(VLOOKUP(A1237,Journal!$B$7:$E$84,4)=0,"Total",VLOOKUP(A1237,Journal!$B$7:$D$84,3)))</f>
        <v/>
      </c>
      <c r="C1237" s="86" t="str">
        <f>IF(B1237="","",VLOOKUP(A1237,Journal!$B$7:$E$84,4))</f>
        <v/>
      </c>
      <c r="D1237" s="114" t="str">
        <f>IF(B1237="","",VLOOKUP(A1237,Journal!$B$7:$J$84,9))</f>
        <v/>
      </c>
      <c r="E1237" s="116"/>
      <c r="F1237" s="116"/>
      <c r="G1237" s="115"/>
      <c r="H1237" s="84" t="str">
        <f>IF(B1237="","",VLOOKUP(A1237,Journal!$B$7:$L$84,11))</f>
        <v/>
      </c>
      <c r="I1237" s="84" t="str">
        <f>IF(B1237="","",VLOOKUP(A1237,Journal!$B$7:$M$84,12))</f>
        <v/>
      </c>
      <c r="J1237" s="105">
        <f>IF(B1237="Total",SUM(J$8:J1236)+0.0001,IF(OR(B1237="",I$2=I1237),0,VLOOKUP(A1237,Journal!$B$7:M$84,8)))</f>
        <v>0</v>
      </c>
      <c r="K1237" s="102">
        <f>IF(B1237="Total",SUM(K$8:K1236)+0.0001,IF(OR(B1237="",J1237&lt;&gt;0),0,VLOOKUP(A1237,Journal!$B$7:M$84,8)))</f>
        <v>0</v>
      </c>
      <c r="L1237" s="87">
        <f t="shared" si="147"/>
        <v>0</v>
      </c>
      <c r="P1237">
        <f t="shared" si="148"/>
        <v>1.0000000000000001E-5</v>
      </c>
      <c r="R1237" s="15">
        <f t="shared" si="149"/>
        <v>1230</v>
      </c>
      <c r="S1237" s="126">
        <f>IF(VLOOKUP(A1237,Journal!$A$7:$E$70,5)=0,S1236+1,VLOOKUP(A1237,Journal!$A$7:$E$70,5))</f>
        <v>46887</v>
      </c>
      <c r="T1237" s="125">
        <f>IF(H$2=VLOOKUP(A1237,Journal!$A$7:$F$70,6),VLOOKUP(A1237,Journal!$A$7:M$70,9),0)</f>
        <v>0</v>
      </c>
      <c r="U1237" s="125">
        <f>IF(H$2=VLOOKUP(A1237,Journal!$A$7:$G$70,7),VLOOKUP(A1237,Journal!$A$7:M$70,9),0)</f>
        <v>0</v>
      </c>
      <c r="V1237" s="125">
        <f t="shared" si="145"/>
        <v>40</v>
      </c>
      <c r="X1237">
        <f t="shared" si="150"/>
        <v>0</v>
      </c>
      <c r="Y1237" s="143">
        <f t="shared" si="144"/>
        <v>-967.71052631584087</v>
      </c>
    </row>
    <row r="1238" spans="1:25" x14ac:dyDescent="0.25">
      <c r="A1238">
        <f t="shared" si="146"/>
        <v>1231</v>
      </c>
      <c r="B1238" s="88" t="str">
        <f>IF(OR(B1237="Total",B1237=""),"",IF(VLOOKUP(A1238,Journal!$B$7:$E$84,4)=0,"Total",VLOOKUP(A1238,Journal!$B$7:$D$84,3)))</f>
        <v/>
      </c>
      <c r="C1238" s="86" t="str">
        <f>IF(B1238="","",VLOOKUP(A1238,Journal!$B$7:$E$84,4))</f>
        <v/>
      </c>
      <c r="D1238" s="114" t="str">
        <f>IF(B1238="","",VLOOKUP(A1238,Journal!$B$7:$J$84,9))</f>
        <v/>
      </c>
      <c r="E1238" s="116"/>
      <c r="F1238" s="116"/>
      <c r="G1238" s="115"/>
      <c r="H1238" s="84" t="str">
        <f>IF(B1238="","",VLOOKUP(A1238,Journal!$B$7:$L$84,11))</f>
        <v/>
      </c>
      <c r="I1238" s="84" t="str">
        <f>IF(B1238="","",VLOOKUP(A1238,Journal!$B$7:$M$84,12))</f>
        <v/>
      </c>
      <c r="J1238" s="105">
        <f>IF(B1238="Total",SUM(J$8:J1237)+0.0001,IF(OR(B1238="",I$2=I1238),0,VLOOKUP(A1238,Journal!$B$7:M$84,8)))</f>
        <v>0</v>
      </c>
      <c r="K1238" s="102">
        <f>IF(B1238="Total",SUM(K$8:K1237)+0.0001,IF(OR(B1238="",J1238&lt;&gt;0),0,VLOOKUP(A1238,Journal!$B$7:M$84,8)))</f>
        <v>0</v>
      </c>
      <c r="L1238" s="87">
        <f t="shared" si="147"/>
        <v>0</v>
      </c>
      <c r="P1238">
        <f t="shared" si="148"/>
        <v>1.0000000000000001E-5</v>
      </c>
      <c r="R1238" s="15">
        <f t="shared" si="149"/>
        <v>1231</v>
      </c>
      <c r="S1238" s="126">
        <f>IF(VLOOKUP(A1238,Journal!$A$7:$E$70,5)=0,S1237+1,VLOOKUP(A1238,Journal!$A$7:$E$70,5))</f>
        <v>46888</v>
      </c>
      <c r="T1238" s="125">
        <f>IF(H$2=VLOOKUP(A1238,Journal!$A$7:$F$70,6),VLOOKUP(A1238,Journal!$A$7:M$70,9),0)</f>
        <v>0</v>
      </c>
      <c r="U1238" s="125">
        <f>IF(H$2=VLOOKUP(A1238,Journal!$A$7:$G$70,7),VLOOKUP(A1238,Journal!$A$7:M$70,9),0)</f>
        <v>0</v>
      </c>
      <c r="V1238" s="125">
        <f t="shared" si="145"/>
        <v>40</v>
      </c>
      <c r="X1238">
        <f t="shared" si="150"/>
        <v>0</v>
      </c>
      <c r="Y1238" s="143">
        <f t="shared" si="144"/>
        <v>-967.68421052636722</v>
      </c>
    </row>
    <row r="1239" spans="1:25" x14ac:dyDescent="0.25">
      <c r="A1239">
        <f t="shared" si="146"/>
        <v>1232</v>
      </c>
      <c r="B1239" s="88" t="str">
        <f>IF(OR(B1238="Total",B1238=""),"",IF(VLOOKUP(A1239,Journal!$B$7:$E$84,4)=0,"Total",VLOOKUP(A1239,Journal!$B$7:$D$84,3)))</f>
        <v/>
      </c>
      <c r="C1239" s="86" t="str">
        <f>IF(B1239="","",VLOOKUP(A1239,Journal!$B$7:$E$84,4))</f>
        <v/>
      </c>
      <c r="D1239" s="114" t="str">
        <f>IF(B1239="","",VLOOKUP(A1239,Journal!$B$7:$J$84,9))</f>
        <v/>
      </c>
      <c r="E1239" s="116"/>
      <c r="F1239" s="116"/>
      <c r="G1239" s="115"/>
      <c r="H1239" s="84" t="str">
        <f>IF(B1239="","",VLOOKUP(A1239,Journal!$B$7:$L$84,11))</f>
        <v/>
      </c>
      <c r="I1239" s="84" t="str">
        <f>IF(B1239="","",VLOOKUP(A1239,Journal!$B$7:$M$84,12))</f>
        <v/>
      </c>
      <c r="J1239" s="105">
        <f>IF(B1239="Total",SUM(J$8:J1238)+0.0001,IF(OR(B1239="",I$2=I1239),0,VLOOKUP(A1239,Journal!$B$7:M$84,8)))</f>
        <v>0</v>
      </c>
      <c r="K1239" s="102">
        <f>IF(B1239="Total",SUM(K$8:K1238)+0.0001,IF(OR(B1239="",J1239&lt;&gt;0),0,VLOOKUP(A1239,Journal!$B$7:M$84,8)))</f>
        <v>0</v>
      </c>
      <c r="L1239" s="87">
        <f t="shared" si="147"/>
        <v>0</v>
      </c>
      <c r="P1239">
        <f t="shared" si="148"/>
        <v>1.0000000000000001E-5</v>
      </c>
      <c r="R1239" s="15">
        <f t="shared" si="149"/>
        <v>1232</v>
      </c>
      <c r="S1239" s="126">
        <f>IF(VLOOKUP(A1239,Journal!$A$7:$E$70,5)=0,S1238+1,VLOOKUP(A1239,Journal!$A$7:$E$70,5))</f>
        <v>46889</v>
      </c>
      <c r="T1239" s="125">
        <f>IF(H$2=VLOOKUP(A1239,Journal!$A$7:$F$70,6),VLOOKUP(A1239,Journal!$A$7:M$70,9),0)</f>
        <v>0</v>
      </c>
      <c r="U1239" s="125">
        <f>IF(H$2=VLOOKUP(A1239,Journal!$A$7:$G$70,7),VLOOKUP(A1239,Journal!$A$7:M$70,9),0)</f>
        <v>0</v>
      </c>
      <c r="V1239" s="125">
        <f t="shared" si="145"/>
        <v>40</v>
      </c>
      <c r="X1239">
        <f t="shared" si="150"/>
        <v>0</v>
      </c>
      <c r="Y1239" s="143">
        <f t="shared" si="144"/>
        <v>-967.65789473689358</v>
      </c>
    </row>
    <row r="1240" spans="1:25" x14ac:dyDescent="0.25">
      <c r="A1240">
        <f t="shared" si="146"/>
        <v>1233</v>
      </c>
      <c r="B1240" s="88" t="str">
        <f>IF(OR(B1239="Total",B1239=""),"",IF(VLOOKUP(A1240,Journal!$B$7:$E$84,4)=0,"Total",VLOOKUP(A1240,Journal!$B$7:$D$84,3)))</f>
        <v/>
      </c>
      <c r="C1240" s="86" t="str">
        <f>IF(B1240="","",VLOOKUP(A1240,Journal!$B$7:$E$84,4))</f>
        <v/>
      </c>
      <c r="D1240" s="114" t="str">
        <f>IF(B1240="","",VLOOKUP(A1240,Journal!$B$7:$J$84,9))</f>
        <v/>
      </c>
      <c r="E1240" s="116"/>
      <c r="F1240" s="116"/>
      <c r="G1240" s="115"/>
      <c r="H1240" s="84" t="str">
        <f>IF(B1240="","",VLOOKUP(A1240,Journal!$B$7:$L$84,11))</f>
        <v/>
      </c>
      <c r="I1240" s="84" t="str">
        <f>IF(B1240="","",VLOOKUP(A1240,Journal!$B$7:$M$84,12))</f>
        <v/>
      </c>
      <c r="J1240" s="105">
        <f>IF(B1240="Total",SUM(J$8:J1239)+0.0001,IF(OR(B1240="",I$2=I1240),0,VLOOKUP(A1240,Journal!$B$7:M$84,8)))</f>
        <v>0</v>
      </c>
      <c r="K1240" s="102">
        <f>IF(B1240="Total",SUM(K$8:K1239)+0.0001,IF(OR(B1240="",J1240&lt;&gt;0),0,VLOOKUP(A1240,Journal!$B$7:M$84,8)))</f>
        <v>0</v>
      </c>
      <c r="L1240" s="87">
        <f t="shared" si="147"/>
        <v>0</v>
      </c>
      <c r="P1240">
        <f t="shared" si="148"/>
        <v>1.0000000000000001E-5</v>
      </c>
      <c r="R1240" s="15">
        <f t="shared" si="149"/>
        <v>1233</v>
      </c>
      <c r="S1240" s="126">
        <f>IF(VLOOKUP(A1240,Journal!$A$7:$E$70,5)=0,S1239+1,VLOOKUP(A1240,Journal!$A$7:$E$70,5))</f>
        <v>46890</v>
      </c>
      <c r="T1240" s="125">
        <f>IF(H$2=VLOOKUP(A1240,Journal!$A$7:$F$70,6),VLOOKUP(A1240,Journal!$A$7:M$70,9),0)</f>
        <v>0</v>
      </c>
      <c r="U1240" s="125">
        <f>IF(H$2=VLOOKUP(A1240,Journal!$A$7:$G$70,7),VLOOKUP(A1240,Journal!$A$7:M$70,9),0)</f>
        <v>0</v>
      </c>
      <c r="V1240" s="125">
        <f t="shared" si="145"/>
        <v>40</v>
      </c>
      <c r="X1240">
        <f t="shared" si="150"/>
        <v>0</v>
      </c>
      <c r="Y1240" s="143">
        <f t="shared" si="144"/>
        <v>-967.63157894741994</v>
      </c>
    </row>
    <row r="1241" spans="1:25" x14ac:dyDescent="0.25">
      <c r="A1241">
        <f t="shared" si="146"/>
        <v>1234</v>
      </c>
      <c r="B1241" s="88" t="str">
        <f>IF(OR(B1240="Total",B1240=""),"",IF(VLOOKUP(A1241,Journal!$B$7:$E$84,4)=0,"Total",VLOOKUP(A1241,Journal!$B$7:$D$84,3)))</f>
        <v/>
      </c>
      <c r="C1241" s="86" t="str">
        <f>IF(B1241="","",VLOOKUP(A1241,Journal!$B$7:$E$84,4))</f>
        <v/>
      </c>
      <c r="D1241" s="114" t="str">
        <f>IF(B1241="","",VLOOKUP(A1241,Journal!$B$7:$J$84,9))</f>
        <v/>
      </c>
      <c r="E1241" s="116"/>
      <c r="F1241" s="116"/>
      <c r="G1241" s="115"/>
      <c r="H1241" s="84" t="str">
        <f>IF(B1241="","",VLOOKUP(A1241,Journal!$B$7:$L$84,11))</f>
        <v/>
      </c>
      <c r="I1241" s="84" t="str">
        <f>IF(B1241="","",VLOOKUP(A1241,Journal!$B$7:$M$84,12))</f>
        <v/>
      </c>
      <c r="J1241" s="105">
        <f>IF(B1241="Total",SUM(J$8:J1240)+0.0001,IF(OR(B1241="",I$2=I1241),0,VLOOKUP(A1241,Journal!$B$7:M$84,8)))</f>
        <v>0</v>
      </c>
      <c r="K1241" s="102">
        <f>IF(B1241="Total",SUM(K$8:K1240)+0.0001,IF(OR(B1241="",J1241&lt;&gt;0),0,VLOOKUP(A1241,Journal!$B$7:M$84,8)))</f>
        <v>0</v>
      </c>
      <c r="L1241" s="87">
        <f t="shared" si="147"/>
        <v>0</v>
      </c>
      <c r="P1241">
        <f t="shared" si="148"/>
        <v>1.0000000000000001E-5</v>
      </c>
      <c r="R1241" s="15">
        <f t="shared" si="149"/>
        <v>1234</v>
      </c>
      <c r="S1241" s="126">
        <f>IF(VLOOKUP(A1241,Journal!$A$7:$E$70,5)=0,S1240+1,VLOOKUP(A1241,Journal!$A$7:$E$70,5))</f>
        <v>46891</v>
      </c>
      <c r="T1241" s="125">
        <f>IF(H$2=VLOOKUP(A1241,Journal!$A$7:$F$70,6),VLOOKUP(A1241,Journal!$A$7:M$70,9),0)</f>
        <v>0</v>
      </c>
      <c r="U1241" s="125">
        <f>IF(H$2=VLOOKUP(A1241,Journal!$A$7:$G$70,7),VLOOKUP(A1241,Journal!$A$7:M$70,9),0)</f>
        <v>0</v>
      </c>
      <c r="V1241" s="125">
        <f t="shared" si="145"/>
        <v>40</v>
      </c>
      <c r="X1241">
        <f t="shared" si="150"/>
        <v>0</v>
      </c>
      <c r="Y1241" s="143">
        <f t="shared" si="144"/>
        <v>-967.6052631579463</v>
      </c>
    </row>
    <row r="1242" spans="1:25" x14ac:dyDescent="0.25">
      <c r="A1242">
        <f t="shared" si="146"/>
        <v>1235</v>
      </c>
      <c r="B1242" s="88" t="str">
        <f>IF(OR(B1241="Total",B1241=""),"",IF(VLOOKUP(A1242,Journal!$B$7:$E$84,4)=0,"Total",VLOOKUP(A1242,Journal!$B$7:$D$84,3)))</f>
        <v/>
      </c>
      <c r="C1242" s="86" t="str">
        <f>IF(B1242="","",VLOOKUP(A1242,Journal!$B$7:$E$84,4))</f>
        <v/>
      </c>
      <c r="D1242" s="114" t="str">
        <f>IF(B1242="","",VLOOKUP(A1242,Journal!$B$7:$J$84,9))</f>
        <v/>
      </c>
      <c r="E1242" s="116"/>
      <c r="F1242" s="116"/>
      <c r="G1242" s="115"/>
      <c r="H1242" s="84" t="str">
        <f>IF(B1242="","",VLOOKUP(A1242,Journal!$B$7:$L$84,11))</f>
        <v/>
      </c>
      <c r="I1242" s="84" t="str">
        <f>IF(B1242="","",VLOOKUP(A1242,Journal!$B$7:$M$84,12))</f>
        <v/>
      </c>
      <c r="J1242" s="105">
        <f>IF(B1242="Total",SUM(J$8:J1241)+0.0001,IF(OR(B1242="",I$2=I1242),0,VLOOKUP(A1242,Journal!$B$7:M$84,8)))</f>
        <v>0</v>
      </c>
      <c r="K1242" s="102">
        <f>IF(B1242="Total",SUM(K$8:K1241)+0.0001,IF(OR(B1242="",J1242&lt;&gt;0),0,VLOOKUP(A1242,Journal!$B$7:M$84,8)))</f>
        <v>0</v>
      </c>
      <c r="L1242" s="87">
        <f t="shared" si="147"/>
        <v>0</v>
      </c>
      <c r="P1242">
        <f t="shared" si="148"/>
        <v>1.0000000000000001E-5</v>
      </c>
      <c r="R1242" s="15">
        <f t="shared" si="149"/>
        <v>1235</v>
      </c>
      <c r="S1242" s="126">
        <f>IF(VLOOKUP(A1242,Journal!$A$7:$E$70,5)=0,S1241+1,VLOOKUP(A1242,Journal!$A$7:$E$70,5))</f>
        <v>46892</v>
      </c>
      <c r="T1242" s="125">
        <f>IF(H$2=VLOOKUP(A1242,Journal!$A$7:$F$70,6),VLOOKUP(A1242,Journal!$A$7:M$70,9),0)</f>
        <v>0</v>
      </c>
      <c r="U1242" s="125">
        <f>IF(H$2=VLOOKUP(A1242,Journal!$A$7:$G$70,7),VLOOKUP(A1242,Journal!$A$7:M$70,9),0)</f>
        <v>0</v>
      </c>
      <c r="V1242" s="125">
        <f t="shared" si="145"/>
        <v>40</v>
      </c>
      <c r="X1242">
        <f t="shared" si="150"/>
        <v>0</v>
      </c>
      <c r="Y1242" s="143">
        <f t="shared" si="144"/>
        <v>-967.57894736847265</v>
      </c>
    </row>
    <row r="1243" spans="1:25" x14ac:dyDescent="0.25">
      <c r="A1243">
        <f t="shared" si="146"/>
        <v>1236</v>
      </c>
      <c r="B1243" s="88" t="str">
        <f>IF(OR(B1242="Total",B1242=""),"",IF(VLOOKUP(A1243,Journal!$B$7:$E$84,4)=0,"Total",VLOOKUP(A1243,Journal!$B$7:$D$84,3)))</f>
        <v/>
      </c>
      <c r="C1243" s="86" t="str">
        <f>IF(B1243="","",VLOOKUP(A1243,Journal!$B$7:$E$84,4))</f>
        <v/>
      </c>
      <c r="D1243" s="114" t="str">
        <f>IF(B1243="","",VLOOKUP(A1243,Journal!$B$7:$J$84,9))</f>
        <v/>
      </c>
      <c r="E1243" s="116"/>
      <c r="F1243" s="116"/>
      <c r="G1243" s="115"/>
      <c r="H1243" s="84" t="str">
        <f>IF(B1243="","",VLOOKUP(A1243,Journal!$B$7:$L$84,11))</f>
        <v/>
      </c>
      <c r="I1243" s="84" t="str">
        <f>IF(B1243="","",VLOOKUP(A1243,Journal!$B$7:$M$84,12))</f>
        <v/>
      </c>
      <c r="J1243" s="105">
        <f>IF(B1243="Total",SUM(J$8:J1242)+0.0001,IF(OR(B1243="",I$2=I1243),0,VLOOKUP(A1243,Journal!$B$7:M$84,8)))</f>
        <v>0</v>
      </c>
      <c r="K1243" s="102">
        <f>IF(B1243="Total",SUM(K$8:K1242)+0.0001,IF(OR(B1243="",J1243&lt;&gt;0),0,VLOOKUP(A1243,Journal!$B$7:M$84,8)))</f>
        <v>0</v>
      </c>
      <c r="L1243" s="87">
        <f t="shared" si="147"/>
        <v>0</v>
      </c>
      <c r="P1243">
        <f t="shared" si="148"/>
        <v>1.0000000000000001E-5</v>
      </c>
      <c r="R1243" s="15">
        <f t="shared" si="149"/>
        <v>1236</v>
      </c>
      <c r="S1243" s="126">
        <f>IF(VLOOKUP(A1243,Journal!$A$7:$E$70,5)=0,S1242+1,VLOOKUP(A1243,Journal!$A$7:$E$70,5))</f>
        <v>46893</v>
      </c>
      <c r="T1243" s="125">
        <f>IF(H$2=VLOOKUP(A1243,Journal!$A$7:$F$70,6),VLOOKUP(A1243,Journal!$A$7:M$70,9),0)</f>
        <v>0</v>
      </c>
      <c r="U1243" s="125">
        <f>IF(H$2=VLOOKUP(A1243,Journal!$A$7:$G$70,7),VLOOKUP(A1243,Journal!$A$7:M$70,9),0)</f>
        <v>0</v>
      </c>
      <c r="V1243" s="125">
        <f t="shared" si="145"/>
        <v>40</v>
      </c>
      <c r="X1243">
        <f t="shared" si="150"/>
        <v>0</v>
      </c>
      <c r="Y1243" s="143">
        <f t="shared" si="144"/>
        <v>-967.55263157899901</v>
      </c>
    </row>
    <row r="1244" spans="1:25" x14ac:dyDescent="0.25">
      <c r="A1244">
        <f t="shared" si="146"/>
        <v>1237</v>
      </c>
      <c r="B1244" s="88" t="str">
        <f>IF(OR(B1243="Total",B1243=""),"",IF(VLOOKUP(A1244,Journal!$B$7:$E$84,4)=0,"Total",VLOOKUP(A1244,Journal!$B$7:$D$84,3)))</f>
        <v/>
      </c>
      <c r="C1244" s="86" t="str">
        <f>IF(B1244="","",VLOOKUP(A1244,Journal!$B$7:$E$84,4))</f>
        <v/>
      </c>
      <c r="D1244" s="114" t="str">
        <f>IF(B1244="","",VLOOKUP(A1244,Journal!$B$7:$J$84,9))</f>
        <v/>
      </c>
      <c r="E1244" s="116"/>
      <c r="F1244" s="116"/>
      <c r="G1244" s="115"/>
      <c r="H1244" s="84" t="str">
        <f>IF(B1244="","",VLOOKUP(A1244,Journal!$B$7:$L$84,11))</f>
        <v/>
      </c>
      <c r="I1244" s="84" t="str">
        <f>IF(B1244="","",VLOOKUP(A1244,Journal!$B$7:$M$84,12))</f>
        <v/>
      </c>
      <c r="J1244" s="105">
        <f>IF(B1244="Total",SUM(J$8:J1243)+0.0001,IF(OR(B1244="",I$2=I1244),0,VLOOKUP(A1244,Journal!$B$7:M$84,8)))</f>
        <v>0</v>
      </c>
      <c r="K1244" s="102">
        <f>IF(B1244="Total",SUM(K$8:K1243)+0.0001,IF(OR(B1244="",J1244&lt;&gt;0),0,VLOOKUP(A1244,Journal!$B$7:M$84,8)))</f>
        <v>0</v>
      </c>
      <c r="L1244" s="87">
        <f t="shared" si="147"/>
        <v>0</v>
      </c>
      <c r="P1244">
        <f t="shared" si="148"/>
        <v>1.0000000000000001E-5</v>
      </c>
      <c r="R1244" s="15">
        <f t="shared" si="149"/>
        <v>1237</v>
      </c>
      <c r="S1244" s="126">
        <f>IF(VLOOKUP(A1244,Journal!$A$7:$E$70,5)=0,S1243+1,VLOOKUP(A1244,Journal!$A$7:$E$70,5))</f>
        <v>46894</v>
      </c>
      <c r="T1244" s="125">
        <f>IF(H$2=VLOOKUP(A1244,Journal!$A$7:$F$70,6),VLOOKUP(A1244,Journal!$A$7:M$70,9),0)</f>
        <v>0</v>
      </c>
      <c r="U1244" s="125">
        <f>IF(H$2=VLOOKUP(A1244,Journal!$A$7:$G$70,7),VLOOKUP(A1244,Journal!$A$7:M$70,9),0)</f>
        <v>0</v>
      </c>
      <c r="V1244" s="125">
        <f t="shared" si="145"/>
        <v>40</v>
      </c>
      <c r="X1244">
        <f t="shared" si="150"/>
        <v>0</v>
      </c>
      <c r="Y1244" s="143">
        <f t="shared" si="144"/>
        <v>-967.52631578952537</v>
      </c>
    </row>
    <row r="1245" spans="1:25" x14ac:dyDescent="0.25">
      <c r="A1245">
        <f t="shared" si="146"/>
        <v>1238</v>
      </c>
      <c r="B1245" s="88" t="str">
        <f>IF(OR(B1244="Total",B1244=""),"",IF(VLOOKUP(A1245,Journal!$B$7:$E$84,4)=0,"Total",VLOOKUP(A1245,Journal!$B$7:$D$84,3)))</f>
        <v/>
      </c>
      <c r="C1245" s="86" t="str">
        <f>IF(B1245="","",VLOOKUP(A1245,Journal!$B$7:$E$84,4))</f>
        <v/>
      </c>
      <c r="D1245" s="114" t="str">
        <f>IF(B1245="","",VLOOKUP(A1245,Journal!$B$7:$J$84,9))</f>
        <v/>
      </c>
      <c r="E1245" s="116"/>
      <c r="F1245" s="116"/>
      <c r="G1245" s="115"/>
      <c r="H1245" s="84" t="str">
        <f>IF(B1245="","",VLOOKUP(A1245,Journal!$B$7:$L$84,11))</f>
        <v/>
      </c>
      <c r="I1245" s="84" t="str">
        <f>IF(B1245="","",VLOOKUP(A1245,Journal!$B$7:$M$84,12))</f>
        <v/>
      </c>
      <c r="J1245" s="105">
        <f>IF(B1245="Total",SUM(J$8:J1244)+0.0001,IF(OR(B1245="",I$2=I1245),0,VLOOKUP(A1245,Journal!$B$7:M$84,8)))</f>
        <v>0</v>
      </c>
      <c r="K1245" s="102">
        <f>IF(B1245="Total",SUM(K$8:K1244)+0.0001,IF(OR(B1245="",J1245&lt;&gt;0),0,VLOOKUP(A1245,Journal!$B$7:M$84,8)))</f>
        <v>0</v>
      </c>
      <c r="L1245" s="87">
        <f t="shared" si="147"/>
        <v>0</v>
      </c>
      <c r="P1245">
        <f t="shared" si="148"/>
        <v>1.0000000000000001E-5</v>
      </c>
      <c r="R1245" s="15">
        <f t="shared" si="149"/>
        <v>1238</v>
      </c>
      <c r="S1245" s="126">
        <f>IF(VLOOKUP(A1245,Journal!$A$7:$E$70,5)=0,S1244+1,VLOOKUP(A1245,Journal!$A$7:$E$70,5))</f>
        <v>46895</v>
      </c>
      <c r="T1245" s="125">
        <f>IF(H$2=VLOOKUP(A1245,Journal!$A$7:$F$70,6),VLOOKUP(A1245,Journal!$A$7:M$70,9),0)</f>
        <v>0</v>
      </c>
      <c r="U1245" s="125">
        <f>IF(H$2=VLOOKUP(A1245,Journal!$A$7:$G$70,7),VLOOKUP(A1245,Journal!$A$7:M$70,9),0)</f>
        <v>0</v>
      </c>
      <c r="V1245" s="125">
        <f t="shared" si="145"/>
        <v>40</v>
      </c>
      <c r="X1245">
        <f t="shared" si="150"/>
        <v>0</v>
      </c>
      <c r="Y1245" s="143">
        <f t="shared" si="144"/>
        <v>-967.50000000005173</v>
      </c>
    </row>
    <row r="1246" spans="1:25" x14ac:dyDescent="0.25">
      <c r="A1246">
        <f t="shared" si="146"/>
        <v>1239</v>
      </c>
      <c r="B1246" s="88" t="str">
        <f>IF(OR(B1245="Total",B1245=""),"",IF(VLOOKUP(A1246,Journal!$B$7:$E$84,4)=0,"Total",VLOOKUP(A1246,Journal!$B$7:$D$84,3)))</f>
        <v/>
      </c>
      <c r="C1246" s="86" t="str">
        <f>IF(B1246="","",VLOOKUP(A1246,Journal!$B$7:$E$84,4))</f>
        <v/>
      </c>
      <c r="D1246" s="114" t="str">
        <f>IF(B1246="","",VLOOKUP(A1246,Journal!$B$7:$J$84,9))</f>
        <v/>
      </c>
      <c r="E1246" s="116"/>
      <c r="F1246" s="116"/>
      <c r="G1246" s="115"/>
      <c r="H1246" s="84" t="str">
        <f>IF(B1246="","",VLOOKUP(A1246,Journal!$B$7:$L$84,11))</f>
        <v/>
      </c>
      <c r="I1246" s="84" t="str">
        <f>IF(B1246="","",VLOOKUP(A1246,Journal!$B$7:$M$84,12))</f>
        <v/>
      </c>
      <c r="J1246" s="105">
        <f>IF(B1246="Total",SUM(J$8:J1245)+0.0001,IF(OR(B1246="",I$2=I1246),0,VLOOKUP(A1246,Journal!$B$7:M$84,8)))</f>
        <v>0</v>
      </c>
      <c r="K1246" s="102">
        <f>IF(B1246="Total",SUM(K$8:K1245)+0.0001,IF(OR(B1246="",J1246&lt;&gt;0),0,VLOOKUP(A1246,Journal!$B$7:M$84,8)))</f>
        <v>0</v>
      </c>
      <c r="L1246" s="87">
        <f t="shared" si="147"/>
        <v>0</v>
      </c>
      <c r="P1246">
        <f t="shared" si="148"/>
        <v>1.0000000000000001E-5</v>
      </c>
      <c r="R1246" s="15">
        <f t="shared" si="149"/>
        <v>1239</v>
      </c>
      <c r="S1246" s="126">
        <f>IF(VLOOKUP(A1246,Journal!$A$7:$E$70,5)=0,S1245+1,VLOOKUP(A1246,Journal!$A$7:$E$70,5))</f>
        <v>46896</v>
      </c>
      <c r="T1246" s="125">
        <f>IF(H$2=VLOOKUP(A1246,Journal!$A$7:$F$70,6),VLOOKUP(A1246,Journal!$A$7:M$70,9),0)</f>
        <v>0</v>
      </c>
      <c r="U1246" s="125">
        <f>IF(H$2=VLOOKUP(A1246,Journal!$A$7:$G$70,7),VLOOKUP(A1246,Journal!$A$7:M$70,9),0)</f>
        <v>0</v>
      </c>
      <c r="V1246" s="125">
        <f t="shared" si="145"/>
        <v>40</v>
      </c>
      <c r="X1246">
        <f t="shared" si="150"/>
        <v>0</v>
      </c>
      <c r="Y1246" s="143">
        <f t="shared" si="144"/>
        <v>-967.47368421057809</v>
      </c>
    </row>
    <row r="1247" spans="1:25" x14ac:dyDescent="0.25">
      <c r="A1247">
        <f t="shared" si="146"/>
        <v>1240</v>
      </c>
      <c r="B1247" s="88" t="str">
        <f>IF(OR(B1246="Total",B1246=""),"",IF(VLOOKUP(A1247,Journal!$B$7:$E$84,4)=0,"Total",VLOOKUP(A1247,Journal!$B$7:$D$84,3)))</f>
        <v/>
      </c>
      <c r="C1247" s="86" t="str">
        <f>IF(B1247="","",VLOOKUP(A1247,Journal!$B$7:$E$84,4))</f>
        <v/>
      </c>
      <c r="D1247" s="114" t="str">
        <f>IF(B1247="","",VLOOKUP(A1247,Journal!$B$7:$J$84,9))</f>
        <v/>
      </c>
      <c r="E1247" s="116"/>
      <c r="F1247" s="116"/>
      <c r="G1247" s="115"/>
      <c r="H1247" s="84" t="str">
        <f>IF(B1247="","",VLOOKUP(A1247,Journal!$B$7:$L$84,11))</f>
        <v/>
      </c>
      <c r="I1247" s="84" t="str">
        <f>IF(B1247="","",VLOOKUP(A1247,Journal!$B$7:$M$84,12))</f>
        <v/>
      </c>
      <c r="J1247" s="105">
        <f>IF(B1247="Total",SUM(J$8:J1246)+0.0001,IF(OR(B1247="",I$2=I1247),0,VLOOKUP(A1247,Journal!$B$7:M$84,8)))</f>
        <v>0</v>
      </c>
      <c r="K1247" s="102">
        <f>IF(B1247="Total",SUM(K$8:K1246)+0.0001,IF(OR(B1247="",J1247&lt;&gt;0),0,VLOOKUP(A1247,Journal!$B$7:M$84,8)))</f>
        <v>0</v>
      </c>
      <c r="L1247" s="87">
        <f t="shared" si="147"/>
        <v>0</v>
      </c>
      <c r="P1247">
        <f t="shared" si="148"/>
        <v>1.0000000000000001E-5</v>
      </c>
      <c r="R1247" s="15">
        <f t="shared" si="149"/>
        <v>1240</v>
      </c>
      <c r="S1247" s="126">
        <f>IF(VLOOKUP(A1247,Journal!$A$7:$E$70,5)=0,S1246+1,VLOOKUP(A1247,Journal!$A$7:$E$70,5))</f>
        <v>46897</v>
      </c>
      <c r="T1247" s="125">
        <f>IF(H$2=VLOOKUP(A1247,Journal!$A$7:$F$70,6),VLOOKUP(A1247,Journal!$A$7:M$70,9),0)</f>
        <v>0</v>
      </c>
      <c r="U1247" s="125">
        <f>IF(H$2=VLOOKUP(A1247,Journal!$A$7:$G$70,7),VLOOKUP(A1247,Journal!$A$7:M$70,9),0)</f>
        <v>0</v>
      </c>
      <c r="V1247" s="125">
        <f t="shared" si="145"/>
        <v>40</v>
      </c>
      <c r="X1247">
        <f t="shared" si="150"/>
        <v>0</v>
      </c>
      <c r="Y1247" s="143">
        <f t="shared" si="144"/>
        <v>-967.44736842110444</v>
      </c>
    </row>
    <row r="1248" spans="1:25" x14ac:dyDescent="0.25">
      <c r="A1248">
        <f t="shared" si="146"/>
        <v>1241</v>
      </c>
      <c r="B1248" s="88" t="str">
        <f>IF(OR(B1247="Total",B1247=""),"",IF(VLOOKUP(A1248,Journal!$B$7:$E$84,4)=0,"Total",VLOOKUP(A1248,Journal!$B$7:$D$84,3)))</f>
        <v/>
      </c>
      <c r="C1248" s="86" t="str">
        <f>IF(B1248="","",VLOOKUP(A1248,Journal!$B$7:$E$84,4))</f>
        <v/>
      </c>
      <c r="D1248" s="114" t="str">
        <f>IF(B1248="","",VLOOKUP(A1248,Journal!$B$7:$J$84,9))</f>
        <v/>
      </c>
      <c r="E1248" s="116"/>
      <c r="F1248" s="116"/>
      <c r="G1248" s="115"/>
      <c r="H1248" s="84" t="str">
        <f>IF(B1248="","",VLOOKUP(A1248,Journal!$B$7:$L$84,11))</f>
        <v/>
      </c>
      <c r="I1248" s="84" t="str">
        <f>IF(B1248="","",VLOOKUP(A1248,Journal!$B$7:$M$84,12))</f>
        <v/>
      </c>
      <c r="J1248" s="105">
        <f>IF(B1248="Total",SUM(J$8:J1247)+0.0001,IF(OR(B1248="",I$2=I1248),0,VLOOKUP(A1248,Journal!$B$7:M$84,8)))</f>
        <v>0</v>
      </c>
      <c r="K1248" s="102">
        <f>IF(B1248="Total",SUM(K$8:K1247)+0.0001,IF(OR(B1248="",J1248&lt;&gt;0),0,VLOOKUP(A1248,Journal!$B$7:M$84,8)))</f>
        <v>0</v>
      </c>
      <c r="L1248" s="87">
        <f t="shared" si="147"/>
        <v>0</v>
      </c>
      <c r="P1248">
        <f t="shared" si="148"/>
        <v>1.0000000000000001E-5</v>
      </c>
      <c r="R1248" s="15">
        <f t="shared" si="149"/>
        <v>1241</v>
      </c>
      <c r="S1248" s="126">
        <f>IF(VLOOKUP(A1248,Journal!$A$7:$E$70,5)=0,S1247+1,VLOOKUP(A1248,Journal!$A$7:$E$70,5))</f>
        <v>46898</v>
      </c>
      <c r="T1248" s="125">
        <f>IF(H$2=VLOOKUP(A1248,Journal!$A$7:$F$70,6),VLOOKUP(A1248,Journal!$A$7:M$70,9),0)</f>
        <v>0</v>
      </c>
      <c r="U1248" s="125">
        <f>IF(H$2=VLOOKUP(A1248,Journal!$A$7:$G$70,7),VLOOKUP(A1248,Journal!$A$7:M$70,9),0)</f>
        <v>0</v>
      </c>
      <c r="V1248" s="125">
        <f t="shared" si="145"/>
        <v>40</v>
      </c>
      <c r="X1248">
        <f t="shared" si="150"/>
        <v>0</v>
      </c>
      <c r="Y1248" s="143">
        <f t="shared" si="144"/>
        <v>-967.4210526316308</v>
      </c>
    </row>
    <row r="1249" spans="1:25" x14ac:dyDescent="0.25">
      <c r="A1249">
        <f t="shared" si="146"/>
        <v>1242</v>
      </c>
      <c r="B1249" s="88" t="str">
        <f>IF(OR(B1248="Total",B1248=""),"",IF(VLOOKUP(A1249,Journal!$B$7:$E$84,4)=0,"Total",VLOOKUP(A1249,Journal!$B$7:$D$84,3)))</f>
        <v/>
      </c>
      <c r="C1249" s="86" t="str">
        <f>IF(B1249="","",VLOOKUP(A1249,Journal!$B$7:$E$84,4))</f>
        <v/>
      </c>
      <c r="D1249" s="114" t="str">
        <f>IF(B1249="","",VLOOKUP(A1249,Journal!$B$7:$J$84,9))</f>
        <v/>
      </c>
      <c r="E1249" s="116"/>
      <c r="F1249" s="116"/>
      <c r="G1249" s="115"/>
      <c r="H1249" s="84" t="str">
        <f>IF(B1249="","",VLOOKUP(A1249,Journal!$B$7:$L$84,11))</f>
        <v/>
      </c>
      <c r="I1249" s="84" t="str">
        <f>IF(B1249="","",VLOOKUP(A1249,Journal!$B$7:$M$84,12))</f>
        <v/>
      </c>
      <c r="J1249" s="105">
        <f>IF(B1249="Total",SUM(J$8:J1248)+0.0001,IF(OR(B1249="",I$2=I1249),0,VLOOKUP(A1249,Journal!$B$7:M$84,8)))</f>
        <v>0</v>
      </c>
      <c r="K1249" s="102">
        <f>IF(B1249="Total",SUM(K$8:K1248)+0.0001,IF(OR(B1249="",J1249&lt;&gt;0),0,VLOOKUP(A1249,Journal!$B$7:M$84,8)))</f>
        <v>0</v>
      </c>
      <c r="L1249" s="87">
        <f t="shared" si="147"/>
        <v>0</v>
      </c>
      <c r="P1249">
        <f t="shared" si="148"/>
        <v>1.0000000000000001E-5</v>
      </c>
      <c r="R1249" s="15">
        <f t="shared" si="149"/>
        <v>1242</v>
      </c>
      <c r="S1249" s="126">
        <f>IF(VLOOKUP(A1249,Journal!$A$7:$E$70,5)=0,S1248+1,VLOOKUP(A1249,Journal!$A$7:$E$70,5))</f>
        <v>46899</v>
      </c>
      <c r="T1249" s="125">
        <f>IF(H$2=VLOOKUP(A1249,Journal!$A$7:$F$70,6),VLOOKUP(A1249,Journal!$A$7:M$70,9),0)</f>
        <v>0</v>
      </c>
      <c r="U1249" s="125">
        <f>IF(H$2=VLOOKUP(A1249,Journal!$A$7:$G$70,7),VLOOKUP(A1249,Journal!$A$7:M$70,9),0)</f>
        <v>0</v>
      </c>
      <c r="V1249" s="125">
        <f t="shared" si="145"/>
        <v>40</v>
      </c>
      <c r="X1249">
        <f t="shared" si="150"/>
        <v>0</v>
      </c>
      <c r="Y1249" s="143">
        <f t="shared" si="144"/>
        <v>-967.39473684215716</v>
      </c>
    </row>
    <row r="1250" spans="1:25" x14ac:dyDescent="0.25">
      <c r="A1250">
        <f t="shared" si="146"/>
        <v>1243</v>
      </c>
      <c r="B1250" s="88" t="str">
        <f>IF(OR(B1249="Total",B1249=""),"",IF(VLOOKUP(A1250,Journal!$B$7:$E$84,4)=0,"Total",VLOOKUP(A1250,Journal!$B$7:$D$84,3)))</f>
        <v/>
      </c>
      <c r="C1250" s="86" t="str">
        <f>IF(B1250="","",VLOOKUP(A1250,Journal!$B$7:$E$84,4))</f>
        <v/>
      </c>
      <c r="D1250" s="114" t="str">
        <f>IF(B1250="","",VLOOKUP(A1250,Journal!$B$7:$J$84,9))</f>
        <v/>
      </c>
      <c r="E1250" s="116"/>
      <c r="F1250" s="116"/>
      <c r="G1250" s="115"/>
      <c r="H1250" s="84" t="str">
        <f>IF(B1250="","",VLOOKUP(A1250,Journal!$B$7:$L$84,11))</f>
        <v/>
      </c>
      <c r="I1250" s="84" t="str">
        <f>IF(B1250="","",VLOOKUP(A1250,Journal!$B$7:$M$84,12))</f>
        <v/>
      </c>
      <c r="J1250" s="105">
        <f>IF(B1250="Total",SUM(J$8:J1249)+0.0001,IF(OR(B1250="",I$2=I1250),0,VLOOKUP(A1250,Journal!$B$7:M$84,8)))</f>
        <v>0</v>
      </c>
      <c r="K1250" s="102">
        <f>IF(B1250="Total",SUM(K$8:K1249)+0.0001,IF(OR(B1250="",J1250&lt;&gt;0),0,VLOOKUP(A1250,Journal!$B$7:M$84,8)))</f>
        <v>0</v>
      </c>
      <c r="L1250" s="87">
        <f t="shared" si="147"/>
        <v>0</v>
      </c>
      <c r="P1250">
        <f t="shared" si="148"/>
        <v>1.0000000000000001E-5</v>
      </c>
      <c r="R1250" s="15">
        <f t="shared" si="149"/>
        <v>1243</v>
      </c>
      <c r="S1250" s="126">
        <f>IF(VLOOKUP(A1250,Journal!$A$7:$E$70,5)=0,S1249+1,VLOOKUP(A1250,Journal!$A$7:$E$70,5))</f>
        <v>46900</v>
      </c>
      <c r="T1250" s="125">
        <f>IF(H$2=VLOOKUP(A1250,Journal!$A$7:$F$70,6),VLOOKUP(A1250,Journal!$A$7:M$70,9),0)</f>
        <v>0</v>
      </c>
      <c r="U1250" s="125">
        <f>IF(H$2=VLOOKUP(A1250,Journal!$A$7:$G$70,7),VLOOKUP(A1250,Journal!$A$7:M$70,9),0)</f>
        <v>0</v>
      </c>
      <c r="V1250" s="125">
        <f t="shared" si="145"/>
        <v>40</v>
      </c>
      <c r="X1250">
        <f t="shared" si="150"/>
        <v>0</v>
      </c>
      <c r="Y1250" s="143">
        <f t="shared" si="144"/>
        <v>-967.36842105268352</v>
      </c>
    </row>
    <row r="1251" spans="1:25" x14ac:dyDescent="0.25">
      <c r="A1251">
        <f t="shared" si="146"/>
        <v>1244</v>
      </c>
      <c r="B1251" s="88" t="str">
        <f>IF(OR(B1250="Total",B1250=""),"",IF(VLOOKUP(A1251,Journal!$B$7:$E$84,4)=0,"Total",VLOOKUP(A1251,Journal!$B$7:$D$84,3)))</f>
        <v/>
      </c>
      <c r="C1251" s="86" t="str">
        <f>IF(B1251="","",VLOOKUP(A1251,Journal!$B$7:$E$84,4))</f>
        <v/>
      </c>
      <c r="D1251" s="114" t="str">
        <f>IF(B1251="","",VLOOKUP(A1251,Journal!$B$7:$J$84,9))</f>
        <v/>
      </c>
      <c r="E1251" s="116"/>
      <c r="F1251" s="116"/>
      <c r="G1251" s="115"/>
      <c r="H1251" s="84" t="str">
        <f>IF(B1251="","",VLOOKUP(A1251,Journal!$B$7:$L$84,11))</f>
        <v/>
      </c>
      <c r="I1251" s="84" t="str">
        <f>IF(B1251="","",VLOOKUP(A1251,Journal!$B$7:$M$84,12))</f>
        <v/>
      </c>
      <c r="J1251" s="105">
        <f>IF(B1251="Total",SUM(J$8:J1250)+0.0001,IF(OR(B1251="",I$2=I1251),0,VLOOKUP(A1251,Journal!$B$7:M$84,8)))</f>
        <v>0</v>
      </c>
      <c r="K1251" s="102">
        <f>IF(B1251="Total",SUM(K$8:K1250)+0.0001,IF(OR(B1251="",J1251&lt;&gt;0),0,VLOOKUP(A1251,Journal!$B$7:M$84,8)))</f>
        <v>0</v>
      </c>
      <c r="L1251" s="87">
        <f t="shared" si="147"/>
        <v>0</v>
      </c>
      <c r="P1251">
        <f t="shared" si="148"/>
        <v>1.0000000000000001E-5</v>
      </c>
      <c r="R1251" s="15">
        <f t="shared" si="149"/>
        <v>1244</v>
      </c>
      <c r="S1251" s="126">
        <f>IF(VLOOKUP(A1251,Journal!$A$7:$E$70,5)=0,S1250+1,VLOOKUP(A1251,Journal!$A$7:$E$70,5))</f>
        <v>46901</v>
      </c>
      <c r="T1251" s="125">
        <f>IF(H$2=VLOOKUP(A1251,Journal!$A$7:$F$70,6),VLOOKUP(A1251,Journal!$A$7:M$70,9),0)</f>
        <v>0</v>
      </c>
      <c r="U1251" s="125">
        <f>IF(H$2=VLOOKUP(A1251,Journal!$A$7:$G$70,7),VLOOKUP(A1251,Journal!$A$7:M$70,9),0)</f>
        <v>0</v>
      </c>
      <c r="V1251" s="125">
        <f t="shared" si="145"/>
        <v>40</v>
      </c>
      <c r="X1251">
        <f t="shared" si="150"/>
        <v>0</v>
      </c>
      <c r="Y1251" s="143">
        <f t="shared" si="144"/>
        <v>-967.34210526320987</v>
      </c>
    </row>
    <row r="1252" spans="1:25" x14ac:dyDescent="0.25">
      <c r="A1252">
        <f t="shared" si="146"/>
        <v>1245</v>
      </c>
      <c r="B1252" s="88" t="str">
        <f>IF(OR(B1251="Total",B1251=""),"",IF(VLOOKUP(A1252,Journal!$B$7:$E$84,4)=0,"Total",VLOOKUP(A1252,Journal!$B$7:$D$84,3)))</f>
        <v/>
      </c>
      <c r="C1252" s="86" t="str">
        <f>IF(B1252="","",VLOOKUP(A1252,Journal!$B$7:$E$84,4))</f>
        <v/>
      </c>
      <c r="D1252" s="114" t="str">
        <f>IF(B1252="","",VLOOKUP(A1252,Journal!$B$7:$J$84,9))</f>
        <v/>
      </c>
      <c r="E1252" s="116"/>
      <c r="F1252" s="116"/>
      <c r="G1252" s="115"/>
      <c r="H1252" s="84" t="str">
        <f>IF(B1252="","",VLOOKUP(A1252,Journal!$B$7:$L$84,11))</f>
        <v/>
      </c>
      <c r="I1252" s="84" t="str">
        <f>IF(B1252="","",VLOOKUP(A1252,Journal!$B$7:$M$84,12))</f>
        <v/>
      </c>
      <c r="J1252" s="105">
        <f>IF(B1252="Total",SUM(J$8:J1251)+0.0001,IF(OR(B1252="",I$2=I1252),0,VLOOKUP(A1252,Journal!$B$7:M$84,8)))</f>
        <v>0</v>
      </c>
      <c r="K1252" s="102">
        <f>IF(B1252="Total",SUM(K$8:K1251)+0.0001,IF(OR(B1252="",J1252&lt;&gt;0),0,VLOOKUP(A1252,Journal!$B$7:M$84,8)))</f>
        <v>0</v>
      </c>
      <c r="L1252" s="87">
        <f t="shared" si="147"/>
        <v>0</v>
      </c>
      <c r="P1252">
        <f t="shared" si="148"/>
        <v>1.0000000000000001E-5</v>
      </c>
      <c r="R1252" s="15">
        <f t="shared" si="149"/>
        <v>1245</v>
      </c>
      <c r="S1252" s="126">
        <f>IF(VLOOKUP(A1252,Journal!$A$7:$E$70,5)=0,S1251+1,VLOOKUP(A1252,Journal!$A$7:$E$70,5))</f>
        <v>46902</v>
      </c>
      <c r="T1252" s="125">
        <f>IF(H$2=VLOOKUP(A1252,Journal!$A$7:$F$70,6),VLOOKUP(A1252,Journal!$A$7:M$70,9),0)</f>
        <v>0</v>
      </c>
      <c r="U1252" s="125">
        <f>IF(H$2=VLOOKUP(A1252,Journal!$A$7:$G$70,7),VLOOKUP(A1252,Journal!$A$7:M$70,9),0)</f>
        <v>0</v>
      </c>
      <c r="V1252" s="125">
        <f t="shared" si="145"/>
        <v>40</v>
      </c>
      <c r="X1252">
        <f t="shared" si="150"/>
        <v>0</v>
      </c>
      <c r="Y1252" s="143">
        <f t="shared" si="144"/>
        <v>-967.31578947373623</v>
      </c>
    </row>
    <row r="1253" spans="1:25" x14ac:dyDescent="0.25">
      <c r="A1253">
        <f t="shared" si="146"/>
        <v>1246</v>
      </c>
      <c r="B1253" s="88" t="str">
        <f>IF(OR(B1252="Total",B1252=""),"",IF(VLOOKUP(A1253,Journal!$B$7:$E$84,4)=0,"Total",VLOOKUP(A1253,Journal!$B$7:$D$84,3)))</f>
        <v/>
      </c>
      <c r="C1253" s="86" t="str">
        <f>IF(B1253="","",VLOOKUP(A1253,Journal!$B$7:$E$84,4))</f>
        <v/>
      </c>
      <c r="D1253" s="114" t="str">
        <f>IF(B1253="","",VLOOKUP(A1253,Journal!$B$7:$J$84,9))</f>
        <v/>
      </c>
      <c r="E1253" s="116"/>
      <c r="F1253" s="116"/>
      <c r="G1253" s="115"/>
      <c r="H1253" s="84" t="str">
        <f>IF(B1253="","",VLOOKUP(A1253,Journal!$B$7:$L$84,11))</f>
        <v/>
      </c>
      <c r="I1253" s="84" t="str">
        <f>IF(B1253="","",VLOOKUP(A1253,Journal!$B$7:$M$84,12))</f>
        <v/>
      </c>
      <c r="J1253" s="105">
        <f>IF(B1253="Total",SUM(J$8:J1252)+0.0001,IF(OR(B1253="",I$2=I1253),0,VLOOKUP(A1253,Journal!$B$7:M$84,8)))</f>
        <v>0</v>
      </c>
      <c r="K1253" s="102">
        <f>IF(B1253="Total",SUM(K$8:K1252)+0.0001,IF(OR(B1253="",J1253&lt;&gt;0),0,VLOOKUP(A1253,Journal!$B$7:M$84,8)))</f>
        <v>0</v>
      </c>
      <c r="L1253" s="87">
        <f t="shared" si="147"/>
        <v>0</v>
      </c>
      <c r="P1253">
        <f t="shared" si="148"/>
        <v>1.0000000000000001E-5</v>
      </c>
      <c r="R1253" s="15">
        <f t="shared" si="149"/>
        <v>1246</v>
      </c>
      <c r="S1253" s="126">
        <f>IF(VLOOKUP(A1253,Journal!$A$7:$E$70,5)=0,S1252+1,VLOOKUP(A1253,Journal!$A$7:$E$70,5))</f>
        <v>46903</v>
      </c>
      <c r="T1253" s="125">
        <f>IF(H$2=VLOOKUP(A1253,Journal!$A$7:$F$70,6),VLOOKUP(A1253,Journal!$A$7:M$70,9),0)</f>
        <v>0</v>
      </c>
      <c r="U1253" s="125">
        <f>IF(H$2=VLOOKUP(A1253,Journal!$A$7:$G$70,7),VLOOKUP(A1253,Journal!$A$7:M$70,9),0)</f>
        <v>0</v>
      </c>
      <c r="V1253" s="125">
        <f t="shared" si="145"/>
        <v>40</v>
      </c>
      <c r="X1253">
        <f t="shared" si="150"/>
        <v>0</v>
      </c>
      <c r="Y1253" s="143">
        <f t="shared" si="144"/>
        <v>-967.28947368426259</v>
      </c>
    </row>
    <row r="1254" spans="1:25" x14ac:dyDescent="0.25">
      <c r="A1254">
        <f t="shared" si="146"/>
        <v>1247</v>
      </c>
      <c r="B1254" s="88" t="str">
        <f>IF(OR(B1253="Total",B1253=""),"",IF(VLOOKUP(A1254,Journal!$B$7:$E$84,4)=0,"Total",VLOOKUP(A1254,Journal!$B$7:$D$84,3)))</f>
        <v/>
      </c>
      <c r="C1254" s="86" t="str">
        <f>IF(B1254="","",VLOOKUP(A1254,Journal!$B$7:$E$84,4))</f>
        <v/>
      </c>
      <c r="D1254" s="114" t="str">
        <f>IF(B1254="","",VLOOKUP(A1254,Journal!$B$7:$J$84,9))</f>
        <v/>
      </c>
      <c r="E1254" s="116"/>
      <c r="F1254" s="116"/>
      <c r="G1254" s="115"/>
      <c r="H1254" s="84" t="str">
        <f>IF(B1254="","",VLOOKUP(A1254,Journal!$B$7:$L$84,11))</f>
        <v/>
      </c>
      <c r="I1254" s="84" t="str">
        <f>IF(B1254="","",VLOOKUP(A1254,Journal!$B$7:$M$84,12))</f>
        <v/>
      </c>
      <c r="J1254" s="105">
        <f>IF(B1254="Total",SUM(J$8:J1253)+0.0001,IF(OR(B1254="",I$2=I1254),0,VLOOKUP(A1254,Journal!$B$7:M$84,8)))</f>
        <v>0</v>
      </c>
      <c r="K1254" s="102">
        <f>IF(B1254="Total",SUM(K$8:K1253)+0.0001,IF(OR(B1254="",J1254&lt;&gt;0),0,VLOOKUP(A1254,Journal!$B$7:M$84,8)))</f>
        <v>0</v>
      </c>
      <c r="L1254" s="87">
        <f t="shared" si="147"/>
        <v>0</v>
      </c>
      <c r="P1254">
        <f t="shared" si="148"/>
        <v>1.0000000000000001E-5</v>
      </c>
      <c r="R1254" s="15">
        <f t="shared" si="149"/>
        <v>1247</v>
      </c>
      <c r="S1254" s="126">
        <f>IF(VLOOKUP(A1254,Journal!$A$7:$E$70,5)=0,S1253+1,VLOOKUP(A1254,Journal!$A$7:$E$70,5))</f>
        <v>46904</v>
      </c>
      <c r="T1254" s="125">
        <f>IF(H$2=VLOOKUP(A1254,Journal!$A$7:$F$70,6),VLOOKUP(A1254,Journal!$A$7:M$70,9),0)</f>
        <v>0</v>
      </c>
      <c r="U1254" s="125">
        <f>IF(H$2=VLOOKUP(A1254,Journal!$A$7:$G$70,7),VLOOKUP(A1254,Journal!$A$7:M$70,9),0)</f>
        <v>0</v>
      </c>
      <c r="V1254" s="125">
        <f t="shared" si="145"/>
        <v>40</v>
      </c>
      <c r="X1254">
        <f t="shared" si="150"/>
        <v>0</v>
      </c>
      <c r="Y1254" s="143">
        <f t="shared" si="144"/>
        <v>-967.26315789478895</v>
      </c>
    </row>
    <row r="1255" spans="1:25" x14ac:dyDescent="0.25">
      <c r="A1255">
        <f t="shared" si="146"/>
        <v>1248</v>
      </c>
      <c r="B1255" s="88" t="str">
        <f>IF(OR(B1254="Total",B1254=""),"",IF(VLOOKUP(A1255,Journal!$B$7:$E$84,4)=0,"Total",VLOOKUP(A1255,Journal!$B$7:$D$84,3)))</f>
        <v/>
      </c>
      <c r="C1255" s="86" t="str">
        <f>IF(B1255="","",VLOOKUP(A1255,Journal!$B$7:$E$84,4))</f>
        <v/>
      </c>
      <c r="D1255" s="114" t="str">
        <f>IF(B1255="","",VLOOKUP(A1255,Journal!$B$7:$J$84,9))</f>
        <v/>
      </c>
      <c r="E1255" s="116"/>
      <c r="F1255" s="116"/>
      <c r="G1255" s="115"/>
      <c r="H1255" s="84" t="str">
        <f>IF(B1255="","",VLOOKUP(A1255,Journal!$B$7:$L$84,11))</f>
        <v/>
      </c>
      <c r="I1255" s="84" t="str">
        <f>IF(B1255="","",VLOOKUP(A1255,Journal!$B$7:$M$84,12))</f>
        <v/>
      </c>
      <c r="J1255" s="105">
        <f>IF(B1255="Total",SUM(J$8:J1254)+0.0001,IF(OR(B1255="",I$2=I1255),0,VLOOKUP(A1255,Journal!$B$7:M$84,8)))</f>
        <v>0</v>
      </c>
      <c r="K1255" s="102">
        <f>IF(B1255="Total",SUM(K$8:K1254)+0.0001,IF(OR(B1255="",J1255&lt;&gt;0),0,VLOOKUP(A1255,Journal!$B$7:M$84,8)))</f>
        <v>0</v>
      </c>
      <c r="L1255" s="87">
        <f t="shared" si="147"/>
        <v>0</v>
      </c>
      <c r="P1255">
        <f t="shared" si="148"/>
        <v>1.0000000000000001E-5</v>
      </c>
      <c r="R1255" s="15">
        <f t="shared" si="149"/>
        <v>1248</v>
      </c>
      <c r="S1255" s="126">
        <f>IF(VLOOKUP(A1255,Journal!$A$7:$E$70,5)=0,S1254+1,VLOOKUP(A1255,Journal!$A$7:$E$70,5))</f>
        <v>46905</v>
      </c>
      <c r="T1255" s="125">
        <f>IF(H$2=VLOOKUP(A1255,Journal!$A$7:$F$70,6),VLOOKUP(A1255,Journal!$A$7:M$70,9),0)</f>
        <v>0</v>
      </c>
      <c r="U1255" s="125">
        <f>IF(H$2=VLOOKUP(A1255,Journal!$A$7:$G$70,7),VLOOKUP(A1255,Journal!$A$7:M$70,9),0)</f>
        <v>0</v>
      </c>
      <c r="V1255" s="125">
        <f t="shared" si="145"/>
        <v>40</v>
      </c>
      <c r="X1255">
        <f t="shared" si="150"/>
        <v>0</v>
      </c>
      <c r="Y1255" s="143">
        <f t="shared" si="144"/>
        <v>-967.2368421053153</v>
      </c>
    </row>
    <row r="1256" spans="1:25" x14ac:dyDescent="0.25">
      <c r="A1256">
        <f t="shared" si="146"/>
        <v>1249</v>
      </c>
      <c r="B1256" s="88" t="str">
        <f>IF(OR(B1255="Total",B1255=""),"",IF(VLOOKUP(A1256,Journal!$B$7:$E$84,4)=0,"Total",VLOOKUP(A1256,Journal!$B$7:$D$84,3)))</f>
        <v/>
      </c>
      <c r="C1256" s="86" t="str">
        <f>IF(B1256="","",VLOOKUP(A1256,Journal!$B$7:$E$84,4))</f>
        <v/>
      </c>
      <c r="D1256" s="114" t="str">
        <f>IF(B1256="","",VLOOKUP(A1256,Journal!$B$7:$J$84,9))</f>
        <v/>
      </c>
      <c r="E1256" s="116"/>
      <c r="F1256" s="116"/>
      <c r="G1256" s="115"/>
      <c r="H1256" s="84" t="str">
        <f>IF(B1256="","",VLOOKUP(A1256,Journal!$B$7:$L$84,11))</f>
        <v/>
      </c>
      <c r="I1256" s="84" t="str">
        <f>IF(B1256="","",VLOOKUP(A1256,Journal!$B$7:$M$84,12))</f>
        <v/>
      </c>
      <c r="J1256" s="105">
        <f>IF(B1256="Total",SUM(J$8:J1255)+0.0001,IF(OR(B1256="",I$2=I1256),0,VLOOKUP(A1256,Journal!$B$7:M$84,8)))</f>
        <v>0</v>
      </c>
      <c r="K1256" s="102">
        <f>IF(B1256="Total",SUM(K$8:K1255)+0.0001,IF(OR(B1256="",J1256&lt;&gt;0),0,VLOOKUP(A1256,Journal!$B$7:M$84,8)))</f>
        <v>0</v>
      </c>
      <c r="L1256" s="87">
        <f t="shared" si="147"/>
        <v>0</v>
      </c>
      <c r="P1256">
        <f t="shared" si="148"/>
        <v>1.0000000000000001E-5</v>
      </c>
      <c r="R1256" s="15">
        <f t="shared" si="149"/>
        <v>1249</v>
      </c>
      <c r="S1256" s="126">
        <f>IF(VLOOKUP(A1256,Journal!$A$7:$E$70,5)=0,S1255+1,VLOOKUP(A1256,Journal!$A$7:$E$70,5))</f>
        <v>46906</v>
      </c>
      <c r="T1256" s="125">
        <f>IF(H$2=VLOOKUP(A1256,Journal!$A$7:$F$70,6),VLOOKUP(A1256,Journal!$A$7:M$70,9),0)</f>
        <v>0</v>
      </c>
      <c r="U1256" s="125">
        <f>IF(H$2=VLOOKUP(A1256,Journal!$A$7:$G$70,7),VLOOKUP(A1256,Journal!$A$7:M$70,9),0)</f>
        <v>0</v>
      </c>
      <c r="V1256" s="125">
        <f t="shared" si="145"/>
        <v>40</v>
      </c>
      <c r="X1256">
        <f t="shared" si="150"/>
        <v>0</v>
      </c>
      <c r="Y1256" s="143">
        <f t="shared" si="144"/>
        <v>-967.21052631584166</v>
      </c>
    </row>
    <row r="1257" spans="1:25" x14ac:dyDescent="0.25">
      <c r="A1257">
        <f t="shared" si="146"/>
        <v>1250</v>
      </c>
      <c r="B1257" s="88" t="str">
        <f>IF(OR(B1256="Total",B1256=""),"",IF(VLOOKUP(A1257,Journal!$B$7:$E$84,4)=0,"Total",VLOOKUP(A1257,Journal!$B$7:$D$84,3)))</f>
        <v/>
      </c>
      <c r="C1257" s="86" t="str">
        <f>IF(B1257="","",VLOOKUP(A1257,Journal!$B$7:$E$84,4))</f>
        <v/>
      </c>
      <c r="D1257" s="114" t="str">
        <f>IF(B1257="","",VLOOKUP(A1257,Journal!$B$7:$J$84,9))</f>
        <v/>
      </c>
      <c r="E1257" s="116"/>
      <c r="F1257" s="116"/>
      <c r="G1257" s="115"/>
      <c r="H1257" s="84" t="str">
        <f>IF(B1257="","",VLOOKUP(A1257,Journal!$B$7:$L$84,11))</f>
        <v/>
      </c>
      <c r="I1257" s="84" t="str">
        <f>IF(B1257="","",VLOOKUP(A1257,Journal!$B$7:$M$84,12))</f>
        <v/>
      </c>
      <c r="J1257" s="105">
        <f>IF(B1257="Total",SUM(J$8:J1256)+0.0001,IF(OR(B1257="",I$2=I1257),0,VLOOKUP(A1257,Journal!$B$7:M$84,8)))</f>
        <v>0</v>
      </c>
      <c r="K1257" s="102">
        <f>IF(B1257="Total",SUM(K$8:K1256)+0.0001,IF(OR(B1257="",J1257&lt;&gt;0),0,VLOOKUP(A1257,Journal!$B$7:M$84,8)))</f>
        <v>0</v>
      </c>
      <c r="L1257" s="87">
        <f t="shared" si="147"/>
        <v>0</v>
      </c>
      <c r="P1257">
        <f t="shared" si="148"/>
        <v>1.0000000000000001E-5</v>
      </c>
      <c r="R1257" s="15">
        <f t="shared" si="149"/>
        <v>1250</v>
      </c>
      <c r="S1257" s="126">
        <f>IF(VLOOKUP(A1257,Journal!$A$7:$E$70,5)=0,S1256+1,VLOOKUP(A1257,Journal!$A$7:$E$70,5))</f>
        <v>46907</v>
      </c>
      <c r="T1257" s="125">
        <f>IF(H$2=VLOOKUP(A1257,Journal!$A$7:$F$70,6),VLOOKUP(A1257,Journal!$A$7:M$70,9),0)</f>
        <v>0</v>
      </c>
      <c r="U1257" s="125">
        <f>IF(H$2=VLOOKUP(A1257,Journal!$A$7:$G$70,7),VLOOKUP(A1257,Journal!$A$7:M$70,9),0)</f>
        <v>0</v>
      </c>
      <c r="V1257" s="125">
        <f t="shared" si="145"/>
        <v>40</v>
      </c>
      <c r="X1257">
        <f t="shared" si="150"/>
        <v>0</v>
      </c>
      <c r="Y1257" s="143">
        <f t="shared" si="144"/>
        <v>-967.18421052636802</v>
      </c>
    </row>
    <row r="1258" spans="1:25" x14ac:dyDescent="0.25">
      <c r="A1258">
        <f t="shared" si="146"/>
        <v>1251</v>
      </c>
      <c r="B1258" s="88" t="str">
        <f>IF(OR(B1257="Total",B1257=""),"",IF(VLOOKUP(A1258,Journal!$B$7:$E$84,4)=0,"Total",VLOOKUP(A1258,Journal!$B$7:$D$84,3)))</f>
        <v/>
      </c>
      <c r="C1258" s="86" t="str">
        <f>IF(B1258="","",VLOOKUP(A1258,Journal!$B$7:$E$84,4))</f>
        <v/>
      </c>
      <c r="D1258" s="114" t="str">
        <f>IF(B1258="","",VLOOKUP(A1258,Journal!$B$7:$J$84,9))</f>
        <v/>
      </c>
      <c r="E1258" s="116"/>
      <c r="F1258" s="116"/>
      <c r="G1258" s="115"/>
      <c r="H1258" s="84" t="str">
        <f>IF(B1258="","",VLOOKUP(A1258,Journal!$B$7:$L$84,11))</f>
        <v/>
      </c>
      <c r="I1258" s="84" t="str">
        <f>IF(B1258="","",VLOOKUP(A1258,Journal!$B$7:$M$84,12))</f>
        <v/>
      </c>
      <c r="J1258" s="105">
        <f>IF(B1258="Total",SUM(J$8:J1257)+0.0001,IF(OR(B1258="",I$2=I1258),0,VLOOKUP(A1258,Journal!$B$7:M$84,8)))</f>
        <v>0</v>
      </c>
      <c r="K1258" s="102">
        <f>IF(B1258="Total",SUM(K$8:K1257)+0.0001,IF(OR(B1258="",J1258&lt;&gt;0),0,VLOOKUP(A1258,Journal!$B$7:M$84,8)))</f>
        <v>0</v>
      </c>
      <c r="L1258" s="87">
        <f t="shared" si="147"/>
        <v>0</v>
      </c>
      <c r="P1258">
        <f t="shared" si="148"/>
        <v>1.0000000000000001E-5</v>
      </c>
      <c r="R1258" s="15">
        <f t="shared" si="149"/>
        <v>1251</v>
      </c>
      <c r="S1258" s="126">
        <f>IF(VLOOKUP(A1258,Journal!$A$7:$E$70,5)=0,S1257+1,VLOOKUP(A1258,Journal!$A$7:$E$70,5))</f>
        <v>46908</v>
      </c>
      <c r="T1258" s="125">
        <f>IF(H$2=VLOOKUP(A1258,Journal!$A$7:$F$70,6),VLOOKUP(A1258,Journal!$A$7:M$70,9),0)</f>
        <v>0</v>
      </c>
      <c r="U1258" s="125">
        <f>IF(H$2=VLOOKUP(A1258,Journal!$A$7:$G$70,7),VLOOKUP(A1258,Journal!$A$7:M$70,9),0)</f>
        <v>0</v>
      </c>
      <c r="V1258" s="125">
        <f t="shared" si="145"/>
        <v>40</v>
      </c>
      <c r="X1258">
        <f t="shared" si="150"/>
        <v>0</v>
      </c>
      <c r="Y1258" s="143">
        <f t="shared" si="144"/>
        <v>-967.15789473689438</v>
      </c>
    </row>
    <row r="1259" spans="1:25" x14ac:dyDescent="0.25">
      <c r="A1259">
        <f t="shared" si="146"/>
        <v>1252</v>
      </c>
      <c r="B1259" s="88" t="str">
        <f>IF(OR(B1258="Total",B1258=""),"",IF(VLOOKUP(A1259,Journal!$B$7:$E$84,4)=0,"Total",VLOOKUP(A1259,Journal!$B$7:$D$84,3)))</f>
        <v/>
      </c>
      <c r="C1259" s="86" t="str">
        <f>IF(B1259="","",VLOOKUP(A1259,Journal!$B$7:$E$84,4))</f>
        <v/>
      </c>
      <c r="D1259" s="114" t="str">
        <f>IF(B1259="","",VLOOKUP(A1259,Journal!$B$7:$J$84,9))</f>
        <v/>
      </c>
      <c r="E1259" s="116"/>
      <c r="F1259" s="116"/>
      <c r="G1259" s="115"/>
      <c r="H1259" s="84" t="str">
        <f>IF(B1259="","",VLOOKUP(A1259,Journal!$B$7:$L$84,11))</f>
        <v/>
      </c>
      <c r="I1259" s="84" t="str">
        <f>IF(B1259="","",VLOOKUP(A1259,Journal!$B$7:$M$84,12))</f>
        <v/>
      </c>
      <c r="J1259" s="105">
        <f>IF(B1259="Total",SUM(J$8:J1258)+0.0001,IF(OR(B1259="",I$2=I1259),0,VLOOKUP(A1259,Journal!$B$7:M$84,8)))</f>
        <v>0</v>
      </c>
      <c r="K1259" s="102">
        <f>IF(B1259="Total",SUM(K$8:K1258)+0.0001,IF(OR(B1259="",J1259&lt;&gt;0),0,VLOOKUP(A1259,Journal!$B$7:M$84,8)))</f>
        <v>0</v>
      </c>
      <c r="L1259" s="87">
        <f t="shared" si="147"/>
        <v>0</v>
      </c>
      <c r="P1259">
        <f t="shared" si="148"/>
        <v>1.0000000000000001E-5</v>
      </c>
      <c r="R1259" s="15">
        <f t="shared" si="149"/>
        <v>1252</v>
      </c>
      <c r="S1259" s="126">
        <f>IF(VLOOKUP(A1259,Journal!$A$7:$E$70,5)=0,S1258+1,VLOOKUP(A1259,Journal!$A$7:$E$70,5))</f>
        <v>46909</v>
      </c>
      <c r="T1259" s="125">
        <f>IF(H$2=VLOOKUP(A1259,Journal!$A$7:$F$70,6),VLOOKUP(A1259,Journal!$A$7:M$70,9),0)</f>
        <v>0</v>
      </c>
      <c r="U1259" s="125">
        <f>IF(H$2=VLOOKUP(A1259,Journal!$A$7:$G$70,7),VLOOKUP(A1259,Journal!$A$7:M$70,9),0)</f>
        <v>0</v>
      </c>
      <c r="V1259" s="125">
        <f t="shared" si="145"/>
        <v>40</v>
      </c>
      <c r="X1259">
        <f t="shared" si="150"/>
        <v>0</v>
      </c>
      <c r="Y1259" s="143">
        <f t="shared" si="144"/>
        <v>-967.13157894742073</v>
      </c>
    </row>
    <row r="1260" spans="1:25" x14ac:dyDescent="0.25">
      <c r="A1260">
        <f t="shared" si="146"/>
        <v>1253</v>
      </c>
      <c r="B1260" s="88" t="str">
        <f>IF(OR(B1259="Total",B1259=""),"",IF(VLOOKUP(A1260,Journal!$B$7:$E$84,4)=0,"Total",VLOOKUP(A1260,Journal!$B$7:$D$84,3)))</f>
        <v/>
      </c>
      <c r="C1260" s="86" t="str">
        <f>IF(B1260="","",VLOOKUP(A1260,Journal!$B$7:$E$84,4))</f>
        <v/>
      </c>
      <c r="D1260" s="114" t="str">
        <f>IF(B1260="","",VLOOKUP(A1260,Journal!$B$7:$J$84,9))</f>
        <v/>
      </c>
      <c r="E1260" s="116"/>
      <c r="F1260" s="116"/>
      <c r="G1260" s="115"/>
      <c r="H1260" s="84" t="str">
        <f>IF(B1260="","",VLOOKUP(A1260,Journal!$B$7:$L$84,11))</f>
        <v/>
      </c>
      <c r="I1260" s="84" t="str">
        <f>IF(B1260="","",VLOOKUP(A1260,Journal!$B$7:$M$84,12))</f>
        <v/>
      </c>
      <c r="J1260" s="105">
        <f>IF(B1260="Total",SUM(J$8:J1259)+0.0001,IF(OR(B1260="",I$2=I1260),0,VLOOKUP(A1260,Journal!$B$7:M$84,8)))</f>
        <v>0</v>
      </c>
      <c r="K1260" s="102">
        <f>IF(B1260="Total",SUM(K$8:K1259)+0.0001,IF(OR(B1260="",J1260&lt;&gt;0),0,VLOOKUP(A1260,Journal!$B$7:M$84,8)))</f>
        <v>0</v>
      </c>
      <c r="L1260" s="87">
        <f t="shared" si="147"/>
        <v>0</v>
      </c>
      <c r="P1260">
        <f t="shared" si="148"/>
        <v>1.0000000000000001E-5</v>
      </c>
      <c r="R1260" s="15">
        <f t="shared" si="149"/>
        <v>1253</v>
      </c>
      <c r="S1260" s="126">
        <f>IF(VLOOKUP(A1260,Journal!$A$7:$E$70,5)=0,S1259+1,VLOOKUP(A1260,Journal!$A$7:$E$70,5))</f>
        <v>46910</v>
      </c>
      <c r="T1260" s="125">
        <f>IF(H$2=VLOOKUP(A1260,Journal!$A$7:$F$70,6),VLOOKUP(A1260,Journal!$A$7:M$70,9),0)</f>
        <v>0</v>
      </c>
      <c r="U1260" s="125">
        <f>IF(H$2=VLOOKUP(A1260,Journal!$A$7:$G$70,7),VLOOKUP(A1260,Journal!$A$7:M$70,9),0)</f>
        <v>0</v>
      </c>
      <c r="V1260" s="125">
        <f t="shared" si="145"/>
        <v>40</v>
      </c>
      <c r="X1260">
        <f t="shared" si="150"/>
        <v>0</v>
      </c>
      <c r="Y1260" s="143">
        <f t="shared" si="144"/>
        <v>-967.10526315794709</v>
      </c>
    </row>
    <row r="1261" spans="1:25" x14ac:dyDescent="0.25">
      <c r="A1261">
        <f t="shared" si="146"/>
        <v>1254</v>
      </c>
      <c r="B1261" s="88" t="str">
        <f>IF(OR(B1260="Total",B1260=""),"",IF(VLOOKUP(A1261,Journal!$B$7:$E$84,4)=0,"Total",VLOOKUP(A1261,Journal!$B$7:$D$84,3)))</f>
        <v/>
      </c>
      <c r="C1261" s="86" t="str">
        <f>IF(B1261="","",VLOOKUP(A1261,Journal!$B$7:$E$84,4))</f>
        <v/>
      </c>
      <c r="D1261" s="114" t="str">
        <f>IF(B1261="","",VLOOKUP(A1261,Journal!$B$7:$J$84,9))</f>
        <v/>
      </c>
      <c r="E1261" s="116"/>
      <c r="F1261" s="116"/>
      <c r="G1261" s="115"/>
      <c r="H1261" s="84" t="str">
        <f>IF(B1261="","",VLOOKUP(A1261,Journal!$B$7:$L$84,11))</f>
        <v/>
      </c>
      <c r="I1261" s="84" t="str">
        <f>IF(B1261="","",VLOOKUP(A1261,Journal!$B$7:$M$84,12))</f>
        <v/>
      </c>
      <c r="J1261" s="105">
        <f>IF(B1261="Total",SUM(J$8:J1260)+0.0001,IF(OR(B1261="",I$2=I1261),0,VLOOKUP(A1261,Journal!$B$7:M$84,8)))</f>
        <v>0</v>
      </c>
      <c r="K1261" s="102">
        <f>IF(B1261="Total",SUM(K$8:K1260)+0.0001,IF(OR(B1261="",J1261&lt;&gt;0),0,VLOOKUP(A1261,Journal!$B$7:M$84,8)))</f>
        <v>0</v>
      </c>
      <c r="L1261" s="87">
        <f t="shared" si="147"/>
        <v>0</v>
      </c>
      <c r="P1261">
        <f t="shared" si="148"/>
        <v>1.0000000000000001E-5</v>
      </c>
      <c r="R1261" s="15">
        <f t="shared" si="149"/>
        <v>1254</v>
      </c>
      <c r="S1261" s="126">
        <f>IF(VLOOKUP(A1261,Journal!$A$7:$E$70,5)=0,S1260+1,VLOOKUP(A1261,Journal!$A$7:$E$70,5))</f>
        <v>46911</v>
      </c>
      <c r="T1261" s="125">
        <f>IF(H$2=VLOOKUP(A1261,Journal!$A$7:$F$70,6),VLOOKUP(A1261,Journal!$A$7:M$70,9),0)</f>
        <v>0</v>
      </c>
      <c r="U1261" s="125">
        <f>IF(H$2=VLOOKUP(A1261,Journal!$A$7:$G$70,7),VLOOKUP(A1261,Journal!$A$7:M$70,9),0)</f>
        <v>0</v>
      </c>
      <c r="V1261" s="125">
        <f t="shared" si="145"/>
        <v>40</v>
      </c>
      <c r="X1261">
        <f t="shared" si="150"/>
        <v>0</v>
      </c>
      <c r="Y1261" s="143">
        <f t="shared" si="144"/>
        <v>-967.07894736847345</v>
      </c>
    </row>
    <row r="1262" spans="1:25" x14ac:dyDescent="0.25">
      <c r="A1262">
        <f t="shared" si="146"/>
        <v>1255</v>
      </c>
      <c r="B1262" s="88" t="str">
        <f>IF(OR(B1261="Total",B1261=""),"",IF(VLOOKUP(A1262,Journal!$B$7:$E$84,4)=0,"Total",VLOOKUP(A1262,Journal!$B$7:$D$84,3)))</f>
        <v/>
      </c>
      <c r="C1262" s="86" t="str">
        <f>IF(B1262="","",VLOOKUP(A1262,Journal!$B$7:$E$84,4))</f>
        <v/>
      </c>
      <c r="D1262" s="114" t="str">
        <f>IF(B1262="","",VLOOKUP(A1262,Journal!$B$7:$J$84,9))</f>
        <v/>
      </c>
      <c r="E1262" s="116"/>
      <c r="F1262" s="116"/>
      <c r="G1262" s="115"/>
      <c r="H1262" s="84" t="str">
        <f>IF(B1262="","",VLOOKUP(A1262,Journal!$B$7:$L$84,11))</f>
        <v/>
      </c>
      <c r="I1262" s="84" t="str">
        <f>IF(B1262="","",VLOOKUP(A1262,Journal!$B$7:$M$84,12))</f>
        <v/>
      </c>
      <c r="J1262" s="105">
        <f>IF(B1262="Total",SUM(J$8:J1261)+0.0001,IF(OR(B1262="",I$2=I1262),0,VLOOKUP(A1262,Journal!$B$7:M$84,8)))</f>
        <v>0</v>
      </c>
      <c r="K1262" s="102">
        <f>IF(B1262="Total",SUM(K$8:K1261)+0.0001,IF(OR(B1262="",J1262&lt;&gt;0),0,VLOOKUP(A1262,Journal!$B$7:M$84,8)))</f>
        <v>0</v>
      </c>
      <c r="L1262" s="87">
        <f t="shared" si="147"/>
        <v>0</v>
      </c>
      <c r="P1262">
        <f t="shared" si="148"/>
        <v>1.0000000000000001E-5</v>
      </c>
      <c r="R1262" s="15">
        <f t="shared" si="149"/>
        <v>1255</v>
      </c>
      <c r="S1262" s="126">
        <f>IF(VLOOKUP(A1262,Journal!$A$7:$E$70,5)=0,S1261+1,VLOOKUP(A1262,Journal!$A$7:$E$70,5))</f>
        <v>46912</v>
      </c>
      <c r="T1262" s="125">
        <f>IF(H$2=VLOOKUP(A1262,Journal!$A$7:$F$70,6),VLOOKUP(A1262,Journal!$A$7:M$70,9),0)</f>
        <v>0</v>
      </c>
      <c r="U1262" s="125">
        <f>IF(H$2=VLOOKUP(A1262,Journal!$A$7:$G$70,7),VLOOKUP(A1262,Journal!$A$7:M$70,9),0)</f>
        <v>0</v>
      </c>
      <c r="V1262" s="125">
        <f t="shared" si="145"/>
        <v>40</v>
      </c>
      <c r="X1262">
        <f t="shared" si="150"/>
        <v>0</v>
      </c>
      <c r="Y1262" s="143">
        <f t="shared" si="144"/>
        <v>-967.05263157899981</v>
      </c>
    </row>
    <row r="1263" spans="1:25" x14ac:dyDescent="0.25">
      <c r="A1263">
        <f t="shared" si="146"/>
        <v>1256</v>
      </c>
      <c r="B1263" s="88" t="str">
        <f>IF(OR(B1262="Total",B1262=""),"",IF(VLOOKUP(A1263,Journal!$B$7:$E$84,4)=0,"Total",VLOOKUP(A1263,Journal!$B$7:$D$84,3)))</f>
        <v/>
      </c>
      <c r="C1263" s="86" t="str">
        <f>IF(B1263="","",VLOOKUP(A1263,Journal!$B$7:$E$84,4))</f>
        <v/>
      </c>
      <c r="D1263" s="114" t="str">
        <f>IF(B1263="","",VLOOKUP(A1263,Journal!$B$7:$J$84,9))</f>
        <v/>
      </c>
      <c r="E1263" s="116"/>
      <c r="F1263" s="116"/>
      <c r="G1263" s="115"/>
      <c r="H1263" s="84" t="str">
        <f>IF(B1263="","",VLOOKUP(A1263,Journal!$B$7:$L$84,11))</f>
        <v/>
      </c>
      <c r="I1263" s="84" t="str">
        <f>IF(B1263="","",VLOOKUP(A1263,Journal!$B$7:$M$84,12))</f>
        <v/>
      </c>
      <c r="J1263" s="105">
        <f>IF(B1263="Total",SUM(J$8:J1262)+0.0001,IF(OR(B1263="",I$2=I1263),0,VLOOKUP(A1263,Journal!$B$7:M$84,8)))</f>
        <v>0</v>
      </c>
      <c r="K1263" s="102">
        <f>IF(B1263="Total",SUM(K$8:K1262)+0.0001,IF(OR(B1263="",J1263&lt;&gt;0),0,VLOOKUP(A1263,Journal!$B$7:M$84,8)))</f>
        <v>0</v>
      </c>
      <c r="L1263" s="87">
        <f t="shared" si="147"/>
        <v>0</v>
      </c>
      <c r="P1263">
        <f t="shared" si="148"/>
        <v>1.0000000000000001E-5</v>
      </c>
      <c r="R1263" s="15">
        <f t="shared" si="149"/>
        <v>1256</v>
      </c>
      <c r="S1263" s="126">
        <f>IF(VLOOKUP(A1263,Journal!$A$7:$E$70,5)=0,S1262+1,VLOOKUP(A1263,Journal!$A$7:$E$70,5))</f>
        <v>46913</v>
      </c>
      <c r="T1263" s="125">
        <f>IF(H$2=VLOOKUP(A1263,Journal!$A$7:$F$70,6),VLOOKUP(A1263,Journal!$A$7:M$70,9),0)</f>
        <v>0</v>
      </c>
      <c r="U1263" s="125">
        <f>IF(H$2=VLOOKUP(A1263,Journal!$A$7:$G$70,7),VLOOKUP(A1263,Journal!$A$7:M$70,9),0)</f>
        <v>0</v>
      </c>
      <c r="V1263" s="125">
        <f t="shared" si="145"/>
        <v>40</v>
      </c>
      <c r="X1263">
        <f t="shared" si="150"/>
        <v>0</v>
      </c>
      <c r="Y1263" s="143">
        <f t="shared" si="144"/>
        <v>-967.02631578952617</v>
      </c>
    </row>
    <row r="1264" spans="1:25" x14ac:dyDescent="0.25">
      <c r="A1264">
        <f t="shared" si="146"/>
        <v>1257</v>
      </c>
      <c r="B1264" s="88" t="str">
        <f>IF(OR(B1263="Total",B1263=""),"",IF(VLOOKUP(A1264,Journal!$B$7:$E$84,4)=0,"Total",VLOOKUP(A1264,Journal!$B$7:$D$84,3)))</f>
        <v/>
      </c>
      <c r="C1264" s="86" t="str">
        <f>IF(B1264="","",VLOOKUP(A1264,Journal!$B$7:$E$84,4))</f>
        <v/>
      </c>
      <c r="D1264" s="114" t="str">
        <f>IF(B1264="","",VLOOKUP(A1264,Journal!$B$7:$J$84,9))</f>
        <v/>
      </c>
      <c r="E1264" s="116"/>
      <c r="F1264" s="116"/>
      <c r="G1264" s="115"/>
      <c r="H1264" s="84" t="str">
        <f>IF(B1264="","",VLOOKUP(A1264,Journal!$B$7:$L$84,11))</f>
        <v/>
      </c>
      <c r="I1264" s="84" t="str">
        <f>IF(B1264="","",VLOOKUP(A1264,Journal!$B$7:$M$84,12))</f>
        <v/>
      </c>
      <c r="J1264" s="105">
        <f>IF(B1264="Total",SUM(J$8:J1263)+0.0001,IF(OR(B1264="",I$2=I1264),0,VLOOKUP(A1264,Journal!$B$7:M$84,8)))</f>
        <v>0</v>
      </c>
      <c r="K1264" s="102">
        <f>IF(B1264="Total",SUM(K$8:K1263)+0.0001,IF(OR(B1264="",J1264&lt;&gt;0),0,VLOOKUP(A1264,Journal!$B$7:M$84,8)))</f>
        <v>0</v>
      </c>
      <c r="L1264" s="87">
        <f t="shared" si="147"/>
        <v>0</v>
      </c>
      <c r="P1264">
        <f t="shared" si="148"/>
        <v>1.0000000000000001E-5</v>
      </c>
      <c r="R1264" s="15">
        <f t="shared" si="149"/>
        <v>1257</v>
      </c>
      <c r="S1264" s="126">
        <f>IF(VLOOKUP(A1264,Journal!$A$7:$E$70,5)=0,S1263+1,VLOOKUP(A1264,Journal!$A$7:$E$70,5))</f>
        <v>46914</v>
      </c>
      <c r="T1264" s="125">
        <f>IF(H$2=VLOOKUP(A1264,Journal!$A$7:$F$70,6),VLOOKUP(A1264,Journal!$A$7:M$70,9),0)</f>
        <v>0</v>
      </c>
      <c r="U1264" s="125">
        <f>IF(H$2=VLOOKUP(A1264,Journal!$A$7:$G$70,7),VLOOKUP(A1264,Journal!$A$7:M$70,9),0)</f>
        <v>0</v>
      </c>
      <c r="V1264" s="125">
        <f t="shared" si="145"/>
        <v>40</v>
      </c>
      <c r="X1264">
        <f t="shared" si="150"/>
        <v>0</v>
      </c>
      <c r="Y1264" s="143">
        <f t="shared" si="144"/>
        <v>-967.00000000005252</v>
      </c>
    </row>
    <row r="1265" spans="1:25" x14ac:dyDescent="0.25">
      <c r="A1265">
        <f t="shared" si="146"/>
        <v>1258</v>
      </c>
      <c r="B1265" s="88" t="str">
        <f>IF(OR(B1264="Total",B1264=""),"",IF(VLOOKUP(A1265,Journal!$B$7:$E$84,4)=0,"Total",VLOOKUP(A1265,Journal!$B$7:$D$84,3)))</f>
        <v/>
      </c>
      <c r="C1265" s="86" t="str">
        <f>IF(B1265="","",VLOOKUP(A1265,Journal!$B$7:$E$84,4))</f>
        <v/>
      </c>
      <c r="D1265" s="114" t="str">
        <f>IF(B1265="","",VLOOKUP(A1265,Journal!$B$7:$J$84,9))</f>
        <v/>
      </c>
      <c r="E1265" s="116"/>
      <c r="F1265" s="116"/>
      <c r="G1265" s="115"/>
      <c r="H1265" s="84" t="str">
        <f>IF(B1265="","",VLOOKUP(A1265,Journal!$B$7:$L$84,11))</f>
        <v/>
      </c>
      <c r="I1265" s="84" t="str">
        <f>IF(B1265="","",VLOOKUP(A1265,Journal!$B$7:$M$84,12))</f>
        <v/>
      </c>
      <c r="J1265" s="105">
        <f>IF(B1265="Total",SUM(J$8:J1264)+0.0001,IF(OR(B1265="",I$2=I1265),0,VLOOKUP(A1265,Journal!$B$7:M$84,8)))</f>
        <v>0</v>
      </c>
      <c r="K1265" s="102">
        <f>IF(B1265="Total",SUM(K$8:K1264)+0.0001,IF(OR(B1265="",J1265&lt;&gt;0),0,VLOOKUP(A1265,Journal!$B$7:M$84,8)))</f>
        <v>0</v>
      </c>
      <c r="L1265" s="87">
        <f t="shared" si="147"/>
        <v>0</v>
      </c>
      <c r="P1265">
        <f t="shared" si="148"/>
        <v>1.0000000000000001E-5</v>
      </c>
      <c r="R1265" s="15">
        <f t="shared" si="149"/>
        <v>1258</v>
      </c>
      <c r="S1265" s="126">
        <f>IF(VLOOKUP(A1265,Journal!$A$7:$E$70,5)=0,S1264+1,VLOOKUP(A1265,Journal!$A$7:$E$70,5))</f>
        <v>46915</v>
      </c>
      <c r="T1265" s="125">
        <f>IF(H$2=VLOOKUP(A1265,Journal!$A$7:$F$70,6),VLOOKUP(A1265,Journal!$A$7:M$70,9),0)</f>
        <v>0</v>
      </c>
      <c r="U1265" s="125">
        <f>IF(H$2=VLOOKUP(A1265,Journal!$A$7:$G$70,7),VLOOKUP(A1265,Journal!$A$7:M$70,9),0)</f>
        <v>0</v>
      </c>
      <c r="V1265" s="125">
        <f t="shared" si="145"/>
        <v>40</v>
      </c>
      <c r="X1265">
        <f t="shared" si="150"/>
        <v>0</v>
      </c>
      <c r="Y1265" s="143">
        <f t="shared" si="144"/>
        <v>-966.97368421057888</v>
      </c>
    </row>
    <row r="1266" spans="1:25" x14ac:dyDescent="0.25">
      <c r="A1266">
        <f t="shared" si="146"/>
        <v>1259</v>
      </c>
      <c r="B1266" s="88" t="str">
        <f>IF(OR(B1265="Total",B1265=""),"",IF(VLOOKUP(A1266,Journal!$B$7:$E$84,4)=0,"Total",VLOOKUP(A1266,Journal!$B$7:$D$84,3)))</f>
        <v/>
      </c>
      <c r="C1266" s="86" t="str">
        <f>IF(B1266="","",VLOOKUP(A1266,Journal!$B$7:$E$84,4))</f>
        <v/>
      </c>
      <c r="D1266" s="114" t="str">
        <f>IF(B1266="","",VLOOKUP(A1266,Journal!$B$7:$J$84,9))</f>
        <v/>
      </c>
      <c r="E1266" s="116"/>
      <c r="F1266" s="116"/>
      <c r="G1266" s="115"/>
      <c r="H1266" s="84" t="str">
        <f>IF(B1266="","",VLOOKUP(A1266,Journal!$B$7:$L$84,11))</f>
        <v/>
      </c>
      <c r="I1266" s="84" t="str">
        <f>IF(B1266="","",VLOOKUP(A1266,Journal!$B$7:$M$84,12))</f>
        <v/>
      </c>
      <c r="J1266" s="105">
        <f>IF(B1266="Total",SUM(J$8:J1265)+0.0001,IF(OR(B1266="",I$2=I1266),0,VLOOKUP(A1266,Journal!$B$7:M$84,8)))</f>
        <v>0</v>
      </c>
      <c r="K1266" s="102">
        <f>IF(B1266="Total",SUM(K$8:K1265)+0.0001,IF(OR(B1266="",J1266&lt;&gt;0),0,VLOOKUP(A1266,Journal!$B$7:M$84,8)))</f>
        <v>0</v>
      </c>
      <c r="L1266" s="87">
        <f t="shared" si="147"/>
        <v>0</v>
      </c>
      <c r="P1266">
        <f t="shared" si="148"/>
        <v>1.0000000000000001E-5</v>
      </c>
      <c r="R1266" s="15">
        <f t="shared" si="149"/>
        <v>1259</v>
      </c>
      <c r="S1266" s="126">
        <f>IF(VLOOKUP(A1266,Journal!$A$7:$E$70,5)=0,S1265+1,VLOOKUP(A1266,Journal!$A$7:$E$70,5))</f>
        <v>46916</v>
      </c>
      <c r="T1266" s="125">
        <f>IF(H$2=VLOOKUP(A1266,Journal!$A$7:$F$70,6),VLOOKUP(A1266,Journal!$A$7:M$70,9),0)</f>
        <v>0</v>
      </c>
      <c r="U1266" s="125">
        <f>IF(H$2=VLOOKUP(A1266,Journal!$A$7:$G$70,7),VLOOKUP(A1266,Journal!$A$7:M$70,9),0)</f>
        <v>0</v>
      </c>
      <c r="V1266" s="125">
        <f t="shared" si="145"/>
        <v>40</v>
      </c>
      <c r="X1266">
        <f t="shared" si="150"/>
        <v>0</v>
      </c>
      <c r="Y1266" s="143">
        <f t="shared" si="144"/>
        <v>-966.94736842110524</v>
      </c>
    </row>
    <row r="1267" spans="1:25" x14ac:dyDescent="0.25">
      <c r="A1267">
        <f t="shared" si="146"/>
        <v>1260</v>
      </c>
      <c r="B1267" s="88" t="str">
        <f>IF(OR(B1266="Total",B1266=""),"",IF(VLOOKUP(A1267,Journal!$B$7:$E$84,4)=0,"Total",VLOOKUP(A1267,Journal!$B$7:$D$84,3)))</f>
        <v/>
      </c>
      <c r="C1267" s="86" t="str">
        <f>IF(B1267="","",VLOOKUP(A1267,Journal!$B$7:$E$84,4))</f>
        <v/>
      </c>
      <c r="D1267" s="114" t="str">
        <f>IF(B1267="","",VLOOKUP(A1267,Journal!$B$7:$J$84,9))</f>
        <v/>
      </c>
      <c r="E1267" s="116"/>
      <c r="F1267" s="116"/>
      <c r="G1267" s="115"/>
      <c r="H1267" s="84" t="str">
        <f>IF(B1267="","",VLOOKUP(A1267,Journal!$B$7:$L$84,11))</f>
        <v/>
      </c>
      <c r="I1267" s="84" t="str">
        <f>IF(B1267="","",VLOOKUP(A1267,Journal!$B$7:$M$84,12))</f>
        <v/>
      </c>
      <c r="J1267" s="105">
        <f>IF(B1267="Total",SUM(J$8:J1266)+0.0001,IF(OR(B1267="",I$2=I1267),0,VLOOKUP(A1267,Journal!$B$7:M$84,8)))</f>
        <v>0</v>
      </c>
      <c r="K1267" s="102">
        <f>IF(B1267="Total",SUM(K$8:K1266)+0.0001,IF(OR(B1267="",J1267&lt;&gt;0),0,VLOOKUP(A1267,Journal!$B$7:M$84,8)))</f>
        <v>0</v>
      </c>
      <c r="L1267" s="87">
        <f t="shared" si="147"/>
        <v>0</v>
      </c>
      <c r="P1267">
        <f t="shared" si="148"/>
        <v>1.0000000000000001E-5</v>
      </c>
      <c r="R1267" s="15">
        <f t="shared" si="149"/>
        <v>1260</v>
      </c>
      <c r="S1267" s="126">
        <f>IF(VLOOKUP(A1267,Journal!$A$7:$E$70,5)=0,S1266+1,VLOOKUP(A1267,Journal!$A$7:$E$70,5))</f>
        <v>46917</v>
      </c>
      <c r="T1267" s="125">
        <f>IF(H$2=VLOOKUP(A1267,Journal!$A$7:$F$70,6),VLOOKUP(A1267,Journal!$A$7:M$70,9),0)</f>
        <v>0</v>
      </c>
      <c r="U1267" s="125">
        <f>IF(H$2=VLOOKUP(A1267,Journal!$A$7:$G$70,7),VLOOKUP(A1267,Journal!$A$7:M$70,9),0)</f>
        <v>0</v>
      </c>
      <c r="V1267" s="125">
        <f t="shared" si="145"/>
        <v>40</v>
      </c>
      <c r="X1267">
        <f t="shared" si="150"/>
        <v>0</v>
      </c>
      <c r="Y1267" s="143">
        <f t="shared" si="144"/>
        <v>-966.9210526316316</v>
      </c>
    </row>
    <row r="1268" spans="1:25" x14ac:dyDescent="0.25">
      <c r="A1268">
        <f t="shared" si="146"/>
        <v>1261</v>
      </c>
      <c r="B1268" s="88" t="str">
        <f>IF(OR(B1267="Total",B1267=""),"",IF(VLOOKUP(A1268,Journal!$B$7:$E$84,4)=0,"Total",VLOOKUP(A1268,Journal!$B$7:$D$84,3)))</f>
        <v/>
      </c>
      <c r="C1268" s="86" t="str">
        <f>IF(B1268="","",VLOOKUP(A1268,Journal!$B$7:$E$84,4))</f>
        <v/>
      </c>
      <c r="D1268" s="114" t="str">
        <f>IF(B1268="","",VLOOKUP(A1268,Journal!$B$7:$J$84,9))</f>
        <v/>
      </c>
      <c r="E1268" s="116"/>
      <c r="F1268" s="116"/>
      <c r="G1268" s="115"/>
      <c r="H1268" s="84" t="str">
        <f>IF(B1268="","",VLOOKUP(A1268,Journal!$B$7:$L$84,11))</f>
        <v/>
      </c>
      <c r="I1268" s="84" t="str">
        <f>IF(B1268="","",VLOOKUP(A1268,Journal!$B$7:$M$84,12))</f>
        <v/>
      </c>
      <c r="J1268" s="105">
        <f>IF(B1268="Total",SUM(J$8:J1267)+0.0001,IF(OR(B1268="",I$2=I1268),0,VLOOKUP(A1268,Journal!$B$7:M$84,8)))</f>
        <v>0</v>
      </c>
      <c r="K1268" s="102">
        <f>IF(B1268="Total",SUM(K$8:K1267)+0.0001,IF(OR(B1268="",J1268&lt;&gt;0),0,VLOOKUP(A1268,Journal!$B$7:M$84,8)))</f>
        <v>0</v>
      </c>
      <c r="L1268" s="87">
        <f t="shared" si="147"/>
        <v>0</v>
      </c>
      <c r="P1268">
        <f t="shared" si="148"/>
        <v>1.0000000000000001E-5</v>
      </c>
      <c r="R1268" s="15">
        <f t="shared" si="149"/>
        <v>1261</v>
      </c>
      <c r="S1268" s="126">
        <f>IF(VLOOKUP(A1268,Journal!$A$7:$E$70,5)=0,S1267+1,VLOOKUP(A1268,Journal!$A$7:$E$70,5))</f>
        <v>46918</v>
      </c>
      <c r="T1268" s="125">
        <f>IF(H$2=VLOOKUP(A1268,Journal!$A$7:$F$70,6),VLOOKUP(A1268,Journal!$A$7:M$70,9),0)</f>
        <v>0</v>
      </c>
      <c r="U1268" s="125">
        <f>IF(H$2=VLOOKUP(A1268,Journal!$A$7:$G$70,7),VLOOKUP(A1268,Journal!$A$7:M$70,9),0)</f>
        <v>0</v>
      </c>
      <c r="V1268" s="125">
        <f t="shared" si="145"/>
        <v>40</v>
      </c>
      <c r="X1268">
        <f t="shared" si="150"/>
        <v>0</v>
      </c>
      <c r="Y1268" s="143">
        <f t="shared" si="144"/>
        <v>-966.89473684215795</v>
      </c>
    </row>
    <row r="1269" spans="1:25" x14ac:dyDescent="0.25">
      <c r="A1269">
        <f t="shared" si="146"/>
        <v>1262</v>
      </c>
      <c r="B1269" s="88" t="str">
        <f>IF(OR(B1268="Total",B1268=""),"",IF(VLOOKUP(A1269,Journal!$B$7:$E$84,4)=0,"Total",VLOOKUP(A1269,Journal!$B$7:$D$84,3)))</f>
        <v/>
      </c>
      <c r="C1269" s="86" t="str">
        <f>IF(B1269="","",VLOOKUP(A1269,Journal!$B$7:$E$84,4))</f>
        <v/>
      </c>
      <c r="D1269" s="114" t="str">
        <f>IF(B1269="","",VLOOKUP(A1269,Journal!$B$7:$J$84,9))</f>
        <v/>
      </c>
      <c r="E1269" s="116"/>
      <c r="F1269" s="116"/>
      <c r="G1269" s="115"/>
      <c r="H1269" s="84" t="str">
        <f>IF(B1269="","",VLOOKUP(A1269,Journal!$B$7:$L$84,11))</f>
        <v/>
      </c>
      <c r="I1269" s="84" t="str">
        <f>IF(B1269="","",VLOOKUP(A1269,Journal!$B$7:$M$84,12))</f>
        <v/>
      </c>
      <c r="J1269" s="105">
        <f>IF(B1269="Total",SUM(J$8:J1268)+0.0001,IF(OR(B1269="",I$2=I1269),0,VLOOKUP(A1269,Journal!$B$7:M$84,8)))</f>
        <v>0</v>
      </c>
      <c r="K1269" s="102">
        <f>IF(B1269="Total",SUM(K$8:K1268)+0.0001,IF(OR(B1269="",J1269&lt;&gt;0),0,VLOOKUP(A1269,Journal!$B$7:M$84,8)))</f>
        <v>0</v>
      </c>
      <c r="L1269" s="87">
        <f t="shared" si="147"/>
        <v>0</v>
      </c>
      <c r="P1269">
        <f t="shared" si="148"/>
        <v>1.0000000000000001E-5</v>
      </c>
      <c r="R1269" s="15">
        <f t="shared" si="149"/>
        <v>1262</v>
      </c>
      <c r="S1269" s="126">
        <f>IF(VLOOKUP(A1269,Journal!$A$7:$E$70,5)=0,S1268+1,VLOOKUP(A1269,Journal!$A$7:$E$70,5))</f>
        <v>46919</v>
      </c>
      <c r="T1269" s="125">
        <f>IF(H$2=VLOOKUP(A1269,Journal!$A$7:$F$70,6),VLOOKUP(A1269,Journal!$A$7:M$70,9),0)</f>
        <v>0</v>
      </c>
      <c r="U1269" s="125">
        <f>IF(H$2=VLOOKUP(A1269,Journal!$A$7:$G$70,7),VLOOKUP(A1269,Journal!$A$7:M$70,9),0)</f>
        <v>0</v>
      </c>
      <c r="V1269" s="125">
        <f t="shared" si="145"/>
        <v>40</v>
      </c>
      <c r="X1269">
        <f t="shared" si="150"/>
        <v>0</v>
      </c>
      <c r="Y1269" s="143">
        <f t="shared" si="144"/>
        <v>-966.86842105268431</v>
      </c>
    </row>
    <row r="1270" spans="1:25" x14ac:dyDescent="0.25">
      <c r="A1270">
        <f t="shared" si="146"/>
        <v>1263</v>
      </c>
      <c r="B1270" s="88" t="str">
        <f>IF(OR(B1269="Total",B1269=""),"",IF(VLOOKUP(A1270,Journal!$B$7:$E$84,4)=0,"Total",VLOOKUP(A1270,Journal!$B$7:$D$84,3)))</f>
        <v/>
      </c>
      <c r="C1270" s="86" t="str">
        <f>IF(B1270="","",VLOOKUP(A1270,Journal!$B$7:$E$84,4))</f>
        <v/>
      </c>
      <c r="D1270" s="114" t="str">
        <f>IF(B1270="","",VLOOKUP(A1270,Journal!$B$7:$J$84,9))</f>
        <v/>
      </c>
      <c r="E1270" s="116"/>
      <c r="F1270" s="116"/>
      <c r="G1270" s="115"/>
      <c r="H1270" s="84" t="str">
        <f>IF(B1270="","",VLOOKUP(A1270,Journal!$B$7:$L$84,11))</f>
        <v/>
      </c>
      <c r="I1270" s="84" t="str">
        <f>IF(B1270="","",VLOOKUP(A1270,Journal!$B$7:$M$84,12))</f>
        <v/>
      </c>
      <c r="J1270" s="105">
        <f>IF(B1270="Total",SUM(J$8:J1269)+0.0001,IF(OR(B1270="",I$2=I1270),0,VLOOKUP(A1270,Journal!$B$7:M$84,8)))</f>
        <v>0</v>
      </c>
      <c r="K1270" s="102">
        <f>IF(B1270="Total",SUM(K$8:K1269)+0.0001,IF(OR(B1270="",J1270&lt;&gt;0),0,VLOOKUP(A1270,Journal!$B$7:M$84,8)))</f>
        <v>0</v>
      </c>
      <c r="L1270" s="87">
        <f t="shared" si="147"/>
        <v>0</v>
      </c>
      <c r="P1270">
        <f t="shared" si="148"/>
        <v>1.0000000000000001E-5</v>
      </c>
      <c r="R1270" s="15">
        <f t="shared" si="149"/>
        <v>1263</v>
      </c>
      <c r="S1270" s="126">
        <f>IF(VLOOKUP(A1270,Journal!$A$7:$E$70,5)=0,S1269+1,VLOOKUP(A1270,Journal!$A$7:$E$70,5))</f>
        <v>46920</v>
      </c>
      <c r="T1270" s="125">
        <f>IF(H$2=VLOOKUP(A1270,Journal!$A$7:$F$70,6),VLOOKUP(A1270,Journal!$A$7:M$70,9),0)</f>
        <v>0</v>
      </c>
      <c r="U1270" s="125">
        <f>IF(H$2=VLOOKUP(A1270,Journal!$A$7:$G$70,7),VLOOKUP(A1270,Journal!$A$7:M$70,9),0)</f>
        <v>0</v>
      </c>
      <c r="V1270" s="125">
        <f t="shared" si="145"/>
        <v>40</v>
      </c>
      <c r="X1270">
        <f t="shared" si="150"/>
        <v>0</v>
      </c>
      <c r="Y1270" s="143">
        <f t="shared" si="144"/>
        <v>-966.84210526321067</v>
      </c>
    </row>
    <row r="1271" spans="1:25" x14ac:dyDescent="0.25">
      <c r="A1271">
        <f t="shared" si="146"/>
        <v>1264</v>
      </c>
      <c r="B1271" s="88" t="str">
        <f>IF(OR(B1270="Total",B1270=""),"",IF(VLOOKUP(A1271,Journal!$B$7:$E$84,4)=0,"Total",VLOOKUP(A1271,Journal!$B$7:$D$84,3)))</f>
        <v/>
      </c>
      <c r="C1271" s="86" t="str">
        <f>IF(B1271="","",VLOOKUP(A1271,Journal!$B$7:$E$84,4))</f>
        <v/>
      </c>
      <c r="D1271" s="114" t="str">
        <f>IF(B1271="","",VLOOKUP(A1271,Journal!$B$7:$J$84,9))</f>
        <v/>
      </c>
      <c r="E1271" s="116"/>
      <c r="F1271" s="116"/>
      <c r="G1271" s="115"/>
      <c r="H1271" s="84" t="str">
        <f>IF(B1271="","",VLOOKUP(A1271,Journal!$B$7:$L$84,11))</f>
        <v/>
      </c>
      <c r="I1271" s="84" t="str">
        <f>IF(B1271="","",VLOOKUP(A1271,Journal!$B$7:$M$84,12))</f>
        <v/>
      </c>
      <c r="J1271" s="105">
        <f>IF(B1271="Total",SUM(J$8:J1270)+0.0001,IF(OR(B1271="",I$2=I1271),0,VLOOKUP(A1271,Journal!$B$7:M$84,8)))</f>
        <v>0</v>
      </c>
      <c r="K1271" s="102">
        <f>IF(B1271="Total",SUM(K$8:K1270)+0.0001,IF(OR(B1271="",J1271&lt;&gt;0),0,VLOOKUP(A1271,Journal!$B$7:M$84,8)))</f>
        <v>0</v>
      </c>
      <c r="L1271" s="87">
        <f t="shared" si="147"/>
        <v>0</v>
      </c>
      <c r="P1271">
        <f t="shared" si="148"/>
        <v>1.0000000000000001E-5</v>
      </c>
      <c r="R1271" s="15">
        <f t="shared" si="149"/>
        <v>1264</v>
      </c>
      <c r="S1271" s="126">
        <f>IF(VLOOKUP(A1271,Journal!$A$7:$E$70,5)=0,S1270+1,VLOOKUP(A1271,Journal!$A$7:$E$70,5))</f>
        <v>46921</v>
      </c>
      <c r="T1271" s="125">
        <f>IF(H$2=VLOOKUP(A1271,Journal!$A$7:$F$70,6),VLOOKUP(A1271,Journal!$A$7:M$70,9),0)</f>
        <v>0</v>
      </c>
      <c r="U1271" s="125">
        <f>IF(H$2=VLOOKUP(A1271,Journal!$A$7:$G$70,7),VLOOKUP(A1271,Journal!$A$7:M$70,9),0)</f>
        <v>0</v>
      </c>
      <c r="V1271" s="125">
        <f t="shared" si="145"/>
        <v>40</v>
      </c>
      <c r="X1271">
        <f t="shared" si="150"/>
        <v>0</v>
      </c>
      <c r="Y1271" s="143">
        <f t="shared" si="144"/>
        <v>-966.81578947373703</v>
      </c>
    </row>
    <row r="1272" spans="1:25" x14ac:dyDescent="0.25">
      <c r="A1272">
        <f t="shared" si="146"/>
        <v>1265</v>
      </c>
      <c r="B1272" s="88" t="str">
        <f>IF(OR(B1271="Total",B1271=""),"",IF(VLOOKUP(A1272,Journal!$B$7:$E$84,4)=0,"Total",VLOOKUP(A1272,Journal!$B$7:$D$84,3)))</f>
        <v/>
      </c>
      <c r="C1272" s="86" t="str">
        <f>IF(B1272="","",VLOOKUP(A1272,Journal!$B$7:$E$84,4))</f>
        <v/>
      </c>
      <c r="D1272" s="114" t="str">
        <f>IF(B1272="","",VLOOKUP(A1272,Journal!$B$7:$J$84,9))</f>
        <v/>
      </c>
      <c r="E1272" s="116"/>
      <c r="F1272" s="116"/>
      <c r="G1272" s="115"/>
      <c r="H1272" s="84" t="str">
        <f>IF(B1272="","",VLOOKUP(A1272,Journal!$B$7:$L$84,11))</f>
        <v/>
      </c>
      <c r="I1272" s="84" t="str">
        <f>IF(B1272="","",VLOOKUP(A1272,Journal!$B$7:$M$84,12))</f>
        <v/>
      </c>
      <c r="J1272" s="105">
        <f>IF(B1272="Total",SUM(J$8:J1271)+0.0001,IF(OR(B1272="",I$2=I1272),0,VLOOKUP(A1272,Journal!$B$7:M$84,8)))</f>
        <v>0</v>
      </c>
      <c r="K1272" s="102">
        <f>IF(B1272="Total",SUM(K$8:K1271)+0.0001,IF(OR(B1272="",J1272&lt;&gt;0),0,VLOOKUP(A1272,Journal!$B$7:M$84,8)))</f>
        <v>0</v>
      </c>
      <c r="L1272" s="87">
        <f t="shared" si="147"/>
        <v>0</v>
      </c>
      <c r="P1272">
        <f t="shared" si="148"/>
        <v>1.0000000000000001E-5</v>
      </c>
      <c r="R1272" s="15">
        <f t="shared" si="149"/>
        <v>1265</v>
      </c>
      <c r="S1272" s="126">
        <f>IF(VLOOKUP(A1272,Journal!$A$7:$E$70,5)=0,S1271+1,VLOOKUP(A1272,Journal!$A$7:$E$70,5))</f>
        <v>46922</v>
      </c>
      <c r="T1272" s="125">
        <f>IF(H$2=VLOOKUP(A1272,Journal!$A$7:$F$70,6),VLOOKUP(A1272,Journal!$A$7:M$70,9),0)</f>
        <v>0</v>
      </c>
      <c r="U1272" s="125">
        <f>IF(H$2=VLOOKUP(A1272,Journal!$A$7:$G$70,7),VLOOKUP(A1272,Journal!$A$7:M$70,9),0)</f>
        <v>0</v>
      </c>
      <c r="V1272" s="125">
        <f t="shared" si="145"/>
        <v>40</v>
      </c>
      <c r="X1272">
        <f t="shared" si="150"/>
        <v>0</v>
      </c>
      <c r="Y1272" s="143">
        <f t="shared" si="144"/>
        <v>-966.78947368426338</v>
      </c>
    </row>
    <row r="1273" spans="1:25" x14ac:dyDescent="0.25">
      <c r="A1273">
        <f t="shared" si="146"/>
        <v>1266</v>
      </c>
      <c r="B1273" s="88" t="str">
        <f>IF(OR(B1272="Total",B1272=""),"",IF(VLOOKUP(A1273,Journal!$B$7:$E$84,4)=0,"Total",VLOOKUP(A1273,Journal!$B$7:$D$84,3)))</f>
        <v/>
      </c>
      <c r="C1273" s="86" t="str">
        <f>IF(B1273="","",VLOOKUP(A1273,Journal!$B$7:$E$84,4))</f>
        <v/>
      </c>
      <c r="D1273" s="114" t="str">
        <f>IF(B1273="","",VLOOKUP(A1273,Journal!$B$7:$J$84,9))</f>
        <v/>
      </c>
      <c r="E1273" s="116"/>
      <c r="F1273" s="116"/>
      <c r="G1273" s="115"/>
      <c r="H1273" s="84" t="str">
        <f>IF(B1273="","",VLOOKUP(A1273,Journal!$B$7:$L$84,11))</f>
        <v/>
      </c>
      <c r="I1273" s="84" t="str">
        <f>IF(B1273="","",VLOOKUP(A1273,Journal!$B$7:$M$84,12))</f>
        <v/>
      </c>
      <c r="J1273" s="105">
        <f>IF(B1273="Total",SUM(J$8:J1272)+0.0001,IF(OR(B1273="",I$2=I1273),0,VLOOKUP(A1273,Journal!$B$7:M$84,8)))</f>
        <v>0</v>
      </c>
      <c r="K1273" s="102">
        <f>IF(B1273="Total",SUM(K$8:K1272)+0.0001,IF(OR(B1273="",J1273&lt;&gt;0),0,VLOOKUP(A1273,Journal!$B$7:M$84,8)))</f>
        <v>0</v>
      </c>
      <c r="L1273" s="87">
        <f t="shared" si="147"/>
        <v>0</v>
      </c>
      <c r="P1273">
        <f t="shared" si="148"/>
        <v>1.0000000000000001E-5</v>
      </c>
      <c r="R1273" s="15">
        <f t="shared" si="149"/>
        <v>1266</v>
      </c>
      <c r="S1273" s="126">
        <f>IF(VLOOKUP(A1273,Journal!$A$7:$E$70,5)=0,S1272+1,VLOOKUP(A1273,Journal!$A$7:$E$70,5))</f>
        <v>46923</v>
      </c>
      <c r="T1273" s="125">
        <f>IF(H$2=VLOOKUP(A1273,Journal!$A$7:$F$70,6),VLOOKUP(A1273,Journal!$A$7:M$70,9),0)</f>
        <v>0</v>
      </c>
      <c r="U1273" s="125">
        <f>IF(H$2=VLOOKUP(A1273,Journal!$A$7:$G$70,7),VLOOKUP(A1273,Journal!$A$7:M$70,9),0)</f>
        <v>0</v>
      </c>
      <c r="V1273" s="125">
        <f t="shared" si="145"/>
        <v>40</v>
      </c>
      <c r="X1273">
        <f t="shared" si="150"/>
        <v>0</v>
      </c>
      <c r="Y1273" s="143">
        <f t="shared" si="144"/>
        <v>-966.76315789478974</v>
      </c>
    </row>
    <row r="1274" spans="1:25" x14ac:dyDescent="0.25">
      <c r="A1274">
        <f t="shared" si="146"/>
        <v>1267</v>
      </c>
      <c r="B1274" s="88" t="str">
        <f>IF(OR(B1273="Total",B1273=""),"",IF(VLOOKUP(A1274,Journal!$B$7:$E$84,4)=0,"Total",VLOOKUP(A1274,Journal!$B$7:$D$84,3)))</f>
        <v/>
      </c>
      <c r="C1274" s="86" t="str">
        <f>IF(B1274="","",VLOOKUP(A1274,Journal!$B$7:$E$84,4))</f>
        <v/>
      </c>
      <c r="D1274" s="114" t="str">
        <f>IF(B1274="","",VLOOKUP(A1274,Journal!$B$7:$J$84,9))</f>
        <v/>
      </c>
      <c r="E1274" s="116"/>
      <c r="F1274" s="116"/>
      <c r="G1274" s="115"/>
      <c r="H1274" s="84" t="str">
        <f>IF(B1274="","",VLOOKUP(A1274,Journal!$B$7:$L$84,11))</f>
        <v/>
      </c>
      <c r="I1274" s="84" t="str">
        <f>IF(B1274="","",VLOOKUP(A1274,Journal!$B$7:$M$84,12))</f>
        <v/>
      </c>
      <c r="J1274" s="105">
        <f>IF(B1274="Total",SUM(J$8:J1273)+0.0001,IF(OR(B1274="",I$2=I1274),0,VLOOKUP(A1274,Journal!$B$7:M$84,8)))</f>
        <v>0</v>
      </c>
      <c r="K1274" s="102">
        <f>IF(B1274="Total",SUM(K$8:K1273)+0.0001,IF(OR(B1274="",J1274&lt;&gt;0),0,VLOOKUP(A1274,Journal!$B$7:M$84,8)))</f>
        <v>0</v>
      </c>
      <c r="L1274" s="87">
        <f t="shared" si="147"/>
        <v>0</v>
      </c>
      <c r="P1274">
        <f t="shared" si="148"/>
        <v>1.0000000000000001E-5</v>
      </c>
      <c r="R1274" s="15">
        <f t="shared" si="149"/>
        <v>1267</v>
      </c>
      <c r="S1274" s="126">
        <f>IF(VLOOKUP(A1274,Journal!$A$7:$E$70,5)=0,S1273+1,VLOOKUP(A1274,Journal!$A$7:$E$70,5))</f>
        <v>46924</v>
      </c>
      <c r="T1274" s="125">
        <f>IF(H$2=VLOOKUP(A1274,Journal!$A$7:$F$70,6),VLOOKUP(A1274,Journal!$A$7:M$70,9),0)</f>
        <v>0</v>
      </c>
      <c r="U1274" s="125">
        <f>IF(H$2=VLOOKUP(A1274,Journal!$A$7:$G$70,7),VLOOKUP(A1274,Journal!$A$7:M$70,9),0)</f>
        <v>0</v>
      </c>
      <c r="V1274" s="125">
        <f t="shared" si="145"/>
        <v>40</v>
      </c>
      <c r="X1274">
        <f t="shared" si="150"/>
        <v>0</v>
      </c>
      <c r="Y1274" s="143">
        <f t="shared" si="144"/>
        <v>-966.7368421053161</v>
      </c>
    </row>
    <row r="1275" spans="1:25" x14ac:dyDescent="0.25">
      <c r="A1275">
        <f t="shared" si="146"/>
        <v>1268</v>
      </c>
      <c r="B1275" s="88" t="str">
        <f>IF(OR(B1274="Total",B1274=""),"",IF(VLOOKUP(A1275,Journal!$B$7:$E$84,4)=0,"Total",VLOOKUP(A1275,Journal!$B$7:$D$84,3)))</f>
        <v/>
      </c>
      <c r="C1275" s="86" t="str">
        <f>IF(B1275="","",VLOOKUP(A1275,Journal!$B$7:$E$84,4))</f>
        <v/>
      </c>
      <c r="D1275" s="114" t="str">
        <f>IF(B1275="","",VLOOKUP(A1275,Journal!$B$7:$J$84,9))</f>
        <v/>
      </c>
      <c r="E1275" s="116"/>
      <c r="F1275" s="116"/>
      <c r="G1275" s="115"/>
      <c r="H1275" s="84" t="str">
        <f>IF(B1275="","",VLOOKUP(A1275,Journal!$B$7:$L$84,11))</f>
        <v/>
      </c>
      <c r="I1275" s="84" t="str">
        <f>IF(B1275="","",VLOOKUP(A1275,Journal!$B$7:$M$84,12))</f>
        <v/>
      </c>
      <c r="J1275" s="105">
        <f>IF(B1275="Total",SUM(J$8:J1274)+0.0001,IF(OR(B1275="",I$2=I1275),0,VLOOKUP(A1275,Journal!$B$7:M$84,8)))</f>
        <v>0</v>
      </c>
      <c r="K1275" s="102">
        <f>IF(B1275="Total",SUM(K$8:K1274)+0.0001,IF(OR(B1275="",J1275&lt;&gt;0),0,VLOOKUP(A1275,Journal!$B$7:M$84,8)))</f>
        <v>0</v>
      </c>
      <c r="L1275" s="87">
        <f t="shared" si="147"/>
        <v>0</v>
      </c>
      <c r="P1275">
        <f t="shared" si="148"/>
        <v>1.0000000000000001E-5</v>
      </c>
      <c r="R1275" s="15">
        <f t="shared" si="149"/>
        <v>1268</v>
      </c>
      <c r="S1275" s="126">
        <f>IF(VLOOKUP(A1275,Journal!$A$7:$E$70,5)=0,S1274+1,VLOOKUP(A1275,Journal!$A$7:$E$70,5))</f>
        <v>46925</v>
      </c>
      <c r="T1275" s="125">
        <f>IF(H$2=VLOOKUP(A1275,Journal!$A$7:$F$70,6),VLOOKUP(A1275,Journal!$A$7:M$70,9),0)</f>
        <v>0</v>
      </c>
      <c r="U1275" s="125">
        <f>IF(H$2=VLOOKUP(A1275,Journal!$A$7:$G$70,7),VLOOKUP(A1275,Journal!$A$7:M$70,9),0)</f>
        <v>0</v>
      </c>
      <c r="V1275" s="125">
        <f t="shared" si="145"/>
        <v>40</v>
      </c>
      <c r="X1275">
        <f t="shared" si="150"/>
        <v>0</v>
      </c>
      <c r="Y1275" s="143">
        <f t="shared" si="144"/>
        <v>-966.71052631584246</v>
      </c>
    </row>
    <row r="1276" spans="1:25" x14ac:dyDescent="0.25">
      <c r="A1276">
        <f t="shared" si="146"/>
        <v>1269</v>
      </c>
      <c r="B1276" s="88" t="str">
        <f>IF(OR(B1275="Total",B1275=""),"",IF(VLOOKUP(A1276,Journal!$B$7:$E$84,4)=0,"Total",VLOOKUP(A1276,Journal!$B$7:$D$84,3)))</f>
        <v/>
      </c>
      <c r="C1276" s="86" t="str">
        <f>IF(B1276="","",VLOOKUP(A1276,Journal!$B$7:$E$84,4))</f>
        <v/>
      </c>
      <c r="D1276" s="114" t="str">
        <f>IF(B1276="","",VLOOKUP(A1276,Journal!$B$7:$J$84,9))</f>
        <v/>
      </c>
      <c r="E1276" s="116"/>
      <c r="F1276" s="116"/>
      <c r="G1276" s="115"/>
      <c r="H1276" s="84" t="str">
        <f>IF(B1276="","",VLOOKUP(A1276,Journal!$B$7:$L$84,11))</f>
        <v/>
      </c>
      <c r="I1276" s="84" t="str">
        <f>IF(B1276="","",VLOOKUP(A1276,Journal!$B$7:$M$84,12))</f>
        <v/>
      </c>
      <c r="J1276" s="105">
        <f>IF(B1276="Total",SUM(J$8:J1275)+0.0001,IF(OR(B1276="",I$2=I1276),0,VLOOKUP(A1276,Journal!$B$7:M$84,8)))</f>
        <v>0</v>
      </c>
      <c r="K1276" s="102">
        <f>IF(B1276="Total",SUM(K$8:K1275)+0.0001,IF(OR(B1276="",J1276&lt;&gt;0),0,VLOOKUP(A1276,Journal!$B$7:M$84,8)))</f>
        <v>0</v>
      </c>
      <c r="L1276" s="87">
        <f t="shared" si="147"/>
        <v>0</v>
      </c>
      <c r="P1276">
        <f t="shared" si="148"/>
        <v>1.0000000000000001E-5</v>
      </c>
      <c r="R1276" s="15">
        <f t="shared" si="149"/>
        <v>1269</v>
      </c>
      <c r="S1276" s="126">
        <f>IF(VLOOKUP(A1276,Journal!$A$7:$E$70,5)=0,S1275+1,VLOOKUP(A1276,Journal!$A$7:$E$70,5))</f>
        <v>46926</v>
      </c>
      <c r="T1276" s="125">
        <f>IF(H$2=VLOOKUP(A1276,Journal!$A$7:$F$70,6),VLOOKUP(A1276,Journal!$A$7:M$70,9),0)</f>
        <v>0</v>
      </c>
      <c r="U1276" s="125">
        <f>IF(H$2=VLOOKUP(A1276,Journal!$A$7:$G$70,7),VLOOKUP(A1276,Journal!$A$7:M$70,9),0)</f>
        <v>0</v>
      </c>
      <c r="V1276" s="125">
        <f t="shared" si="145"/>
        <v>40</v>
      </c>
      <c r="X1276">
        <f t="shared" si="150"/>
        <v>0</v>
      </c>
      <c r="Y1276" s="143">
        <f t="shared" si="144"/>
        <v>-966.68421052636882</v>
      </c>
    </row>
    <row r="1277" spans="1:25" x14ac:dyDescent="0.25">
      <c r="A1277">
        <f t="shared" si="146"/>
        <v>1270</v>
      </c>
      <c r="B1277" s="88" t="str">
        <f>IF(OR(B1276="Total",B1276=""),"",IF(VLOOKUP(A1277,Journal!$B$7:$E$84,4)=0,"Total",VLOOKUP(A1277,Journal!$B$7:$D$84,3)))</f>
        <v/>
      </c>
      <c r="C1277" s="86" t="str">
        <f>IF(B1277="","",VLOOKUP(A1277,Journal!$B$7:$E$84,4))</f>
        <v/>
      </c>
      <c r="D1277" s="114" t="str">
        <f>IF(B1277="","",VLOOKUP(A1277,Journal!$B$7:$J$84,9))</f>
        <v/>
      </c>
      <c r="E1277" s="116"/>
      <c r="F1277" s="116"/>
      <c r="G1277" s="115"/>
      <c r="H1277" s="84" t="str">
        <f>IF(B1277="","",VLOOKUP(A1277,Journal!$B$7:$L$84,11))</f>
        <v/>
      </c>
      <c r="I1277" s="84" t="str">
        <f>IF(B1277="","",VLOOKUP(A1277,Journal!$B$7:$M$84,12))</f>
        <v/>
      </c>
      <c r="J1277" s="105">
        <f>IF(B1277="Total",SUM(J$8:J1276)+0.0001,IF(OR(B1277="",I$2=I1277),0,VLOOKUP(A1277,Journal!$B$7:M$84,8)))</f>
        <v>0</v>
      </c>
      <c r="K1277" s="102">
        <f>IF(B1277="Total",SUM(K$8:K1276)+0.0001,IF(OR(B1277="",J1277&lt;&gt;0),0,VLOOKUP(A1277,Journal!$B$7:M$84,8)))</f>
        <v>0</v>
      </c>
      <c r="L1277" s="87">
        <f t="shared" si="147"/>
        <v>0</v>
      </c>
      <c r="P1277">
        <f t="shared" si="148"/>
        <v>1.0000000000000001E-5</v>
      </c>
      <c r="R1277" s="15">
        <f t="shared" si="149"/>
        <v>1270</v>
      </c>
      <c r="S1277" s="126">
        <f>IF(VLOOKUP(A1277,Journal!$A$7:$E$70,5)=0,S1276+1,VLOOKUP(A1277,Journal!$A$7:$E$70,5))</f>
        <v>46927</v>
      </c>
      <c r="T1277" s="125">
        <f>IF(H$2=VLOOKUP(A1277,Journal!$A$7:$F$70,6),VLOOKUP(A1277,Journal!$A$7:M$70,9),0)</f>
        <v>0</v>
      </c>
      <c r="U1277" s="125">
        <f>IF(H$2=VLOOKUP(A1277,Journal!$A$7:$G$70,7),VLOOKUP(A1277,Journal!$A$7:M$70,9),0)</f>
        <v>0</v>
      </c>
      <c r="V1277" s="125">
        <f t="shared" si="145"/>
        <v>40</v>
      </c>
      <c r="X1277">
        <f t="shared" si="150"/>
        <v>0</v>
      </c>
      <c r="Y1277" s="143">
        <f t="shared" si="144"/>
        <v>-966.65789473689517</v>
      </c>
    </row>
    <row r="1278" spans="1:25" x14ac:dyDescent="0.25">
      <c r="A1278">
        <f t="shared" si="146"/>
        <v>1271</v>
      </c>
      <c r="B1278" s="88" t="str">
        <f>IF(OR(B1277="Total",B1277=""),"",IF(VLOOKUP(A1278,Journal!$B$7:$E$84,4)=0,"Total",VLOOKUP(A1278,Journal!$B$7:$D$84,3)))</f>
        <v/>
      </c>
      <c r="C1278" s="86" t="str">
        <f>IF(B1278="","",VLOOKUP(A1278,Journal!$B$7:$E$84,4))</f>
        <v/>
      </c>
      <c r="D1278" s="114" t="str">
        <f>IF(B1278="","",VLOOKUP(A1278,Journal!$B$7:$J$84,9))</f>
        <v/>
      </c>
      <c r="E1278" s="116"/>
      <c r="F1278" s="116"/>
      <c r="G1278" s="115"/>
      <c r="H1278" s="84" t="str">
        <f>IF(B1278="","",VLOOKUP(A1278,Journal!$B$7:$L$84,11))</f>
        <v/>
      </c>
      <c r="I1278" s="84" t="str">
        <f>IF(B1278="","",VLOOKUP(A1278,Journal!$B$7:$M$84,12))</f>
        <v/>
      </c>
      <c r="J1278" s="105">
        <f>IF(B1278="Total",SUM(J$8:J1277)+0.0001,IF(OR(B1278="",I$2=I1278),0,VLOOKUP(A1278,Journal!$B$7:M$84,8)))</f>
        <v>0</v>
      </c>
      <c r="K1278" s="102">
        <f>IF(B1278="Total",SUM(K$8:K1277)+0.0001,IF(OR(B1278="",J1278&lt;&gt;0),0,VLOOKUP(A1278,Journal!$B$7:M$84,8)))</f>
        <v>0</v>
      </c>
      <c r="L1278" s="87">
        <f t="shared" si="147"/>
        <v>0</v>
      </c>
      <c r="P1278">
        <f t="shared" si="148"/>
        <v>1.0000000000000001E-5</v>
      </c>
      <c r="R1278" s="15">
        <f t="shared" si="149"/>
        <v>1271</v>
      </c>
      <c r="S1278" s="126">
        <f>IF(VLOOKUP(A1278,Journal!$A$7:$E$70,5)=0,S1277+1,VLOOKUP(A1278,Journal!$A$7:$E$70,5))</f>
        <v>46928</v>
      </c>
      <c r="T1278" s="125">
        <f>IF(H$2=VLOOKUP(A1278,Journal!$A$7:$F$70,6),VLOOKUP(A1278,Journal!$A$7:M$70,9),0)</f>
        <v>0</v>
      </c>
      <c r="U1278" s="125">
        <f>IF(H$2=VLOOKUP(A1278,Journal!$A$7:$G$70,7),VLOOKUP(A1278,Journal!$A$7:M$70,9),0)</f>
        <v>0</v>
      </c>
      <c r="V1278" s="125">
        <f t="shared" si="145"/>
        <v>40</v>
      </c>
      <c r="X1278">
        <f t="shared" si="150"/>
        <v>0</v>
      </c>
      <c r="Y1278" s="143">
        <f t="shared" si="144"/>
        <v>-966.63157894742153</v>
      </c>
    </row>
    <row r="1279" spans="1:25" x14ac:dyDescent="0.25">
      <c r="A1279">
        <f t="shared" si="146"/>
        <v>1272</v>
      </c>
      <c r="B1279" s="88" t="str">
        <f>IF(OR(B1278="Total",B1278=""),"",IF(VLOOKUP(A1279,Journal!$B$7:$E$84,4)=0,"Total",VLOOKUP(A1279,Journal!$B$7:$D$84,3)))</f>
        <v/>
      </c>
      <c r="C1279" s="86" t="str">
        <f>IF(B1279="","",VLOOKUP(A1279,Journal!$B$7:$E$84,4))</f>
        <v/>
      </c>
      <c r="D1279" s="114" t="str">
        <f>IF(B1279="","",VLOOKUP(A1279,Journal!$B$7:$J$84,9))</f>
        <v/>
      </c>
      <c r="E1279" s="116"/>
      <c r="F1279" s="116"/>
      <c r="G1279" s="115"/>
      <c r="H1279" s="84" t="str">
        <f>IF(B1279="","",VLOOKUP(A1279,Journal!$B$7:$L$84,11))</f>
        <v/>
      </c>
      <c r="I1279" s="84" t="str">
        <f>IF(B1279="","",VLOOKUP(A1279,Journal!$B$7:$M$84,12))</f>
        <v/>
      </c>
      <c r="J1279" s="105">
        <f>IF(B1279="Total",SUM(J$8:J1278)+0.0001,IF(OR(B1279="",I$2=I1279),0,VLOOKUP(A1279,Journal!$B$7:M$84,8)))</f>
        <v>0</v>
      </c>
      <c r="K1279" s="102">
        <f>IF(B1279="Total",SUM(K$8:K1278)+0.0001,IF(OR(B1279="",J1279&lt;&gt;0),0,VLOOKUP(A1279,Journal!$B$7:M$84,8)))</f>
        <v>0</v>
      </c>
      <c r="L1279" s="87">
        <f t="shared" si="147"/>
        <v>0</v>
      </c>
      <c r="P1279">
        <f t="shared" si="148"/>
        <v>1.0000000000000001E-5</v>
      </c>
      <c r="R1279" s="15">
        <f t="shared" si="149"/>
        <v>1272</v>
      </c>
      <c r="S1279" s="126">
        <f>IF(VLOOKUP(A1279,Journal!$A$7:$E$70,5)=0,S1278+1,VLOOKUP(A1279,Journal!$A$7:$E$70,5))</f>
        <v>46929</v>
      </c>
      <c r="T1279" s="125">
        <f>IF(H$2=VLOOKUP(A1279,Journal!$A$7:$F$70,6),VLOOKUP(A1279,Journal!$A$7:M$70,9),0)</f>
        <v>0</v>
      </c>
      <c r="U1279" s="125">
        <f>IF(H$2=VLOOKUP(A1279,Journal!$A$7:$G$70,7),VLOOKUP(A1279,Journal!$A$7:M$70,9),0)</f>
        <v>0</v>
      </c>
      <c r="V1279" s="125">
        <f t="shared" si="145"/>
        <v>40</v>
      </c>
      <c r="X1279">
        <f t="shared" si="150"/>
        <v>0</v>
      </c>
      <c r="Y1279" s="143">
        <f t="shared" si="144"/>
        <v>-966.60526315794789</v>
      </c>
    </row>
    <row r="1280" spans="1:25" x14ac:dyDescent="0.25">
      <c r="A1280">
        <f t="shared" si="146"/>
        <v>1273</v>
      </c>
      <c r="B1280" s="88" t="str">
        <f>IF(OR(B1279="Total",B1279=""),"",IF(VLOOKUP(A1280,Journal!$B$7:$E$84,4)=0,"Total",VLOOKUP(A1280,Journal!$B$7:$D$84,3)))</f>
        <v/>
      </c>
      <c r="C1280" s="86" t="str">
        <f>IF(B1280="","",VLOOKUP(A1280,Journal!$B$7:$E$84,4))</f>
        <v/>
      </c>
      <c r="D1280" s="114" t="str">
        <f>IF(B1280="","",VLOOKUP(A1280,Journal!$B$7:$J$84,9))</f>
        <v/>
      </c>
      <c r="E1280" s="116"/>
      <c r="F1280" s="116"/>
      <c r="G1280" s="115"/>
      <c r="H1280" s="84" t="str">
        <f>IF(B1280="","",VLOOKUP(A1280,Journal!$B$7:$L$84,11))</f>
        <v/>
      </c>
      <c r="I1280" s="84" t="str">
        <f>IF(B1280="","",VLOOKUP(A1280,Journal!$B$7:$M$84,12))</f>
        <v/>
      </c>
      <c r="J1280" s="105">
        <f>IF(B1280="Total",SUM(J$8:J1279)+0.0001,IF(OR(B1280="",I$2=I1280),0,VLOOKUP(A1280,Journal!$B$7:M$84,8)))</f>
        <v>0</v>
      </c>
      <c r="K1280" s="102">
        <f>IF(B1280="Total",SUM(K$8:K1279)+0.0001,IF(OR(B1280="",J1280&lt;&gt;0),0,VLOOKUP(A1280,Journal!$B$7:M$84,8)))</f>
        <v>0</v>
      </c>
      <c r="L1280" s="87">
        <f t="shared" si="147"/>
        <v>0</v>
      </c>
      <c r="P1280">
        <f t="shared" si="148"/>
        <v>1.0000000000000001E-5</v>
      </c>
      <c r="R1280" s="15">
        <f t="shared" si="149"/>
        <v>1273</v>
      </c>
      <c r="S1280" s="126">
        <f>IF(VLOOKUP(A1280,Journal!$A$7:$E$70,5)=0,S1279+1,VLOOKUP(A1280,Journal!$A$7:$E$70,5))</f>
        <v>46930</v>
      </c>
      <c r="T1280" s="125">
        <f>IF(H$2=VLOOKUP(A1280,Journal!$A$7:$F$70,6),VLOOKUP(A1280,Journal!$A$7:M$70,9),0)</f>
        <v>0</v>
      </c>
      <c r="U1280" s="125">
        <f>IF(H$2=VLOOKUP(A1280,Journal!$A$7:$G$70,7),VLOOKUP(A1280,Journal!$A$7:M$70,9),0)</f>
        <v>0</v>
      </c>
      <c r="V1280" s="125">
        <f t="shared" si="145"/>
        <v>40</v>
      </c>
      <c r="X1280">
        <f t="shared" si="150"/>
        <v>0</v>
      </c>
      <c r="Y1280" s="143">
        <f t="shared" si="144"/>
        <v>-966.57894736847425</v>
      </c>
    </row>
    <row r="1281" spans="1:25" x14ac:dyDescent="0.25">
      <c r="A1281">
        <f t="shared" si="146"/>
        <v>1274</v>
      </c>
      <c r="B1281" s="88" t="str">
        <f>IF(OR(B1280="Total",B1280=""),"",IF(VLOOKUP(A1281,Journal!$B$7:$E$84,4)=0,"Total",VLOOKUP(A1281,Journal!$B$7:$D$84,3)))</f>
        <v/>
      </c>
      <c r="C1281" s="86" t="str">
        <f>IF(B1281="","",VLOOKUP(A1281,Journal!$B$7:$E$84,4))</f>
        <v/>
      </c>
      <c r="D1281" s="114" t="str">
        <f>IF(B1281="","",VLOOKUP(A1281,Journal!$B$7:$J$84,9))</f>
        <v/>
      </c>
      <c r="E1281" s="116"/>
      <c r="F1281" s="116"/>
      <c r="G1281" s="115"/>
      <c r="H1281" s="84" t="str">
        <f>IF(B1281="","",VLOOKUP(A1281,Journal!$B$7:$L$84,11))</f>
        <v/>
      </c>
      <c r="I1281" s="84" t="str">
        <f>IF(B1281="","",VLOOKUP(A1281,Journal!$B$7:$M$84,12))</f>
        <v/>
      </c>
      <c r="J1281" s="105">
        <f>IF(B1281="Total",SUM(J$8:J1280)+0.0001,IF(OR(B1281="",I$2=I1281),0,VLOOKUP(A1281,Journal!$B$7:M$84,8)))</f>
        <v>0</v>
      </c>
      <c r="K1281" s="102">
        <f>IF(B1281="Total",SUM(K$8:K1280)+0.0001,IF(OR(B1281="",J1281&lt;&gt;0),0,VLOOKUP(A1281,Journal!$B$7:M$84,8)))</f>
        <v>0</v>
      </c>
      <c r="L1281" s="87">
        <f t="shared" si="147"/>
        <v>0</v>
      </c>
      <c r="P1281">
        <f t="shared" si="148"/>
        <v>1.0000000000000001E-5</v>
      </c>
      <c r="R1281" s="15">
        <f t="shared" si="149"/>
        <v>1274</v>
      </c>
      <c r="S1281" s="126">
        <f>IF(VLOOKUP(A1281,Journal!$A$7:$E$70,5)=0,S1280+1,VLOOKUP(A1281,Journal!$A$7:$E$70,5))</f>
        <v>46931</v>
      </c>
      <c r="T1281" s="125">
        <f>IF(H$2=VLOOKUP(A1281,Journal!$A$7:$F$70,6),VLOOKUP(A1281,Journal!$A$7:M$70,9),0)</f>
        <v>0</v>
      </c>
      <c r="U1281" s="125">
        <f>IF(H$2=VLOOKUP(A1281,Journal!$A$7:$G$70,7),VLOOKUP(A1281,Journal!$A$7:M$70,9),0)</f>
        <v>0</v>
      </c>
      <c r="V1281" s="125">
        <f t="shared" si="145"/>
        <v>40</v>
      </c>
      <c r="X1281">
        <f t="shared" si="150"/>
        <v>0</v>
      </c>
      <c r="Y1281" s="143">
        <f t="shared" si="144"/>
        <v>-966.5526315790006</v>
      </c>
    </row>
    <row r="1282" spans="1:25" x14ac:dyDescent="0.25">
      <c r="A1282">
        <f t="shared" si="146"/>
        <v>1275</v>
      </c>
      <c r="B1282" s="88" t="str">
        <f>IF(OR(B1281="Total",B1281=""),"",IF(VLOOKUP(A1282,Journal!$B$7:$E$84,4)=0,"Total",VLOOKUP(A1282,Journal!$B$7:$D$84,3)))</f>
        <v/>
      </c>
      <c r="C1282" s="86" t="str">
        <f>IF(B1282="","",VLOOKUP(A1282,Journal!$B$7:$E$84,4))</f>
        <v/>
      </c>
      <c r="D1282" s="114" t="str">
        <f>IF(B1282="","",VLOOKUP(A1282,Journal!$B$7:$J$84,9))</f>
        <v/>
      </c>
      <c r="E1282" s="116"/>
      <c r="F1282" s="116"/>
      <c r="G1282" s="115"/>
      <c r="H1282" s="84" t="str">
        <f>IF(B1282="","",VLOOKUP(A1282,Journal!$B$7:$L$84,11))</f>
        <v/>
      </c>
      <c r="I1282" s="84" t="str">
        <f>IF(B1282="","",VLOOKUP(A1282,Journal!$B$7:$M$84,12))</f>
        <v/>
      </c>
      <c r="J1282" s="105">
        <f>IF(B1282="Total",SUM(J$8:J1281)+0.0001,IF(OR(B1282="",I$2=I1282),0,VLOOKUP(A1282,Journal!$B$7:M$84,8)))</f>
        <v>0</v>
      </c>
      <c r="K1282" s="102">
        <f>IF(B1282="Total",SUM(K$8:K1281)+0.0001,IF(OR(B1282="",J1282&lt;&gt;0),0,VLOOKUP(A1282,Journal!$B$7:M$84,8)))</f>
        <v>0</v>
      </c>
      <c r="L1282" s="87">
        <f t="shared" si="147"/>
        <v>0</v>
      </c>
      <c r="P1282">
        <f t="shared" si="148"/>
        <v>1.0000000000000001E-5</v>
      </c>
      <c r="R1282" s="15">
        <f t="shared" si="149"/>
        <v>1275</v>
      </c>
      <c r="S1282" s="126">
        <f>IF(VLOOKUP(A1282,Journal!$A$7:$E$70,5)=0,S1281+1,VLOOKUP(A1282,Journal!$A$7:$E$70,5))</f>
        <v>46932</v>
      </c>
      <c r="T1282" s="125">
        <f>IF(H$2=VLOOKUP(A1282,Journal!$A$7:$F$70,6),VLOOKUP(A1282,Journal!$A$7:M$70,9),0)</f>
        <v>0</v>
      </c>
      <c r="U1282" s="125">
        <f>IF(H$2=VLOOKUP(A1282,Journal!$A$7:$G$70,7),VLOOKUP(A1282,Journal!$A$7:M$70,9),0)</f>
        <v>0</v>
      </c>
      <c r="V1282" s="125">
        <f t="shared" si="145"/>
        <v>40</v>
      </c>
      <c r="X1282">
        <f t="shared" si="150"/>
        <v>0</v>
      </c>
      <c r="Y1282" s="143">
        <f t="shared" si="144"/>
        <v>-966.52631578952696</v>
      </c>
    </row>
    <row r="1283" spans="1:25" x14ac:dyDescent="0.25">
      <c r="A1283">
        <f t="shared" si="146"/>
        <v>1276</v>
      </c>
      <c r="B1283" s="88" t="str">
        <f>IF(OR(B1282="Total",B1282=""),"",IF(VLOOKUP(A1283,Journal!$B$7:$E$84,4)=0,"Total",VLOOKUP(A1283,Journal!$B$7:$D$84,3)))</f>
        <v/>
      </c>
      <c r="C1283" s="86" t="str">
        <f>IF(B1283="","",VLOOKUP(A1283,Journal!$B$7:$E$84,4))</f>
        <v/>
      </c>
      <c r="D1283" s="114" t="str">
        <f>IF(B1283="","",VLOOKUP(A1283,Journal!$B$7:$J$84,9))</f>
        <v/>
      </c>
      <c r="E1283" s="116"/>
      <c r="F1283" s="116"/>
      <c r="G1283" s="115"/>
      <c r="H1283" s="84" t="str">
        <f>IF(B1283="","",VLOOKUP(A1283,Journal!$B$7:$L$84,11))</f>
        <v/>
      </c>
      <c r="I1283" s="84" t="str">
        <f>IF(B1283="","",VLOOKUP(A1283,Journal!$B$7:$M$84,12))</f>
        <v/>
      </c>
      <c r="J1283" s="105">
        <f>IF(B1283="Total",SUM(J$8:J1282)+0.0001,IF(OR(B1283="",I$2=I1283),0,VLOOKUP(A1283,Journal!$B$7:M$84,8)))</f>
        <v>0</v>
      </c>
      <c r="K1283" s="102">
        <f>IF(B1283="Total",SUM(K$8:K1282)+0.0001,IF(OR(B1283="",J1283&lt;&gt;0),0,VLOOKUP(A1283,Journal!$B$7:M$84,8)))</f>
        <v>0</v>
      </c>
      <c r="L1283" s="87">
        <f t="shared" si="147"/>
        <v>0</v>
      </c>
      <c r="P1283">
        <f t="shared" si="148"/>
        <v>1.0000000000000001E-5</v>
      </c>
      <c r="R1283" s="15">
        <f t="shared" si="149"/>
        <v>1276</v>
      </c>
      <c r="S1283" s="126">
        <f>IF(VLOOKUP(A1283,Journal!$A$7:$E$70,5)=0,S1282+1,VLOOKUP(A1283,Journal!$A$7:$E$70,5))</f>
        <v>46933</v>
      </c>
      <c r="T1283" s="125">
        <f>IF(H$2=VLOOKUP(A1283,Journal!$A$7:$F$70,6),VLOOKUP(A1283,Journal!$A$7:M$70,9),0)</f>
        <v>0</v>
      </c>
      <c r="U1283" s="125">
        <f>IF(H$2=VLOOKUP(A1283,Journal!$A$7:$G$70,7),VLOOKUP(A1283,Journal!$A$7:M$70,9),0)</f>
        <v>0</v>
      </c>
      <c r="V1283" s="125">
        <f t="shared" si="145"/>
        <v>40</v>
      </c>
      <c r="X1283">
        <f t="shared" si="150"/>
        <v>0</v>
      </c>
      <c r="Y1283" s="143">
        <f t="shared" si="144"/>
        <v>-966.50000000005332</v>
      </c>
    </row>
    <row r="1284" spans="1:25" x14ac:dyDescent="0.25">
      <c r="A1284">
        <f t="shared" si="146"/>
        <v>1277</v>
      </c>
      <c r="B1284" s="88" t="str">
        <f>IF(OR(B1283="Total",B1283=""),"",IF(VLOOKUP(A1284,Journal!$B$7:$E$84,4)=0,"Total",VLOOKUP(A1284,Journal!$B$7:$D$84,3)))</f>
        <v/>
      </c>
      <c r="C1284" s="86" t="str">
        <f>IF(B1284="","",VLOOKUP(A1284,Journal!$B$7:$E$84,4))</f>
        <v/>
      </c>
      <c r="D1284" s="114" t="str">
        <f>IF(B1284="","",VLOOKUP(A1284,Journal!$B$7:$J$84,9))</f>
        <v/>
      </c>
      <c r="E1284" s="116"/>
      <c r="F1284" s="116"/>
      <c r="G1284" s="115"/>
      <c r="H1284" s="84" t="str">
        <f>IF(B1284="","",VLOOKUP(A1284,Journal!$B$7:$L$84,11))</f>
        <v/>
      </c>
      <c r="I1284" s="84" t="str">
        <f>IF(B1284="","",VLOOKUP(A1284,Journal!$B$7:$M$84,12))</f>
        <v/>
      </c>
      <c r="J1284" s="105">
        <f>IF(B1284="Total",SUM(J$8:J1283)+0.0001,IF(OR(B1284="",I$2=I1284),0,VLOOKUP(A1284,Journal!$B$7:M$84,8)))</f>
        <v>0</v>
      </c>
      <c r="K1284" s="102">
        <f>IF(B1284="Total",SUM(K$8:K1283)+0.0001,IF(OR(B1284="",J1284&lt;&gt;0),0,VLOOKUP(A1284,Journal!$B$7:M$84,8)))</f>
        <v>0</v>
      </c>
      <c r="L1284" s="87">
        <f t="shared" si="147"/>
        <v>0</v>
      </c>
      <c r="P1284">
        <f t="shared" si="148"/>
        <v>1.0000000000000001E-5</v>
      </c>
      <c r="R1284" s="15">
        <f t="shared" si="149"/>
        <v>1277</v>
      </c>
      <c r="S1284" s="126">
        <f>IF(VLOOKUP(A1284,Journal!$A$7:$E$70,5)=0,S1283+1,VLOOKUP(A1284,Journal!$A$7:$E$70,5))</f>
        <v>46934</v>
      </c>
      <c r="T1284" s="125">
        <f>IF(H$2=VLOOKUP(A1284,Journal!$A$7:$F$70,6),VLOOKUP(A1284,Journal!$A$7:M$70,9),0)</f>
        <v>0</v>
      </c>
      <c r="U1284" s="125">
        <f>IF(H$2=VLOOKUP(A1284,Journal!$A$7:$G$70,7),VLOOKUP(A1284,Journal!$A$7:M$70,9),0)</f>
        <v>0</v>
      </c>
      <c r="V1284" s="125">
        <f t="shared" si="145"/>
        <v>40</v>
      </c>
      <c r="X1284">
        <f t="shared" si="150"/>
        <v>0</v>
      </c>
      <c r="Y1284" s="143">
        <f t="shared" si="144"/>
        <v>-966.47368421057968</v>
      </c>
    </row>
    <row r="1285" spans="1:25" x14ac:dyDescent="0.25">
      <c r="A1285">
        <f t="shared" si="146"/>
        <v>1278</v>
      </c>
      <c r="B1285" s="88" t="str">
        <f>IF(OR(B1284="Total",B1284=""),"",IF(VLOOKUP(A1285,Journal!$B$7:$E$84,4)=0,"Total",VLOOKUP(A1285,Journal!$B$7:$D$84,3)))</f>
        <v/>
      </c>
      <c r="C1285" s="86" t="str">
        <f>IF(B1285="","",VLOOKUP(A1285,Journal!$B$7:$E$84,4))</f>
        <v/>
      </c>
      <c r="D1285" s="114" t="str">
        <f>IF(B1285="","",VLOOKUP(A1285,Journal!$B$7:$J$84,9))</f>
        <v/>
      </c>
      <c r="E1285" s="116"/>
      <c r="F1285" s="116"/>
      <c r="G1285" s="115"/>
      <c r="H1285" s="84" t="str">
        <f>IF(B1285="","",VLOOKUP(A1285,Journal!$B$7:$L$84,11))</f>
        <v/>
      </c>
      <c r="I1285" s="84" t="str">
        <f>IF(B1285="","",VLOOKUP(A1285,Journal!$B$7:$M$84,12))</f>
        <v/>
      </c>
      <c r="J1285" s="105">
        <f>IF(B1285="Total",SUM(J$8:J1284)+0.0001,IF(OR(B1285="",I$2=I1285),0,VLOOKUP(A1285,Journal!$B$7:M$84,8)))</f>
        <v>0</v>
      </c>
      <c r="K1285" s="102">
        <f>IF(B1285="Total",SUM(K$8:K1284)+0.0001,IF(OR(B1285="",J1285&lt;&gt;0),0,VLOOKUP(A1285,Journal!$B$7:M$84,8)))</f>
        <v>0</v>
      </c>
      <c r="L1285" s="87">
        <f t="shared" si="147"/>
        <v>0</v>
      </c>
      <c r="P1285">
        <f t="shared" si="148"/>
        <v>1.0000000000000001E-5</v>
      </c>
      <c r="R1285" s="15">
        <f t="shared" si="149"/>
        <v>1278</v>
      </c>
      <c r="S1285" s="126">
        <f>IF(VLOOKUP(A1285,Journal!$A$7:$E$70,5)=0,S1284+1,VLOOKUP(A1285,Journal!$A$7:$E$70,5))</f>
        <v>46935</v>
      </c>
      <c r="T1285" s="125">
        <f>IF(H$2=VLOOKUP(A1285,Journal!$A$7:$F$70,6),VLOOKUP(A1285,Journal!$A$7:M$70,9),0)</f>
        <v>0</v>
      </c>
      <c r="U1285" s="125">
        <f>IF(H$2=VLOOKUP(A1285,Journal!$A$7:$G$70,7),VLOOKUP(A1285,Journal!$A$7:M$70,9),0)</f>
        <v>0</v>
      </c>
      <c r="V1285" s="125">
        <f t="shared" si="145"/>
        <v>40</v>
      </c>
      <c r="X1285">
        <f t="shared" si="150"/>
        <v>0</v>
      </c>
      <c r="Y1285" s="143">
        <f t="shared" si="144"/>
        <v>-966.44736842110603</v>
      </c>
    </row>
    <row r="1286" spans="1:25" x14ac:dyDescent="0.25">
      <c r="A1286">
        <f t="shared" si="146"/>
        <v>1279</v>
      </c>
      <c r="B1286" s="88" t="str">
        <f>IF(OR(B1285="Total",B1285=""),"",IF(VLOOKUP(A1286,Journal!$B$7:$E$84,4)=0,"Total",VLOOKUP(A1286,Journal!$B$7:$D$84,3)))</f>
        <v/>
      </c>
      <c r="C1286" s="86" t="str">
        <f>IF(B1286="","",VLOOKUP(A1286,Journal!$B$7:$E$84,4))</f>
        <v/>
      </c>
      <c r="D1286" s="114" t="str">
        <f>IF(B1286="","",VLOOKUP(A1286,Journal!$B$7:$J$84,9))</f>
        <v/>
      </c>
      <c r="E1286" s="116"/>
      <c r="F1286" s="116"/>
      <c r="G1286" s="115"/>
      <c r="H1286" s="84" t="str">
        <f>IF(B1286="","",VLOOKUP(A1286,Journal!$B$7:$L$84,11))</f>
        <v/>
      </c>
      <c r="I1286" s="84" t="str">
        <f>IF(B1286="","",VLOOKUP(A1286,Journal!$B$7:$M$84,12))</f>
        <v/>
      </c>
      <c r="J1286" s="105">
        <f>IF(B1286="Total",SUM(J$8:J1285)+0.0001,IF(OR(B1286="",I$2=I1286),0,VLOOKUP(A1286,Journal!$B$7:M$84,8)))</f>
        <v>0</v>
      </c>
      <c r="K1286" s="102">
        <f>IF(B1286="Total",SUM(K$8:K1285)+0.0001,IF(OR(B1286="",J1286&lt;&gt;0),0,VLOOKUP(A1286,Journal!$B$7:M$84,8)))</f>
        <v>0</v>
      </c>
      <c r="L1286" s="87">
        <f t="shared" si="147"/>
        <v>0</v>
      </c>
      <c r="P1286">
        <f t="shared" si="148"/>
        <v>1.0000000000000001E-5</v>
      </c>
      <c r="R1286" s="15">
        <f t="shared" si="149"/>
        <v>1279</v>
      </c>
      <c r="S1286" s="126">
        <f>IF(VLOOKUP(A1286,Journal!$A$7:$E$70,5)=0,S1285+1,VLOOKUP(A1286,Journal!$A$7:$E$70,5))</f>
        <v>46936</v>
      </c>
      <c r="T1286" s="125">
        <f>IF(H$2=VLOOKUP(A1286,Journal!$A$7:$F$70,6),VLOOKUP(A1286,Journal!$A$7:M$70,9),0)</f>
        <v>0</v>
      </c>
      <c r="U1286" s="125">
        <f>IF(H$2=VLOOKUP(A1286,Journal!$A$7:$G$70,7),VLOOKUP(A1286,Journal!$A$7:M$70,9),0)</f>
        <v>0</v>
      </c>
      <c r="V1286" s="125">
        <f t="shared" si="145"/>
        <v>40</v>
      </c>
      <c r="X1286">
        <f t="shared" si="150"/>
        <v>0</v>
      </c>
      <c r="Y1286" s="143">
        <f t="shared" si="144"/>
        <v>-966.42105263163239</v>
      </c>
    </row>
    <row r="1287" spans="1:25" x14ac:dyDescent="0.25">
      <c r="A1287">
        <f t="shared" si="146"/>
        <v>1280</v>
      </c>
      <c r="B1287" s="88" t="str">
        <f>IF(OR(B1286="Total",B1286=""),"",IF(VLOOKUP(A1287,Journal!$B$7:$E$84,4)=0,"Total",VLOOKUP(A1287,Journal!$B$7:$D$84,3)))</f>
        <v/>
      </c>
      <c r="C1287" s="86" t="str">
        <f>IF(B1287="","",VLOOKUP(A1287,Journal!$B$7:$E$84,4))</f>
        <v/>
      </c>
      <c r="D1287" s="114" t="str">
        <f>IF(B1287="","",VLOOKUP(A1287,Journal!$B$7:$J$84,9))</f>
        <v/>
      </c>
      <c r="E1287" s="116"/>
      <c r="F1287" s="116"/>
      <c r="G1287" s="115"/>
      <c r="H1287" s="84" t="str">
        <f>IF(B1287="","",VLOOKUP(A1287,Journal!$B$7:$L$84,11))</f>
        <v/>
      </c>
      <c r="I1287" s="84" t="str">
        <f>IF(B1287="","",VLOOKUP(A1287,Journal!$B$7:$M$84,12))</f>
        <v/>
      </c>
      <c r="J1287" s="105">
        <f>IF(B1287="Total",SUM(J$8:J1286)+0.0001,IF(OR(B1287="",I$2=I1287),0,VLOOKUP(A1287,Journal!$B$7:M$84,8)))</f>
        <v>0</v>
      </c>
      <c r="K1287" s="102">
        <f>IF(B1287="Total",SUM(K$8:K1286)+0.0001,IF(OR(B1287="",J1287&lt;&gt;0),0,VLOOKUP(A1287,Journal!$B$7:M$84,8)))</f>
        <v>0</v>
      </c>
      <c r="L1287" s="87">
        <f t="shared" si="147"/>
        <v>0</v>
      </c>
      <c r="P1287">
        <f t="shared" si="148"/>
        <v>1.0000000000000001E-5</v>
      </c>
      <c r="R1287" s="15">
        <f t="shared" si="149"/>
        <v>1280</v>
      </c>
      <c r="S1287" s="126">
        <f>IF(VLOOKUP(A1287,Journal!$A$7:$E$70,5)=0,S1286+1,VLOOKUP(A1287,Journal!$A$7:$E$70,5))</f>
        <v>46937</v>
      </c>
      <c r="T1287" s="125">
        <f>IF(H$2=VLOOKUP(A1287,Journal!$A$7:$F$70,6),VLOOKUP(A1287,Journal!$A$7:M$70,9),0)</f>
        <v>0</v>
      </c>
      <c r="U1287" s="125">
        <f>IF(H$2=VLOOKUP(A1287,Journal!$A$7:$G$70,7),VLOOKUP(A1287,Journal!$A$7:M$70,9),0)</f>
        <v>0</v>
      </c>
      <c r="V1287" s="125">
        <f t="shared" si="145"/>
        <v>40</v>
      </c>
      <c r="X1287">
        <f t="shared" si="150"/>
        <v>0</v>
      </c>
      <c r="Y1287" s="143">
        <f t="shared" si="144"/>
        <v>-966.39473684215875</v>
      </c>
    </row>
    <row r="1288" spans="1:25" x14ac:dyDescent="0.25">
      <c r="A1288">
        <f t="shared" si="146"/>
        <v>1281</v>
      </c>
      <c r="B1288" s="88" t="str">
        <f>IF(OR(B1287="Total",B1287=""),"",IF(VLOOKUP(A1288,Journal!$B$7:$E$84,4)=0,"Total",VLOOKUP(A1288,Journal!$B$7:$D$84,3)))</f>
        <v/>
      </c>
      <c r="C1288" s="86" t="str">
        <f>IF(B1288="","",VLOOKUP(A1288,Journal!$B$7:$E$84,4))</f>
        <v/>
      </c>
      <c r="D1288" s="114" t="str">
        <f>IF(B1288="","",VLOOKUP(A1288,Journal!$B$7:$J$84,9))</f>
        <v/>
      </c>
      <c r="E1288" s="116"/>
      <c r="F1288" s="116"/>
      <c r="G1288" s="115"/>
      <c r="H1288" s="84" t="str">
        <f>IF(B1288="","",VLOOKUP(A1288,Journal!$B$7:$L$84,11))</f>
        <v/>
      </c>
      <c r="I1288" s="84" t="str">
        <f>IF(B1288="","",VLOOKUP(A1288,Journal!$B$7:$M$84,12))</f>
        <v/>
      </c>
      <c r="J1288" s="105">
        <f>IF(B1288="Total",SUM(J$8:J1287)+0.0001,IF(OR(B1288="",I$2=I1288),0,VLOOKUP(A1288,Journal!$B$7:M$84,8)))</f>
        <v>0</v>
      </c>
      <c r="K1288" s="102">
        <f>IF(B1288="Total",SUM(K$8:K1287)+0.0001,IF(OR(B1288="",J1288&lt;&gt;0),0,VLOOKUP(A1288,Journal!$B$7:M$84,8)))</f>
        <v>0</v>
      </c>
      <c r="L1288" s="87">
        <f t="shared" si="147"/>
        <v>0</v>
      </c>
      <c r="P1288">
        <f t="shared" si="148"/>
        <v>1.0000000000000001E-5</v>
      </c>
      <c r="R1288" s="15">
        <f t="shared" si="149"/>
        <v>1281</v>
      </c>
      <c r="S1288" s="126">
        <f>IF(VLOOKUP(A1288,Journal!$A$7:$E$70,5)=0,S1287+1,VLOOKUP(A1288,Journal!$A$7:$E$70,5))</f>
        <v>46938</v>
      </c>
      <c r="T1288" s="125">
        <f>IF(H$2=VLOOKUP(A1288,Journal!$A$7:$F$70,6),VLOOKUP(A1288,Journal!$A$7:M$70,9),0)</f>
        <v>0</v>
      </c>
      <c r="U1288" s="125">
        <f>IF(H$2=VLOOKUP(A1288,Journal!$A$7:$G$70,7),VLOOKUP(A1288,Journal!$A$7:M$70,9),0)</f>
        <v>0</v>
      </c>
      <c r="V1288" s="125">
        <f t="shared" si="145"/>
        <v>40</v>
      </c>
      <c r="X1288">
        <f t="shared" si="150"/>
        <v>0</v>
      </c>
      <c r="Y1288" s="143">
        <f t="shared" ref="Y1288:Y1351" si="151">IF(B1287="Total",-1000,Y1287+Y$4)</f>
        <v>-966.36842105268511</v>
      </c>
    </row>
    <row r="1289" spans="1:25" x14ac:dyDescent="0.25">
      <c r="A1289">
        <f t="shared" si="146"/>
        <v>1282</v>
      </c>
      <c r="B1289" s="88" t="str">
        <f>IF(OR(B1288="Total",B1288=""),"",IF(VLOOKUP(A1289,Journal!$B$7:$E$84,4)=0,"Total",VLOOKUP(A1289,Journal!$B$7:$D$84,3)))</f>
        <v/>
      </c>
      <c r="C1289" s="86" t="str">
        <f>IF(B1289="","",VLOOKUP(A1289,Journal!$B$7:$E$84,4))</f>
        <v/>
      </c>
      <c r="D1289" s="114" t="str">
        <f>IF(B1289="","",VLOOKUP(A1289,Journal!$B$7:$J$84,9))</f>
        <v/>
      </c>
      <c r="E1289" s="116"/>
      <c r="F1289" s="116"/>
      <c r="G1289" s="115"/>
      <c r="H1289" s="84" t="str">
        <f>IF(B1289="","",VLOOKUP(A1289,Journal!$B$7:$L$84,11))</f>
        <v/>
      </c>
      <c r="I1289" s="84" t="str">
        <f>IF(B1289="","",VLOOKUP(A1289,Journal!$B$7:$M$84,12))</f>
        <v/>
      </c>
      <c r="J1289" s="105">
        <f>IF(B1289="Total",SUM(J$8:J1288)+0.0001,IF(OR(B1289="",I$2=I1289),0,VLOOKUP(A1289,Journal!$B$7:M$84,8)))</f>
        <v>0</v>
      </c>
      <c r="K1289" s="102">
        <f>IF(B1289="Total",SUM(K$8:K1288)+0.0001,IF(OR(B1289="",J1289&lt;&gt;0),0,VLOOKUP(A1289,Journal!$B$7:M$84,8)))</f>
        <v>0</v>
      </c>
      <c r="L1289" s="87">
        <f t="shared" si="147"/>
        <v>0</v>
      </c>
      <c r="P1289">
        <f t="shared" si="148"/>
        <v>1.0000000000000001E-5</v>
      </c>
      <c r="R1289" s="15">
        <f t="shared" si="149"/>
        <v>1282</v>
      </c>
      <c r="S1289" s="126">
        <f>IF(VLOOKUP(A1289,Journal!$A$7:$E$70,5)=0,S1288+1,VLOOKUP(A1289,Journal!$A$7:$E$70,5))</f>
        <v>46939</v>
      </c>
      <c r="T1289" s="125">
        <f>IF(H$2=VLOOKUP(A1289,Journal!$A$7:$F$70,6),VLOOKUP(A1289,Journal!$A$7:M$70,9),0)</f>
        <v>0</v>
      </c>
      <c r="U1289" s="125">
        <f>IF(H$2=VLOOKUP(A1289,Journal!$A$7:$G$70,7),VLOOKUP(A1289,Journal!$A$7:M$70,9),0)</f>
        <v>0</v>
      </c>
      <c r="V1289" s="125">
        <f t="shared" si="145"/>
        <v>40</v>
      </c>
      <c r="X1289">
        <f t="shared" si="150"/>
        <v>0</v>
      </c>
      <c r="Y1289" s="143">
        <f t="shared" si="151"/>
        <v>-966.34210526321147</v>
      </c>
    </row>
    <row r="1290" spans="1:25" x14ac:dyDescent="0.25">
      <c r="A1290">
        <f t="shared" si="146"/>
        <v>1283</v>
      </c>
      <c r="B1290" s="88" t="str">
        <f>IF(OR(B1289="Total",B1289=""),"",IF(VLOOKUP(A1290,Journal!$B$7:$E$84,4)=0,"Total",VLOOKUP(A1290,Journal!$B$7:$D$84,3)))</f>
        <v/>
      </c>
      <c r="C1290" s="86" t="str">
        <f>IF(B1290="","",VLOOKUP(A1290,Journal!$B$7:$E$84,4))</f>
        <v/>
      </c>
      <c r="D1290" s="114" t="str">
        <f>IF(B1290="","",VLOOKUP(A1290,Journal!$B$7:$J$84,9))</f>
        <v/>
      </c>
      <c r="E1290" s="116"/>
      <c r="F1290" s="116"/>
      <c r="G1290" s="115"/>
      <c r="H1290" s="84" t="str">
        <f>IF(B1290="","",VLOOKUP(A1290,Journal!$B$7:$L$84,11))</f>
        <v/>
      </c>
      <c r="I1290" s="84" t="str">
        <f>IF(B1290="","",VLOOKUP(A1290,Journal!$B$7:$M$84,12))</f>
        <v/>
      </c>
      <c r="J1290" s="105">
        <f>IF(B1290="Total",SUM(J$8:J1289)+0.0001,IF(OR(B1290="",I$2=I1290),0,VLOOKUP(A1290,Journal!$B$7:M$84,8)))</f>
        <v>0</v>
      </c>
      <c r="K1290" s="102">
        <f>IF(B1290="Total",SUM(K$8:K1289)+0.0001,IF(OR(B1290="",J1290&lt;&gt;0),0,VLOOKUP(A1290,Journal!$B$7:M$84,8)))</f>
        <v>0</v>
      </c>
      <c r="L1290" s="87">
        <f t="shared" si="147"/>
        <v>0</v>
      </c>
      <c r="P1290">
        <f t="shared" si="148"/>
        <v>1.0000000000000001E-5</v>
      </c>
      <c r="R1290" s="15">
        <f t="shared" si="149"/>
        <v>1283</v>
      </c>
      <c r="S1290" s="126">
        <f>IF(VLOOKUP(A1290,Journal!$A$7:$E$70,5)=0,S1289+1,VLOOKUP(A1290,Journal!$A$7:$E$70,5))</f>
        <v>46940</v>
      </c>
      <c r="T1290" s="125">
        <f>IF(H$2=VLOOKUP(A1290,Journal!$A$7:$F$70,6),VLOOKUP(A1290,Journal!$A$7:M$70,9),0)</f>
        <v>0</v>
      </c>
      <c r="U1290" s="125">
        <f>IF(H$2=VLOOKUP(A1290,Journal!$A$7:$G$70,7),VLOOKUP(A1290,Journal!$A$7:M$70,9),0)</f>
        <v>0</v>
      </c>
      <c r="V1290" s="125">
        <f t="shared" ref="V1290:V1353" si="152">IF($M$1=1,V1289+T1290-U1290,V1289-T1290+U1290)</f>
        <v>40</v>
      </c>
      <c r="X1290">
        <f t="shared" si="150"/>
        <v>0</v>
      </c>
      <c r="Y1290" s="143">
        <f t="shared" si="151"/>
        <v>-966.31578947373782</v>
      </c>
    </row>
    <row r="1291" spans="1:25" x14ac:dyDescent="0.25">
      <c r="A1291">
        <f t="shared" si="146"/>
        <v>1284</v>
      </c>
      <c r="B1291" s="88" t="str">
        <f>IF(OR(B1290="Total",B1290=""),"",IF(VLOOKUP(A1291,Journal!$B$7:$E$84,4)=0,"Total",VLOOKUP(A1291,Journal!$B$7:$D$84,3)))</f>
        <v/>
      </c>
      <c r="C1291" s="86" t="str">
        <f>IF(B1291="","",VLOOKUP(A1291,Journal!$B$7:$E$84,4))</f>
        <v/>
      </c>
      <c r="D1291" s="114" t="str">
        <f>IF(B1291="","",VLOOKUP(A1291,Journal!$B$7:$J$84,9))</f>
        <v/>
      </c>
      <c r="E1291" s="116"/>
      <c r="F1291" s="116"/>
      <c r="G1291" s="115"/>
      <c r="H1291" s="84" t="str">
        <f>IF(B1291="","",VLOOKUP(A1291,Journal!$B$7:$L$84,11))</f>
        <v/>
      </c>
      <c r="I1291" s="84" t="str">
        <f>IF(B1291="","",VLOOKUP(A1291,Journal!$B$7:$M$84,12))</f>
        <v/>
      </c>
      <c r="J1291" s="105">
        <f>IF(B1291="Total",SUM(J$8:J1290)+0.0001,IF(OR(B1291="",I$2=I1291),0,VLOOKUP(A1291,Journal!$B$7:M$84,8)))</f>
        <v>0</v>
      </c>
      <c r="K1291" s="102">
        <f>IF(B1291="Total",SUM(K$8:K1290)+0.0001,IF(OR(B1291="",J1291&lt;&gt;0),0,VLOOKUP(A1291,Journal!$B$7:M$84,8)))</f>
        <v>0</v>
      </c>
      <c r="L1291" s="87">
        <f t="shared" si="147"/>
        <v>0</v>
      </c>
      <c r="P1291">
        <f t="shared" si="148"/>
        <v>1.0000000000000001E-5</v>
      </c>
      <c r="R1291" s="15">
        <f t="shared" si="149"/>
        <v>1284</v>
      </c>
      <c r="S1291" s="126">
        <f>IF(VLOOKUP(A1291,Journal!$A$7:$E$70,5)=0,S1290+1,VLOOKUP(A1291,Journal!$A$7:$E$70,5))</f>
        <v>46941</v>
      </c>
      <c r="T1291" s="125">
        <f>IF(H$2=VLOOKUP(A1291,Journal!$A$7:$F$70,6),VLOOKUP(A1291,Journal!$A$7:M$70,9),0)</f>
        <v>0</v>
      </c>
      <c r="U1291" s="125">
        <f>IF(H$2=VLOOKUP(A1291,Journal!$A$7:$G$70,7),VLOOKUP(A1291,Journal!$A$7:M$70,9),0)</f>
        <v>0</v>
      </c>
      <c r="V1291" s="125">
        <f t="shared" si="152"/>
        <v>40</v>
      </c>
      <c r="X1291">
        <f t="shared" si="150"/>
        <v>0</v>
      </c>
      <c r="Y1291" s="143">
        <f t="shared" si="151"/>
        <v>-966.28947368426418</v>
      </c>
    </row>
    <row r="1292" spans="1:25" x14ac:dyDescent="0.25">
      <c r="A1292">
        <f t="shared" si="146"/>
        <v>1285</v>
      </c>
      <c r="B1292" s="88" t="str">
        <f>IF(OR(B1291="Total",B1291=""),"",IF(VLOOKUP(A1292,Journal!$B$7:$E$84,4)=0,"Total",VLOOKUP(A1292,Journal!$B$7:$D$84,3)))</f>
        <v/>
      </c>
      <c r="C1292" s="86" t="str">
        <f>IF(B1292="","",VLOOKUP(A1292,Journal!$B$7:$E$84,4))</f>
        <v/>
      </c>
      <c r="D1292" s="114" t="str">
        <f>IF(B1292="","",VLOOKUP(A1292,Journal!$B$7:$J$84,9))</f>
        <v/>
      </c>
      <c r="E1292" s="116"/>
      <c r="F1292" s="116"/>
      <c r="G1292" s="115"/>
      <c r="H1292" s="84" t="str">
        <f>IF(B1292="","",VLOOKUP(A1292,Journal!$B$7:$L$84,11))</f>
        <v/>
      </c>
      <c r="I1292" s="84" t="str">
        <f>IF(B1292="","",VLOOKUP(A1292,Journal!$B$7:$M$84,12))</f>
        <v/>
      </c>
      <c r="J1292" s="105">
        <f>IF(B1292="Total",SUM(J$8:J1291)+0.0001,IF(OR(B1292="",I$2=I1292),0,VLOOKUP(A1292,Journal!$B$7:M$84,8)))</f>
        <v>0</v>
      </c>
      <c r="K1292" s="102">
        <f>IF(B1292="Total",SUM(K$8:K1291)+0.0001,IF(OR(B1292="",J1292&lt;&gt;0),0,VLOOKUP(A1292,Journal!$B$7:M$84,8)))</f>
        <v>0</v>
      </c>
      <c r="L1292" s="87">
        <f t="shared" si="147"/>
        <v>0</v>
      </c>
      <c r="P1292">
        <f t="shared" si="148"/>
        <v>1.0000000000000001E-5</v>
      </c>
      <c r="R1292" s="15">
        <f t="shared" si="149"/>
        <v>1285</v>
      </c>
      <c r="S1292" s="126">
        <f>IF(VLOOKUP(A1292,Journal!$A$7:$E$70,5)=0,S1291+1,VLOOKUP(A1292,Journal!$A$7:$E$70,5))</f>
        <v>46942</v>
      </c>
      <c r="T1292" s="125">
        <f>IF(H$2=VLOOKUP(A1292,Journal!$A$7:$F$70,6),VLOOKUP(A1292,Journal!$A$7:M$70,9),0)</f>
        <v>0</v>
      </c>
      <c r="U1292" s="125">
        <f>IF(H$2=VLOOKUP(A1292,Journal!$A$7:$G$70,7),VLOOKUP(A1292,Journal!$A$7:M$70,9),0)</f>
        <v>0</v>
      </c>
      <c r="V1292" s="125">
        <f t="shared" si="152"/>
        <v>40</v>
      </c>
      <c r="X1292">
        <f t="shared" si="150"/>
        <v>0</v>
      </c>
      <c r="Y1292" s="143">
        <f t="shared" si="151"/>
        <v>-966.26315789479054</v>
      </c>
    </row>
    <row r="1293" spans="1:25" x14ac:dyDescent="0.25">
      <c r="A1293">
        <f t="shared" si="146"/>
        <v>1286</v>
      </c>
      <c r="B1293" s="88" t="str">
        <f>IF(OR(B1292="Total",B1292=""),"",IF(VLOOKUP(A1293,Journal!$B$7:$E$84,4)=0,"Total",VLOOKUP(A1293,Journal!$B$7:$D$84,3)))</f>
        <v/>
      </c>
      <c r="C1293" s="86" t="str">
        <f>IF(B1293="","",VLOOKUP(A1293,Journal!$B$7:$E$84,4))</f>
        <v/>
      </c>
      <c r="D1293" s="114" t="str">
        <f>IF(B1293="","",VLOOKUP(A1293,Journal!$B$7:$J$84,9))</f>
        <v/>
      </c>
      <c r="E1293" s="116"/>
      <c r="F1293" s="116"/>
      <c r="G1293" s="115"/>
      <c r="H1293" s="84" t="str">
        <f>IF(B1293="","",VLOOKUP(A1293,Journal!$B$7:$L$84,11))</f>
        <v/>
      </c>
      <c r="I1293" s="84" t="str">
        <f>IF(B1293="","",VLOOKUP(A1293,Journal!$B$7:$M$84,12))</f>
        <v/>
      </c>
      <c r="J1293" s="105">
        <f>IF(B1293="Total",SUM(J$8:J1292)+0.0001,IF(OR(B1293="",I$2=I1293),0,VLOOKUP(A1293,Journal!$B$7:M$84,8)))</f>
        <v>0</v>
      </c>
      <c r="K1293" s="102">
        <f>IF(B1293="Total",SUM(K$8:K1292)+0.0001,IF(OR(B1293="",J1293&lt;&gt;0),0,VLOOKUP(A1293,Journal!$B$7:M$84,8)))</f>
        <v>0</v>
      </c>
      <c r="L1293" s="87">
        <f t="shared" si="147"/>
        <v>0</v>
      </c>
      <c r="P1293">
        <f t="shared" si="148"/>
        <v>1.0000000000000001E-5</v>
      </c>
      <c r="R1293" s="15">
        <f t="shared" si="149"/>
        <v>1286</v>
      </c>
      <c r="S1293" s="126">
        <f>IF(VLOOKUP(A1293,Journal!$A$7:$E$70,5)=0,S1292+1,VLOOKUP(A1293,Journal!$A$7:$E$70,5))</f>
        <v>46943</v>
      </c>
      <c r="T1293" s="125">
        <f>IF(H$2=VLOOKUP(A1293,Journal!$A$7:$F$70,6),VLOOKUP(A1293,Journal!$A$7:M$70,9),0)</f>
        <v>0</v>
      </c>
      <c r="U1293" s="125">
        <f>IF(H$2=VLOOKUP(A1293,Journal!$A$7:$G$70,7),VLOOKUP(A1293,Journal!$A$7:M$70,9),0)</f>
        <v>0</v>
      </c>
      <c r="V1293" s="125">
        <f t="shared" si="152"/>
        <v>40</v>
      </c>
      <c r="X1293">
        <f t="shared" si="150"/>
        <v>0</v>
      </c>
      <c r="Y1293" s="143">
        <f t="shared" si="151"/>
        <v>-966.2368421053169</v>
      </c>
    </row>
    <row r="1294" spans="1:25" x14ac:dyDescent="0.25">
      <c r="A1294">
        <f t="shared" si="146"/>
        <v>1287</v>
      </c>
      <c r="B1294" s="88" t="str">
        <f>IF(OR(B1293="Total",B1293=""),"",IF(VLOOKUP(A1294,Journal!$B$7:$E$84,4)=0,"Total",VLOOKUP(A1294,Journal!$B$7:$D$84,3)))</f>
        <v/>
      </c>
      <c r="C1294" s="86" t="str">
        <f>IF(B1294="","",VLOOKUP(A1294,Journal!$B$7:$E$84,4))</f>
        <v/>
      </c>
      <c r="D1294" s="114" t="str">
        <f>IF(B1294="","",VLOOKUP(A1294,Journal!$B$7:$J$84,9))</f>
        <v/>
      </c>
      <c r="E1294" s="116"/>
      <c r="F1294" s="116"/>
      <c r="G1294" s="115"/>
      <c r="H1294" s="84" t="str">
        <f>IF(B1294="","",VLOOKUP(A1294,Journal!$B$7:$L$84,11))</f>
        <v/>
      </c>
      <c r="I1294" s="84" t="str">
        <f>IF(B1294="","",VLOOKUP(A1294,Journal!$B$7:$M$84,12))</f>
        <v/>
      </c>
      <c r="J1294" s="105">
        <f>IF(B1294="Total",SUM(J$8:J1293)+0.0001,IF(OR(B1294="",I$2=I1294),0,VLOOKUP(A1294,Journal!$B$7:M$84,8)))</f>
        <v>0</v>
      </c>
      <c r="K1294" s="102">
        <f>IF(B1294="Total",SUM(K$8:K1293)+0.0001,IF(OR(B1294="",J1294&lt;&gt;0),0,VLOOKUP(A1294,Journal!$B$7:M$84,8)))</f>
        <v>0</v>
      </c>
      <c r="L1294" s="87">
        <f t="shared" si="147"/>
        <v>0</v>
      </c>
      <c r="P1294">
        <f t="shared" si="148"/>
        <v>1.0000000000000001E-5</v>
      </c>
      <c r="R1294" s="15">
        <f t="shared" si="149"/>
        <v>1287</v>
      </c>
      <c r="S1294" s="126">
        <f>IF(VLOOKUP(A1294,Journal!$A$7:$E$70,5)=0,S1293+1,VLOOKUP(A1294,Journal!$A$7:$E$70,5))</f>
        <v>46944</v>
      </c>
      <c r="T1294" s="125">
        <f>IF(H$2=VLOOKUP(A1294,Journal!$A$7:$F$70,6),VLOOKUP(A1294,Journal!$A$7:M$70,9),0)</f>
        <v>0</v>
      </c>
      <c r="U1294" s="125">
        <f>IF(H$2=VLOOKUP(A1294,Journal!$A$7:$G$70,7),VLOOKUP(A1294,Journal!$A$7:M$70,9),0)</f>
        <v>0</v>
      </c>
      <c r="V1294" s="125">
        <f t="shared" si="152"/>
        <v>40</v>
      </c>
      <c r="X1294">
        <f t="shared" si="150"/>
        <v>0</v>
      </c>
      <c r="Y1294" s="143">
        <f t="shared" si="151"/>
        <v>-966.21052631584325</v>
      </c>
    </row>
    <row r="1295" spans="1:25" x14ac:dyDescent="0.25">
      <c r="A1295">
        <f t="shared" si="146"/>
        <v>1288</v>
      </c>
      <c r="B1295" s="88" t="str">
        <f>IF(OR(B1294="Total",B1294=""),"",IF(VLOOKUP(A1295,Journal!$B$7:$E$84,4)=0,"Total",VLOOKUP(A1295,Journal!$B$7:$D$84,3)))</f>
        <v/>
      </c>
      <c r="C1295" s="86" t="str">
        <f>IF(B1295="","",VLOOKUP(A1295,Journal!$B$7:$E$84,4))</f>
        <v/>
      </c>
      <c r="D1295" s="114" t="str">
        <f>IF(B1295="","",VLOOKUP(A1295,Journal!$B$7:$J$84,9))</f>
        <v/>
      </c>
      <c r="E1295" s="116"/>
      <c r="F1295" s="116"/>
      <c r="G1295" s="115"/>
      <c r="H1295" s="84" t="str">
        <f>IF(B1295="","",VLOOKUP(A1295,Journal!$B$7:$L$84,11))</f>
        <v/>
      </c>
      <c r="I1295" s="84" t="str">
        <f>IF(B1295="","",VLOOKUP(A1295,Journal!$B$7:$M$84,12))</f>
        <v/>
      </c>
      <c r="J1295" s="105">
        <f>IF(B1295="Total",SUM(J$8:J1294)+0.0001,IF(OR(B1295="",I$2=I1295),0,VLOOKUP(A1295,Journal!$B$7:M$84,8)))</f>
        <v>0</v>
      </c>
      <c r="K1295" s="102">
        <f>IF(B1295="Total",SUM(K$8:K1294)+0.0001,IF(OR(B1295="",J1295&lt;&gt;0),0,VLOOKUP(A1295,Journal!$B$7:M$84,8)))</f>
        <v>0</v>
      </c>
      <c r="L1295" s="87">
        <f t="shared" si="147"/>
        <v>0</v>
      </c>
      <c r="P1295">
        <f t="shared" si="148"/>
        <v>1.0000000000000001E-5</v>
      </c>
      <c r="R1295" s="15">
        <f t="shared" si="149"/>
        <v>1288</v>
      </c>
      <c r="S1295" s="126">
        <f>IF(VLOOKUP(A1295,Journal!$A$7:$E$70,5)=0,S1294+1,VLOOKUP(A1295,Journal!$A$7:$E$70,5))</f>
        <v>46945</v>
      </c>
      <c r="T1295" s="125">
        <f>IF(H$2=VLOOKUP(A1295,Journal!$A$7:$F$70,6),VLOOKUP(A1295,Journal!$A$7:M$70,9),0)</f>
        <v>0</v>
      </c>
      <c r="U1295" s="125">
        <f>IF(H$2=VLOOKUP(A1295,Journal!$A$7:$G$70,7),VLOOKUP(A1295,Journal!$A$7:M$70,9),0)</f>
        <v>0</v>
      </c>
      <c r="V1295" s="125">
        <f t="shared" si="152"/>
        <v>40</v>
      </c>
      <c r="X1295">
        <f t="shared" si="150"/>
        <v>0</v>
      </c>
      <c r="Y1295" s="143">
        <f t="shared" si="151"/>
        <v>-966.18421052636961</v>
      </c>
    </row>
    <row r="1296" spans="1:25" x14ac:dyDescent="0.25">
      <c r="A1296">
        <f t="shared" si="146"/>
        <v>1289</v>
      </c>
      <c r="B1296" s="88" t="str">
        <f>IF(OR(B1295="Total",B1295=""),"",IF(VLOOKUP(A1296,Journal!$B$7:$E$84,4)=0,"Total",VLOOKUP(A1296,Journal!$B$7:$D$84,3)))</f>
        <v/>
      </c>
      <c r="C1296" s="86" t="str">
        <f>IF(B1296="","",VLOOKUP(A1296,Journal!$B$7:$E$84,4))</f>
        <v/>
      </c>
      <c r="D1296" s="114" t="str">
        <f>IF(B1296="","",VLOOKUP(A1296,Journal!$B$7:$J$84,9))</f>
        <v/>
      </c>
      <c r="E1296" s="116"/>
      <c r="F1296" s="116"/>
      <c r="G1296" s="115"/>
      <c r="H1296" s="84" t="str">
        <f>IF(B1296="","",VLOOKUP(A1296,Journal!$B$7:$L$84,11))</f>
        <v/>
      </c>
      <c r="I1296" s="84" t="str">
        <f>IF(B1296="","",VLOOKUP(A1296,Journal!$B$7:$M$84,12))</f>
        <v/>
      </c>
      <c r="J1296" s="105">
        <f>IF(B1296="Total",SUM(J$8:J1295)+0.0001,IF(OR(B1296="",I$2=I1296),0,VLOOKUP(A1296,Journal!$B$7:M$84,8)))</f>
        <v>0</v>
      </c>
      <c r="K1296" s="102">
        <f>IF(B1296="Total",SUM(K$8:K1295)+0.0001,IF(OR(B1296="",J1296&lt;&gt;0),0,VLOOKUP(A1296,Journal!$B$7:M$84,8)))</f>
        <v>0</v>
      </c>
      <c r="L1296" s="87">
        <f t="shared" si="147"/>
        <v>0</v>
      </c>
      <c r="P1296">
        <f t="shared" si="148"/>
        <v>1.0000000000000001E-5</v>
      </c>
      <c r="R1296" s="15">
        <f t="shared" si="149"/>
        <v>1289</v>
      </c>
      <c r="S1296" s="126">
        <f>IF(VLOOKUP(A1296,Journal!$A$7:$E$70,5)=0,S1295+1,VLOOKUP(A1296,Journal!$A$7:$E$70,5))</f>
        <v>46946</v>
      </c>
      <c r="T1296" s="125">
        <f>IF(H$2=VLOOKUP(A1296,Journal!$A$7:$F$70,6),VLOOKUP(A1296,Journal!$A$7:M$70,9),0)</f>
        <v>0</v>
      </c>
      <c r="U1296" s="125">
        <f>IF(H$2=VLOOKUP(A1296,Journal!$A$7:$G$70,7),VLOOKUP(A1296,Journal!$A$7:M$70,9),0)</f>
        <v>0</v>
      </c>
      <c r="V1296" s="125">
        <f t="shared" si="152"/>
        <v>40</v>
      </c>
      <c r="X1296">
        <f t="shared" si="150"/>
        <v>0</v>
      </c>
      <c r="Y1296" s="143">
        <f t="shared" si="151"/>
        <v>-966.15789473689597</v>
      </c>
    </row>
    <row r="1297" spans="1:25" x14ac:dyDescent="0.25">
      <c r="A1297">
        <f t="shared" si="146"/>
        <v>1290</v>
      </c>
      <c r="B1297" s="88" t="str">
        <f>IF(OR(B1296="Total",B1296=""),"",IF(VLOOKUP(A1297,Journal!$B$7:$E$84,4)=0,"Total",VLOOKUP(A1297,Journal!$B$7:$D$84,3)))</f>
        <v/>
      </c>
      <c r="C1297" s="86" t="str">
        <f>IF(B1297="","",VLOOKUP(A1297,Journal!$B$7:$E$84,4))</f>
        <v/>
      </c>
      <c r="D1297" s="114" t="str">
        <f>IF(B1297="","",VLOOKUP(A1297,Journal!$B$7:$J$84,9))</f>
        <v/>
      </c>
      <c r="E1297" s="116"/>
      <c r="F1297" s="116"/>
      <c r="G1297" s="115"/>
      <c r="H1297" s="84" t="str">
        <f>IF(B1297="","",VLOOKUP(A1297,Journal!$B$7:$L$84,11))</f>
        <v/>
      </c>
      <c r="I1297" s="84" t="str">
        <f>IF(B1297="","",VLOOKUP(A1297,Journal!$B$7:$M$84,12))</f>
        <v/>
      </c>
      <c r="J1297" s="105">
        <f>IF(B1297="Total",SUM(J$8:J1296)+0.0001,IF(OR(B1297="",I$2=I1297),0,VLOOKUP(A1297,Journal!$B$7:M$84,8)))</f>
        <v>0</v>
      </c>
      <c r="K1297" s="102">
        <f>IF(B1297="Total",SUM(K$8:K1296)+0.0001,IF(OR(B1297="",J1297&lt;&gt;0),0,VLOOKUP(A1297,Journal!$B$7:M$84,8)))</f>
        <v>0</v>
      </c>
      <c r="L1297" s="87">
        <f t="shared" si="147"/>
        <v>0</v>
      </c>
      <c r="P1297">
        <f t="shared" si="148"/>
        <v>1.0000000000000001E-5</v>
      </c>
      <c r="R1297" s="15">
        <f t="shared" si="149"/>
        <v>1290</v>
      </c>
      <c r="S1297" s="126">
        <f>IF(VLOOKUP(A1297,Journal!$A$7:$E$70,5)=0,S1296+1,VLOOKUP(A1297,Journal!$A$7:$E$70,5))</f>
        <v>46947</v>
      </c>
      <c r="T1297" s="125">
        <f>IF(H$2=VLOOKUP(A1297,Journal!$A$7:$F$70,6),VLOOKUP(A1297,Journal!$A$7:M$70,9),0)</f>
        <v>0</v>
      </c>
      <c r="U1297" s="125">
        <f>IF(H$2=VLOOKUP(A1297,Journal!$A$7:$G$70,7),VLOOKUP(A1297,Journal!$A$7:M$70,9),0)</f>
        <v>0</v>
      </c>
      <c r="V1297" s="125">
        <f t="shared" si="152"/>
        <v>40</v>
      </c>
      <c r="X1297">
        <f t="shared" si="150"/>
        <v>0</v>
      </c>
      <c r="Y1297" s="143">
        <f t="shared" si="151"/>
        <v>-966.13157894742233</v>
      </c>
    </row>
    <row r="1298" spans="1:25" x14ac:dyDescent="0.25">
      <c r="A1298">
        <f t="shared" ref="A1298:A1361" si="153">A1297+1</f>
        <v>1291</v>
      </c>
      <c r="B1298" s="88" t="str">
        <f>IF(OR(B1297="Total",B1297=""),"",IF(VLOOKUP(A1298,Journal!$B$7:$E$84,4)=0,"Total",VLOOKUP(A1298,Journal!$B$7:$D$84,3)))</f>
        <v/>
      </c>
      <c r="C1298" s="86" t="str">
        <f>IF(B1298="","",VLOOKUP(A1298,Journal!$B$7:$E$84,4))</f>
        <v/>
      </c>
      <c r="D1298" s="114" t="str">
        <f>IF(B1298="","",VLOOKUP(A1298,Journal!$B$7:$J$84,9))</f>
        <v/>
      </c>
      <c r="E1298" s="116"/>
      <c r="F1298" s="116"/>
      <c r="G1298" s="115"/>
      <c r="H1298" s="84" t="str">
        <f>IF(B1298="","",VLOOKUP(A1298,Journal!$B$7:$L$84,11))</f>
        <v/>
      </c>
      <c r="I1298" s="84" t="str">
        <f>IF(B1298="","",VLOOKUP(A1298,Journal!$B$7:$M$84,12))</f>
        <v/>
      </c>
      <c r="J1298" s="105">
        <f>IF(B1298="Total",SUM(J$8:J1297)+0.0001,IF(OR(B1298="",I$2=I1298),0,VLOOKUP(A1298,Journal!$B$7:M$84,8)))</f>
        <v>0</v>
      </c>
      <c r="K1298" s="102">
        <f>IF(B1298="Total",SUM(K$8:K1297)+0.0001,IF(OR(B1298="",J1298&lt;&gt;0),0,VLOOKUP(A1298,Journal!$B$7:M$84,8)))</f>
        <v>0</v>
      </c>
      <c r="L1298" s="87">
        <f t="shared" ref="L1298:L1361" si="154">IF(B1298="Total",L1297,IF(B1298="",0,IF($M$1=1,L1297+J1298-K1298,L1297-J1298+K1298)))</f>
        <v>0</v>
      </c>
      <c r="P1298">
        <f t="shared" ref="P1298:P1361" si="155">IF(L1297=L1298,L1297+0.00001,L1298)</f>
        <v>1.0000000000000001E-5</v>
      </c>
      <c r="R1298" s="15">
        <f t="shared" ref="R1298:R1361" si="156">R1297+1</f>
        <v>1291</v>
      </c>
      <c r="S1298" s="126">
        <f>IF(VLOOKUP(A1298,Journal!$A$7:$E$70,5)=0,S1297+1,VLOOKUP(A1298,Journal!$A$7:$E$70,5))</f>
        <v>46948</v>
      </c>
      <c r="T1298" s="125">
        <f>IF(H$2=VLOOKUP(A1298,Journal!$A$7:$F$70,6),VLOOKUP(A1298,Journal!$A$7:M$70,9),0)</f>
        <v>0</v>
      </c>
      <c r="U1298" s="125">
        <f>IF(H$2=VLOOKUP(A1298,Journal!$A$7:$G$70,7),VLOOKUP(A1298,Journal!$A$7:M$70,9),0)</f>
        <v>0</v>
      </c>
      <c r="V1298" s="125">
        <f t="shared" si="152"/>
        <v>40</v>
      </c>
      <c r="X1298">
        <f t="shared" ref="X1298:X1361" si="157">IF(J$2&gt;S1298,1,0)</f>
        <v>0</v>
      </c>
      <c r="Y1298" s="143">
        <f t="shared" si="151"/>
        <v>-966.10526315794868</v>
      </c>
    </row>
    <row r="1299" spans="1:25" x14ac:dyDescent="0.25">
      <c r="A1299">
        <f t="shared" si="153"/>
        <v>1292</v>
      </c>
      <c r="B1299" s="88" t="str">
        <f>IF(OR(B1298="Total",B1298=""),"",IF(VLOOKUP(A1299,Journal!$B$7:$E$84,4)=0,"Total",VLOOKUP(A1299,Journal!$B$7:$D$84,3)))</f>
        <v/>
      </c>
      <c r="C1299" s="86" t="str">
        <f>IF(B1299="","",VLOOKUP(A1299,Journal!$B$7:$E$84,4))</f>
        <v/>
      </c>
      <c r="D1299" s="114" t="str">
        <f>IF(B1299="","",VLOOKUP(A1299,Journal!$B$7:$J$84,9))</f>
        <v/>
      </c>
      <c r="E1299" s="116"/>
      <c r="F1299" s="116"/>
      <c r="G1299" s="115"/>
      <c r="H1299" s="84" t="str">
        <f>IF(B1299="","",VLOOKUP(A1299,Journal!$B$7:$L$84,11))</f>
        <v/>
      </c>
      <c r="I1299" s="84" t="str">
        <f>IF(B1299="","",VLOOKUP(A1299,Journal!$B$7:$M$84,12))</f>
        <v/>
      </c>
      <c r="J1299" s="105">
        <f>IF(B1299="Total",SUM(J$8:J1298)+0.0001,IF(OR(B1299="",I$2=I1299),0,VLOOKUP(A1299,Journal!$B$7:M$84,8)))</f>
        <v>0</v>
      </c>
      <c r="K1299" s="102">
        <f>IF(B1299="Total",SUM(K$8:K1298)+0.0001,IF(OR(B1299="",J1299&lt;&gt;0),0,VLOOKUP(A1299,Journal!$B$7:M$84,8)))</f>
        <v>0</v>
      </c>
      <c r="L1299" s="87">
        <f t="shared" si="154"/>
        <v>0</v>
      </c>
      <c r="P1299">
        <f t="shared" si="155"/>
        <v>1.0000000000000001E-5</v>
      </c>
      <c r="R1299" s="15">
        <f t="shared" si="156"/>
        <v>1292</v>
      </c>
      <c r="S1299" s="126">
        <f>IF(VLOOKUP(A1299,Journal!$A$7:$E$70,5)=0,S1298+1,VLOOKUP(A1299,Journal!$A$7:$E$70,5))</f>
        <v>46949</v>
      </c>
      <c r="T1299" s="125">
        <f>IF(H$2=VLOOKUP(A1299,Journal!$A$7:$F$70,6),VLOOKUP(A1299,Journal!$A$7:M$70,9),0)</f>
        <v>0</v>
      </c>
      <c r="U1299" s="125">
        <f>IF(H$2=VLOOKUP(A1299,Journal!$A$7:$G$70,7),VLOOKUP(A1299,Journal!$A$7:M$70,9),0)</f>
        <v>0</v>
      </c>
      <c r="V1299" s="125">
        <f t="shared" si="152"/>
        <v>40</v>
      </c>
      <c r="X1299">
        <f t="shared" si="157"/>
        <v>0</v>
      </c>
      <c r="Y1299" s="143">
        <f t="shared" si="151"/>
        <v>-966.07894736847504</v>
      </c>
    </row>
    <row r="1300" spans="1:25" x14ac:dyDescent="0.25">
      <c r="A1300">
        <f t="shared" si="153"/>
        <v>1293</v>
      </c>
      <c r="B1300" s="88" t="str">
        <f>IF(OR(B1299="Total",B1299=""),"",IF(VLOOKUP(A1300,Journal!$B$7:$E$84,4)=0,"Total",VLOOKUP(A1300,Journal!$B$7:$D$84,3)))</f>
        <v/>
      </c>
      <c r="C1300" s="86" t="str">
        <f>IF(B1300="","",VLOOKUP(A1300,Journal!$B$7:$E$84,4))</f>
        <v/>
      </c>
      <c r="D1300" s="114" t="str">
        <f>IF(B1300="","",VLOOKUP(A1300,Journal!$B$7:$J$84,9))</f>
        <v/>
      </c>
      <c r="E1300" s="116"/>
      <c r="F1300" s="116"/>
      <c r="G1300" s="115"/>
      <c r="H1300" s="84" t="str">
        <f>IF(B1300="","",VLOOKUP(A1300,Journal!$B$7:$L$84,11))</f>
        <v/>
      </c>
      <c r="I1300" s="84" t="str">
        <f>IF(B1300="","",VLOOKUP(A1300,Journal!$B$7:$M$84,12))</f>
        <v/>
      </c>
      <c r="J1300" s="105">
        <f>IF(B1300="Total",SUM(J$8:J1299)+0.0001,IF(OR(B1300="",I$2=I1300),0,VLOOKUP(A1300,Journal!$B$7:M$84,8)))</f>
        <v>0</v>
      </c>
      <c r="K1300" s="102">
        <f>IF(B1300="Total",SUM(K$8:K1299)+0.0001,IF(OR(B1300="",J1300&lt;&gt;0),0,VLOOKUP(A1300,Journal!$B$7:M$84,8)))</f>
        <v>0</v>
      </c>
      <c r="L1300" s="87">
        <f t="shared" si="154"/>
        <v>0</v>
      </c>
      <c r="P1300">
        <f t="shared" si="155"/>
        <v>1.0000000000000001E-5</v>
      </c>
      <c r="R1300" s="15">
        <f t="shared" si="156"/>
        <v>1293</v>
      </c>
      <c r="S1300" s="126">
        <f>IF(VLOOKUP(A1300,Journal!$A$7:$E$70,5)=0,S1299+1,VLOOKUP(A1300,Journal!$A$7:$E$70,5))</f>
        <v>46950</v>
      </c>
      <c r="T1300" s="125">
        <f>IF(H$2=VLOOKUP(A1300,Journal!$A$7:$F$70,6),VLOOKUP(A1300,Journal!$A$7:M$70,9),0)</f>
        <v>0</v>
      </c>
      <c r="U1300" s="125">
        <f>IF(H$2=VLOOKUP(A1300,Journal!$A$7:$G$70,7),VLOOKUP(A1300,Journal!$A$7:M$70,9),0)</f>
        <v>0</v>
      </c>
      <c r="V1300" s="125">
        <f t="shared" si="152"/>
        <v>40</v>
      </c>
      <c r="X1300">
        <f t="shared" si="157"/>
        <v>0</v>
      </c>
      <c r="Y1300" s="143">
        <f t="shared" si="151"/>
        <v>-966.0526315790014</v>
      </c>
    </row>
    <row r="1301" spans="1:25" x14ac:dyDescent="0.25">
      <c r="A1301">
        <f t="shared" si="153"/>
        <v>1294</v>
      </c>
      <c r="B1301" s="88" t="str">
        <f>IF(OR(B1300="Total",B1300=""),"",IF(VLOOKUP(A1301,Journal!$B$7:$E$84,4)=0,"Total",VLOOKUP(A1301,Journal!$B$7:$D$84,3)))</f>
        <v/>
      </c>
      <c r="C1301" s="86" t="str">
        <f>IF(B1301="","",VLOOKUP(A1301,Journal!$B$7:$E$84,4))</f>
        <v/>
      </c>
      <c r="D1301" s="114" t="str">
        <f>IF(B1301="","",VLOOKUP(A1301,Journal!$B$7:$J$84,9))</f>
        <v/>
      </c>
      <c r="E1301" s="116"/>
      <c r="F1301" s="116"/>
      <c r="G1301" s="115"/>
      <c r="H1301" s="84" t="str">
        <f>IF(B1301="","",VLOOKUP(A1301,Journal!$B$7:$L$84,11))</f>
        <v/>
      </c>
      <c r="I1301" s="84" t="str">
        <f>IF(B1301="","",VLOOKUP(A1301,Journal!$B$7:$M$84,12))</f>
        <v/>
      </c>
      <c r="J1301" s="105">
        <f>IF(B1301="Total",SUM(J$8:J1300)+0.0001,IF(OR(B1301="",I$2=I1301),0,VLOOKUP(A1301,Journal!$B$7:M$84,8)))</f>
        <v>0</v>
      </c>
      <c r="K1301" s="102">
        <f>IF(B1301="Total",SUM(K$8:K1300)+0.0001,IF(OR(B1301="",J1301&lt;&gt;0),0,VLOOKUP(A1301,Journal!$B$7:M$84,8)))</f>
        <v>0</v>
      </c>
      <c r="L1301" s="87">
        <f t="shared" si="154"/>
        <v>0</v>
      </c>
      <c r="P1301">
        <f t="shared" si="155"/>
        <v>1.0000000000000001E-5</v>
      </c>
      <c r="R1301" s="15">
        <f t="shared" si="156"/>
        <v>1294</v>
      </c>
      <c r="S1301" s="126">
        <f>IF(VLOOKUP(A1301,Journal!$A$7:$E$70,5)=0,S1300+1,VLOOKUP(A1301,Journal!$A$7:$E$70,5))</f>
        <v>46951</v>
      </c>
      <c r="T1301" s="125">
        <f>IF(H$2=VLOOKUP(A1301,Journal!$A$7:$F$70,6),VLOOKUP(A1301,Journal!$A$7:M$70,9),0)</f>
        <v>0</v>
      </c>
      <c r="U1301" s="125">
        <f>IF(H$2=VLOOKUP(A1301,Journal!$A$7:$G$70,7),VLOOKUP(A1301,Journal!$A$7:M$70,9),0)</f>
        <v>0</v>
      </c>
      <c r="V1301" s="125">
        <f t="shared" si="152"/>
        <v>40</v>
      </c>
      <c r="X1301">
        <f t="shared" si="157"/>
        <v>0</v>
      </c>
      <c r="Y1301" s="143">
        <f t="shared" si="151"/>
        <v>-966.02631578952776</v>
      </c>
    </row>
    <row r="1302" spans="1:25" x14ac:dyDescent="0.25">
      <c r="A1302">
        <f t="shared" si="153"/>
        <v>1295</v>
      </c>
      <c r="B1302" s="88" t="str">
        <f>IF(OR(B1301="Total",B1301=""),"",IF(VLOOKUP(A1302,Journal!$B$7:$E$84,4)=0,"Total",VLOOKUP(A1302,Journal!$B$7:$D$84,3)))</f>
        <v/>
      </c>
      <c r="C1302" s="86" t="str">
        <f>IF(B1302="","",VLOOKUP(A1302,Journal!$B$7:$E$84,4))</f>
        <v/>
      </c>
      <c r="D1302" s="114" t="str">
        <f>IF(B1302="","",VLOOKUP(A1302,Journal!$B$7:$J$84,9))</f>
        <v/>
      </c>
      <c r="E1302" s="116"/>
      <c r="F1302" s="116"/>
      <c r="G1302" s="115"/>
      <c r="H1302" s="84" t="str">
        <f>IF(B1302="","",VLOOKUP(A1302,Journal!$B$7:$L$84,11))</f>
        <v/>
      </c>
      <c r="I1302" s="84" t="str">
        <f>IF(B1302="","",VLOOKUP(A1302,Journal!$B$7:$M$84,12))</f>
        <v/>
      </c>
      <c r="J1302" s="105">
        <f>IF(B1302="Total",SUM(J$8:J1301)+0.0001,IF(OR(B1302="",I$2=I1302),0,VLOOKUP(A1302,Journal!$B$7:M$84,8)))</f>
        <v>0</v>
      </c>
      <c r="K1302" s="102">
        <f>IF(B1302="Total",SUM(K$8:K1301)+0.0001,IF(OR(B1302="",J1302&lt;&gt;0),0,VLOOKUP(A1302,Journal!$B$7:M$84,8)))</f>
        <v>0</v>
      </c>
      <c r="L1302" s="87">
        <f t="shared" si="154"/>
        <v>0</v>
      </c>
      <c r="P1302">
        <f t="shared" si="155"/>
        <v>1.0000000000000001E-5</v>
      </c>
      <c r="R1302" s="15">
        <f t="shared" si="156"/>
        <v>1295</v>
      </c>
      <c r="S1302" s="126">
        <f>IF(VLOOKUP(A1302,Journal!$A$7:$E$70,5)=0,S1301+1,VLOOKUP(A1302,Journal!$A$7:$E$70,5))</f>
        <v>46952</v>
      </c>
      <c r="T1302" s="125">
        <f>IF(H$2=VLOOKUP(A1302,Journal!$A$7:$F$70,6),VLOOKUP(A1302,Journal!$A$7:M$70,9),0)</f>
        <v>0</v>
      </c>
      <c r="U1302" s="125">
        <f>IF(H$2=VLOOKUP(A1302,Journal!$A$7:$G$70,7),VLOOKUP(A1302,Journal!$A$7:M$70,9),0)</f>
        <v>0</v>
      </c>
      <c r="V1302" s="125">
        <f t="shared" si="152"/>
        <v>40</v>
      </c>
      <c r="X1302">
        <f t="shared" si="157"/>
        <v>0</v>
      </c>
      <c r="Y1302" s="143">
        <f t="shared" si="151"/>
        <v>-966.00000000005411</v>
      </c>
    </row>
    <row r="1303" spans="1:25" x14ac:dyDescent="0.25">
      <c r="A1303">
        <f t="shared" si="153"/>
        <v>1296</v>
      </c>
      <c r="B1303" s="88" t="str">
        <f>IF(OR(B1302="Total",B1302=""),"",IF(VLOOKUP(A1303,Journal!$B$7:$E$84,4)=0,"Total",VLOOKUP(A1303,Journal!$B$7:$D$84,3)))</f>
        <v/>
      </c>
      <c r="C1303" s="86" t="str">
        <f>IF(B1303="","",VLOOKUP(A1303,Journal!$B$7:$E$84,4))</f>
        <v/>
      </c>
      <c r="D1303" s="114" t="str">
        <f>IF(B1303="","",VLOOKUP(A1303,Journal!$B$7:$J$84,9))</f>
        <v/>
      </c>
      <c r="E1303" s="116"/>
      <c r="F1303" s="116"/>
      <c r="G1303" s="115"/>
      <c r="H1303" s="84" t="str">
        <f>IF(B1303="","",VLOOKUP(A1303,Journal!$B$7:$L$84,11))</f>
        <v/>
      </c>
      <c r="I1303" s="84" t="str">
        <f>IF(B1303="","",VLOOKUP(A1303,Journal!$B$7:$M$84,12))</f>
        <v/>
      </c>
      <c r="J1303" s="105">
        <f>IF(B1303="Total",SUM(J$8:J1302)+0.0001,IF(OR(B1303="",I$2=I1303),0,VLOOKUP(A1303,Journal!$B$7:M$84,8)))</f>
        <v>0</v>
      </c>
      <c r="K1303" s="102">
        <f>IF(B1303="Total",SUM(K$8:K1302)+0.0001,IF(OR(B1303="",J1303&lt;&gt;0),0,VLOOKUP(A1303,Journal!$B$7:M$84,8)))</f>
        <v>0</v>
      </c>
      <c r="L1303" s="87">
        <f t="shared" si="154"/>
        <v>0</v>
      </c>
      <c r="P1303">
        <f t="shared" si="155"/>
        <v>1.0000000000000001E-5</v>
      </c>
      <c r="R1303" s="15">
        <f t="shared" si="156"/>
        <v>1296</v>
      </c>
      <c r="S1303" s="126">
        <f>IF(VLOOKUP(A1303,Journal!$A$7:$E$70,5)=0,S1302+1,VLOOKUP(A1303,Journal!$A$7:$E$70,5))</f>
        <v>46953</v>
      </c>
      <c r="T1303" s="125">
        <f>IF(H$2=VLOOKUP(A1303,Journal!$A$7:$F$70,6),VLOOKUP(A1303,Journal!$A$7:M$70,9),0)</f>
        <v>0</v>
      </c>
      <c r="U1303" s="125">
        <f>IF(H$2=VLOOKUP(A1303,Journal!$A$7:$G$70,7),VLOOKUP(A1303,Journal!$A$7:M$70,9),0)</f>
        <v>0</v>
      </c>
      <c r="V1303" s="125">
        <f t="shared" si="152"/>
        <v>40</v>
      </c>
      <c r="X1303">
        <f t="shared" si="157"/>
        <v>0</v>
      </c>
      <c r="Y1303" s="143">
        <f t="shared" si="151"/>
        <v>-965.97368421058047</v>
      </c>
    </row>
    <row r="1304" spans="1:25" x14ac:dyDescent="0.25">
      <c r="A1304">
        <f t="shared" si="153"/>
        <v>1297</v>
      </c>
      <c r="B1304" s="88" t="str">
        <f>IF(OR(B1303="Total",B1303=""),"",IF(VLOOKUP(A1304,Journal!$B$7:$E$84,4)=0,"Total",VLOOKUP(A1304,Journal!$B$7:$D$84,3)))</f>
        <v/>
      </c>
      <c r="C1304" s="86" t="str">
        <f>IF(B1304="","",VLOOKUP(A1304,Journal!$B$7:$E$84,4))</f>
        <v/>
      </c>
      <c r="D1304" s="114" t="str">
        <f>IF(B1304="","",VLOOKUP(A1304,Journal!$B$7:$J$84,9))</f>
        <v/>
      </c>
      <c r="E1304" s="116"/>
      <c r="F1304" s="116"/>
      <c r="G1304" s="115"/>
      <c r="H1304" s="84" t="str">
        <f>IF(B1304="","",VLOOKUP(A1304,Journal!$B$7:$L$84,11))</f>
        <v/>
      </c>
      <c r="I1304" s="84" t="str">
        <f>IF(B1304="","",VLOOKUP(A1304,Journal!$B$7:$M$84,12))</f>
        <v/>
      </c>
      <c r="J1304" s="105">
        <f>IF(B1304="Total",SUM(J$8:J1303)+0.0001,IF(OR(B1304="",I$2=I1304),0,VLOOKUP(A1304,Journal!$B$7:M$84,8)))</f>
        <v>0</v>
      </c>
      <c r="K1304" s="102">
        <f>IF(B1304="Total",SUM(K$8:K1303)+0.0001,IF(OR(B1304="",J1304&lt;&gt;0),0,VLOOKUP(A1304,Journal!$B$7:M$84,8)))</f>
        <v>0</v>
      </c>
      <c r="L1304" s="87">
        <f t="shared" si="154"/>
        <v>0</v>
      </c>
      <c r="P1304">
        <f t="shared" si="155"/>
        <v>1.0000000000000001E-5</v>
      </c>
      <c r="R1304" s="15">
        <f t="shared" si="156"/>
        <v>1297</v>
      </c>
      <c r="S1304" s="126">
        <f>IF(VLOOKUP(A1304,Journal!$A$7:$E$70,5)=0,S1303+1,VLOOKUP(A1304,Journal!$A$7:$E$70,5))</f>
        <v>46954</v>
      </c>
      <c r="T1304" s="125">
        <f>IF(H$2=VLOOKUP(A1304,Journal!$A$7:$F$70,6),VLOOKUP(A1304,Journal!$A$7:M$70,9),0)</f>
        <v>0</v>
      </c>
      <c r="U1304" s="125">
        <f>IF(H$2=VLOOKUP(A1304,Journal!$A$7:$G$70,7),VLOOKUP(A1304,Journal!$A$7:M$70,9),0)</f>
        <v>0</v>
      </c>
      <c r="V1304" s="125">
        <f t="shared" si="152"/>
        <v>40</v>
      </c>
      <c r="X1304">
        <f t="shared" si="157"/>
        <v>0</v>
      </c>
      <c r="Y1304" s="143">
        <f t="shared" si="151"/>
        <v>-965.94736842110683</v>
      </c>
    </row>
    <row r="1305" spans="1:25" x14ac:dyDescent="0.25">
      <c r="A1305">
        <f t="shared" si="153"/>
        <v>1298</v>
      </c>
      <c r="B1305" s="88" t="str">
        <f>IF(OR(B1304="Total",B1304=""),"",IF(VLOOKUP(A1305,Journal!$B$7:$E$84,4)=0,"Total",VLOOKUP(A1305,Journal!$B$7:$D$84,3)))</f>
        <v/>
      </c>
      <c r="C1305" s="86" t="str">
        <f>IF(B1305="","",VLOOKUP(A1305,Journal!$B$7:$E$84,4))</f>
        <v/>
      </c>
      <c r="D1305" s="114" t="str">
        <f>IF(B1305="","",VLOOKUP(A1305,Journal!$B$7:$J$84,9))</f>
        <v/>
      </c>
      <c r="E1305" s="116"/>
      <c r="F1305" s="116"/>
      <c r="G1305" s="115"/>
      <c r="H1305" s="84" t="str">
        <f>IF(B1305="","",VLOOKUP(A1305,Journal!$B$7:$L$84,11))</f>
        <v/>
      </c>
      <c r="I1305" s="84" t="str">
        <f>IF(B1305="","",VLOOKUP(A1305,Journal!$B$7:$M$84,12))</f>
        <v/>
      </c>
      <c r="J1305" s="105">
        <f>IF(B1305="Total",SUM(J$8:J1304)+0.0001,IF(OR(B1305="",I$2=I1305),0,VLOOKUP(A1305,Journal!$B$7:M$84,8)))</f>
        <v>0</v>
      </c>
      <c r="K1305" s="102">
        <f>IF(B1305="Total",SUM(K$8:K1304)+0.0001,IF(OR(B1305="",J1305&lt;&gt;0),0,VLOOKUP(A1305,Journal!$B$7:M$84,8)))</f>
        <v>0</v>
      </c>
      <c r="L1305" s="87">
        <f t="shared" si="154"/>
        <v>0</v>
      </c>
      <c r="P1305">
        <f t="shared" si="155"/>
        <v>1.0000000000000001E-5</v>
      </c>
      <c r="R1305" s="15">
        <f t="shared" si="156"/>
        <v>1298</v>
      </c>
      <c r="S1305" s="126">
        <f>IF(VLOOKUP(A1305,Journal!$A$7:$E$70,5)=0,S1304+1,VLOOKUP(A1305,Journal!$A$7:$E$70,5))</f>
        <v>46955</v>
      </c>
      <c r="T1305" s="125">
        <f>IF(H$2=VLOOKUP(A1305,Journal!$A$7:$F$70,6),VLOOKUP(A1305,Journal!$A$7:M$70,9),0)</f>
        <v>0</v>
      </c>
      <c r="U1305" s="125">
        <f>IF(H$2=VLOOKUP(A1305,Journal!$A$7:$G$70,7),VLOOKUP(A1305,Journal!$A$7:M$70,9),0)</f>
        <v>0</v>
      </c>
      <c r="V1305" s="125">
        <f t="shared" si="152"/>
        <v>40</v>
      </c>
      <c r="X1305">
        <f t="shared" si="157"/>
        <v>0</v>
      </c>
      <c r="Y1305" s="143">
        <f t="shared" si="151"/>
        <v>-965.92105263163319</v>
      </c>
    </row>
    <row r="1306" spans="1:25" x14ac:dyDescent="0.25">
      <c r="A1306">
        <f t="shared" si="153"/>
        <v>1299</v>
      </c>
      <c r="B1306" s="88" t="str">
        <f>IF(OR(B1305="Total",B1305=""),"",IF(VLOOKUP(A1306,Journal!$B$7:$E$84,4)=0,"Total",VLOOKUP(A1306,Journal!$B$7:$D$84,3)))</f>
        <v/>
      </c>
      <c r="C1306" s="86" t="str">
        <f>IF(B1306="","",VLOOKUP(A1306,Journal!$B$7:$E$84,4))</f>
        <v/>
      </c>
      <c r="D1306" s="114" t="str">
        <f>IF(B1306="","",VLOOKUP(A1306,Journal!$B$7:$J$84,9))</f>
        <v/>
      </c>
      <c r="E1306" s="116"/>
      <c r="F1306" s="116"/>
      <c r="G1306" s="115"/>
      <c r="H1306" s="84" t="str">
        <f>IF(B1306="","",VLOOKUP(A1306,Journal!$B$7:$L$84,11))</f>
        <v/>
      </c>
      <c r="I1306" s="84" t="str">
        <f>IF(B1306="","",VLOOKUP(A1306,Journal!$B$7:$M$84,12))</f>
        <v/>
      </c>
      <c r="J1306" s="105">
        <f>IF(B1306="Total",SUM(J$8:J1305)+0.0001,IF(OR(B1306="",I$2=I1306),0,VLOOKUP(A1306,Journal!$B$7:M$84,8)))</f>
        <v>0</v>
      </c>
      <c r="K1306" s="102">
        <f>IF(B1306="Total",SUM(K$8:K1305)+0.0001,IF(OR(B1306="",J1306&lt;&gt;0),0,VLOOKUP(A1306,Journal!$B$7:M$84,8)))</f>
        <v>0</v>
      </c>
      <c r="L1306" s="87">
        <f t="shared" si="154"/>
        <v>0</v>
      </c>
      <c r="P1306">
        <f t="shared" si="155"/>
        <v>1.0000000000000001E-5</v>
      </c>
      <c r="R1306" s="15">
        <f t="shared" si="156"/>
        <v>1299</v>
      </c>
      <c r="S1306" s="126">
        <f>IF(VLOOKUP(A1306,Journal!$A$7:$E$70,5)=0,S1305+1,VLOOKUP(A1306,Journal!$A$7:$E$70,5))</f>
        <v>46956</v>
      </c>
      <c r="T1306" s="125">
        <f>IF(H$2=VLOOKUP(A1306,Journal!$A$7:$F$70,6),VLOOKUP(A1306,Journal!$A$7:M$70,9),0)</f>
        <v>0</v>
      </c>
      <c r="U1306" s="125">
        <f>IF(H$2=VLOOKUP(A1306,Journal!$A$7:$G$70,7),VLOOKUP(A1306,Journal!$A$7:M$70,9),0)</f>
        <v>0</v>
      </c>
      <c r="V1306" s="125">
        <f t="shared" si="152"/>
        <v>40</v>
      </c>
      <c r="X1306">
        <f t="shared" si="157"/>
        <v>0</v>
      </c>
      <c r="Y1306" s="143">
        <f t="shared" si="151"/>
        <v>-965.89473684215955</v>
      </c>
    </row>
    <row r="1307" spans="1:25" x14ac:dyDescent="0.25">
      <c r="A1307">
        <f t="shared" si="153"/>
        <v>1300</v>
      </c>
      <c r="B1307" s="88" t="str">
        <f>IF(OR(B1306="Total",B1306=""),"",IF(VLOOKUP(A1307,Journal!$B$7:$E$84,4)=0,"Total",VLOOKUP(A1307,Journal!$B$7:$D$84,3)))</f>
        <v/>
      </c>
      <c r="C1307" s="86" t="str">
        <f>IF(B1307="","",VLOOKUP(A1307,Journal!$B$7:$E$84,4))</f>
        <v/>
      </c>
      <c r="D1307" s="114" t="str">
        <f>IF(B1307="","",VLOOKUP(A1307,Journal!$B$7:$J$84,9))</f>
        <v/>
      </c>
      <c r="E1307" s="116"/>
      <c r="F1307" s="116"/>
      <c r="G1307" s="115"/>
      <c r="H1307" s="84" t="str">
        <f>IF(B1307="","",VLOOKUP(A1307,Journal!$B$7:$L$84,11))</f>
        <v/>
      </c>
      <c r="I1307" s="84" t="str">
        <f>IF(B1307="","",VLOOKUP(A1307,Journal!$B$7:$M$84,12))</f>
        <v/>
      </c>
      <c r="J1307" s="105">
        <f>IF(B1307="Total",SUM(J$8:J1306)+0.0001,IF(OR(B1307="",I$2=I1307),0,VLOOKUP(A1307,Journal!$B$7:M$84,8)))</f>
        <v>0</v>
      </c>
      <c r="K1307" s="102">
        <f>IF(B1307="Total",SUM(K$8:K1306)+0.0001,IF(OR(B1307="",J1307&lt;&gt;0),0,VLOOKUP(A1307,Journal!$B$7:M$84,8)))</f>
        <v>0</v>
      </c>
      <c r="L1307" s="87">
        <f t="shared" si="154"/>
        <v>0</v>
      </c>
      <c r="P1307">
        <f t="shared" si="155"/>
        <v>1.0000000000000001E-5</v>
      </c>
      <c r="R1307" s="15">
        <f t="shared" si="156"/>
        <v>1300</v>
      </c>
      <c r="S1307" s="126">
        <f>IF(VLOOKUP(A1307,Journal!$A$7:$E$70,5)=0,S1306+1,VLOOKUP(A1307,Journal!$A$7:$E$70,5))</f>
        <v>46957</v>
      </c>
      <c r="T1307" s="125">
        <f>IF(H$2=VLOOKUP(A1307,Journal!$A$7:$F$70,6),VLOOKUP(A1307,Journal!$A$7:M$70,9),0)</f>
        <v>0</v>
      </c>
      <c r="U1307" s="125">
        <f>IF(H$2=VLOOKUP(A1307,Journal!$A$7:$G$70,7),VLOOKUP(A1307,Journal!$A$7:M$70,9),0)</f>
        <v>0</v>
      </c>
      <c r="V1307" s="125">
        <f t="shared" si="152"/>
        <v>40</v>
      </c>
      <c r="X1307">
        <f t="shared" si="157"/>
        <v>0</v>
      </c>
      <c r="Y1307" s="143">
        <f t="shared" si="151"/>
        <v>-965.8684210526859</v>
      </c>
    </row>
    <row r="1308" spans="1:25" x14ac:dyDescent="0.25">
      <c r="A1308">
        <f t="shared" si="153"/>
        <v>1301</v>
      </c>
      <c r="B1308" s="88" t="str">
        <f>IF(OR(B1307="Total",B1307=""),"",IF(VLOOKUP(A1308,Journal!$B$7:$E$84,4)=0,"Total",VLOOKUP(A1308,Journal!$B$7:$D$84,3)))</f>
        <v/>
      </c>
      <c r="C1308" s="86" t="str">
        <f>IF(B1308="","",VLOOKUP(A1308,Journal!$B$7:$E$84,4))</f>
        <v/>
      </c>
      <c r="D1308" s="114" t="str">
        <f>IF(B1308="","",VLOOKUP(A1308,Journal!$B$7:$J$84,9))</f>
        <v/>
      </c>
      <c r="E1308" s="116"/>
      <c r="F1308" s="116"/>
      <c r="G1308" s="115"/>
      <c r="H1308" s="84" t="str">
        <f>IF(B1308="","",VLOOKUP(A1308,Journal!$B$7:$L$84,11))</f>
        <v/>
      </c>
      <c r="I1308" s="84" t="str">
        <f>IF(B1308="","",VLOOKUP(A1308,Journal!$B$7:$M$84,12))</f>
        <v/>
      </c>
      <c r="J1308" s="105">
        <f>IF(B1308="Total",SUM(J$8:J1307)+0.0001,IF(OR(B1308="",I$2=I1308),0,VLOOKUP(A1308,Journal!$B$7:M$84,8)))</f>
        <v>0</v>
      </c>
      <c r="K1308" s="102">
        <f>IF(B1308="Total",SUM(K$8:K1307)+0.0001,IF(OR(B1308="",J1308&lt;&gt;0),0,VLOOKUP(A1308,Journal!$B$7:M$84,8)))</f>
        <v>0</v>
      </c>
      <c r="L1308" s="87">
        <f t="shared" si="154"/>
        <v>0</v>
      </c>
      <c r="P1308">
        <f t="shared" si="155"/>
        <v>1.0000000000000001E-5</v>
      </c>
      <c r="R1308" s="15">
        <f t="shared" si="156"/>
        <v>1301</v>
      </c>
      <c r="S1308" s="126">
        <f>IF(VLOOKUP(A1308,Journal!$A$7:$E$70,5)=0,S1307+1,VLOOKUP(A1308,Journal!$A$7:$E$70,5))</f>
        <v>46958</v>
      </c>
      <c r="T1308" s="125">
        <f>IF(H$2=VLOOKUP(A1308,Journal!$A$7:$F$70,6),VLOOKUP(A1308,Journal!$A$7:M$70,9),0)</f>
        <v>0</v>
      </c>
      <c r="U1308" s="125">
        <f>IF(H$2=VLOOKUP(A1308,Journal!$A$7:$G$70,7),VLOOKUP(A1308,Journal!$A$7:M$70,9),0)</f>
        <v>0</v>
      </c>
      <c r="V1308" s="125">
        <f t="shared" si="152"/>
        <v>40</v>
      </c>
      <c r="X1308">
        <f t="shared" si="157"/>
        <v>0</v>
      </c>
      <c r="Y1308" s="143">
        <f t="shared" si="151"/>
        <v>-965.84210526321226</v>
      </c>
    </row>
    <row r="1309" spans="1:25" x14ac:dyDescent="0.25">
      <c r="A1309">
        <f t="shared" si="153"/>
        <v>1302</v>
      </c>
      <c r="B1309" s="88" t="str">
        <f>IF(OR(B1308="Total",B1308=""),"",IF(VLOOKUP(A1309,Journal!$B$7:$E$84,4)=0,"Total",VLOOKUP(A1309,Journal!$B$7:$D$84,3)))</f>
        <v/>
      </c>
      <c r="C1309" s="86" t="str">
        <f>IF(B1309="","",VLOOKUP(A1309,Journal!$B$7:$E$84,4))</f>
        <v/>
      </c>
      <c r="D1309" s="114" t="str">
        <f>IF(B1309="","",VLOOKUP(A1309,Journal!$B$7:$J$84,9))</f>
        <v/>
      </c>
      <c r="E1309" s="116"/>
      <c r="F1309" s="116"/>
      <c r="G1309" s="115"/>
      <c r="H1309" s="84" t="str">
        <f>IF(B1309="","",VLOOKUP(A1309,Journal!$B$7:$L$84,11))</f>
        <v/>
      </c>
      <c r="I1309" s="84" t="str">
        <f>IF(B1309="","",VLOOKUP(A1309,Journal!$B$7:$M$84,12))</f>
        <v/>
      </c>
      <c r="J1309" s="105">
        <f>IF(B1309="Total",SUM(J$8:J1308)+0.0001,IF(OR(B1309="",I$2=I1309),0,VLOOKUP(A1309,Journal!$B$7:M$84,8)))</f>
        <v>0</v>
      </c>
      <c r="K1309" s="102">
        <f>IF(B1309="Total",SUM(K$8:K1308)+0.0001,IF(OR(B1309="",J1309&lt;&gt;0),0,VLOOKUP(A1309,Journal!$B$7:M$84,8)))</f>
        <v>0</v>
      </c>
      <c r="L1309" s="87">
        <f t="shared" si="154"/>
        <v>0</v>
      </c>
      <c r="P1309">
        <f t="shared" si="155"/>
        <v>1.0000000000000001E-5</v>
      </c>
      <c r="R1309" s="15">
        <f t="shared" si="156"/>
        <v>1302</v>
      </c>
      <c r="S1309" s="126">
        <f>IF(VLOOKUP(A1309,Journal!$A$7:$E$70,5)=0,S1308+1,VLOOKUP(A1309,Journal!$A$7:$E$70,5))</f>
        <v>46959</v>
      </c>
      <c r="T1309" s="125">
        <f>IF(H$2=VLOOKUP(A1309,Journal!$A$7:$F$70,6),VLOOKUP(A1309,Journal!$A$7:M$70,9),0)</f>
        <v>0</v>
      </c>
      <c r="U1309" s="125">
        <f>IF(H$2=VLOOKUP(A1309,Journal!$A$7:$G$70,7),VLOOKUP(A1309,Journal!$A$7:M$70,9),0)</f>
        <v>0</v>
      </c>
      <c r="V1309" s="125">
        <f t="shared" si="152"/>
        <v>40</v>
      </c>
      <c r="X1309">
        <f t="shared" si="157"/>
        <v>0</v>
      </c>
      <c r="Y1309" s="143">
        <f t="shared" si="151"/>
        <v>-965.81578947373862</v>
      </c>
    </row>
    <row r="1310" spans="1:25" x14ac:dyDescent="0.25">
      <c r="A1310">
        <f t="shared" si="153"/>
        <v>1303</v>
      </c>
      <c r="B1310" s="88" t="str">
        <f>IF(OR(B1309="Total",B1309=""),"",IF(VLOOKUP(A1310,Journal!$B$7:$E$84,4)=0,"Total",VLOOKUP(A1310,Journal!$B$7:$D$84,3)))</f>
        <v/>
      </c>
      <c r="C1310" s="86" t="str">
        <f>IF(B1310="","",VLOOKUP(A1310,Journal!$B$7:$E$84,4))</f>
        <v/>
      </c>
      <c r="D1310" s="114" t="str">
        <f>IF(B1310="","",VLOOKUP(A1310,Journal!$B$7:$J$84,9))</f>
        <v/>
      </c>
      <c r="E1310" s="116"/>
      <c r="F1310" s="116"/>
      <c r="G1310" s="115"/>
      <c r="H1310" s="84" t="str">
        <f>IF(B1310="","",VLOOKUP(A1310,Journal!$B$7:$L$84,11))</f>
        <v/>
      </c>
      <c r="I1310" s="84" t="str">
        <f>IF(B1310="","",VLOOKUP(A1310,Journal!$B$7:$M$84,12))</f>
        <v/>
      </c>
      <c r="J1310" s="105">
        <f>IF(B1310="Total",SUM(J$8:J1309)+0.0001,IF(OR(B1310="",I$2=I1310),0,VLOOKUP(A1310,Journal!$B$7:M$84,8)))</f>
        <v>0</v>
      </c>
      <c r="K1310" s="102">
        <f>IF(B1310="Total",SUM(K$8:K1309)+0.0001,IF(OR(B1310="",J1310&lt;&gt;0),0,VLOOKUP(A1310,Journal!$B$7:M$84,8)))</f>
        <v>0</v>
      </c>
      <c r="L1310" s="87">
        <f t="shared" si="154"/>
        <v>0</v>
      </c>
      <c r="P1310">
        <f t="shared" si="155"/>
        <v>1.0000000000000001E-5</v>
      </c>
      <c r="R1310" s="15">
        <f t="shared" si="156"/>
        <v>1303</v>
      </c>
      <c r="S1310" s="126">
        <f>IF(VLOOKUP(A1310,Journal!$A$7:$E$70,5)=0,S1309+1,VLOOKUP(A1310,Journal!$A$7:$E$70,5))</f>
        <v>46960</v>
      </c>
      <c r="T1310" s="125">
        <f>IF(H$2=VLOOKUP(A1310,Journal!$A$7:$F$70,6),VLOOKUP(A1310,Journal!$A$7:M$70,9),0)</f>
        <v>0</v>
      </c>
      <c r="U1310" s="125">
        <f>IF(H$2=VLOOKUP(A1310,Journal!$A$7:$G$70,7),VLOOKUP(A1310,Journal!$A$7:M$70,9),0)</f>
        <v>0</v>
      </c>
      <c r="V1310" s="125">
        <f t="shared" si="152"/>
        <v>40</v>
      </c>
      <c r="X1310">
        <f t="shared" si="157"/>
        <v>0</v>
      </c>
      <c r="Y1310" s="143">
        <f t="shared" si="151"/>
        <v>-965.78947368426498</v>
      </c>
    </row>
    <row r="1311" spans="1:25" x14ac:dyDescent="0.25">
      <c r="A1311">
        <f t="shared" si="153"/>
        <v>1304</v>
      </c>
      <c r="B1311" s="88" t="str">
        <f>IF(OR(B1310="Total",B1310=""),"",IF(VLOOKUP(A1311,Journal!$B$7:$E$84,4)=0,"Total",VLOOKUP(A1311,Journal!$B$7:$D$84,3)))</f>
        <v/>
      </c>
      <c r="C1311" s="86" t="str">
        <f>IF(B1311="","",VLOOKUP(A1311,Journal!$B$7:$E$84,4))</f>
        <v/>
      </c>
      <c r="D1311" s="114" t="str">
        <f>IF(B1311="","",VLOOKUP(A1311,Journal!$B$7:$J$84,9))</f>
        <v/>
      </c>
      <c r="E1311" s="116"/>
      <c r="F1311" s="116"/>
      <c r="G1311" s="115"/>
      <c r="H1311" s="84" t="str">
        <f>IF(B1311="","",VLOOKUP(A1311,Journal!$B$7:$L$84,11))</f>
        <v/>
      </c>
      <c r="I1311" s="84" t="str">
        <f>IF(B1311="","",VLOOKUP(A1311,Journal!$B$7:$M$84,12))</f>
        <v/>
      </c>
      <c r="J1311" s="105">
        <f>IF(B1311="Total",SUM(J$8:J1310)+0.0001,IF(OR(B1311="",I$2=I1311),0,VLOOKUP(A1311,Journal!$B$7:M$84,8)))</f>
        <v>0</v>
      </c>
      <c r="K1311" s="102">
        <f>IF(B1311="Total",SUM(K$8:K1310)+0.0001,IF(OR(B1311="",J1311&lt;&gt;0),0,VLOOKUP(A1311,Journal!$B$7:M$84,8)))</f>
        <v>0</v>
      </c>
      <c r="L1311" s="87">
        <f t="shared" si="154"/>
        <v>0</v>
      </c>
      <c r="P1311">
        <f t="shared" si="155"/>
        <v>1.0000000000000001E-5</v>
      </c>
      <c r="R1311" s="15">
        <f t="shared" si="156"/>
        <v>1304</v>
      </c>
      <c r="S1311" s="126">
        <f>IF(VLOOKUP(A1311,Journal!$A$7:$E$70,5)=0,S1310+1,VLOOKUP(A1311,Journal!$A$7:$E$70,5))</f>
        <v>46961</v>
      </c>
      <c r="T1311" s="125">
        <f>IF(H$2=VLOOKUP(A1311,Journal!$A$7:$F$70,6),VLOOKUP(A1311,Journal!$A$7:M$70,9),0)</f>
        <v>0</v>
      </c>
      <c r="U1311" s="125">
        <f>IF(H$2=VLOOKUP(A1311,Journal!$A$7:$G$70,7),VLOOKUP(A1311,Journal!$A$7:M$70,9),0)</f>
        <v>0</v>
      </c>
      <c r="V1311" s="125">
        <f t="shared" si="152"/>
        <v>40</v>
      </c>
      <c r="X1311">
        <f t="shared" si="157"/>
        <v>0</v>
      </c>
      <c r="Y1311" s="143">
        <f t="shared" si="151"/>
        <v>-965.76315789479133</v>
      </c>
    </row>
    <row r="1312" spans="1:25" x14ac:dyDescent="0.25">
      <c r="A1312">
        <f t="shared" si="153"/>
        <v>1305</v>
      </c>
      <c r="B1312" s="88" t="str">
        <f>IF(OR(B1311="Total",B1311=""),"",IF(VLOOKUP(A1312,Journal!$B$7:$E$84,4)=0,"Total",VLOOKUP(A1312,Journal!$B$7:$D$84,3)))</f>
        <v/>
      </c>
      <c r="C1312" s="86" t="str">
        <f>IF(B1312="","",VLOOKUP(A1312,Journal!$B$7:$E$84,4))</f>
        <v/>
      </c>
      <c r="D1312" s="114" t="str">
        <f>IF(B1312="","",VLOOKUP(A1312,Journal!$B$7:$J$84,9))</f>
        <v/>
      </c>
      <c r="E1312" s="116"/>
      <c r="F1312" s="116"/>
      <c r="G1312" s="115"/>
      <c r="H1312" s="84" t="str">
        <f>IF(B1312="","",VLOOKUP(A1312,Journal!$B$7:$L$84,11))</f>
        <v/>
      </c>
      <c r="I1312" s="84" t="str">
        <f>IF(B1312="","",VLOOKUP(A1312,Journal!$B$7:$M$84,12))</f>
        <v/>
      </c>
      <c r="J1312" s="105">
        <f>IF(B1312="Total",SUM(J$8:J1311)+0.0001,IF(OR(B1312="",I$2=I1312),0,VLOOKUP(A1312,Journal!$B$7:M$84,8)))</f>
        <v>0</v>
      </c>
      <c r="K1312" s="102">
        <f>IF(B1312="Total",SUM(K$8:K1311)+0.0001,IF(OR(B1312="",J1312&lt;&gt;0),0,VLOOKUP(A1312,Journal!$B$7:M$84,8)))</f>
        <v>0</v>
      </c>
      <c r="L1312" s="87">
        <f t="shared" si="154"/>
        <v>0</v>
      </c>
      <c r="P1312">
        <f t="shared" si="155"/>
        <v>1.0000000000000001E-5</v>
      </c>
      <c r="R1312" s="15">
        <f t="shared" si="156"/>
        <v>1305</v>
      </c>
      <c r="S1312" s="126">
        <f>IF(VLOOKUP(A1312,Journal!$A$7:$E$70,5)=0,S1311+1,VLOOKUP(A1312,Journal!$A$7:$E$70,5))</f>
        <v>46962</v>
      </c>
      <c r="T1312" s="125">
        <f>IF(H$2=VLOOKUP(A1312,Journal!$A$7:$F$70,6),VLOOKUP(A1312,Journal!$A$7:M$70,9),0)</f>
        <v>0</v>
      </c>
      <c r="U1312" s="125">
        <f>IF(H$2=VLOOKUP(A1312,Journal!$A$7:$G$70,7),VLOOKUP(A1312,Journal!$A$7:M$70,9),0)</f>
        <v>0</v>
      </c>
      <c r="V1312" s="125">
        <f t="shared" si="152"/>
        <v>40</v>
      </c>
      <c r="X1312">
        <f t="shared" si="157"/>
        <v>0</v>
      </c>
      <c r="Y1312" s="143">
        <f t="shared" si="151"/>
        <v>-965.73684210531769</v>
      </c>
    </row>
    <row r="1313" spans="1:25" x14ac:dyDescent="0.25">
      <c r="A1313">
        <f t="shared" si="153"/>
        <v>1306</v>
      </c>
      <c r="B1313" s="88" t="str">
        <f>IF(OR(B1312="Total",B1312=""),"",IF(VLOOKUP(A1313,Journal!$B$7:$E$84,4)=0,"Total",VLOOKUP(A1313,Journal!$B$7:$D$84,3)))</f>
        <v/>
      </c>
      <c r="C1313" s="86" t="str">
        <f>IF(B1313="","",VLOOKUP(A1313,Journal!$B$7:$E$84,4))</f>
        <v/>
      </c>
      <c r="D1313" s="114" t="str">
        <f>IF(B1313="","",VLOOKUP(A1313,Journal!$B$7:$J$84,9))</f>
        <v/>
      </c>
      <c r="E1313" s="116"/>
      <c r="F1313" s="116"/>
      <c r="G1313" s="115"/>
      <c r="H1313" s="84" t="str">
        <f>IF(B1313="","",VLOOKUP(A1313,Journal!$B$7:$L$84,11))</f>
        <v/>
      </c>
      <c r="I1313" s="84" t="str">
        <f>IF(B1313="","",VLOOKUP(A1313,Journal!$B$7:$M$84,12))</f>
        <v/>
      </c>
      <c r="J1313" s="105">
        <f>IF(B1313="Total",SUM(J$8:J1312)+0.0001,IF(OR(B1313="",I$2=I1313),0,VLOOKUP(A1313,Journal!$B$7:M$84,8)))</f>
        <v>0</v>
      </c>
      <c r="K1313" s="102">
        <f>IF(B1313="Total",SUM(K$8:K1312)+0.0001,IF(OR(B1313="",J1313&lt;&gt;0),0,VLOOKUP(A1313,Journal!$B$7:M$84,8)))</f>
        <v>0</v>
      </c>
      <c r="L1313" s="87">
        <f t="shared" si="154"/>
        <v>0</v>
      </c>
      <c r="P1313">
        <f t="shared" si="155"/>
        <v>1.0000000000000001E-5</v>
      </c>
      <c r="R1313" s="15">
        <f t="shared" si="156"/>
        <v>1306</v>
      </c>
      <c r="S1313" s="126">
        <f>IF(VLOOKUP(A1313,Journal!$A$7:$E$70,5)=0,S1312+1,VLOOKUP(A1313,Journal!$A$7:$E$70,5))</f>
        <v>46963</v>
      </c>
      <c r="T1313" s="125">
        <f>IF(H$2=VLOOKUP(A1313,Journal!$A$7:$F$70,6),VLOOKUP(A1313,Journal!$A$7:M$70,9),0)</f>
        <v>0</v>
      </c>
      <c r="U1313" s="125">
        <f>IF(H$2=VLOOKUP(A1313,Journal!$A$7:$G$70,7),VLOOKUP(A1313,Journal!$A$7:M$70,9),0)</f>
        <v>0</v>
      </c>
      <c r="V1313" s="125">
        <f t="shared" si="152"/>
        <v>40</v>
      </c>
      <c r="X1313">
        <f t="shared" si="157"/>
        <v>0</v>
      </c>
      <c r="Y1313" s="143">
        <f t="shared" si="151"/>
        <v>-965.71052631584405</v>
      </c>
    </row>
    <row r="1314" spans="1:25" x14ac:dyDescent="0.25">
      <c r="A1314">
        <f t="shared" si="153"/>
        <v>1307</v>
      </c>
      <c r="B1314" s="88" t="str">
        <f>IF(OR(B1313="Total",B1313=""),"",IF(VLOOKUP(A1314,Journal!$B$7:$E$84,4)=0,"Total",VLOOKUP(A1314,Journal!$B$7:$D$84,3)))</f>
        <v/>
      </c>
      <c r="C1314" s="86" t="str">
        <f>IF(B1314="","",VLOOKUP(A1314,Journal!$B$7:$E$84,4))</f>
        <v/>
      </c>
      <c r="D1314" s="114" t="str">
        <f>IF(B1314="","",VLOOKUP(A1314,Journal!$B$7:$J$84,9))</f>
        <v/>
      </c>
      <c r="E1314" s="116"/>
      <c r="F1314" s="116"/>
      <c r="G1314" s="115"/>
      <c r="H1314" s="84" t="str">
        <f>IF(B1314="","",VLOOKUP(A1314,Journal!$B$7:$L$84,11))</f>
        <v/>
      </c>
      <c r="I1314" s="84" t="str">
        <f>IF(B1314="","",VLOOKUP(A1314,Journal!$B$7:$M$84,12))</f>
        <v/>
      </c>
      <c r="J1314" s="105">
        <f>IF(B1314="Total",SUM(J$8:J1313)+0.0001,IF(OR(B1314="",I$2=I1314),0,VLOOKUP(A1314,Journal!$B$7:M$84,8)))</f>
        <v>0</v>
      </c>
      <c r="K1314" s="102">
        <f>IF(B1314="Total",SUM(K$8:K1313)+0.0001,IF(OR(B1314="",J1314&lt;&gt;0),0,VLOOKUP(A1314,Journal!$B$7:M$84,8)))</f>
        <v>0</v>
      </c>
      <c r="L1314" s="87">
        <f t="shared" si="154"/>
        <v>0</v>
      </c>
      <c r="P1314">
        <f t="shared" si="155"/>
        <v>1.0000000000000001E-5</v>
      </c>
      <c r="R1314" s="15">
        <f t="shared" si="156"/>
        <v>1307</v>
      </c>
      <c r="S1314" s="126">
        <f>IF(VLOOKUP(A1314,Journal!$A$7:$E$70,5)=0,S1313+1,VLOOKUP(A1314,Journal!$A$7:$E$70,5))</f>
        <v>46964</v>
      </c>
      <c r="T1314" s="125">
        <f>IF(H$2=VLOOKUP(A1314,Journal!$A$7:$F$70,6),VLOOKUP(A1314,Journal!$A$7:M$70,9),0)</f>
        <v>0</v>
      </c>
      <c r="U1314" s="125">
        <f>IF(H$2=VLOOKUP(A1314,Journal!$A$7:$G$70,7),VLOOKUP(A1314,Journal!$A$7:M$70,9),0)</f>
        <v>0</v>
      </c>
      <c r="V1314" s="125">
        <f t="shared" si="152"/>
        <v>40</v>
      </c>
      <c r="X1314">
        <f t="shared" si="157"/>
        <v>0</v>
      </c>
      <c r="Y1314" s="143">
        <f t="shared" si="151"/>
        <v>-965.68421052637041</v>
      </c>
    </row>
    <row r="1315" spans="1:25" x14ac:dyDescent="0.25">
      <c r="A1315">
        <f t="shared" si="153"/>
        <v>1308</v>
      </c>
      <c r="B1315" s="88" t="str">
        <f>IF(OR(B1314="Total",B1314=""),"",IF(VLOOKUP(A1315,Journal!$B$7:$E$84,4)=0,"Total",VLOOKUP(A1315,Journal!$B$7:$D$84,3)))</f>
        <v/>
      </c>
      <c r="C1315" s="86" t="str">
        <f>IF(B1315="","",VLOOKUP(A1315,Journal!$B$7:$E$84,4))</f>
        <v/>
      </c>
      <c r="D1315" s="114" t="str">
        <f>IF(B1315="","",VLOOKUP(A1315,Journal!$B$7:$J$84,9))</f>
        <v/>
      </c>
      <c r="E1315" s="116"/>
      <c r="F1315" s="116"/>
      <c r="G1315" s="115"/>
      <c r="H1315" s="84" t="str">
        <f>IF(B1315="","",VLOOKUP(A1315,Journal!$B$7:$L$84,11))</f>
        <v/>
      </c>
      <c r="I1315" s="84" t="str">
        <f>IF(B1315="","",VLOOKUP(A1315,Journal!$B$7:$M$84,12))</f>
        <v/>
      </c>
      <c r="J1315" s="105">
        <f>IF(B1315="Total",SUM(J$8:J1314)+0.0001,IF(OR(B1315="",I$2=I1315),0,VLOOKUP(A1315,Journal!$B$7:M$84,8)))</f>
        <v>0</v>
      </c>
      <c r="K1315" s="102">
        <f>IF(B1315="Total",SUM(K$8:K1314)+0.0001,IF(OR(B1315="",J1315&lt;&gt;0),0,VLOOKUP(A1315,Journal!$B$7:M$84,8)))</f>
        <v>0</v>
      </c>
      <c r="L1315" s="87">
        <f t="shared" si="154"/>
        <v>0</v>
      </c>
      <c r="P1315">
        <f t="shared" si="155"/>
        <v>1.0000000000000001E-5</v>
      </c>
      <c r="R1315" s="15">
        <f t="shared" si="156"/>
        <v>1308</v>
      </c>
      <c r="S1315" s="126">
        <f>IF(VLOOKUP(A1315,Journal!$A$7:$E$70,5)=0,S1314+1,VLOOKUP(A1315,Journal!$A$7:$E$70,5))</f>
        <v>46965</v>
      </c>
      <c r="T1315" s="125">
        <f>IF(H$2=VLOOKUP(A1315,Journal!$A$7:$F$70,6),VLOOKUP(A1315,Journal!$A$7:M$70,9),0)</f>
        <v>0</v>
      </c>
      <c r="U1315" s="125">
        <f>IF(H$2=VLOOKUP(A1315,Journal!$A$7:$G$70,7),VLOOKUP(A1315,Journal!$A$7:M$70,9),0)</f>
        <v>0</v>
      </c>
      <c r="V1315" s="125">
        <f t="shared" si="152"/>
        <v>40</v>
      </c>
      <c r="X1315">
        <f t="shared" si="157"/>
        <v>0</v>
      </c>
      <c r="Y1315" s="143">
        <f t="shared" si="151"/>
        <v>-965.65789473689676</v>
      </c>
    </row>
    <row r="1316" spans="1:25" x14ac:dyDescent="0.25">
      <c r="A1316">
        <f t="shared" si="153"/>
        <v>1309</v>
      </c>
      <c r="B1316" s="88" t="str">
        <f>IF(OR(B1315="Total",B1315=""),"",IF(VLOOKUP(A1316,Journal!$B$7:$E$84,4)=0,"Total",VLOOKUP(A1316,Journal!$B$7:$D$84,3)))</f>
        <v/>
      </c>
      <c r="C1316" s="86" t="str">
        <f>IF(B1316="","",VLOOKUP(A1316,Journal!$B$7:$E$84,4))</f>
        <v/>
      </c>
      <c r="D1316" s="114" t="str">
        <f>IF(B1316="","",VLOOKUP(A1316,Journal!$B$7:$J$84,9))</f>
        <v/>
      </c>
      <c r="E1316" s="116"/>
      <c r="F1316" s="116"/>
      <c r="G1316" s="115"/>
      <c r="H1316" s="84" t="str">
        <f>IF(B1316="","",VLOOKUP(A1316,Journal!$B$7:$L$84,11))</f>
        <v/>
      </c>
      <c r="I1316" s="84" t="str">
        <f>IF(B1316="","",VLOOKUP(A1316,Journal!$B$7:$M$84,12))</f>
        <v/>
      </c>
      <c r="J1316" s="105">
        <f>IF(B1316="Total",SUM(J$8:J1315)+0.0001,IF(OR(B1316="",I$2=I1316),0,VLOOKUP(A1316,Journal!$B$7:M$84,8)))</f>
        <v>0</v>
      </c>
      <c r="K1316" s="102">
        <f>IF(B1316="Total",SUM(K$8:K1315)+0.0001,IF(OR(B1316="",J1316&lt;&gt;0),0,VLOOKUP(A1316,Journal!$B$7:M$84,8)))</f>
        <v>0</v>
      </c>
      <c r="L1316" s="87">
        <f t="shared" si="154"/>
        <v>0</v>
      </c>
      <c r="P1316">
        <f t="shared" si="155"/>
        <v>1.0000000000000001E-5</v>
      </c>
      <c r="R1316" s="15">
        <f t="shared" si="156"/>
        <v>1309</v>
      </c>
      <c r="S1316" s="126">
        <f>IF(VLOOKUP(A1316,Journal!$A$7:$E$70,5)=0,S1315+1,VLOOKUP(A1316,Journal!$A$7:$E$70,5))</f>
        <v>46966</v>
      </c>
      <c r="T1316" s="125">
        <f>IF(H$2=VLOOKUP(A1316,Journal!$A$7:$F$70,6),VLOOKUP(A1316,Journal!$A$7:M$70,9),0)</f>
        <v>0</v>
      </c>
      <c r="U1316" s="125">
        <f>IF(H$2=VLOOKUP(A1316,Journal!$A$7:$G$70,7),VLOOKUP(A1316,Journal!$A$7:M$70,9),0)</f>
        <v>0</v>
      </c>
      <c r="V1316" s="125">
        <f t="shared" si="152"/>
        <v>40</v>
      </c>
      <c r="X1316">
        <f t="shared" si="157"/>
        <v>0</v>
      </c>
      <c r="Y1316" s="143">
        <f t="shared" si="151"/>
        <v>-965.63157894742312</v>
      </c>
    </row>
    <row r="1317" spans="1:25" x14ac:dyDescent="0.25">
      <c r="A1317">
        <f t="shared" si="153"/>
        <v>1310</v>
      </c>
      <c r="B1317" s="88" t="str">
        <f>IF(OR(B1316="Total",B1316=""),"",IF(VLOOKUP(A1317,Journal!$B$7:$E$84,4)=0,"Total",VLOOKUP(A1317,Journal!$B$7:$D$84,3)))</f>
        <v/>
      </c>
      <c r="C1317" s="86" t="str">
        <f>IF(B1317="","",VLOOKUP(A1317,Journal!$B$7:$E$84,4))</f>
        <v/>
      </c>
      <c r="D1317" s="114" t="str">
        <f>IF(B1317="","",VLOOKUP(A1317,Journal!$B$7:$J$84,9))</f>
        <v/>
      </c>
      <c r="E1317" s="116"/>
      <c r="F1317" s="116"/>
      <c r="G1317" s="115"/>
      <c r="H1317" s="84" t="str">
        <f>IF(B1317="","",VLOOKUP(A1317,Journal!$B$7:$L$84,11))</f>
        <v/>
      </c>
      <c r="I1317" s="84" t="str">
        <f>IF(B1317="","",VLOOKUP(A1317,Journal!$B$7:$M$84,12))</f>
        <v/>
      </c>
      <c r="J1317" s="105">
        <f>IF(B1317="Total",SUM(J$8:J1316)+0.0001,IF(OR(B1317="",I$2=I1317),0,VLOOKUP(A1317,Journal!$B$7:M$84,8)))</f>
        <v>0</v>
      </c>
      <c r="K1317" s="102">
        <f>IF(B1317="Total",SUM(K$8:K1316)+0.0001,IF(OR(B1317="",J1317&lt;&gt;0),0,VLOOKUP(A1317,Journal!$B$7:M$84,8)))</f>
        <v>0</v>
      </c>
      <c r="L1317" s="87">
        <f t="shared" si="154"/>
        <v>0</v>
      </c>
      <c r="P1317">
        <f t="shared" si="155"/>
        <v>1.0000000000000001E-5</v>
      </c>
      <c r="R1317" s="15">
        <f t="shared" si="156"/>
        <v>1310</v>
      </c>
      <c r="S1317" s="126">
        <f>IF(VLOOKUP(A1317,Journal!$A$7:$E$70,5)=0,S1316+1,VLOOKUP(A1317,Journal!$A$7:$E$70,5))</f>
        <v>46967</v>
      </c>
      <c r="T1317" s="125">
        <f>IF(H$2=VLOOKUP(A1317,Journal!$A$7:$F$70,6),VLOOKUP(A1317,Journal!$A$7:M$70,9),0)</f>
        <v>0</v>
      </c>
      <c r="U1317" s="125">
        <f>IF(H$2=VLOOKUP(A1317,Journal!$A$7:$G$70,7),VLOOKUP(A1317,Journal!$A$7:M$70,9),0)</f>
        <v>0</v>
      </c>
      <c r="V1317" s="125">
        <f t="shared" si="152"/>
        <v>40</v>
      </c>
      <c r="X1317">
        <f t="shared" si="157"/>
        <v>0</v>
      </c>
      <c r="Y1317" s="143">
        <f t="shared" si="151"/>
        <v>-965.60526315794948</v>
      </c>
    </row>
    <row r="1318" spans="1:25" x14ac:dyDescent="0.25">
      <c r="A1318">
        <f t="shared" si="153"/>
        <v>1311</v>
      </c>
      <c r="B1318" s="88" t="str">
        <f>IF(OR(B1317="Total",B1317=""),"",IF(VLOOKUP(A1318,Journal!$B$7:$E$84,4)=0,"Total",VLOOKUP(A1318,Journal!$B$7:$D$84,3)))</f>
        <v/>
      </c>
      <c r="C1318" s="86" t="str">
        <f>IF(B1318="","",VLOOKUP(A1318,Journal!$B$7:$E$84,4))</f>
        <v/>
      </c>
      <c r="D1318" s="114" t="str">
        <f>IF(B1318="","",VLOOKUP(A1318,Journal!$B$7:$J$84,9))</f>
        <v/>
      </c>
      <c r="E1318" s="116"/>
      <c r="F1318" s="116"/>
      <c r="G1318" s="115"/>
      <c r="H1318" s="84" t="str">
        <f>IF(B1318="","",VLOOKUP(A1318,Journal!$B$7:$L$84,11))</f>
        <v/>
      </c>
      <c r="I1318" s="84" t="str">
        <f>IF(B1318="","",VLOOKUP(A1318,Journal!$B$7:$M$84,12))</f>
        <v/>
      </c>
      <c r="J1318" s="105">
        <f>IF(B1318="Total",SUM(J$8:J1317)+0.0001,IF(OR(B1318="",I$2=I1318),0,VLOOKUP(A1318,Journal!$B$7:M$84,8)))</f>
        <v>0</v>
      </c>
      <c r="K1318" s="102">
        <f>IF(B1318="Total",SUM(K$8:K1317)+0.0001,IF(OR(B1318="",J1318&lt;&gt;0),0,VLOOKUP(A1318,Journal!$B$7:M$84,8)))</f>
        <v>0</v>
      </c>
      <c r="L1318" s="87">
        <f t="shared" si="154"/>
        <v>0</v>
      </c>
      <c r="P1318">
        <f t="shared" si="155"/>
        <v>1.0000000000000001E-5</v>
      </c>
      <c r="R1318" s="15">
        <f t="shared" si="156"/>
        <v>1311</v>
      </c>
      <c r="S1318" s="126">
        <f>IF(VLOOKUP(A1318,Journal!$A$7:$E$70,5)=0,S1317+1,VLOOKUP(A1318,Journal!$A$7:$E$70,5))</f>
        <v>46968</v>
      </c>
      <c r="T1318" s="125">
        <f>IF(H$2=VLOOKUP(A1318,Journal!$A$7:$F$70,6),VLOOKUP(A1318,Journal!$A$7:M$70,9),0)</f>
        <v>0</v>
      </c>
      <c r="U1318" s="125">
        <f>IF(H$2=VLOOKUP(A1318,Journal!$A$7:$G$70,7),VLOOKUP(A1318,Journal!$A$7:M$70,9),0)</f>
        <v>0</v>
      </c>
      <c r="V1318" s="125">
        <f t="shared" si="152"/>
        <v>40</v>
      </c>
      <c r="X1318">
        <f t="shared" si="157"/>
        <v>0</v>
      </c>
      <c r="Y1318" s="143">
        <f t="shared" si="151"/>
        <v>-965.57894736847584</v>
      </c>
    </row>
    <row r="1319" spans="1:25" x14ac:dyDescent="0.25">
      <c r="A1319">
        <f t="shared" si="153"/>
        <v>1312</v>
      </c>
      <c r="B1319" s="88" t="str">
        <f>IF(OR(B1318="Total",B1318=""),"",IF(VLOOKUP(A1319,Journal!$B$7:$E$84,4)=0,"Total",VLOOKUP(A1319,Journal!$B$7:$D$84,3)))</f>
        <v/>
      </c>
      <c r="C1319" s="86" t="str">
        <f>IF(B1319="","",VLOOKUP(A1319,Journal!$B$7:$E$84,4))</f>
        <v/>
      </c>
      <c r="D1319" s="114" t="str">
        <f>IF(B1319="","",VLOOKUP(A1319,Journal!$B$7:$J$84,9))</f>
        <v/>
      </c>
      <c r="E1319" s="116"/>
      <c r="F1319" s="116"/>
      <c r="G1319" s="115"/>
      <c r="H1319" s="84" t="str">
        <f>IF(B1319="","",VLOOKUP(A1319,Journal!$B$7:$L$84,11))</f>
        <v/>
      </c>
      <c r="I1319" s="84" t="str">
        <f>IF(B1319="","",VLOOKUP(A1319,Journal!$B$7:$M$84,12))</f>
        <v/>
      </c>
      <c r="J1319" s="105">
        <f>IF(B1319="Total",SUM(J$8:J1318)+0.0001,IF(OR(B1319="",I$2=I1319),0,VLOOKUP(A1319,Journal!$B$7:M$84,8)))</f>
        <v>0</v>
      </c>
      <c r="K1319" s="102">
        <f>IF(B1319="Total",SUM(K$8:K1318)+0.0001,IF(OR(B1319="",J1319&lt;&gt;0),0,VLOOKUP(A1319,Journal!$B$7:M$84,8)))</f>
        <v>0</v>
      </c>
      <c r="L1319" s="87">
        <f t="shared" si="154"/>
        <v>0</v>
      </c>
      <c r="P1319">
        <f t="shared" si="155"/>
        <v>1.0000000000000001E-5</v>
      </c>
      <c r="R1319" s="15">
        <f t="shared" si="156"/>
        <v>1312</v>
      </c>
      <c r="S1319" s="126">
        <f>IF(VLOOKUP(A1319,Journal!$A$7:$E$70,5)=0,S1318+1,VLOOKUP(A1319,Journal!$A$7:$E$70,5))</f>
        <v>46969</v>
      </c>
      <c r="T1319" s="125">
        <f>IF(H$2=VLOOKUP(A1319,Journal!$A$7:$F$70,6),VLOOKUP(A1319,Journal!$A$7:M$70,9),0)</f>
        <v>0</v>
      </c>
      <c r="U1319" s="125">
        <f>IF(H$2=VLOOKUP(A1319,Journal!$A$7:$G$70,7),VLOOKUP(A1319,Journal!$A$7:M$70,9),0)</f>
        <v>0</v>
      </c>
      <c r="V1319" s="125">
        <f t="shared" si="152"/>
        <v>40</v>
      </c>
      <c r="X1319">
        <f t="shared" si="157"/>
        <v>0</v>
      </c>
      <c r="Y1319" s="143">
        <f t="shared" si="151"/>
        <v>-965.5526315790022</v>
      </c>
    </row>
    <row r="1320" spans="1:25" x14ac:dyDescent="0.25">
      <c r="A1320">
        <f t="shared" si="153"/>
        <v>1313</v>
      </c>
      <c r="B1320" s="88" t="str">
        <f>IF(OR(B1319="Total",B1319=""),"",IF(VLOOKUP(A1320,Journal!$B$7:$E$84,4)=0,"Total",VLOOKUP(A1320,Journal!$B$7:$D$84,3)))</f>
        <v/>
      </c>
      <c r="C1320" s="86" t="str">
        <f>IF(B1320="","",VLOOKUP(A1320,Journal!$B$7:$E$84,4))</f>
        <v/>
      </c>
      <c r="D1320" s="114" t="str">
        <f>IF(B1320="","",VLOOKUP(A1320,Journal!$B$7:$J$84,9))</f>
        <v/>
      </c>
      <c r="E1320" s="116"/>
      <c r="F1320" s="116"/>
      <c r="G1320" s="115"/>
      <c r="H1320" s="84" t="str">
        <f>IF(B1320="","",VLOOKUP(A1320,Journal!$B$7:$L$84,11))</f>
        <v/>
      </c>
      <c r="I1320" s="84" t="str">
        <f>IF(B1320="","",VLOOKUP(A1320,Journal!$B$7:$M$84,12))</f>
        <v/>
      </c>
      <c r="J1320" s="105">
        <f>IF(B1320="Total",SUM(J$8:J1319)+0.0001,IF(OR(B1320="",I$2=I1320),0,VLOOKUP(A1320,Journal!$B$7:M$84,8)))</f>
        <v>0</v>
      </c>
      <c r="K1320" s="102">
        <f>IF(B1320="Total",SUM(K$8:K1319)+0.0001,IF(OR(B1320="",J1320&lt;&gt;0),0,VLOOKUP(A1320,Journal!$B$7:M$84,8)))</f>
        <v>0</v>
      </c>
      <c r="L1320" s="87">
        <f t="shared" si="154"/>
        <v>0</v>
      </c>
      <c r="P1320">
        <f t="shared" si="155"/>
        <v>1.0000000000000001E-5</v>
      </c>
      <c r="R1320" s="15">
        <f t="shared" si="156"/>
        <v>1313</v>
      </c>
      <c r="S1320" s="126">
        <f>IF(VLOOKUP(A1320,Journal!$A$7:$E$70,5)=0,S1319+1,VLOOKUP(A1320,Journal!$A$7:$E$70,5))</f>
        <v>46970</v>
      </c>
      <c r="T1320" s="125">
        <f>IF(H$2=VLOOKUP(A1320,Journal!$A$7:$F$70,6),VLOOKUP(A1320,Journal!$A$7:M$70,9),0)</f>
        <v>0</v>
      </c>
      <c r="U1320" s="125">
        <f>IF(H$2=VLOOKUP(A1320,Journal!$A$7:$G$70,7),VLOOKUP(A1320,Journal!$A$7:M$70,9),0)</f>
        <v>0</v>
      </c>
      <c r="V1320" s="125">
        <f t="shared" si="152"/>
        <v>40</v>
      </c>
      <c r="X1320">
        <f t="shared" si="157"/>
        <v>0</v>
      </c>
      <c r="Y1320" s="143">
        <f t="shared" si="151"/>
        <v>-965.52631578952855</v>
      </c>
    </row>
    <row r="1321" spans="1:25" x14ac:dyDescent="0.25">
      <c r="A1321">
        <f t="shared" si="153"/>
        <v>1314</v>
      </c>
      <c r="B1321" s="88" t="str">
        <f>IF(OR(B1320="Total",B1320=""),"",IF(VLOOKUP(A1321,Journal!$B$7:$E$84,4)=0,"Total",VLOOKUP(A1321,Journal!$B$7:$D$84,3)))</f>
        <v/>
      </c>
      <c r="C1321" s="86" t="str">
        <f>IF(B1321="","",VLOOKUP(A1321,Journal!$B$7:$E$84,4))</f>
        <v/>
      </c>
      <c r="D1321" s="114" t="str">
        <f>IF(B1321="","",VLOOKUP(A1321,Journal!$B$7:$J$84,9))</f>
        <v/>
      </c>
      <c r="E1321" s="116"/>
      <c r="F1321" s="116"/>
      <c r="G1321" s="115"/>
      <c r="H1321" s="84" t="str">
        <f>IF(B1321="","",VLOOKUP(A1321,Journal!$B$7:$L$84,11))</f>
        <v/>
      </c>
      <c r="I1321" s="84" t="str">
        <f>IF(B1321="","",VLOOKUP(A1321,Journal!$B$7:$M$84,12))</f>
        <v/>
      </c>
      <c r="J1321" s="105">
        <f>IF(B1321="Total",SUM(J$8:J1320)+0.0001,IF(OR(B1321="",I$2=I1321),0,VLOOKUP(A1321,Journal!$B$7:M$84,8)))</f>
        <v>0</v>
      </c>
      <c r="K1321" s="102">
        <f>IF(B1321="Total",SUM(K$8:K1320)+0.0001,IF(OR(B1321="",J1321&lt;&gt;0),0,VLOOKUP(A1321,Journal!$B$7:M$84,8)))</f>
        <v>0</v>
      </c>
      <c r="L1321" s="87">
        <f t="shared" si="154"/>
        <v>0</v>
      </c>
      <c r="P1321">
        <f t="shared" si="155"/>
        <v>1.0000000000000001E-5</v>
      </c>
      <c r="R1321" s="15">
        <f t="shared" si="156"/>
        <v>1314</v>
      </c>
      <c r="S1321" s="126">
        <f>IF(VLOOKUP(A1321,Journal!$A$7:$E$70,5)=0,S1320+1,VLOOKUP(A1321,Journal!$A$7:$E$70,5))</f>
        <v>46971</v>
      </c>
      <c r="T1321" s="125">
        <f>IF(H$2=VLOOKUP(A1321,Journal!$A$7:$F$70,6),VLOOKUP(A1321,Journal!$A$7:M$70,9),0)</f>
        <v>0</v>
      </c>
      <c r="U1321" s="125">
        <f>IF(H$2=VLOOKUP(A1321,Journal!$A$7:$G$70,7),VLOOKUP(A1321,Journal!$A$7:M$70,9),0)</f>
        <v>0</v>
      </c>
      <c r="V1321" s="125">
        <f t="shared" si="152"/>
        <v>40</v>
      </c>
      <c r="X1321">
        <f t="shared" si="157"/>
        <v>0</v>
      </c>
      <c r="Y1321" s="143">
        <f t="shared" si="151"/>
        <v>-965.50000000005491</v>
      </c>
    </row>
    <row r="1322" spans="1:25" x14ac:dyDescent="0.25">
      <c r="A1322">
        <f t="shared" si="153"/>
        <v>1315</v>
      </c>
      <c r="B1322" s="88" t="str">
        <f>IF(OR(B1321="Total",B1321=""),"",IF(VLOOKUP(A1322,Journal!$B$7:$E$84,4)=0,"Total",VLOOKUP(A1322,Journal!$B$7:$D$84,3)))</f>
        <v/>
      </c>
      <c r="C1322" s="86" t="str">
        <f>IF(B1322="","",VLOOKUP(A1322,Journal!$B$7:$E$84,4))</f>
        <v/>
      </c>
      <c r="D1322" s="114" t="str">
        <f>IF(B1322="","",VLOOKUP(A1322,Journal!$B$7:$J$84,9))</f>
        <v/>
      </c>
      <c r="E1322" s="116"/>
      <c r="F1322" s="116"/>
      <c r="G1322" s="115"/>
      <c r="H1322" s="84" t="str">
        <f>IF(B1322="","",VLOOKUP(A1322,Journal!$B$7:$L$84,11))</f>
        <v/>
      </c>
      <c r="I1322" s="84" t="str">
        <f>IF(B1322="","",VLOOKUP(A1322,Journal!$B$7:$M$84,12))</f>
        <v/>
      </c>
      <c r="J1322" s="105">
        <f>IF(B1322="Total",SUM(J$8:J1321)+0.0001,IF(OR(B1322="",I$2=I1322),0,VLOOKUP(A1322,Journal!$B$7:M$84,8)))</f>
        <v>0</v>
      </c>
      <c r="K1322" s="102">
        <f>IF(B1322="Total",SUM(K$8:K1321)+0.0001,IF(OR(B1322="",J1322&lt;&gt;0),0,VLOOKUP(A1322,Journal!$B$7:M$84,8)))</f>
        <v>0</v>
      </c>
      <c r="L1322" s="87">
        <f t="shared" si="154"/>
        <v>0</v>
      </c>
      <c r="P1322">
        <f t="shared" si="155"/>
        <v>1.0000000000000001E-5</v>
      </c>
      <c r="R1322" s="15">
        <f t="shared" si="156"/>
        <v>1315</v>
      </c>
      <c r="S1322" s="126">
        <f>IF(VLOOKUP(A1322,Journal!$A$7:$E$70,5)=0,S1321+1,VLOOKUP(A1322,Journal!$A$7:$E$70,5))</f>
        <v>46972</v>
      </c>
      <c r="T1322" s="125">
        <f>IF(H$2=VLOOKUP(A1322,Journal!$A$7:$F$70,6),VLOOKUP(A1322,Journal!$A$7:M$70,9),0)</f>
        <v>0</v>
      </c>
      <c r="U1322" s="125">
        <f>IF(H$2=VLOOKUP(A1322,Journal!$A$7:$G$70,7),VLOOKUP(A1322,Journal!$A$7:M$70,9),0)</f>
        <v>0</v>
      </c>
      <c r="V1322" s="125">
        <f t="shared" si="152"/>
        <v>40</v>
      </c>
      <c r="X1322">
        <f t="shared" si="157"/>
        <v>0</v>
      </c>
      <c r="Y1322" s="143">
        <f t="shared" si="151"/>
        <v>-965.47368421058127</v>
      </c>
    </row>
    <row r="1323" spans="1:25" x14ac:dyDescent="0.25">
      <c r="A1323">
        <f t="shared" si="153"/>
        <v>1316</v>
      </c>
      <c r="B1323" s="88" t="str">
        <f>IF(OR(B1322="Total",B1322=""),"",IF(VLOOKUP(A1323,Journal!$B$7:$E$84,4)=0,"Total",VLOOKUP(A1323,Journal!$B$7:$D$84,3)))</f>
        <v/>
      </c>
      <c r="C1323" s="86" t="str">
        <f>IF(B1323="","",VLOOKUP(A1323,Journal!$B$7:$E$84,4))</f>
        <v/>
      </c>
      <c r="D1323" s="114" t="str">
        <f>IF(B1323="","",VLOOKUP(A1323,Journal!$B$7:$J$84,9))</f>
        <v/>
      </c>
      <c r="E1323" s="116"/>
      <c r="F1323" s="116"/>
      <c r="G1323" s="115"/>
      <c r="H1323" s="84" t="str">
        <f>IF(B1323="","",VLOOKUP(A1323,Journal!$B$7:$L$84,11))</f>
        <v/>
      </c>
      <c r="I1323" s="84" t="str">
        <f>IF(B1323="","",VLOOKUP(A1323,Journal!$B$7:$M$84,12))</f>
        <v/>
      </c>
      <c r="J1323" s="105">
        <f>IF(B1323="Total",SUM(J$8:J1322)+0.0001,IF(OR(B1323="",I$2=I1323),0,VLOOKUP(A1323,Journal!$B$7:M$84,8)))</f>
        <v>0</v>
      </c>
      <c r="K1323" s="102">
        <f>IF(B1323="Total",SUM(K$8:K1322)+0.0001,IF(OR(B1323="",J1323&lt;&gt;0),0,VLOOKUP(A1323,Journal!$B$7:M$84,8)))</f>
        <v>0</v>
      </c>
      <c r="L1323" s="87">
        <f t="shared" si="154"/>
        <v>0</v>
      </c>
      <c r="P1323">
        <f t="shared" si="155"/>
        <v>1.0000000000000001E-5</v>
      </c>
      <c r="R1323" s="15">
        <f t="shared" si="156"/>
        <v>1316</v>
      </c>
      <c r="S1323" s="126">
        <f>IF(VLOOKUP(A1323,Journal!$A$7:$E$70,5)=0,S1322+1,VLOOKUP(A1323,Journal!$A$7:$E$70,5))</f>
        <v>46973</v>
      </c>
      <c r="T1323" s="125">
        <f>IF(H$2=VLOOKUP(A1323,Journal!$A$7:$F$70,6),VLOOKUP(A1323,Journal!$A$7:M$70,9),0)</f>
        <v>0</v>
      </c>
      <c r="U1323" s="125">
        <f>IF(H$2=VLOOKUP(A1323,Journal!$A$7:$G$70,7),VLOOKUP(A1323,Journal!$A$7:M$70,9),0)</f>
        <v>0</v>
      </c>
      <c r="V1323" s="125">
        <f t="shared" si="152"/>
        <v>40</v>
      </c>
      <c r="X1323">
        <f t="shared" si="157"/>
        <v>0</v>
      </c>
      <c r="Y1323" s="143">
        <f t="shared" si="151"/>
        <v>-965.44736842110763</v>
      </c>
    </row>
    <row r="1324" spans="1:25" x14ac:dyDescent="0.25">
      <c r="A1324">
        <f t="shared" si="153"/>
        <v>1317</v>
      </c>
      <c r="B1324" s="88" t="str">
        <f>IF(OR(B1323="Total",B1323=""),"",IF(VLOOKUP(A1324,Journal!$B$7:$E$84,4)=0,"Total",VLOOKUP(A1324,Journal!$B$7:$D$84,3)))</f>
        <v/>
      </c>
      <c r="C1324" s="86" t="str">
        <f>IF(B1324="","",VLOOKUP(A1324,Journal!$B$7:$E$84,4))</f>
        <v/>
      </c>
      <c r="D1324" s="114" t="str">
        <f>IF(B1324="","",VLOOKUP(A1324,Journal!$B$7:$J$84,9))</f>
        <v/>
      </c>
      <c r="E1324" s="116"/>
      <c r="F1324" s="116"/>
      <c r="G1324" s="115"/>
      <c r="H1324" s="84" t="str">
        <f>IF(B1324="","",VLOOKUP(A1324,Journal!$B$7:$L$84,11))</f>
        <v/>
      </c>
      <c r="I1324" s="84" t="str">
        <f>IF(B1324="","",VLOOKUP(A1324,Journal!$B$7:$M$84,12))</f>
        <v/>
      </c>
      <c r="J1324" s="105">
        <f>IF(B1324="Total",SUM(J$8:J1323)+0.0001,IF(OR(B1324="",I$2=I1324),0,VLOOKUP(A1324,Journal!$B$7:M$84,8)))</f>
        <v>0</v>
      </c>
      <c r="K1324" s="102">
        <f>IF(B1324="Total",SUM(K$8:K1323)+0.0001,IF(OR(B1324="",J1324&lt;&gt;0),0,VLOOKUP(A1324,Journal!$B$7:M$84,8)))</f>
        <v>0</v>
      </c>
      <c r="L1324" s="87">
        <f t="shared" si="154"/>
        <v>0</v>
      </c>
      <c r="P1324">
        <f t="shared" si="155"/>
        <v>1.0000000000000001E-5</v>
      </c>
      <c r="R1324" s="15">
        <f t="shared" si="156"/>
        <v>1317</v>
      </c>
      <c r="S1324" s="126">
        <f>IF(VLOOKUP(A1324,Journal!$A$7:$E$70,5)=0,S1323+1,VLOOKUP(A1324,Journal!$A$7:$E$70,5))</f>
        <v>46974</v>
      </c>
      <c r="T1324" s="125">
        <f>IF(H$2=VLOOKUP(A1324,Journal!$A$7:$F$70,6),VLOOKUP(A1324,Journal!$A$7:M$70,9),0)</f>
        <v>0</v>
      </c>
      <c r="U1324" s="125">
        <f>IF(H$2=VLOOKUP(A1324,Journal!$A$7:$G$70,7),VLOOKUP(A1324,Journal!$A$7:M$70,9),0)</f>
        <v>0</v>
      </c>
      <c r="V1324" s="125">
        <f t="shared" si="152"/>
        <v>40</v>
      </c>
      <c r="X1324">
        <f t="shared" si="157"/>
        <v>0</v>
      </c>
      <c r="Y1324" s="143">
        <f t="shared" si="151"/>
        <v>-965.42105263163398</v>
      </c>
    </row>
    <row r="1325" spans="1:25" x14ac:dyDescent="0.25">
      <c r="A1325">
        <f t="shared" si="153"/>
        <v>1318</v>
      </c>
      <c r="B1325" s="88" t="str">
        <f>IF(OR(B1324="Total",B1324=""),"",IF(VLOOKUP(A1325,Journal!$B$7:$E$84,4)=0,"Total",VLOOKUP(A1325,Journal!$B$7:$D$84,3)))</f>
        <v/>
      </c>
      <c r="C1325" s="86" t="str">
        <f>IF(B1325="","",VLOOKUP(A1325,Journal!$B$7:$E$84,4))</f>
        <v/>
      </c>
      <c r="D1325" s="114" t="str">
        <f>IF(B1325="","",VLOOKUP(A1325,Journal!$B$7:$J$84,9))</f>
        <v/>
      </c>
      <c r="E1325" s="116"/>
      <c r="F1325" s="116"/>
      <c r="G1325" s="115"/>
      <c r="H1325" s="84" t="str">
        <f>IF(B1325="","",VLOOKUP(A1325,Journal!$B$7:$L$84,11))</f>
        <v/>
      </c>
      <c r="I1325" s="84" t="str">
        <f>IF(B1325="","",VLOOKUP(A1325,Journal!$B$7:$M$84,12))</f>
        <v/>
      </c>
      <c r="J1325" s="105">
        <f>IF(B1325="Total",SUM(J$8:J1324)+0.0001,IF(OR(B1325="",I$2=I1325),0,VLOOKUP(A1325,Journal!$B$7:M$84,8)))</f>
        <v>0</v>
      </c>
      <c r="K1325" s="102">
        <f>IF(B1325="Total",SUM(K$8:K1324)+0.0001,IF(OR(B1325="",J1325&lt;&gt;0),0,VLOOKUP(A1325,Journal!$B$7:M$84,8)))</f>
        <v>0</v>
      </c>
      <c r="L1325" s="87">
        <f t="shared" si="154"/>
        <v>0</v>
      </c>
      <c r="P1325">
        <f t="shared" si="155"/>
        <v>1.0000000000000001E-5</v>
      </c>
      <c r="R1325" s="15">
        <f t="shared" si="156"/>
        <v>1318</v>
      </c>
      <c r="S1325" s="126">
        <f>IF(VLOOKUP(A1325,Journal!$A$7:$E$70,5)=0,S1324+1,VLOOKUP(A1325,Journal!$A$7:$E$70,5))</f>
        <v>46975</v>
      </c>
      <c r="T1325" s="125">
        <f>IF(H$2=VLOOKUP(A1325,Journal!$A$7:$F$70,6),VLOOKUP(A1325,Journal!$A$7:M$70,9),0)</f>
        <v>0</v>
      </c>
      <c r="U1325" s="125">
        <f>IF(H$2=VLOOKUP(A1325,Journal!$A$7:$G$70,7),VLOOKUP(A1325,Journal!$A$7:M$70,9),0)</f>
        <v>0</v>
      </c>
      <c r="V1325" s="125">
        <f t="shared" si="152"/>
        <v>40</v>
      </c>
      <c r="X1325">
        <f t="shared" si="157"/>
        <v>0</v>
      </c>
      <c r="Y1325" s="143">
        <f t="shared" si="151"/>
        <v>-965.39473684216034</v>
      </c>
    </row>
    <row r="1326" spans="1:25" x14ac:dyDescent="0.25">
      <c r="A1326">
        <f t="shared" si="153"/>
        <v>1319</v>
      </c>
      <c r="B1326" s="88" t="str">
        <f>IF(OR(B1325="Total",B1325=""),"",IF(VLOOKUP(A1326,Journal!$B$7:$E$84,4)=0,"Total",VLOOKUP(A1326,Journal!$B$7:$D$84,3)))</f>
        <v/>
      </c>
      <c r="C1326" s="86" t="str">
        <f>IF(B1326="","",VLOOKUP(A1326,Journal!$B$7:$E$84,4))</f>
        <v/>
      </c>
      <c r="D1326" s="114" t="str">
        <f>IF(B1326="","",VLOOKUP(A1326,Journal!$B$7:$J$84,9))</f>
        <v/>
      </c>
      <c r="E1326" s="116"/>
      <c r="F1326" s="116"/>
      <c r="G1326" s="115"/>
      <c r="H1326" s="84" t="str">
        <f>IF(B1326="","",VLOOKUP(A1326,Journal!$B$7:$L$84,11))</f>
        <v/>
      </c>
      <c r="I1326" s="84" t="str">
        <f>IF(B1326="","",VLOOKUP(A1326,Journal!$B$7:$M$84,12))</f>
        <v/>
      </c>
      <c r="J1326" s="105">
        <f>IF(B1326="Total",SUM(J$8:J1325)+0.0001,IF(OR(B1326="",I$2=I1326),0,VLOOKUP(A1326,Journal!$B$7:M$84,8)))</f>
        <v>0</v>
      </c>
      <c r="K1326" s="102">
        <f>IF(B1326="Total",SUM(K$8:K1325)+0.0001,IF(OR(B1326="",J1326&lt;&gt;0),0,VLOOKUP(A1326,Journal!$B$7:M$84,8)))</f>
        <v>0</v>
      </c>
      <c r="L1326" s="87">
        <f t="shared" si="154"/>
        <v>0</v>
      </c>
      <c r="P1326">
        <f t="shared" si="155"/>
        <v>1.0000000000000001E-5</v>
      </c>
      <c r="R1326" s="15">
        <f t="shared" si="156"/>
        <v>1319</v>
      </c>
      <c r="S1326" s="126">
        <f>IF(VLOOKUP(A1326,Journal!$A$7:$E$70,5)=0,S1325+1,VLOOKUP(A1326,Journal!$A$7:$E$70,5))</f>
        <v>46976</v>
      </c>
      <c r="T1326" s="125">
        <f>IF(H$2=VLOOKUP(A1326,Journal!$A$7:$F$70,6),VLOOKUP(A1326,Journal!$A$7:M$70,9),0)</f>
        <v>0</v>
      </c>
      <c r="U1326" s="125">
        <f>IF(H$2=VLOOKUP(A1326,Journal!$A$7:$G$70,7),VLOOKUP(A1326,Journal!$A$7:M$70,9),0)</f>
        <v>0</v>
      </c>
      <c r="V1326" s="125">
        <f t="shared" si="152"/>
        <v>40</v>
      </c>
      <c r="X1326">
        <f t="shared" si="157"/>
        <v>0</v>
      </c>
      <c r="Y1326" s="143">
        <f t="shared" si="151"/>
        <v>-965.3684210526867</v>
      </c>
    </row>
    <row r="1327" spans="1:25" x14ac:dyDescent="0.25">
      <c r="A1327">
        <f t="shared" si="153"/>
        <v>1320</v>
      </c>
      <c r="B1327" s="88" t="str">
        <f>IF(OR(B1326="Total",B1326=""),"",IF(VLOOKUP(A1327,Journal!$B$7:$E$84,4)=0,"Total",VLOOKUP(A1327,Journal!$B$7:$D$84,3)))</f>
        <v/>
      </c>
      <c r="C1327" s="86" t="str">
        <f>IF(B1327="","",VLOOKUP(A1327,Journal!$B$7:$E$84,4))</f>
        <v/>
      </c>
      <c r="D1327" s="114" t="str">
        <f>IF(B1327="","",VLOOKUP(A1327,Journal!$B$7:$J$84,9))</f>
        <v/>
      </c>
      <c r="E1327" s="116"/>
      <c r="F1327" s="116"/>
      <c r="G1327" s="115"/>
      <c r="H1327" s="84" t="str">
        <f>IF(B1327="","",VLOOKUP(A1327,Journal!$B$7:$L$84,11))</f>
        <v/>
      </c>
      <c r="I1327" s="84" t="str">
        <f>IF(B1327="","",VLOOKUP(A1327,Journal!$B$7:$M$84,12))</f>
        <v/>
      </c>
      <c r="J1327" s="105">
        <f>IF(B1327="Total",SUM(J$8:J1326)+0.0001,IF(OR(B1327="",I$2=I1327),0,VLOOKUP(A1327,Journal!$B$7:M$84,8)))</f>
        <v>0</v>
      </c>
      <c r="K1327" s="102">
        <f>IF(B1327="Total",SUM(K$8:K1326)+0.0001,IF(OR(B1327="",J1327&lt;&gt;0),0,VLOOKUP(A1327,Journal!$B$7:M$84,8)))</f>
        <v>0</v>
      </c>
      <c r="L1327" s="87">
        <f t="shared" si="154"/>
        <v>0</v>
      </c>
      <c r="P1327">
        <f t="shared" si="155"/>
        <v>1.0000000000000001E-5</v>
      </c>
      <c r="R1327" s="15">
        <f t="shared" si="156"/>
        <v>1320</v>
      </c>
      <c r="S1327" s="126">
        <f>IF(VLOOKUP(A1327,Journal!$A$7:$E$70,5)=0,S1326+1,VLOOKUP(A1327,Journal!$A$7:$E$70,5))</f>
        <v>46977</v>
      </c>
      <c r="T1327" s="125">
        <f>IF(H$2=VLOOKUP(A1327,Journal!$A$7:$F$70,6),VLOOKUP(A1327,Journal!$A$7:M$70,9),0)</f>
        <v>0</v>
      </c>
      <c r="U1327" s="125">
        <f>IF(H$2=VLOOKUP(A1327,Journal!$A$7:$G$70,7),VLOOKUP(A1327,Journal!$A$7:M$70,9),0)</f>
        <v>0</v>
      </c>
      <c r="V1327" s="125">
        <f t="shared" si="152"/>
        <v>40</v>
      </c>
      <c r="X1327">
        <f t="shared" si="157"/>
        <v>0</v>
      </c>
      <c r="Y1327" s="143">
        <f t="shared" si="151"/>
        <v>-965.34210526321306</v>
      </c>
    </row>
    <row r="1328" spans="1:25" x14ac:dyDescent="0.25">
      <c r="A1328">
        <f t="shared" si="153"/>
        <v>1321</v>
      </c>
      <c r="B1328" s="88" t="str">
        <f>IF(OR(B1327="Total",B1327=""),"",IF(VLOOKUP(A1328,Journal!$B$7:$E$84,4)=0,"Total",VLOOKUP(A1328,Journal!$B$7:$D$84,3)))</f>
        <v/>
      </c>
      <c r="C1328" s="86" t="str">
        <f>IF(B1328="","",VLOOKUP(A1328,Journal!$B$7:$E$84,4))</f>
        <v/>
      </c>
      <c r="D1328" s="114" t="str">
        <f>IF(B1328="","",VLOOKUP(A1328,Journal!$B$7:$J$84,9))</f>
        <v/>
      </c>
      <c r="E1328" s="116"/>
      <c r="F1328" s="116"/>
      <c r="G1328" s="115"/>
      <c r="H1328" s="84" t="str">
        <f>IF(B1328="","",VLOOKUP(A1328,Journal!$B$7:$L$84,11))</f>
        <v/>
      </c>
      <c r="I1328" s="84" t="str">
        <f>IF(B1328="","",VLOOKUP(A1328,Journal!$B$7:$M$84,12))</f>
        <v/>
      </c>
      <c r="J1328" s="105">
        <f>IF(B1328="Total",SUM(J$8:J1327)+0.0001,IF(OR(B1328="",I$2=I1328),0,VLOOKUP(A1328,Journal!$B$7:M$84,8)))</f>
        <v>0</v>
      </c>
      <c r="K1328" s="102">
        <f>IF(B1328="Total",SUM(K$8:K1327)+0.0001,IF(OR(B1328="",J1328&lt;&gt;0),0,VLOOKUP(A1328,Journal!$B$7:M$84,8)))</f>
        <v>0</v>
      </c>
      <c r="L1328" s="87">
        <f t="shared" si="154"/>
        <v>0</v>
      </c>
      <c r="P1328">
        <f t="shared" si="155"/>
        <v>1.0000000000000001E-5</v>
      </c>
      <c r="R1328" s="15">
        <f t="shared" si="156"/>
        <v>1321</v>
      </c>
      <c r="S1328" s="126">
        <f>IF(VLOOKUP(A1328,Journal!$A$7:$E$70,5)=0,S1327+1,VLOOKUP(A1328,Journal!$A$7:$E$70,5))</f>
        <v>46978</v>
      </c>
      <c r="T1328" s="125">
        <f>IF(H$2=VLOOKUP(A1328,Journal!$A$7:$F$70,6),VLOOKUP(A1328,Journal!$A$7:M$70,9),0)</f>
        <v>0</v>
      </c>
      <c r="U1328" s="125">
        <f>IF(H$2=VLOOKUP(A1328,Journal!$A$7:$G$70,7),VLOOKUP(A1328,Journal!$A$7:M$70,9),0)</f>
        <v>0</v>
      </c>
      <c r="V1328" s="125">
        <f t="shared" si="152"/>
        <v>40</v>
      </c>
      <c r="X1328">
        <f t="shared" si="157"/>
        <v>0</v>
      </c>
      <c r="Y1328" s="143">
        <f t="shared" si="151"/>
        <v>-965.31578947373941</v>
      </c>
    </row>
    <row r="1329" spans="1:25" x14ac:dyDescent="0.25">
      <c r="A1329">
        <f t="shared" si="153"/>
        <v>1322</v>
      </c>
      <c r="B1329" s="88" t="str">
        <f>IF(OR(B1328="Total",B1328=""),"",IF(VLOOKUP(A1329,Journal!$B$7:$E$84,4)=0,"Total",VLOOKUP(A1329,Journal!$B$7:$D$84,3)))</f>
        <v/>
      </c>
      <c r="C1329" s="86" t="str">
        <f>IF(B1329="","",VLOOKUP(A1329,Journal!$B$7:$E$84,4))</f>
        <v/>
      </c>
      <c r="D1329" s="114" t="str">
        <f>IF(B1329="","",VLOOKUP(A1329,Journal!$B$7:$J$84,9))</f>
        <v/>
      </c>
      <c r="E1329" s="116"/>
      <c r="F1329" s="116"/>
      <c r="G1329" s="115"/>
      <c r="H1329" s="84" t="str">
        <f>IF(B1329="","",VLOOKUP(A1329,Journal!$B$7:$L$84,11))</f>
        <v/>
      </c>
      <c r="I1329" s="84" t="str">
        <f>IF(B1329="","",VLOOKUP(A1329,Journal!$B$7:$M$84,12))</f>
        <v/>
      </c>
      <c r="J1329" s="105">
        <f>IF(B1329="Total",SUM(J$8:J1328)+0.0001,IF(OR(B1329="",I$2=I1329),0,VLOOKUP(A1329,Journal!$B$7:M$84,8)))</f>
        <v>0</v>
      </c>
      <c r="K1329" s="102">
        <f>IF(B1329="Total",SUM(K$8:K1328)+0.0001,IF(OR(B1329="",J1329&lt;&gt;0),0,VLOOKUP(A1329,Journal!$B$7:M$84,8)))</f>
        <v>0</v>
      </c>
      <c r="L1329" s="87">
        <f t="shared" si="154"/>
        <v>0</v>
      </c>
      <c r="P1329">
        <f t="shared" si="155"/>
        <v>1.0000000000000001E-5</v>
      </c>
      <c r="R1329" s="15">
        <f t="shared" si="156"/>
        <v>1322</v>
      </c>
      <c r="S1329" s="126">
        <f>IF(VLOOKUP(A1329,Journal!$A$7:$E$70,5)=0,S1328+1,VLOOKUP(A1329,Journal!$A$7:$E$70,5))</f>
        <v>46979</v>
      </c>
      <c r="T1329" s="125">
        <f>IF(H$2=VLOOKUP(A1329,Journal!$A$7:$F$70,6),VLOOKUP(A1329,Journal!$A$7:M$70,9),0)</f>
        <v>0</v>
      </c>
      <c r="U1329" s="125">
        <f>IF(H$2=VLOOKUP(A1329,Journal!$A$7:$G$70,7),VLOOKUP(A1329,Journal!$A$7:M$70,9),0)</f>
        <v>0</v>
      </c>
      <c r="V1329" s="125">
        <f t="shared" si="152"/>
        <v>40</v>
      </c>
      <c r="X1329">
        <f t="shared" si="157"/>
        <v>0</v>
      </c>
      <c r="Y1329" s="143">
        <f t="shared" si="151"/>
        <v>-965.28947368426577</v>
      </c>
    </row>
    <row r="1330" spans="1:25" x14ac:dyDescent="0.25">
      <c r="A1330">
        <f t="shared" si="153"/>
        <v>1323</v>
      </c>
      <c r="B1330" s="88" t="str">
        <f>IF(OR(B1329="Total",B1329=""),"",IF(VLOOKUP(A1330,Journal!$B$7:$E$84,4)=0,"Total",VLOOKUP(A1330,Journal!$B$7:$D$84,3)))</f>
        <v/>
      </c>
      <c r="C1330" s="86" t="str">
        <f>IF(B1330="","",VLOOKUP(A1330,Journal!$B$7:$E$84,4))</f>
        <v/>
      </c>
      <c r="D1330" s="114" t="str">
        <f>IF(B1330="","",VLOOKUP(A1330,Journal!$B$7:$J$84,9))</f>
        <v/>
      </c>
      <c r="E1330" s="116"/>
      <c r="F1330" s="116"/>
      <c r="G1330" s="115"/>
      <c r="H1330" s="84" t="str">
        <f>IF(B1330="","",VLOOKUP(A1330,Journal!$B$7:$L$84,11))</f>
        <v/>
      </c>
      <c r="I1330" s="84" t="str">
        <f>IF(B1330="","",VLOOKUP(A1330,Journal!$B$7:$M$84,12))</f>
        <v/>
      </c>
      <c r="J1330" s="105">
        <f>IF(B1330="Total",SUM(J$8:J1329)+0.0001,IF(OR(B1330="",I$2=I1330),0,VLOOKUP(A1330,Journal!$B$7:M$84,8)))</f>
        <v>0</v>
      </c>
      <c r="K1330" s="102">
        <f>IF(B1330="Total",SUM(K$8:K1329)+0.0001,IF(OR(B1330="",J1330&lt;&gt;0),0,VLOOKUP(A1330,Journal!$B$7:M$84,8)))</f>
        <v>0</v>
      </c>
      <c r="L1330" s="87">
        <f t="shared" si="154"/>
        <v>0</v>
      </c>
      <c r="P1330">
        <f t="shared" si="155"/>
        <v>1.0000000000000001E-5</v>
      </c>
      <c r="R1330" s="15">
        <f t="shared" si="156"/>
        <v>1323</v>
      </c>
      <c r="S1330" s="126">
        <f>IF(VLOOKUP(A1330,Journal!$A$7:$E$70,5)=0,S1329+1,VLOOKUP(A1330,Journal!$A$7:$E$70,5))</f>
        <v>46980</v>
      </c>
      <c r="T1330" s="125">
        <f>IF(H$2=VLOOKUP(A1330,Journal!$A$7:$F$70,6),VLOOKUP(A1330,Journal!$A$7:M$70,9),0)</f>
        <v>0</v>
      </c>
      <c r="U1330" s="125">
        <f>IF(H$2=VLOOKUP(A1330,Journal!$A$7:$G$70,7),VLOOKUP(A1330,Journal!$A$7:M$70,9),0)</f>
        <v>0</v>
      </c>
      <c r="V1330" s="125">
        <f t="shared" si="152"/>
        <v>40</v>
      </c>
      <c r="X1330">
        <f t="shared" si="157"/>
        <v>0</v>
      </c>
      <c r="Y1330" s="143">
        <f t="shared" si="151"/>
        <v>-965.26315789479213</v>
      </c>
    </row>
    <row r="1331" spans="1:25" x14ac:dyDescent="0.25">
      <c r="A1331">
        <f t="shared" si="153"/>
        <v>1324</v>
      </c>
      <c r="B1331" s="88" t="str">
        <f>IF(OR(B1330="Total",B1330=""),"",IF(VLOOKUP(A1331,Journal!$B$7:$E$84,4)=0,"Total",VLOOKUP(A1331,Journal!$B$7:$D$84,3)))</f>
        <v/>
      </c>
      <c r="C1331" s="86" t="str">
        <f>IF(B1331="","",VLOOKUP(A1331,Journal!$B$7:$E$84,4))</f>
        <v/>
      </c>
      <c r="D1331" s="114" t="str">
        <f>IF(B1331="","",VLOOKUP(A1331,Journal!$B$7:$J$84,9))</f>
        <v/>
      </c>
      <c r="E1331" s="116"/>
      <c r="F1331" s="116"/>
      <c r="G1331" s="115"/>
      <c r="H1331" s="84" t="str">
        <f>IF(B1331="","",VLOOKUP(A1331,Journal!$B$7:$L$84,11))</f>
        <v/>
      </c>
      <c r="I1331" s="84" t="str">
        <f>IF(B1331="","",VLOOKUP(A1331,Journal!$B$7:$M$84,12))</f>
        <v/>
      </c>
      <c r="J1331" s="105">
        <f>IF(B1331="Total",SUM(J$8:J1330)+0.0001,IF(OR(B1331="",I$2=I1331),0,VLOOKUP(A1331,Journal!$B$7:M$84,8)))</f>
        <v>0</v>
      </c>
      <c r="K1331" s="102">
        <f>IF(B1331="Total",SUM(K$8:K1330)+0.0001,IF(OR(B1331="",J1331&lt;&gt;0),0,VLOOKUP(A1331,Journal!$B$7:M$84,8)))</f>
        <v>0</v>
      </c>
      <c r="L1331" s="87">
        <f t="shared" si="154"/>
        <v>0</v>
      </c>
      <c r="P1331">
        <f t="shared" si="155"/>
        <v>1.0000000000000001E-5</v>
      </c>
      <c r="R1331" s="15">
        <f t="shared" si="156"/>
        <v>1324</v>
      </c>
      <c r="S1331" s="126">
        <f>IF(VLOOKUP(A1331,Journal!$A$7:$E$70,5)=0,S1330+1,VLOOKUP(A1331,Journal!$A$7:$E$70,5))</f>
        <v>46981</v>
      </c>
      <c r="T1331" s="125">
        <f>IF(H$2=VLOOKUP(A1331,Journal!$A$7:$F$70,6),VLOOKUP(A1331,Journal!$A$7:M$70,9),0)</f>
        <v>0</v>
      </c>
      <c r="U1331" s="125">
        <f>IF(H$2=VLOOKUP(A1331,Journal!$A$7:$G$70,7),VLOOKUP(A1331,Journal!$A$7:M$70,9),0)</f>
        <v>0</v>
      </c>
      <c r="V1331" s="125">
        <f t="shared" si="152"/>
        <v>40</v>
      </c>
      <c r="X1331">
        <f t="shared" si="157"/>
        <v>0</v>
      </c>
      <c r="Y1331" s="143">
        <f t="shared" si="151"/>
        <v>-965.23684210531849</v>
      </c>
    </row>
    <row r="1332" spans="1:25" x14ac:dyDescent="0.25">
      <c r="A1332">
        <f t="shared" si="153"/>
        <v>1325</v>
      </c>
      <c r="B1332" s="88" t="str">
        <f>IF(OR(B1331="Total",B1331=""),"",IF(VLOOKUP(A1332,Journal!$B$7:$E$84,4)=0,"Total",VLOOKUP(A1332,Journal!$B$7:$D$84,3)))</f>
        <v/>
      </c>
      <c r="C1332" s="86" t="str">
        <f>IF(B1332="","",VLOOKUP(A1332,Journal!$B$7:$E$84,4))</f>
        <v/>
      </c>
      <c r="D1332" s="114" t="str">
        <f>IF(B1332="","",VLOOKUP(A1332,Journal!$B$7:$J$84,9))</f>
        <v/>
      </c>
      <c r="E1332" s="116"/>
      <c r="F1332" s="116"/>
      <c r="G1332" s="115"/>
      <c r="H1332" s="84" t="str">
        <f>IF(B1332="","",VLOOKUP(A1332,Journal!$B$7:$L$84,11))</f>
        <v/>
      </c>
      <c r="I1332" s="84" t="str">
        <f>IF(B1332="","",VLOOKUP(A1332,Journal!$B$7:$M$84,12))</f>
        <v/>
      </c>
      <c r="J1332" s="105">
        <f>IF(B1332="Total",SUM(J$8:J1331)+0.0001,IF(OR(B1332="",I$2=I1332),0,VLOOKUP(A1332,Journal!$B$7:M$84,8)))</f>
        <v>0</v>
      </c>
      <c r="K1332" s="102">
        <f>IF(B1332="Total",SUM(K$8:K1331)+0.0001,IF(OR(B1332="",J1332&lt;&gt;0),0,VLOOKUP(A1332,Journal!$B$7:M$84,8)))</f>
        <v>0</v>
      </c>
      <c r="L1332" s="87">
        <f t="shared" si="154"/>
        <v>0</v>
      </c>
      <c r="P1332">
        <f t="shared" si="155"/>
        <v>1.0000000000000001E-5</v>
      </c>
      <c r="R1332" s="15">
        <f t="shared" si="156"/>
        <v>1325</v>
      </c>
      <c r="S1332" s="126">
        <f>IF(VLOOKUP(A1332,Journal!$A$7:$E$70,5)=0,S1331+1,VLOOKUP(A1332,Journal!$A$7:$E$70,5))</f>
        <v>46982</v>
      </c>
      <c r="T1332" s="125">
        <f>IF(H$2=VLOOKUP(A1332,Journal!$A$7:$F$70,6),VLOOKUP(A1332,Journal!$A$7:M$70,9),0)</f>
        <v>0</v>
      </c>
      <c r="U1332" s="125">
        <f>IF(H$2=VLOOKUP(A1332,Journal!$A$7:$G$70,7),VLOOKUP(A1332,Journal!$A$7:M$70,9),0)</f>
        <v>0</v>
      </c>
      <c r="V1332" s="125">
        <f t="shared" si="152"/>
        <v>40</v>
      </c>
      <c r="X1332">
        <f t="shared" si="157"/>
        <v>0</v>
      </c>
      <c r="Y1332" s="143">
        <f t="shared" si="151"/>
        <v>-965.21052631584485</v>
      </c>
    </row>
    <row r="1333" spans="1:25" x14ac:dyDescent="0.25">
      <c r="A1333">
        <f t="shared" si="153"/>
        <v>1326</v>
      </c>
      <c r="B1333" s="88" t="str">
        <f>IF(OR(B1332="Total",B1332=""),"",IF(VLOOKUP(A1333,Journal!$B$7:$E$84,4)=0,"Total",VLOOKUP(A1333,Journal!$B$7:$D$84,3)))</f>
        <v/>
      </c>
      <c r="C1333" s="86" t="str">
        <f>IF(B1333="","",VLOOKUP(A1333,Journal!$B$7:$E$84,4))</f>
        <v/>
      </c>
      <c r="D1333" s="114" t="str">
        <f>IF(B1333="","",VLOOKUP(A1333,Journal!$B$7:$J$84,9))</f>
        <v/>
      </c>
      <c r="E1333" s="116"/>
      <c r="F1333" s="116"/>
      <c r="G1333" s="115"/>
      <c r="H1333" s="84" t="str">
        <f>IF(B1333="","",VLOOKUP(A1333,Journal!$B$7:$L$84,11))</f>
        <v/>
      </c>
      <c r="I1333" s="84" t="str">
        <f>IF(B1333="","",VLOOKUP(A1333,Journal!$B$7:$M$84,12))</f>
        <v/>
      </c>
      <c r="J1333" s="105">
        <f>IF(B1333="Total",SUM(J$8:J1332)+0.0001,IF(OR(B1333="",I$2=I1333),0,VLOOKUP(A1333,Journal!$B$7:M$84,8)))</f>
        <v>0</v>
      </c>
      <c r="K1333" s="102">
        <f>IF(B1333="Total",SUM(K$8:K1332)+0.0001,IF(OR(B1333="",J1333&lt;&gt;0),0,VLOOKUP(A1333,Journal!$B$7:M$84,8)))</f>
        <v>0</v>
      </c>
      <c r="L1333" s="87">
        <f t="shared" si="154"/>
        <v>0</v>
      </c>
      <c r="P1333">
        <f t="shared" si="155"/>
        <v>1.0000000000000001E-5</v>
      </c>
      <c r="R1333" s="15">
        <f t="shared" si="156"/>
        <v>1326</v>
      </c>
      <c r="S1333" s="126">
        <f>IF(VLOOKUP(A1333,Journal!$A$7:$E$70,5)=0,S1332+1,VLOOKUP(A1333,Journal!$A$7:$E$70,5))</f>
        <v>46983</v>
      </c>
      <c r="T1333" s="125">
        <f>IF(H$2=VLOOKUP(A1333,Journal!$A$7:$F$70,6),VLOOKUP(A1333,Journal!$A$7:M$70,9),0)</f>
        <v>0</v>
      </c>
      <c r="U1333" s="125">
        <f>IF(H$2=VLOOKUP(A1333,Journal!$A$7:$G$70,7),VLOOKUP(A1333,Journal!$A$7:M$70,9),0)</f>
        <v>0</v>
      </c>
      <c r="V1333" s="125">
        <f t="shared" si="152"/>
        <v>40</v>
      </c>
      <c r="X1333">
        <f t="shared" si="157"/>
        <v>0</v>
      </c>
      <c r="Y1333" s="143">
        <f t="shared" si="151"/>
        <v>-965.1842105263712</v>
      </c>
    </row>
    <row r="1334" spans="1:25" x14ac:dyDescent="0.25">
      <c r="A1334">
        <f t="shared" si="153"/>
        <v>1327</v>
      </c>
      <c r="B1334" s="88" t="str">
        <f>IF(OR(B1333="Total",B1333=""),"",IF(VLOOKUP(A1334,Journal!$B$7:$E$84,4)=0,"Total",VLOOKUP(A1334,Journal!$B$7:$D$84,3)))</f>
        <v/>
      </c>
      <c r="C1334" s="86" t="str">
        <f>IF(B1334="","",VLOOKUP(A1334,Journal!$B$7:$E$84,4))</f>
        <v/>
      </c>
      <c r="D1334" s="114" t="str">
        <f>IF(B1334="","",VLOOKUP(A1334,Journal!$B$7:$J$84,9))</f>
        <v/>
      </c>
      <c r="E1334" s="116"/>
      <c r="F1334" s="116"/>
      <c r="G1334" s="115"/>
      <c r="H1334" s="84" t="str">
        <f>IF(B1334="","",VLOOKUP(A1334,Journal!$B$7:$L$84,11))</f>
        <v/>
      </c>
      <c r="I1334" s="84" t="str">
        <f>IF(B1334="","",VLOOKUP(A1334,Journal!$B$7:$M$84,12))</f>
        <v/>
      </c>
      <c r="J1334" s="105">
        <f>IF(B1334="Total",SUM(J$8:J1333)+0.0001,IF(OR(B1334="",I$2=I1334),0,VLOOKUP(A1334,Journal!$B$7:M$84,8)))</f>
        <v>0</v>
      </c>
      <c r="K1334" s="102">
        <f>IF(B1334="Total",SUM(K$8:K1333)+0.0001,IF(OR(B1334="",J1334&lt;&gt;0),0,VLOOKUP(A1334,Journal!$B$7:M$84,8)))</f>
        <v>0</v>
      </c>
      <c r="L1334" s="87">
        <f t="shared" si="154"/>
        <v>0</v>
      </c>
      <c r="P1334">
        <f t="shared" si="155"/>
        <v>1.0000000000000001E-5</v>
      </c>
      <c r="R1334" s="15">
        <f t="shared" si="156"/>
        <v>1327</v>
      </c>
      <c r="S1334" s="126">
        <f>IF(VLOOKUP(A1334,Journal!$A$7:$E$70,5)=0,S1333+1,VLOOKUP(A1334,Journal!$A$7:$E$70,5))</f>
        <v>46984</v>
      </c>
      <c r="T1334" s="125">
        <f>IF(H$2=VLOOKUP(A1334,Journal!$A$7:$F$70,6),VLOOKUP(A1334,Journal!$A$7:M$70,9),0)</f>
        <v>0</v>
      </c>
      <c r="U1334" s="125">
        <f>IF(H$2=VLOOKUP(A1334,Journal!$A$7:$G$70,7),VLOOKUP(A1334,Journal!$A$7:M$70,9),0)</f>
        <v>0</v>
      </c>
      <c r="V1334" s="125">
        <f t="shared" si="152"/>
        <v>40</v>
      </c>
      <c r="X1334">
        <f t="shared" si="157"/>
        <v>0</v>
      </c>
      <c r="Y1334" s="143">
        <f t="shared" si="151"/>
        <v>-965.15789473689756</v>
      </c>
    </row>
    <row r="1335" spans="1:25" x14ac:dyDescent="0.25">
      <c r="A1335">
        <f t="shared" si="153"/>
        <v>1328</v>
      </c>
      <c r="B1335" s="88" t="str">
        <f>IF(OR(B1334="Total",B1334=""),"",IF(VLOOKUP(A1335,Journal!$B$7:$E$84,4)=0,"Total",VLOOKUP(A1335,Journal!$B$7:$D$84,3)))</f>
        <v/>
      </c>
      <c r="C1335" s="86" t="str">
        <f>IF(B1335="","",VLOOKUP(A1335,Journal!$B$7:$E$84,4))</f>
        <v/>
      </c>
      <c r="D1335" s="114" t="str">
        <f>IF(B1335="","",VLOOKUP(A1335,Journal!$B$7:$J$84,9))</f>
        <v/>
      </c>
      <c r="E1335" s="116"/>
      <c r="F1335" s="116"/>
      <c r="G1335" s="115"/>
      <c r="H1335" s="84" t="str">
        <f>IF(B1335="","",VLOOKUP(A1335,Journal!$B$7:$L$84,11))</f>
        <v/>
      </c>
      <c r="I1335" s="84" t="str">
        <f>IF(B1335="","",VLOOKUP(A1335,Journal!$B$7:$M$84,12))</f>
        <v/>
      </c>
      <c r="J1335" s="105">
        <f>IF(B1335="Total",SUM(J$8:J1334)+0.0001,IF(OR(B1335="",I$2=I1335),0,VLOOKUP(A1335,Journal!$B$7:M$84,8)))</f>
        <v>0</v>
      </c>
      <c r="K1335" s="102">
        <f>IF(B1335="Total",SUM(K$8:K1334)+0.0001,IF(OR(B1335="",J1335&lt;&gt;0),0,VLOOKUP(A1335,Journal!$B$7:M$84,8)))</f>
        <v>0</v>
      </c>
      <c r="L1335" s="87">
        <f t="shared" si="154"/>
        <v>0</v>
      </c>
      <c r="P1335">
        <f t="shared" si="155"/>
        <v>1.0000000000000001E-5</v>
      </c>
      <c r="R1335" s="15">
        <f t="shared" si="156"/>
        <v>1328</v>
      </c>
      <c r="S1335" s="126">
        <f>IF(VLOOKUP(A1335,Journal!$A$7:$E$70,5)=0,S1334+1,VLOOKUP(A1335,Journal!$A$7:$E$70,5))</f>
        <v>46985</v>
      </c>
      <c r="T1335" s="125">
        <f>IF(H$2=VLOOKUP(A1335,Journal!$A$7:$F$70,6),VLOOKUP(A1335,Journal!$A$7:M$70,9),0)</f>
        <v>0</v>
      </c>
      <c r="U1335" s="125">
        <f>IF(H$2=VLOOKUP(A1335,Journal!$A$7:$G$70,7),VLOOKUP(A1335,Journal!$A$7:M$70,9),0)</f>
        <v>0</v>
      </c>
      <c r="V1335" s="125">
        <f t="shared" si="152"/>
        <v>40</v>
      </c>
      <c r="X1335">
        <f t="shared" si="157"/>
        <v>0</v>
      </c>
      <c r="Y1335" s="143">
        <f t="shared" si="151"/>
        <v>-965.13157894742392</v>
      </c>
    </row>
    <row r="1336" spans="1:25" x14ac:dyDescent="0.25">
      <c r="A1336">
        <f t="shared" si="153"/>
        <v>1329</v>
      </c>
      <c r="B1336" s="88" t="str">
        <f>IF(OR(B1335="Total",B1335=""),"",IF(VLOOKUP(A1336,Journal!$B$7:$E$84,4)=0,"Total",VLOOKUP(A1336,Journal!$B$7:$D$84,3)))</f>
        <v/>
      </c>
      <c r="C1336" s="86" t="str">
        <f>IF(B1336="","",VLOOKUP(A1336,Journal!$B$7:$E$84,4))</f>
        <v/>
      </c>
      <c r="D1336" s="114" t="str">
        <f>IF(B1336="","",VLOOKUP(A1336,Journal!$B$7:$J$84,9))</f>
        <v/>
      </c>
      <c r="E1336" s="116"/>
      <c r="F1336" s="116"/>
      <c r="G1336" s="115"/>
      <c r="H1336" s="84" t="str">
        <f>IF(B1336="","",VLOOKUP(A1336,Journal!$B$7:$L$84,11))</f>
        <v/>
      </c>
      <c r="I1336" s="84" t="str">
        <f>IF(B1336="","",VLOOKUP(A1336,Journal!$B$7:$M$84,12))</f>
        <v/>
      </c>
      <c r="J1336" s="105">
        <f>IF(B1336="Total",SUM(J$8:J1335)+0.0001,IF(OR(B1336="",I$2=I1336),0,VLOOKUP(A1336,Journal!$B$7:M$84,8)))</f>
        <v>0</v>
      </c>
      <c r="K1336" s="102">
        <f>IF(B1336="Total",SUM(K$8:K1335)+0.0001,IF(OR(B1336="",J1336&lt;&gt;0),0,VLOOKUP(A1336,Journal!$B$7:M$84,8)))</f>
        <v>0</v>
      </c>
      <c r="L1336" s="87">
        <f t="shared" si="154"/>
        <v>0</v>
      </c>
      <c r="P1336">
        <f t="shared" si="155"/>
        <v>1.0000000000000001E-5</v>
      </c>
      <c r="R1336" s="15">
        <f t="shared" si="156"/>
        <v>1329</v>
      </c>
      <c r="S1336" s="126">
        <f>IF(VLOOKUP(A1336,Journal!$A$7:$E$70,5)=0,S1335+1,VLOOKUP(A1336,Journal!$A$7:$E$70,5))</f>
        <v>46986</v>
      </c>
      <c r="T1336" s="125">
        <f>IF(H$2=VLOOKUP(A1336,Journal!$A$7:$F$70,6),VLOOKUP(A1336,Journal!$A$7:M$70,9),0)</f>
        <v>0</v>
      </c>
      <c r="U1336" s="125">
        <f>IF(H$2=VLOOKUP(A1336,Journal!$A$7:$G$70,7),VLOOKUP(A1336,Journal!$A$7:M$70,9),0)</f>
        <v>0</v>
      </c>
      <c r="V1336" s="125">
        <f t="shared" si="152"/>
        <v>40</v>
      </c>
      <c r="X1336">
        <f t="shared" si="157"/>
        <v>0</v>
      </c>
      <c r="Y1336" s="143">
        <f t="shared" si="151"/>
        <v>-965.10526315795028</v>
      </c>
    </row>
    <row r="1337" spans="1:25" x14ac:dyDescent="0.25">
      <c r="A1337">
        <f t="shared" si="153"/>
        <v>1330</v>
      </c>
      <c r="B1337" s="88" t="str">
        <f>IF(OR(B1336="Total",B1336=""),"",IF(VLOOKUP(A1337,Journal!$B$7:$E$84,4)=0,"Total",VLOOKUP(A1337,Journal!$B$7:$D$84,3)))</f>
        <v/>
      </c>
      <c r="C1337" s="86" t="str">
        <f>IF(B1337="","",VLOOKUP(A1337,Journal!$B$7:$E$84,4))</f>
        <v/>
      </c>
      <c r="D1337" s="114" t="str">
        <f>IF(B1337="","",VLOOKUP(A1337,Journal!$B$7:$J$84,9))</f>
        <v/>
      </c>
      <c r="E1337" s="116"/>
      <c r="F1337" s="116"/>
      <c r="G1337" s="115"/>
      <c r="H1337" s="84" t="str">
        <f>IF(B1337="","",VLOOKUP(A1337,Journal!$B$7:$L$84,11))</f>
        <v/>
      </c>
      <c r="I1337" s="84" t="str">
        <f>IF(B1337="","",VLOOKUP(A1337,Journal!$B$7:$M$84,12))</f>
        <v/>
      </c>
      <c r="J1337" s="105">
        <f>IF(B1337="Total",SUM(J$8:J1336)+0.0001,IF(OR(B1337="",I$2=I1337),0,VLOOKUP(A1337,Journal!$B$7:M$84,8)))</f>
        <v>0</v>
      </c>
      <c r="K1337" s="102">
        <f>IF(B1337="Total",SUM(K$8:K1336)+0.0001,IF(OR(B1337="",J1337&lt;&gt;0),0,VLOOKUP(A1337,Journal!$B$7:M$84,8)))</f>
        <v>0</v>
      </c>
      <c r="L1337" s="87">
        <f t="shared" si="154"/>
        <v>0</v>
      </c>
      <c r="P1337">
        <f t="shared" si="155"/>
        <v>1.0000000000000001E-5</v>
      </c>
      <c r="R1337" s="15">
        <f t="shared" si="156"/>
        <v>1330</v>
      </c>
      <c r="S1337" s="126">
        <f>IF(VLOOKUP(A1337,Journal!$A$7:$E$70,5)=0,S1336+1,VLOOKUP(A1337,Journal!$A$7:$E$70,5))</f>
        <v>46987</v>
      </c>
      <c r="T1337" s="125">
        <f>IF(H$2=VLOOKUP(A1337,Journal!$A$7:$F$70,6),VLOOKUP(A1337,Journal!$A$7:M$70,9),0)</f>
        <v>0</v>
      </c>
      <c r="U1337" s="125">
        <f>IF(H$2=VLOOKUP(A1337,Journal!$A$7:$G$70,7),VLOOKUP(A1337,Journal!$A$7:M$70,9),0)</f>
        <v>0</v>
      </c>
      <c r="V1337" s="125">
        <f t="shared" si="152"/>
        <v>40</v>
      </c>
      <c r="X1337">
        <f t="shared" si="157"/>
        <v>0</v>
      </c>
      <c r="Y1337" s="143">
        <f t="shared" si="151"/>
        <v>-965.07894736847663</v>
      </c>
    </row>
    <row r="1338" spans="1:25" x14ac:dyDescent="0.25">
      <c r="A1338">
        <f t="shared" si="153"/>
        <v>1331</v>
      </c>
      <c r="B1338" s="88" t="str">
        <f>IF(OR(B1337="Total",B1337=""),"",IF(VLOOKUP(A1338,Journal!$B$7:$E$84,4)=0,"Total",VLOOKUP(A1338,Journal!$B$7:$D$84,3)))</f>
        <v/>
      </c>
      <c r="C1338" s="86" t="str">
        <f>IF(B1338="","",VLOOKUP(A1338,Journal!$B$7:$E$84,4))</f>
        <v/>
      </c>
      <c r="D1338" s="114" t="str">
        <f>IF(B1338="","",VLOOKUP(A1338,Journal!$B$7:$J$84,9))</f>
        <v/>
      </c>
      <c r="E1338" s="116"/>
      <c r="F1338" s="116"/>
      <c r="G1338" s="115"/>
      <c r="H1338" s="84" t="str">
        <f>IF(B1338="","",VLOOKUP(A1338,Journal!$B$7:$L$84,11))</f>
        <v/>
      </c>
      <c r="I1338" s="84" t="str">
        <f>IF(B1338="","",VLOOKUP(A1338,Journal!$B$7:$M$84,12))</f>
        <v/>
      </c>
      <c r="J1338" s="105">
        <f>IF(B1338="Total",SUM(J$8:J1337)+0.0001,IF(OR(B1338="",I$2=I1338),0,VLOOKUP(A1338,Journal!$B$7:M$84,8)))</f>
        <v>0</v>
      </c>
      <c r="K1338" s="102">
        <f>IF(B1338="Total",SUM(K$8:K1337)+0.0001,IF(OR(B1338="",J1338&lt;&gt;0),0,VLOOKUP(A1338,Journal!$B$7:M$84,8)))</f>
        <v>0</v>
      </c>
      <c r="L1338" s="87">
        <f t="shared" si="154"/>
        <v>0</v>
      </c>
      <c r="P1338">
        <f t="shared" si="155"/>
        <v>1.0000000000000001E-5</v>
      </c>
      <c r="R1338" s="15">
        <f t="shared" si="156"/>
        <v>1331</v>
      </c>
      <c r="S1338" s="126">
        <f>IF(VLOOKUP(A1338,Journal!$A$7:$E$70,5)=0,S1337+1,VLOOKUP(A1338,Journal!$A$7:$E$70,5))</f>
        <v>46988</v>
      </c>
      <c r="T1338" s="125">
        <f>IF(H$2=VLOOKUP(A1338,Journal!$A$7:$F$70,6),VLOOKUP(A1338,Journal!$A$7:M$70,9),0)</f>
        <v>0</v>
      </c>
      <c r="U1338" s="125">
        <f>IF(H$2=VLOOKUP(A1338,Journal!$A$7:$G$70,7),VLOOKUP(A1338,Journal!$A$7:M$70,9),0)</f>
        <v>0</v>
      </c>
      <c r="V1338" s="125">
        <f t="shared" si="152"/>
        <v>40</v>
      </c>
      <c r="X1338">
        <f t="shared" si="157"/>
        <v>0</v>
      </c>
      <c r="Y1338" s="143">
        <f t="shared" si="151"/>
        <v>-965.05263157900299</v>
      </c>
    </row>
    <row r="1339" spans="1:25" x14ac:dyDescent="0.25">
      <c r="A1339">
        <f t="shared" si="153"/>
        <v>1332</v>
      </c>
      <c r="B1339" s="88" t="str">
        <f>IF(OR(B1338="Total",B1338=""),"",IF(VLOOKUP(A1339,Journal!$B$7:$E$84,4)=0,"Total",VLOOKUP(A1339,Journal!$B$7:$D$84,3)))</f>
        <v/>
      </c>
      <c r="C1339" s="86" t="str">
        <f>IF(B1339="","",VLOOKUP(A1339,Journal!$B$7:$E$84,4))</f>
        <v/>
      </c>
      <c r="D1339" s="114" t="str">
        <f>IF(B1339="","",VLOOKUP(A1339,Journal!$B$7:$J$84,9))</f>
        <v/>
      </c>
      <c r="E1339" s="116"/>
      <c r="F1339" s="116"/>
      <c r="G1339" s="115"/>
      <c r="H1339" s="84" t="str">
        <f>IF(B1339="","",VLOOKUP(A1339,Journal!$B$7:$L$84,11))</f>
        <v/>
      </c>
      <c r="I1339" s="84" t="str">
        <f>IF(B1339="","",VLOOKUP(A1339,Journal!$B$7:$M$84,12))</f>
        <v/>
      </c>
      <c r="J1339" s="105">
        <f>IF(B1339="Total",SUM(J$8:J1338)+0.0001,IF(OR(B1339="",I$2=I1339),0,VLOOKUP(A1339,Journal!$B$7:M$84,8)))</f>
        <v>0</v>
      </c>
      <c r="K1339" s="102">
        <f>IF(B1339="Total",SUM(K$8:K1338)+0.0001,IF(OR(B1339="",J1339&lt;&gt;0),0,VLOOKUP(A1339,Journal!$B$7:M$84,8)))</f>
        <v>0</v>
      </c>
      <c r="L1339" s="87">
        <f t="shared" si="154"/>
        <v>0</v>
      </c>
      <c r="P1339">
        <f t="shared" si="155"/>
        <v>1.0000000000000001E-5</v>
      </c>
      <c r="R1339" s="15">
        <f t="shared" si="156"/>
        <v>1332</v>
      </c>
      <c r="S1339" s="126">
        <f>IF(VLOOKUP(A1339,Journal!$A$7:$E$70,5)=0,S1338+1,VLOOKUP(A1339,Journal!$A$7:$E$70,5))</f>
        <v>46989</v>
      </c>
      <c r="T1339" s="125">
        <f>IF(H$2=VLOOKUP(A1339,Journal!$A$7:$F$70,6),VLOOKUP(A1339,Journal!$A$7:M$70,9),0)</f>
        <v>0</v>
      </c>
      <c r="U1339" s="125">
        <f>IF(H$2=VLOOKUP(A1339,Journal!$A$7:$G$70,7),VLOOKUP(A1339,Journal!$A$7:M$70,9),0)</f>
        <v>0</v>
      </c>
      <c r="V1339" s="125">
        <f t="shared" si="152"/>
        <v>40</v>
      </c>
      <c r="X1339">
        <f t="shared" si="157"/>
        <v>0</v>
      </c>
      <c r="Y1339" s="143">
        <f t="shared" si="151"/>
        <v>-965.02631578952935</v>
      </c>
    </row>
    <row r="1340" spans="1:25" x14ac:dyDescent="0.25">
      <c r="A1340">
        <f t="shared" si="153"/>
        <v>1333</v>
      </c>
      <c r="B1340" s="88" t="str">
        <f>IF(OR(B1339="Total",B1339=""),"",IF(VLOOKUP(A1340,Journal!$B$7:$E$84,4)=0,"Total",VLOOKUP(A1340,Journal!$B$7:$D$84,3)))</f>
        <v/>
      </c>
      <c r="C1340" s="86" t="str">
        <f>IF(B1340="","",VLOOKUP(A1340,Journal!$B$7:$E$84,4))</f>
        <v/>
      </c>
      <c r="D1340" s="114" t="str">
        <f>IF(B1340="","",VLOOKUP(A1340,Journal!$B$7:$J$84,9))</f>
        <v/>
      </c>
      <c r="E1340" s="116"/>
      <c r="F1340" s="116"/>
      <c r="G1340" s="115"/>
      <c r="H1340" s="84" t="str">
        <f>IF(B1340="","",VLOOKUP(A1340,Journal!$B$7:$L$84,11))</f>
        <v/>
      </c>
      <c r="I1340" s="84" t="str">
        <f>IF(B1340="","",VLOOKUP(A1340,Journal!$B$7:$M$84,12))</f>
        <v/>
      </c>
      <c r="J1340" s="105">
        <f>IF(B1340="Total",SUM(J$8:J1339)+0.0001,IF(OR(B1340="",I$2=I1340),0,VLOOKUP(A1340,Journal!$B$7:M$84,8)))</f>
        <v>0</v>
      </c>
      <c r="K1340" s="102">
        <f>IF(B1340="Total",SUM(K$8:K1339)+0.0001,IF(OR(B1340="",J1340&lt;&gt;0),0,VLOOKUP(A1340,Journal!$B$7:M$84,8)))</f>
        <v>0</v>
      </c>
      <c r="L1340" s="87">
        <f t="shared" si="154"/>
        <v>0</v>
      </c>
      <c r="P1340">
        <f t="shared" si="155"/>
        <v>1.0000000000000001E-5</v>
      </c>
      <c r="R1340" s="15">
        <f t="shared" si="156"/>
        <v>1333</v>
      </c>
      <c r="S1340" s="126">
        <f>IF(VLOOKUP(A1340,Journal!$A$7:$E$70,5)=0,S1339+1,VLOOKUP(A1340,Journal!$A$7:$E$70,5))</f>
        <v>46990</v>
      </c>
      <c r="T1340" s="125">
        <f>IF(H$2=VLOOKUP(A1340,Journal!$A$7:$F$70,6),VLOOKUP(A1340,Journal!$A$7:M$70,9),0)</f>
        <v>0</v>
      </c>
      <c r="U1340" s="125">
        <f>IF(H$2=VLOOKUP(A1340,Journal!$A$7:$G$70,7),VLOOKUP(A1340,Journal!$A$7:M$70,9),0)</f>
        <v>0</v>
      </c>
      <c r="V1340" s="125">
        <f t="shared" si="152"/>
        <v>40</v>
      </c>
      <c r="X1340">
        <f t="shared" si="157"/>
        <v>0</v>
      </c>
      <c r="Y1340" s="143">
        <f t="shared" si="151"/>
        <v>-965.00000000005571</v>
      </c>
    </row>
    <row r="1341" spans="1:25" x14ac:dyDescent="0.25">
      <c r="A1341">
        <f t="shared" si="153"/>
        <v>1334</v>
      </c>
      <c r="B1341" s="88" t="str">
        <f>IF(OR(B1340="Total",B1340=""),"",IF(VLOOKUP(A1341,Journal!$B$7:$E$84,4)=0,"Total",VLOOKUP(A1341,Journal!$B$7:$D$84,3)))</f>
        <v/>
      </c>
      <c r="C1341" s="86" t="str">
        <f>IF(B1341="","",VLOOKUP(A1341,Journal!$B$7:$E$84,4))</f>
        <v/>
      </c>
      <c r="D1341" s="114" t="str">
        <f>IF(B1341="","",VLOOKUP(A1341,Journal!$B$7:$J$84,9))</f>
        <v/>
      </c>
      <c r="E1341" s="116"/>
      <c r="F1341" s="116"/>
      <c r="G1341" s="115"/>
      <c r="H1341" s="84" t="str">
        <f>IF(B1341="","",VLOOKUP(A1341,Journal!$B$7:$L$84,11))</f>
        <v/>
      </c>
      <c r="I1341" s="84" t="str">
        <f>IF(B1341="","",VLOOKUP(A1341,Journal!$B$7:$M$84,12))</f>
        <v/>
      </c>
      <c r="J1341" s="105">
        <f>IF(B1341="Total",SUM(J$8:J1340)+0.0001,IF(OR(B1341="",I$2=I1341),0,VLOOKUP(A1341,Journal!$B$7:M$84,8)))</f>
        <v>0</v>
      </c>
      <c r="K1341" s="102">
        <f>IF(B1341="Total",SUM(K$8:K1340)+0.0001,IF(OR(B1341="",J1341&lt;&gt;0),0,VLOOKUP(A1341,Journal!$B$7:M$84,8)))</f>
        <v>0</v>
      </c>
      <c r="L1341" s="87">
        <f t="shared" si="154"/>
        <v>0</v>
      </c>
      <c r="P1341">
        <f t="shared" si="155"/>
        <v>1.0000000000000001E-5</v>
      </c>
      <c r="R1341" s="15">
        <f t="shared" si="156"/>
        <v>1334</v>
      </c>
      <c r="S1341" s="126">
        <f>IF(VLOOKUP(A1341,Journal!$A$7:$E$70,5)=0,S1340+1,VLOOKUP(A1341,Journal!$A$7:$E$70,5))</f>
        <v>46991</v>
      </c>
      <c r="T1341" s="125">
        <f>IF(H$2=VLOOKUP(A1341,Journal!$A$7:$F$70,6),VLOOKUP(A1341,Journal!$A$7:M$70,9),0)</f>
        <v>0</v>
      </c>
      <c r="U1341" s="125">
        <f>IF(H$2=VLOOKUP(A1341,Journal!$A$7:$G$70,7),VLOOKUP(A1341,Journal!$A$7:M$70,9),0)</f>
        <v>0</v>
      </c>
      <c r="V1341" s="125">
        <f t="shared" si="152"/>
        <v>40</v>
      </c>
      <c r="X1341">
        <f t="shared" si="157"/>
        <v>0</v>
      </c>
      <c r="Y1341" s="143">
        <f t="shared" si="151"/>
        <v>-964.97368421058206</v>
      </c>
    </row>
    <row r="1342" spans="1:25" x14ac:dyDescent="0.25">
      <c r="A1342">
        <f t="shared" si="153"/>
        <v>1335</v>
      </c>
      <c r="B1342" s="88" t="str">
        <f>IF(OR(B1341="Total",B1341=""),"",IF(VLOOKUP(A1342,Journal!$B$7:$E$84,4)=0,"Total",VLOOKUP(A1342,Journal!$B$7:$D$84,3)))</f>
        <v/>
      </c>
      <c r="C1342" s="86" t="str">
        <f>IF(B1342="","",VLOOKUP(A1342,Journal!$B$7:$E$84,4))</f>
        <v/>
      </c>
      <c r="D1342" s="114" t="str">
        <f>IF(B1342="","",VLOOKUP(A1342,Journal!$B$7:$J$84,9))</f>
        <v/>
      </c>
      <c r="E1342" s="116"/>
      <c r="F1342" s="116"/>
      <c r="G1342" s="115"/>
      <c r="H1342" s="84" t="str">
        <f>IF(B1342="","",VLOOKUP(A1342,Journal!$B$7:$L$84,11))</f>
        <v/>
      </c>
      <c r="I1342" s="84" t="str">
        <f>IF(B1342="","",VLOOKUP(A1342,Journal!$B$7:$M$84,12))</f>
        <v/>
      </c>
      <c r="J1342" s="105">
        <f>IF(B1342="Total",SUM(J$8:J1341)+0.0001,IF(OR(B1342="",I$2=I1342),0,VLOOKUP(A1342,Journal!$B$7:M$84,8)))</f>
        <v>0</v>
      </c>
      <c r="K1342" s="102">
        <f>IF(B1342="Total",SUM(K$8:K1341)+0.0001,IF(OR(B1342="",J1342&lt;&gt;0),0,VLOOKUP(A1342,Journal!$B$7:M$84,8)))</f>
        <v>0</v>
      </c>
      <c r="L1342" s="87">
        <f t="shared" si="154"/>
        <v>0</v>
      </c>
      <c r="P1342">
        <f t="shared" si="155"/>
        <v>1.0000000000000001E-5</v>
      </c>
      <c r="R1342" s="15">
        <f t="shared" si="156"/>
        <v>1335</v>
      </c>
      <c r="S1342" s="126">
        <f>IF(VLOOKUP(A1342,Journal!$A$7:$E$70,5)=0,S1341+1,VLOOKUP(A1342,Journal!$A$7:$E$70,5))</f>
        <v>46992</v>
      </c>
      <c r="T1342" s="125">
        <f>IF(H$2=VLOOKUP(A1342,Journal!$A$7:$F$70,6),VLOOKUP(A1342,Journal!$A$7:M$70,9),0)</f>
        <v>0</v>
      </c>
      <c r="U1342" s="125">
        <f>IF(H$2=VLOOKUP(A1342,Journal!$A$7:$G$70,7),VLOOKUP(A1342,Journal!$A$7:M$70,9),0)</f>
        <v>0</v>
      </c>
      <c r="V1342" s="125">
        <f t="shared" si="152"/>
        <v>40</v>
      </c>
      <c r="X1342">
        <f t="shared" si="157"/>
        <v>0</v>
      </c>
      <c r="Y1342" s="143">
        <f t="shared" si="151"/>
        <v>-964.94736842110842</v>
      </c>
    </row>
    <row r="1343" spans="1:25" x14ac:dyDescent="0.25">
      <c r="A1343">
        <f t="shared" si="153"/>
        <v>1336</v>
      </c>
      <c r="B1343" s="88" t="str">
        <f>IF(OR(B1342="Total",B1342=""),"",IF(VLOOKUP(A1343,Journal!$B$7:$E$84,4)=0,"Total",VLOOKUP(A1343,Journal!$B$7:$D$84,3)))</f>
        <v/>
      </c>
      <c r="C1343" s="86" t="str">
        <f>IF(B1343="","",VLOOKUP(A1343,Journal!$B$7:$E$84,4))</f>
        <v/>
      </c>
      <c r="D1343" s="114" t="str">
        <f>IF(B1343="","",VLOOKUP(A1343,Journal!$B$7:$J$84,9))</f>
        <v/>
      </c>
      <c r="E1343" s="116"/>
      <c r="F1343" s="116"/>
      <c r="G1343" s="115"/>
      <c r="H1343" s="84" t="str">
        <f>IF(B1343="","",VLOOKUP(A1343,Journal!$B$7:$L$84,11))</f>
        <v/>
      </c>
      <c r="I1343" s="84" t="str">
        <f>IF(B1343="","",VLOOKUP(A1343,Journal!$B$7:$M$84,12))</f>
        <v/>
      </c>
      <c r="J1343" s="105">
        <f>IF(B1343="Total",SUM(J$8:J1342)+0.0001,IF(OR(B1343="",I$2=I1343),0,VLOOKUP(A1343,Journal!$B$7:M$84,8)))</f>
        <v>0</v>
      </c>
      <c r="K1343" s="102">
        <f>IF(B1343="Total",SUM(K$8:K1342)+0.0001,IF(OR(B1343="",J1343&lt;&gt;0),0,VLOOKUP(A1343,Journal!$B$7:M$84,8)))</f>
        <v>0</v>
      </c>
      <c r="L1343" s="87">
        <f t="shared" si="154"/>
        <v>0</v>
      </c>
      <c r="P1343">
        <f t="shared" si="155"/>
        <v>1.0000000000000001E-5</v>
      </c>
      <c r="R1343" s="15">
        <f t="shared" si="156"/>
        <v>1336</v>
      </c>
      <c r="S1343" s="126">
        <f>IF(VLOOKUP(A1343,Journal!$A$7:$E$70,5)=0,S1342+1,VLOOKUP(A1343,Journal!$A$7:$E$70,5))</f>
        <v>46993</v>
      </c>
      <c r="T1343" s="125">
        <f>IF(H$2=VLOOKUP(A1343,Journal!$A$7:$F$70,6),VLOOKUP(A1343,Journal!$A$7:M$70,9),0)</f>
        <v>0</v>
      </c>
      <c r="U1343" s="125">
        <f>IF(H$2=VLOOKUP(A1343,Journal!$A$7:$G$70,7),VLOOKUP(A1343,Journal!$A$7:M$70,9),0)</f>
        <v>0</v>
      </c>
      <c r="V1343" s="125">
        <f t="shared" si="152"/>
        <v>40</v>
      </c>
      <c r="X1343">
        <f t="shared" si="157"/>
        <v>0</v>
      </c>
      <c r="Y1343" s="143">
        <f t="shared" si="151"/>
        <v>-964.92105263163478</v>
      </c>
    </row>
    <row r="1344" spans="1:25" x14ac:dyDescent="0.25">
      <c r="A1344">
        <f t="shared" si="153"/>
        <v>1337</v>
      </c>
      <c r="B1344" s="88" t="str">
        <f>IF(OR(B1343="Total",B1343=""),"",IF(VLOOKUP(A1344,Journal!$B$7:$E$84,4)=0,"Total",VLOOKUP(A1344,Journal!$B$7:$D$84,3)))</f>
        <v/>
      </c>
      <c r="C1344" s="86" t="str">
        <f>IF(B1344="","",VLOOKUP(A1344,Journal!$B$7:$E$84,4))</f>
        <v/>
      </c>
      <c r="D1344" s="114" t="str">
        <f>IF(B1344="","",VLOOKUP(A1344,Journal!$B$7:$J$84,9))</f>
        <v/>
      </c>
      <c r="E1344" s="116"/>
      <c r="F1344" s="116"/>
      <c r="G1344" s="115"/>
      <c r="H1344" s="84" t="str">
        <f>IF(B1344="","",VLOOKUP(A1344,Journal!$B$7:$L$84,11))</f>
        <v/>
      </c>
      <c r="I1344" s="84" t="str">
        <f>IF(B1344="","",VLOOKUP(A1344,Journal!$B$7:$M$84,12))</f>
        <v/>
      </c>
      <c r="J1344" s="105">
        <f>IF(B1344="Total",SUM(J$8:J1343)+0.0001,IF(OR(B1344="",I$2=I1344),0,VLOOKUP(A1344,Journal!$B$7:M$84,8)))</f>
        <v>0</v>
      </c>
      <c r="K1344" s="102">
        <f>IF(B1344="Total",SUM(K$8:K1343)+0.0001,IF(OR(B1344="",J1344&lt;&gt;0),0,VLOOKUP(A1344,Journal!$B$7:M$84,8)))</f>
        <v>0</v>
      </c>
      <c r="L1344" s="87">
        <f t="shared" si="154"/>
        <v>0</v>
      </c>
      <c r="P1344">
        <f t="shared" si="155"/>
        <v>1.0000000000000001E-5</v>
      </c>
      <c r="R1344" s="15">
        <f t="shared" si="156"/>
        <v>1337</v>
      </c>
      <c r="S1344" s="126">
        <f>IF(VLOOKUP(A1344,Journal!$A$7:$E$70,5)=0,S1343+1,VLOOKUP(A1344,Journal!$A$7:$E$70,5))</f>
        <v>46994</v>
      </c>
      <c r="T1344" s="125">
        <f>IF(H$2=VLOOKUP(A1344,Journal!$A$7:$F$70,6),VLOOKUP(A1344,Journal!$A$7:M$70,9),0)</f>
        <v>0</v>
      </c>
      <c r="U1344" s="125">
        <f>IF(H$2=VLOOKUP(A1344,Journal!$A$7:$G$70,7),VLOOKUP(A1344,Journal!$A$7:M$70,9),0)</f>
        <v>0</v>
      </c>
      <c r="V1344" s="125">
        <f t="shared" si="152"/>
        <v>40</v>
      </c>
      <c r="X1344">
        <f t="shared" si="157"/>
        <v>0</v>
      </c>
      <c r="Y1344" s="143">
        <f t="shared" si="151"/>
        <v>-964.89473684216114</v>
      </c>
    </row>
    <row r="1345" spans="1:25" x14ac:dyDescent="0.25">
      <c r="A1345">
        <f t="shared" si="153"/>
        <v>1338</v>
      </c>
      <c r="B1345" s="88" t="str">
        <f>IF(OR(B1344="Total",B1344=""),"",IF(VLOOKUP(A1345,Journal!$B$7:$E$84,4)=0,"Total",VLOOKUP(A1345,Journal!$B$7:$D$84,3)))</f>
        <v/>
      </c>
      <c r="C1345" s="86" t="str">
        <f>IF(B1345="","",VLOOKUP(A1345,Journal!$B$7:$E$84,4))</f>
        <v/>
      </c>
      <c r="D1345" s="114" t="str">
        <f>IF(B1345="","",VLOOKUP(A1345,Journal!$B$7:$J$84,9))</f>
        <v/>
      </c>
      <c r="E1345" s="116"/>
      <c r="F1345" s="116"/>
      <c r="G1345" s="115"/>
      <c r="H1345" s="84" t="str">
        <f>IF(B1345="","",VLOOKUP(A1345,Journal!$B$7:$L$84,11))</f>
        <v/>
      </c>
      <c r="I1345" s="84" t="str">
        <f>IF(B1345="","",VLOOKUP(A1345,Journal!$B$7:$M$84,12))</f>
        <v/>
      </c>
      <c r="J1345" s="105">
        <f>IF(B1345="Total",SUM(J$8:J1344)+0.0001,IF(OR(B1345="",I$2=I1345),0,VLOOKUP(A1345,Journal!$B$7:M$84,8)))</f>
        <v>0</v>
      </c>
      <c r="K1345" s="102">
        <f>IF(B1345="Total",SUM(K$8:K1344)+0.0001,IF(OR(B1345="",J1345&lt;&gt;0),0,VLOOKUP(A1345,Journal!$B$7:M$84,8)))</f>
        <v>0</v>
      </c>
      <c r="L1345" s="87">
        <f t="shared" si="154"/>
        <v>0</v>
      </c>
      <c r="P1345">
        <f t="shared" si="155"/>
        <v>1.0000000000000001E-5</v>
      </c>
      <c r="R1345" s="15">
        <f t="shared" si="156"/>
        <v>1338</v>
      </c>
      <c r="S1345" s="126">
        <f>IF(VLOOKUP(A1345,Journal!$A$7:$E$70,5)=0,S1344+1,VLOOKUP(A1345,Journal!$A$7:$E$70,5))</f>
        <v>46995</v>
      </c>
      <c r="T1345" s="125">
        <f>IF(H$2=VLOOKUP(A1345,Journal!$A$7:$F$70,6),VLOOKUP(A1345,Journal!$A$7:M$70,9),0)</f>
        <v>0</v>
      </c>
      <c r="U1345" s="125">
        <f>IF(H$2=VLOOKUP(A1345,Journal!$A$7:$G$70,7),VLOOKUP(A1345,Journal!$A$7:M$70,9),0)</f>
        <v>0</v>
      </c>
      <c r="V1345" s="125">
        <f t="shared" si="152"/>
        <v>40</v>
      </c>
      <c r="X1345">
        <f t="shared" si="157"/>
        <v>0</v>
      </c>
      <c r="Y1345" s="143">
        <f t="shared" si="151"/>
        <v>-964.86842105268749</v>
      </c>
    </row>
    <row r="1346" spans="1:25" x14ac:dyDescent="0.25">
      <c r="A1346">
        <f t="shared" si="153"/>
        <v>1339</v>
      </c>
      <c r="B1346" s="88" t="str">
        <f>IF(OR(B1345="Total",B1345=""),"",IF(VLOOKUP(A1346,Journal!$B$7:$E$84,4)=0,"Total",VLOOKUP(A1346,Journal!$B$7:$D$84,3)))</f>
        <v/>
      </c>
      <c r="C1346" s="86" t="str">
        <f>IF(B1346="","",VLOOKUP(A1346,Journal!$B$7:$E$84,4))</f>
        <v/>
      </c>
      <c r="D1346" s="114" t="str">
        <f>IF(B1346="","",VLOOKUP(A1346,Journal!$B$7:$J$84,9))</f>
        <v/>
      </c>
      <c r="E1346" s="116"/>
      <c r="F1346" s="116"/>
      <c r="G1346" s="115"/>
      <c r="H1346" s="84" t="str">
        <f>IF(B1346="","",VLOOKUP(A1346,Journal!$B$7:$L$84,11))</f>
        <v/>
      </c>
      <c r="I1346" s="84" t="str">
        <f>IF(B1346="","",VLOOKUP(A1346,Journal!$B$7:$M$84,12))</f>
        <v/>
      </c>
      <c r="J1346" s="105">
        <f>IF(B1346="Total",SUM(J$8:J1345)+0.0001,IF(OR(B1346="",I$2=I1346),0,VLOOKUP(A1346,Journal!$B$7:M$84,8)))</f>
        <v>0</v>
      </c>
      <c r="K1346" s="102">
        <f>IF(B1346="Total",SUM(K$8:K1345)+0.0001,IF(OR(B1346="",J1346&lt;&gt;0),0,VLOOKUP(A1346,Journal!$B$7:M$84,8)))</f>
        <v>0</v>
      </c>
      <c r="L1346" s="87">
        <f t="shared" si="154"/>
        <v>0</v>
      </c>
      <c r="P1346">
        <f t="shared" si="155"/>
        <v>1.0000000000000001E-5</v>
      </c>
      <c r="R1346" s="15">
        <f t="shared" si="156"/>
        <v>1339</v>
      </c>
      <c r="S1346" s="126">
        <f>IF(VLOOKUP(A1346,Journal!$A$7:$E$70,5)=0,S1345+1,VLOOKUP(A1346,Journal!$A$7:$E$70,5))</f>
        <v>46996</v>
      </c>
      <c r="T1346" s="125">
        <f>IF(H$2=VLOOKUP(A1346,Journal!$A$7:$F$70,6),VLOOKUP(A1346,Journal!$A$7:M$70,9),0)</f>
        <v>0</v>
      </c>
      <c r="U1346" s="125">
        <f>IF(H$2=VLOOKUP(A1346,Journal!$A$7:$G$70,7),VLOOKUP(A1346,Journal!$A$7:M$70,9),0)</f>
        <v>0</v>
      </c>
      <c r="V1346" s="125">
        <f t="shared" si="152"/>
        <v>40</v>
      </c>
      <c r="X1346">
        <f t="shared" si="157"/>
        <v>0</v>
      </c>
      <c r="Y1346" s="143">
        <f t="shared" si="151"/>
        <v>-964.84210526321385</v>
      </c>
    </row>
    <row r="1347" spans="1:25" x14ac:dyDescent="0.25">
      <c r="A1347">
        <f t="shared" si="153"/>
        <v>1340</v>
      </c>
      <c r="B1347" s="88" t="str">
        <f>IF(OR(B1346="Total",B1346=""),"",IF(VLOOKUP(A1347,Journal!$B$7:$E$84,4)=0,"Total",VLOOKUP(A1347,Journal!$B$7:$D$84,3)))</f>
        <v/>
      </c>
      <c r="C1347" s="86" t="str">
        <f>IF(B1347="","",VLOOKUP(A1347,Journal!$B$7:$E$84,4))</f>
        <v/>
      </c>
      <c r="D1347" s="114" t="str">
        <f>IF(B1347="","",VLOOKUP(A1347,Journal!$B$7:$J$84,9))</f>
        <v/>
      </c>
      <c r="E1347" s="116"/>
      <c r="F1347" s="116"/>
      <c r="G1347" s="115"/>
      <c r="H1347" s="84" t="str">
        <f>IF(B1347="","",VLOOKUP(A1347,Journal!$B$7:$L$84,11))</f>
        <v/>
      </c>
      <c r="I1347" s="84" t="str">
        <f>IF(B1347="","",VLOOKUP(A1347,Journal!$B$7:$M$84,12))</f>
        <v/>
      </c>
      <c r="J1347" s="105">
        <f>IF(B1347="Total",SUM(J$8:J1346)+0.0001,IF(OR(B1347="",I$2=I1347),0,VLOOKUP(A1347,Journal!$B$7:M$84,8)))</f>
        <v>0</v>
      </c>
      <c r="K1347" s="102">
        <f>IF(B1347="Total",SUM(K$8:K1346)+0.0001,IF(OR(B1347="",J1347&lt;&gt;0),0,VLOOKUP(A1347,Journal!$B$7:M$84,8)))</f>
        <v>0</v>
      </c>
      <c r="L1347" s="87">
        <f t="shared" si="154"/>
        <v>0</v>
      </c>
      <c r="P1347">
        <f t="shared" si="155"/>
        <v>1.0000000000000001E-5</v>
      </c>
      <c r="R1347" s="15">
        <f t="shared" si="156"/>
        <v>1340</v>
      </c>
      <c r="S1347" s="126">
        <f>IF(VLOOKUP(A1347,Journal!$A$7:$E$70,5)=0,S1346+1,VLOOKUP(A1347,Journal!$A$7:$E$70,5))</f>
        <v>46997</v>
      </c>
      <c r="T1347" s="125">
        <f>IF(H$2=VLOOKUP(A1347,Journal!$A$7:$F$70,6),VLOOKUP(A1347,Journal!$A$7:M$70,9),0)</f>
        <v>0</v>
      </c>
      <c r="U1347" s="125">
        <f>IF(H$2=VLOOKUP(A1347,Journal!$A$7:$G$70,7),VLOOKUP(A1347,Journal!$A$7:M$70,9),0)</f>
        <v>0</v>
      </c>
      <c r="V1347" s="125">
        <f t="shared" si="152"/>
        <v>40</v>
      </c>
      <c r="X1347">
        <f t="shared" si="157"/>
        <v>0</v>
      </c>
      <c r="Y1347" s="143">
        <f t="shared" si="151"/>
        <v>-964.81578947374021</v>
      </c>
    </row>
    <row r="1348" spans="1:25" x14ac:dyDescent="0.25">
      <c r="A1348">
        <f t="shared" si="153"/>
        <v>1341</v>
      </c>
      <c r="B1348" s="88" t="str">
        <f>IF(OR(B1347="Total",B1347=""),"",IF(VLOOKUP(A1348,Journal!$B$7:$E$84,4)=0,"Total",VLOOKUP(A1348,Journal!$B$7:$D$84,3)))</f>
        <v/>
      </c>
      <c r="C1348" s="86" t="str">
        <f>IF(B1348="","",VLOOKUP(A1348,Journal!$B$7:$E$84,4))</f>
        <v/>
      </c>
      <c r="D1348" s="114" t="str">
        <f>IF(B1348="","",VLOOKUP(A1348,Journal!$B$7:$J$84,9))</f>
        <v/>
      </c>
      <c r="E1348" s="116"/>
      <c r="F1348" s="116"/>
      <c r="G1348" s="115"/>
      <c r="H1348" s="84" t="str">
        <f>IF(B1348="","",VLOOKUP(A1348,Journal!$B$7:$L$84,11))</f>
        <v/>
      </c>
      <c r="I1348" s="84" t="str">
        <f>IF(B1348="","",VLOOKUP(A1348,Journal!$B$7:$M$84,12))</f>
        <v/>
      </c>
      <c r="J1348" s="105">
        <f>IF(B1348="Total",SUM(J$8:J1347)+0.0001,IF(OR(B1348="",I$2=I1348),0,VLOOKUP(A1348,Journal!$B$7:M$84,8)))</f>
        <v>0</v>
      </c>
      <c r="K1348" s="102">
        <f>IF(B1348="Total",SUM(K$8:K1347)+0.0001,IF(OR(B1348="",J1348&lt;&gt;0),0,VLOOKUP(A1348,Journal!$B$7:M$84,8)))</f>
        <v>0</v>
      </c>
      <c r="L1348" s="87">
        <f t="shared" si="154"/>
        <v>0</v>
      </c>
      <c r="P1348">
        <f t="shared" si="155"/>
        <v>1.0000000000000001E-5</v>
      </c>
      <c r="R1348" s="15">
        <f t="shared" si="156"/>
        <v>1341</v>
      </c>
      <c r="S1348" s="126">
        <f>IF(VLOOKUP(A1348,Journal!$A$7:$E$70,5)=0,S1347+1,VLOOKUP(A1348,Journal!$A$7:$E$70,5))</f>
        <v>46998</v>
      </c>
      <c r="T1348" s="125">
        <f>IF(H$2=VLOOKUP(A1348,Journal!$A$7:$F$70,6),VLOOKUP(A1348,Journal!$A$7:M$70,9),0)</f>
        <v>0</v>
      </c>
      <c r="U1348" s="125">
        <f>IF(H$2=VLOOKUP(A1348,Journal!$A$7:$G$70,7),VLOOKUP(A1348,Journal!$A$7:M$70,9),0)</f>
        <v>0</v>
      </c>
      <c r="V1348" s="125">
        <f t="shared" si="152"/>
        <v>40</v>
      </c>
      <c r="X1348">
        <f t="shared" si="157"/>
        <v>0</v>
      </c>
      <c r="Y1348" s="143">
        <f t="shared" si="151"/>
        <v>-964.78947368426657</v>
      </c>
    </row>
    <row r="1349" spans="1:25" x14ac:dyDescent="0.25">
      <c r="A1349">
        <f t="shared" si="153"/>
        <v>1342</v>
      </c>
      <c r="B1349" s="88" t="str">
        <f>IF(OR(B1348="Total",B1348=""),"",IF(VLOOKUP(A1349,Journal!$B$7:$E$84,4)=0,"Total",VLOOKUP(A1349,Journal!$B$7:$D$84,3)))</f>
        <v/>
      </c>
      <c r="C1349" s="86" t="str">
        <f>IF(B1349="","",VLOOKUP(A1349,Journal!$B$7:$E$84,4))</f>
        <v/>
      </c>
      <c r="D1349" s="114" t="str">
        <f>IF(B1349="","",VLOOKUP(A1349,Journal!$B$7:$J$84,9))</f>
        <v/>
      </c>
      <c r="E1349" s="116"/>
      <c r="F1349" s="116"/>
      <c r="G1349" s="115"/>
      <c r="H1349" s="84" t="str">
        <f>IF(B1349="","",VLOOKUP(A1349,Journal!$B$7:$L$84,11))</f>
        <v/>
      </c>
      <c r="I1349" s="84" t="str">
        <f>IF(B1349="","",VLOOKUP(A1349,Journal!$B$7:$M$84,12))</f>
        <v/>
      </c>
      <c r="J1349" s="105">
        <f>IF(B1349="Total",SUM(J$8:J1348)+0.0001,IF(OR(B1349="",I$2=I1349),0,VLOOKUP(A1349,Journal!$B$7:M$84,8)))</f>
        <v>0</v>
      </c>
      <c r="K1349" s="102">
        <f>IF(B1349="Total",SUM(K$8:K1348)+0.0001,IF(OR(B1349="",J1349&lt;&gt;0),0,VLOOKUP(A1349,Journal!$B$7:M$84,8)))</f>
        <v>0</v>
      </c>
      <c r="L1349" s="87">
        <f t="shared" si="154"/>
        <v>0</v>
      </c>
      <c r="P1349">
        <f t="shared" si="155"/>
        <v>1.0000000000000001E-5</v>
      </c>
      <c r="R1349" s="15">
        <f t="shared" si="156"/>
        <v>1342</v>
      </c>
      <c r="S1349" s="126">
        <f>IF(VLOOKUP(A1349,Journal!$A$7:$E$70,5)=0,S1348+1,VLOOKUP(A1349,Journal!$A$7:$E$70,5))</f>
        <v>46999</v>
      </c>
      <c r="T1349" s="125">
        <f>IF(H$2=VLOOKUP(A1349,Journal!$A$7:$F$70,6),VLOOKUP(A1349,Journal!$A$7:M$70,9),0)</f>
        <v>0</v>
      </c>
      <c r="U1349" s="125">
        <f>IF(H$2=VLOOKUP(A1349,Journal!$A$7:$G$70,7),VLOOKUP(A1349,Journal!$A$7:M$70,9),0)</f>
        <v>0</v>
      </c>
      <c r="V1349" s="125">
        <f t="shared" si="152"/>
        <v>40</v>
      </c>
      <c r="X1349">
        <f t="shared" si="157"/>
        <v>0</v>
      </c>
      <c r="Y1349" s="143">
        <f t="shared" si="151"/>
        <v>-964.76315789479293</v>
      </c>
    </row>
    <row r="1350" spans="1:25" x14ac:dyDescent="0.25">
      <c r="A1350">
        <f t="shared" si="153"/>
        <v>1343</v>
      </c>
      <c r="B1350" s="88" t="str">
        <f>IF(OR(B1349="Total",B1349=""),"",IF(VLOOKUP(A1350,Journal!$B$7:$E$84,4)=0,"Total",VLOOKUP(A1350,Journal!$B$7:$D$84,3)))</f>
        <v/>
      </c>
      <c r="C1350" s="86" t="str">
        <f>IF(B1350="","",VLOOKUP(A1350,Journal!$B$7:$E$84,4))</f>
        <v/>
      </c>
      <c r="D1350" s="114" t="str">
        <f>IF(B1350="","",VLOOKUP(A1350,Journal!$B$7:$J$84,9))</f>
        <v/>
      </c>
      <c r="E1350" s="116"/>
      <c r="F1350" s="116"/>
      <c r="G1350" s="115"/>
      <c r="H1350" s="84" t="str">
        <f>IF(B1350="","",VLOOKUP(A1350,Journal!$B$7:$L$84,11))</f>
        <v/>
      </c>
      <c r="I1350" s="84" t="str">
        <f>IF(B1350="","",VLOOKUP(A1350,Journal!$B$7:$M$84,12))</f>
        <v/>
      </c>
      <c r="J1350" s="105">
        <f>IF(B1350="Total",SUM(J$8:J1349)+0.0001,IF(OR(B1350="",I$2=I1350),0,VLOOKUP(A1350,Journal!$B$7:M$84,8)))</f>
        <v>0</v>
      </c>
      <c r="K1350" s="102">
        <f>IF(B1350="Total",SUM(K$8:K1349)+0.0001,IF(OR(B1350="",J1350&lt;&gt;0),0,VLOOKUP(A1350,Journal!$B$7:M$84,8)))</f>
        <v>0</v>
      </c>
      <c r="L1350" s="87">
        <f t="shared" si="154"/>
        <v>0</v>
      </c>
      <c r="P1350">
        <f t="shared" si="155"/>
        <v>1.0000000000000001E-5</v>
      </c>
      <c r="R1350" s="15">
        <f t="shared" si="156"/>
        <v>1343</v>
      </c>
      <c r="S1350" s="126">
        <f>IF(VLOOKUP(A1350,Journal!$A$7:$E$70,5)=0,S1349+1,VLOOKUP(A1350,Journal!$A$7:$E$70,5))</f>
        <v>47000</v>
      </c>
      <c r="T1350" s="125">
        <f>IF(H$2=VLOOKUP(A1350,Journal!$A$7:$F$70,6),VLOOKUP(A1350,Journal!$A$7:M$70,9),0)</f>
        <v>0</v>
      </c>
      <c r="U1350" s="125">
        <f>IF(H$2=VLOOKUP(A1350,Journal!$A$7:$G$70,7),VLOOKUP(A1350,Journal!$A$7:M$70,9),0)</f>
        <v>0</v>
      </c>
      <c r="V1350" s="125">
        <f t="shared" si="152"/>
        <v>40</v>
      </c>
      <c r="X1350">
        <f t="shared" si="157"/>
        <v>0</v>
      </c>
      <c r="Y1350" s="143">
        <f t="shared" si="151"/>
        <v>-964.73684210531928</v>
      </c>
    </row>
    <row r="1351" spans="1:25" x14ac:dyDescent="0.25">
      <c r="A1351">
        <f t="shared" si="153"/>
        <v>1344</v>
      </c>
      <c r="B1351" s="88" t="str">
        <f>IF(OR(B1350="Total",B1350=""),"",IF(VLOOKUP(A1351,Journal!$B$7:$E$84,4)=0,"Total",VLOOKUP(A1351,Journal!$B$7:$D$84,3)))</f>
        <v/>
      </c>
      <c r="C1351" s="86" t="str">
        <f>IF(B1351="","",VLOOKUP(A1351,Journal!$B$7:$E$84,4))</f>
        <v/>
      </c>
      <c r="D1351" s="114" t="str">
        <f>IF(B1351="","",VLOOKUP(A1351,Journal!$B$7:$J$84,9))</f>
        <v/>
      </c>
      <c r="E1351" s="116"/>
      <c r="F1351" s="116"/>
      <c r="G1351" s="115"/>
      <c r="H1351" s="84" t="str">
        <f>IF(B1351="","",VLOOKUP(A1351,Journal!$B$7:$L$84,11))</f>
        <v/>
      </c>
      <c r="I1351" s="84" t="str">
        <f>IF(B1351="","",VLOOKUP(A1351,Journal!$B$7:$M$84,12))</f>
        <v/>
      </c>
      <c r="J1351" s="105">
        <f>IF(B1351="Total",SUM(J$8:J1350)+0.0001,IF(OR(B1351="",I$2=I1351),0,VLOOKUP(A1351,Journal!$B$7:M$84,8)))</f>
        <v>0</v>
      </c>
      <c r="K1351" s="102">
        <f>IF(B1351="Total",SUM(K$8:K1350)+0.0001,IF(OR(B1351="",J1351&lt;&gt;0),0,VLOOKUP(A1351,Journal!$B$7:M$84,8)))</f>
        <v>0</v>
      </c>
      <c r="L1351" s="87">
        <f t="shared" si="154"/>
        <v>0</v>
      </c>
      <c r="P1351">
        <f t="shared" si="155"/>
        <v>1.0000000000000001E-5</v>
      </c>
      <c r="R1351" s="15">
        <f t="shared" si="156"/>
        <v>1344</v>
      </c>
      <c r="S1351" s="126">
        <f>IF(VLOOKUP(A1351,Journal!$A$7:$E$70,5)=0,S1350+1,VLOOKUP(A1351,Journal!$A$7:$E$70,5))</f>
        <v>47001</v>
      </c>
      <c r="T1351" s="125">
        <f>IF(H$2=VLOOKUP(A1351,Journal!$A$7:$F$70,6),VLOOKUP(A1351,Journal!$A$7:M$70,9),0)</f>
        <v>0</v>
      </c>
      <c r="U1351" s="125">
        <f>IF(H$2=VLOOKUP(A1351,Journal!$A$7:$G$70,7),VLOOKUP(A1351,Journal!$A$7:M$70,9),0)</f>
        <v>0</v>
      </c>
      <c r="V1351" s="125">
        <f t="shared" si="152"/>
        <v>40</v>
      </c>
      <c r="X1351">
        <f t="shared" si="157"/>
        <v>0</v>
      </c>
      <c r="Y1351" s="143">
        <f t="shared" si="151"/>
        <v>-964.71052631584564</v>
      </c>
    </row>
    <row r="1352" spans="1:25" x14ac:dyDescent="0.25">
      <c r="A1352">
        <f t="shared" si="153"/>
        <v>1345</v>
      </c>
      <c r="B1352" s="88" t="str">
        <f>IF(OR(B1351="Total",B1351=""),"",IF(VLOOKUP(A1352,Journal!$B$7:$E$84,4)=0,"Total",VLOOKUP(A1352,Journal!$B$7:$D$84,3)))</f>
        <v/>
      </c>
      <c r="C1352" s="86" t="str">
        <f>IF(B1352="","",VLOOKUP(A1352,Journal!$B$7:$E$84,4))</f>
        <v/>
      </c>
      <c r="D1352" s="114" t="str">
        <f>IF(B1352="","",VLOOKUP(A1352,Journal!$B$7:$J$84,9))</f>
        <v/>
      </c>
      <c r="E1352" s="116"/>
      <c r="F1352" s="116"/>
      <c r="G1352" s="115"/>
      <c r="H1352" s="84" t="str">
        <f>IF(B1352="","",VLOOKUP(A1352,Journal!$B$7:$L$84,11))</f>
        <v/>
      </c>
      <c r="I1352" s="84" t="str">
        <f>IF(B1352="","",VLOOKUP(A1352,Journal!$B$7:$M$84,12))</f>
        <v/>
      </c>
      <c r="J1352" s="105">
        <f>IF(B1352="Total",SUM(J$8:J1351)+0.0001,IF(OR(B1352="",I$2=I1352),0,VLOOKUP(A1352,Journal!$B$7:M$84,8)))</f>
        <v>0</v>
      </c>
      <c r="K1352" s="102">
        <f>IF(B1352="Total",SUM(K$8:K1351)+0.0001,IF(OR(B1352="",J1352&lt;&gt;0),0,VLOOKUP(A1352,Journal!$B$7:M$84,8)))</f>
        <v>0</v>
      </c>
      <c r="L1352" s="87">
        <f t="shared" si="154"/>
        <v>0</v>
      </c>
      <c r="P1352">
        <f t="shared" si="155"/>
        <v>1.0000000000000001E-5</v>
      </c>
      <c r="R1352" s="15">
        <f t="shared" si="156"/>
        <v>1345</v>
      </c>
      <c r="S1352" s="126">
        <f>IF(VLOOKUP(A1352,Journal!$A$7:$E$70,5)=0,S1351+1,VLOOKUP(A1352,Journal!$A$7:$E$70,5))</f>
        <v>47002</v>
      </c>
      <c r="T1352" s="125">
        <f>IF(H$2=VLOOKUP(A1352,Journal!$A$7:$F$70,6),VLOOKUP(A1352,Journal!$A$7:M$70,9),0)</f>
        <v>0</v>
      </c>
      <c r="U1352" s="125">
        <f>IF(H$2=VLOOKUP(A1352,Journal!$A$7:$G$70,7),VLOOKUP(A1352,Journal!$A$7:M$70,9),0)</f>
        <v>0</v>
      </c>
      <c r="V1352" s="125">
        <f t="shared" si="152"/>
        <v>40</v>
      </c>
      <c r="X1352">
        <f t="shared" si="157"/>
        <v>0</v>
      </c>
      <c r="Y1352" s="143">
        <f t="shared" ref="Y1352:Y1415" si="158">IF(B1351="Total",-1000,Y1351+Y$4)</f>
        <v>-964.684210526372</v>
      </c>
    </row>
    <row r="1353" spans="1:25" x14ac:dyDescent="0.25">
      <c r="A1353">
        <f t="shared" si="153"/>
        <v>1346</v>
      </c>
      <c r="B1353" s="88" t="str">
        <f>IF(OR(B1352="Total",B1352=""),"",IF(VLOOKUP(A1353,Journal!$B$7:$E$84,4)=0,"Total",VLOOKUP(A1353,Journal!$B$7:$D$84,3)))</f>
        <v/>
      </c>
      <c r="C1353" s="86" t="str">
        <f>IF(B1353="","",VLOOKUP(A1353,Journal!$B$7:$E$84,4))</f>
        <v/>
      </c>
      <c r="D1353" s="114" t="str">
        <f>IF(B1353="","",VLOOKUP(A1353,Journal!$B$7:$J$84,9))</f>
        <v/>
      </c>
      <c r="E1353" s="116"/>
      <c r="F1353" s="116"/>
      <c r="G1353" s="115"/>
      <c r="H1353" s="84" t="str">
        <f>IF(B1353="","",VLOOKUP(A1353,Journal!$B$7:$L$84,11))</f>
        <v/>
      </c>
      <c r="I1353" s="84" t="str">
        <f>IF(B1353="","",VLOOKUP(A1353,Journal!$B$7:$M$84,12))</f>
        <v/>
      </c>
      <c r="J1353" s="105">
        <f>IF(B1353="Total",SUM(J$8:J1352)+0.0001,IF(OR(B1353="",I$2=I1353),0,VLOOKUP(A1353,Journal!$B$7:M$84,8)))</f>
        <v>0</v>
      </c>
      <c r="K1353" s="102">
        <f>IF(B1353="Total",SUM(K$8:K1352)+0.0001,IF(OR(B1353="",J1353&lt;&gt;0),0,VLOOKUP(A1353,Journal!$B$7:M$84,8)))</f>
        <v>0</v>
      </c>
      <c r="L1353" s="87">
        <f t="shared" si="154"/>
        <v>0</v>
      </c>
      <c r="P1353">
        <f t="shared" si="155"/>
        <v>1.0000000000000001E-5</v>
      </c>
      <c r="R1353" s="15">
        <f t="shared" si="156"/>
        <v>1346</v>
      </c>
      <c r="S1353" s="126">
        <f>IF(VLOOKUP(A1353,Journal!$A$7:$E$70,5)=0,S1352+1,VLOOKUP(A1353,Journal!$A$7:$E$70,5))</f>
        <v>47003</v>
      </c>
      <c r="T1353" s="125">
        <f>IF(H$2=VLOOKUP(A1353,Journal!$A$7:$F$70,6),VLOOKUP(A1353,Journal!$A$7:M$70,9),0)</f>
        <v>0</v>
      </c>
      <c r="U1353" s="125">
        <f>IF(H$2=VLOOKUP(A1353,Journal!$A$7:$G$70,7),VLOOKUP(A1353,Journal!$A$7:M$70,9),0)</f>
        <v>0</v>
      </c>
      <c r="V1353" s="125">
        <f t="shared" si="152"/>
        <v>40</v>
      </c>
      <c r="X1353">
        <f t="shared" si="157"/>
        <v>0</v>
      </c>
      <c r="Y1353" s="143">
        <f t="shared" si="158"/>
        <v>-964.65789473689836</v>
      </c>
    </row>
    <row r="1354" spans="1:25" x14ac:dyDescent="0.25">
      <c r="A1354">
        <f t="shared" si="153"/>
        <v>1347</v>
      </c>
      <c r="B1354" s="88" t="str">
        <f>IF(OR(B1353="Total",B1353=""),"",IF(VLOOKUP(A1354,Journal!$B$7:$E$84,4)=0,"Total",VLOOKUP(A1354,Journal!$B$7:$D$84,3)))</f>
        <v/>
      </c>
      <c r="C1354" s="86" t="str">
        <f>IF(B1354="","",VLOOKUP(A1354,Journal!$B$7:$E$84,4))</f>
        <v/>
      </c>
      <c r="D1354" s="114" t="str">
        <f>IF(B1354="","",VLOOKUP(A1354,Journal!$B$7:$J$84,9))</f>
        <v/>
      </c>
      <c r="E1354" s="116"/>
      <c r="F1354" s="116"/>
      <c r="G1354" s="115"/>
      <c r="H1354" s="84" t="str">
        <f>IF(B1354="","",VLOOKUP(A1354,Journal!$B$7:$L$84,11))</f>
        <v/>
      </c>
      <c r="I1354" s="84" t="str">
        <f>IF(B1354="","",VLOOKUP(A1354,Journal!$B$7:$M$84,12))</f>
        <v/>
      </c>
      <c r="J1354" s="105">
        <f>IF(B1354="Total",SUM(J$8:J1353)+0.0001,IF(OR(B1354="",I$2=I1354),0,VLOOKUP(A1354,Journal!$B$7:M$84,8)))</f>
        <v>0</v>
      </c>
      <c r="K1354" s="102">
        <f>IF(B1354="Total",SUM(K$8:K1353)+0.0001,IF(OR(B1354="",J1354&lt;&gt;0),0,VLOOKUP(A1354,Journal!$B$7:M$84,8)))</f>
        <v>0</v>
      </c>
      <c r="L1354" s="87">
        <f t="shared" si="154"/>
        <v>0</v>
      </c>
      <c r="P1354">
        <f t="shared" si="155"/>
        <v>1.0000000000000001E-5</v>
      </c>
      <c r="R1354" s="15">
        <f t="shared" si="156"/>
        <v>1347</v>
      </c>
      <c r="S1354" s="126">
        <f>IF(VLOOKUP(A1354,Journal!$A$7:$E$70,5)=0,S1353+1,VLOOKUP(A1354,Journal!$A$7:$E$70,5))</f>
        <v>47004</v>
      </c>
      <c r="T1354" s="125">
        <f>IF(H$2=VLOOKUP(A1354,Journal!$A$7:$F$70,6),VLOOKUP(A1354,Journal!$A$7:M$70,9),0)</f>
        <v>0</v>
      </c>
      <c r="U1354" s="125">
        <f>IF(H$2=VLOOKUP(A1354,Journal!$A$7:$G$70,7),VLOOKUP(A1354,Journal!$A$7:M$70,9),0)</f>
        <v>0</v>
      </c>
      <c r="V1354" s="125">
        <f t="shared" ref="V1354:V1417" si="159">IF($M$1=1,V1353+T1354-U1354,V1353-T1354+U1354)</f>
        <v>40</v>
      </c>
      <c r="X1354">
        <f t="shared" si="157"/>
        <v>0</v>
      </c>
      <c r="Y1354" s="143">
        <f t="shared" si="158"/>
        <v>-964.63157894742471</v>
      </c>
    </row>
    <row r="1355" spans="1:25" x14ac:dyDescent="0.25">
      <c r="A1355">
        <f t="shared" si="153"/>
        <v>1348</v>
      </c>
      <c r="B1355" s="88" t="str">
        <f>IF(OR(B1354="Total",B1354=""),"",IF(VLOOKUP(A1355,Journal!$B$7:$E$84,4)=0,"Total",VLOOKUP(A1355,Journal!$B$7:$D$84,3)))</f>
        <v/>
      </c>
      <c r="C1355" s="86" t="str">
        <f>IF(B1355="","",VLOOKUP(A1355,Journal!$B$7:$E$84,4))</f>
        <v/>
      </c>
      <c r="D1355" s="114" t="str">
        <f>IF(B1355="","",VLOOKUP(A1355,Journal!$B$7:$J$84,9))</f>
        <v/>
      </c>
      <c r="E1355" s="116"/>
      <c r="F1355" s="116"/>
      <c r="G1355" s="115"/>
      <c r="H1355" s="84" t="str">
        <f>IF(B1355="","",VLOOKUP(A1355,Journal!$B$7:$L$84,11))</f>
        <v/>
      </c>
      <c r="I1355" s="84" t="str">
        <f>IF(B1355="","",VLOOKUP(A1355,Journal!$B$7:$M$84,12))</f>
        <v/>
      </c>
      <c r="J1355" s="105">
        <f>IF(B1355="Total",SUM(J$8:J1354)+0.0001,IF(OR(B1355="",I$2=I1355),0,VLOOKUP(A1355,Journal!$B$7:M$84,8)))</f>
        <v>0</v>
      </c>
      <c r="K1355" s="102">
        <f>IF(B1355="Total",SUM(K$8:K1354)+0.0001,IF(OR(B1355="",J1355&lt;&gt;0),0,VLOOKUP(A1355,Journal!$B$7:M$84,8)))</f>
        <v>0</v>
      </c>
      <c r="L1355" s="87">
        <f t="shared" si="154"/>
        <v>0</v>
      </c>
      <c r="P1355">
        <f t="shared" si="155"/>
        <v>1.0000000000000001E-5</v>
      </c>
      <c r="R1355" s="15">
        <f t="shared" si="156"/>
        <v>1348</v>
      </c>
      <c r="S1355" s="126">
        <f>IF(VLOOKUP(A1355,Journal!$A$7:$E$70,5)=0,S1354+1,VLOOKUP(A1355,Journal!$A$7:$E$70,5))</f>
        <v>47005</v>
      </c>
      <c r="T1355" s="125">
        <f>IF(H$2=VLOOKUP(A1355,Journal!$A$7:$F$70,6),VLOOKUP(A1355,Journal!$A$7:M$70,9),0)</f>
        <v>0</v>
      </c>
      <c r="U1355" s="125">
        <f>IF(H$2=VLOOKUP(A1355,Journal!$A$7:$G$70,7),VLOOKUP(A1355,Journal!$A$7:M$70,9),0)</f>
        <v>0</v>
      </c>
      <c r="V1355" s="125">
        <f t="shared" si="159"/>
        <v>40</v>
      </c>
      <c r="X1355">
        <f t="shared" si="157"/>
        <v>0</v>
      </c>
      <c r="Y1355" s="143">
        <f t="shared" si="158"/>
        <v>-964.60526315795107</v>
      </c>
    </row>
    <row r="1356" spans="1:25" x14ac:dyDescent="0.25">
      <c r="A1356">
        <f t="shared" si="153"/>
        <v>1349</v>
      </c>
      <c r="B1356" s="88" t="str">
        <f>IF(OR(B1355="Total",B1355=""),"",IF(VLOOKUP(A1356,Journal!$B$7:$E$84,4)=0,"Total",VLOOKUP(A1356,Journal!$B$7:$D$84,3)))</f>
        <v/>
      </c>
      <c r="C1356" s="86" t="str">
        <f>IF(B1356="","",VLOOKUP(A1356,Journal!$B$7:$E$84,4))</f>
        <v/>
      </c>
      <c r="D1356" s="114" t="str">
        <f>IF(B1356="","",VLOOKUP(A1356,Journal!$B$7:$J$84,9))</f>
        <v/>
      </c>
      <c r="E1356" s="116"/>
      <c r="F1356" s="116"/>
      <c r="G1356" s="115"/>
      <c r="H1356" s="84" t="str">
        <f>IF(B1356="","",VLOOKUP(A1356,Journal!$B$7:$L$84,11))</f>
        <v/>
      </c>
      <c r="I1356" s="84" t="str">
        <f>IF(B1356="","",VLOOKUP(A1356,Journal!$B$7:$M$84,12))</f>
        <v/>
      </c>
      <c r="J1356" s="105">
        <f>IF(B1356="Total",SUM(J$8:J1355)+0.0001,IF(OR(B1356="",I$2=I1356),0,VLOOKUP(A1356,Journal!$B$7:M$84,8)))</f>
        <v>0</v>
      </c>
      <c r="K1356" s="102">
        <f>IF(B1356="Total",SUM(K$8:K1355)+0.0001,IF(OR(B1356="",J1356&lt;&gt;0),0,VLOOKUP(A1356,Journal!$B$7:M$84,8)))</f>
        <v>0</v>
      </c>
      <c r="L1356" s="87">
        <f t="shared" si="154"/>
        <v>0</v>
      </c>
      <c r="P1356">
        <f t="shared" si="155"/>
        <v>1.0000000000000001E-5</v>
      </c>
      <c r="R1356" s="15">
        <f t="shared" si="156"/>
        <v>1349</v>
      </c>
      <c r="S1356" s="126">
        <f>IF(VLOOKUP(A1356,Journal!$A$7:$E$70,5)=0,S1355+1,VLOOKUP(A1356,Journal!$A$7:$E$70,5))</f>
        <v>47006</v>
      </c>
      <c r="T1356" s="125">
        <f>IF(H$2=VLOOKUP(A1356,Journal!$A$7:$F$70,6),VLOOKUP(A1356,Journal!$A$7:M$70,9),0)</f>
        <v>0</v>
      </c>
      <c r="U1356" s="125">
        <f>IF(H$2=VLOOKUP(A1356,Journal!$A$7:$G$70,7),VLOOKUP(A1356,Journal!$A$7:M$70,9),0)</f>
        <v>0</v>
      </c>
      <c r="V1356" s="125">
        <f t="shared" si="159"/>
        <v>40</v>
      </c>
      <c r="X1356">
        <f t="shared" si="157"/>
        <v>0</v>
      </c>
      <c r="Y1356" s="143">
        <f t="shared" si="158"/>
        <v>-964.57894736847743</v>
      </c>
    </row>
    <row r="1357" spans="1:25" x14ac:dyDescent="0.25">
      <c r="A1357">
        <f t="shared" si="153"/>
        <v>1350</v>
      </c>
      <c r="B1357" s="88" t="str">
        <f>IF(OR(B1356="Total",B1356=""),"",IF(VLOOKUP(A1357,Journal!$B$7:$E$84,4)=0,"Total",VLOOKUP(A1357,Journal!$B$7:$D$84,3)))</f>
        <v/>
      </c>
      <c r="C1357" s="86" t="str">
        <f>IF(B1357="","",VLOOKUP(A1357,Journal!$B$7:$E$84,4))</f>
        <v/>
      </c>
      <c r="D1357" s="114" t="str">
        <f>IF(B1357="","",VLOOKUP(A1357,Journal!$B$7:$J$84,9))</f>
        <v/>
      </c>
      <c r="E1357" s="116"/>
      <c r="F1357" s="116"/>
      <c r="G1357" s="115"/>
      <c r="H1357" s="84" t="str">
        <f>IF(B1357="","",VLOOKUP(A1357,Journal!$B$7:$L$84,11))</f>
        <v/>
      </c>
      <c r="I1357" s="84" t="str">
        <f>IF(B1357="","",VLOOKUP(A1357,Journal!$B$7:$M$84,12))</f>
        <v/>
      </c>
      <c r="J1357" s="105">
        <f>IF(B1357="Total",SUM(J$8:J1356)+0.0001,IF(OR(B1357="",I$2=I1357),0,VLOOKUP(A1357,Journal!$B$7:M$84,8)))</f>
        <v>0</v>
      </c>
      <c r="K1357" s="102">
        <f>IF(B1357="Total",SUM(K$8:K1356)+0.0001,IF(OR(B1357="",J1357&lt;&gt;0),0,VLOOKUP(A1357,Journal!$B$7:M$84,8)))</f>
        <v>0</v>
      </c>
      <c r="L1357" s="87">
        <f t="shared" si="154"/>
        <v>0</v>
      </c>
      <c r="P1357">
        <f t="shared" si="155"/>
        <v>1.0000000000000001E-5</v>
      </c>
      <c r="R1357" s="15">
        <f t="shared" si="156"/>
        <v>1350</v>
      </c>
      <c r="S1357" s="126">
        <f>IF(VLOOKUP(A1357,Journal!$A$7:$E$70,5)=0,S1356+1,VLOOKUP(A1357,Journal!$A$7:$E$70,5))</f>
        <v>47007</v>
      </c>
      <c r="T1357" s="125">
        <f>IF(H$2=VLOOKUP(A1357,Journal!$A$7:$F$70,6),VLOOKUP(A1357,Journal!$A$7:M$70,9),0)</f>
        <v>0</v>
      </c>
      <c r="U1357" s="125">
        <f>IF(H$2=VLOOKUP(A1357,Journal!$A$7:$G$70,7),VLOOKUP(A1357,Journal!$A$7:M$70,9),0)</f>
        <v>0</v>
      </c>
      <c r="V1357" s="125">
        <f t="shared" si="159"/>
        <v>40</v>
      </c>
      <c r="X1357">
        <f t="shared" si="157"/>
        <v>0</v>
      </c>
      <c r="Y1357" s="143">
        <f t="shared" si="158"/>
        <v>-964.55263157900379</v>
      </c>
    </row>
    <row r="1358" spans="1:25" x14ac:dyDescent="0.25">
      <c r="A1358">
        <f t="shared" si="153"/>
        <v>1351</v>
      </c>
      <c r="B1358" s="88" t="str">
        <f>IF(OR(B1357="Total",B1357=""),"",IF(VLOOKUP(A1358,Journal!$B$7:$E$84,4)=0,"Total",VLOOKUP(A1358,Journal!$B$7:$D$84,3)))</f>
        <v/>
      </c>
      <c r="C1358" s="86" t="str">
        <f>IF(B1358="","",VLOOKUP(A1358,Journal!$B$7:$E$84,4))</f>
        <v/>
      </c>
      <c r="D1358" s="114" t="str">
        <f>IF(B1358="","",VLOOKUP(A1358,Journal!$B$7:$J$84,9))</f>
        <v/>
      </c>
      <c r="E1358" s="116"/>
      <c r="F1358" s="116"/>
      <c r="G1358" s="115"/>
      <c r="H1358" s="84" t="str">
        <f>IF(B1358="","",VLOOKUP(A1358,Journal!$B$7:$L$84,11))</f>
        <v/>
      </c>
      <c r="I1358" s="84" t="str">
        <f>IF(B1358="","",VLOOKUP(A1358,Journal!$B$7:$M$84,12))</f>
        <v/>
      </c>
      <c r="J1358" s="105">
        <f>IF(B1358="Total",SUM(J$8:J1357)+0.0001,IF(OR(B1358="",I$2=I1358),0,VLOOKUP(A1358,Journal!$B$7:M$84,8)))</f>
        <v>0</v>
      </c>
      <c r="K1358" s="102">
        <f>IF(B1358="Total",SUM(K$8:K1357)+0.0001,IF(OR(B1358="",J1358&lt;&gt;0),0,VLOOKUP(A1358,Journal!$B$7:M$84,8)))</f>
        <v>0</v>
      </c>
      <c r="L1358" s="87">
        <f t="shared" si="154"/>
        <v>0</v>
      </c>
      <c r="P1358">
        <f t="shared" si="155"/>
        <v>1.0000000000000001E-5</v>
      </c>
      <c r="R1358" s="15">
        <f t="shared" si="156"/>
        <v>1351</v>
      </c>
      <c r="S1358" s="126">
        <f>IF(VLOOKUP(A1358,Journal!$A$7:$E$70,5)=0,S1357+1,VLOOKUP(A1358,Journal!$A$7:$E$70,5))</f>
        <v>47008</v>
      </c>
      <c r="T1358" s="125">
        <f>IF(H$2=VLOOKUP(A1358,Journal!$A$7:$F$70,6),VLOOKUP(A1358,Journal!$A$7:M$70,9),0)</f>
        <v>0</v>
      </c>
      <c r="U1358" s="125">
        <f>IF(H$2=VLOOKUP(A1358,Journal!$A$7:$G$70,7),VLOOKUP(A1358,Journal!$A$7:M$70,9),0)</f>
        <v>0</v>
      </c>
      <c r="V1358" s="125">
        <f t="shared" si="159"/>
        <v>40</v>
      </c>
      <c r="X1358">
        <f t="shared" si="157"/>
        <v>0</v>
      </c>
      <c r="Y1358" s="143">
        <f t="shared" si="158"/>
        <v>-964.52631578953014</v>
      </c>
    </row>
    <row r="1359" spans="1:25" x14ac:dyDescent="0.25">
      <c r="A1359">
        <f t="shared" si="153"/>
        <v>1352</v>
      </c>
      <c r="B1359" s="88" t="str">
        <f>IF(OR(B1358="Total",B1358=""),"",IF(VLOOKUP(A1359,Journal!$B$7:$E$84,4)=0,"Total",VLOOKUP(A1359,Journal!$B$7:$D$84,3)))</f>
        <v/>
      </c>
      <c r="C1359" s="86" t="str">
        <f>IF(B1359="","",VLOOKUP(A1359,Journal!$B$7:$E$84,4))</f>
        <v/>
      </c>
      <c r="D1359" s="114" t="str">
        <f>IF(B1359="","",VLOOKUP(A1359,Journal!$B$7:$J$84,9))</f>
        <v/>
      </c>
      <c r="E1359" s="116"/>
      <c r="F1359" s="116"/>
      <c r="G1359" s="115"/>
      <c r="H1359" s="84" t="str">
        <f>IF(B1359="","",VLOOKUP(A1359,Journal!$B$7:$L$84,11))</f>
        <v/>
      </c>
      <c r="I1359" s="84" t="str">
        <f>IF(B1359="","",VLOOKUP(A1359,Journal!$B$7:$M$84,12))</f>
        <v/>
      </c>
      <c r="J1359" s="105">
        <f>IF(B1359="Total",SUM(J$8:J1358)+0.0001,IF(OR(B1359="",I$2=I1359),0,VLOOKUP(A1359,Journal!$B$7:M$84,8)))</f>
        <v>0</v>
      </c>
      <c r="K1359" s="102">
        <f>IF(B1359="Total",SUM(K$8:K1358)+0.0001,IF(OR(B1359="",J1359&lt;&gt;0),0,VLOOKUP(A1359,Journal!$B$7:M$84,8)))</f>
        <v>0</v>
      </c>
      <c r="L1359" s="87">
        <f t="shared" si="154"/>
        <v>0</v>
      </c>
      <c r="P1359">
        <f t="shared" si="155"/>
        <v>1.0000000000000001E-5</v>
      </c>
      <c r="R1359" s="15">
        <f t="shared" si="156"/>
        <v>1352</v>
      </c>
      <c r="S1359" s="126">
        <f>IF(VLOOKUP(A1359,Journal!$A$7:$E$70,5)=0,S1358+1,VLOOKUP(A1359,Journal!$A$7:$E$70,5))</f>
        <v>47009</v>
      </c>
      <c r="T1359" s="125">
        <f>IF(H$2=VLOOKUP(A1359,Journal!$A$7:$F$70,6),VLOOKUP(A1359,Journal!$A$7:M$70,9),0)</f>
        <v>0</v>
      </c>
      <c r="U1359" s="125">
        <f>IF(H$2=VLOOKUP(A1359,Journal!$A$7:$G$70,7),VLOOKUP(A1359,Journal!$A$7:M$70,9),0)</f>
        <v>0</v>
      </c>
      <c r="V1359" s="125">
        <f t="shared" si="159"/>
        <v>40</v>
      </c>
      <c r="X1359">
        <f t="shared" si="157"/>
        <v>0</v>
      </c>
      <c r="Y1359" s="143">
        <f t="shared" si="158"/>
        <v>-964.5000000000565</v>
      </c>
    </row>
    <row r="1360" spans="1:25" x14ac:dyDescent="0.25">
      <c r="A1360">
        <f t="shared" si="153"/>
        <v>1353</v>
      </c>
      <c r="B1360" s="88" t="str">
        <f>IF(OR(B1359="Total",B1359=""),"",IF(VLOOKUP(A1360,Journal!$B$7:$E$84,4)=0,"Total",VLOOKUP(A1360,Journal!$B$7:$D$84,3)))</f>
        <v/>
      </c>
      <c r="C1360" s="86" t="str">
        <f>IF(B1360="","",VLOOKUP(A1360,Journal!$B$7:$E$84,4))</f>
        <v/>
      </c>
      <c r="D1360" s="114" t="str">
        <f>IF(B1360="","",VLOOKUP(A1360,Journal!$B$7:$J$84,9))</f>
        <v/>
      </c>
      <c r="E1360" s="116"/>
      <c r="F1360" s="116"/>
      <c r="G1360" s="115"/>
      <c r="H1360" s="84" t="str">
        <f>IF(B1360="","",VLOOKUP(A1360,Journal!$B$7:$L$84,11))</f>
        <v/>
      </c>
      <c r="I1360" s="84" t="str">
        <f>IF(B1360="","",VLOOKUP(A1360,Journal!$B$7:$M$84,12))</f>
        <v/>
      </c>
      <c r="J1360" s="105">
        <f>IF(B1360="Total",SUM(J$8:J1359)+0.0001,IF(OR(B1360="",I$2=I1360),0,VLOOKUP(A1360,Journal!$B$7:M$84,8)))</f>
        <v>0</v>
      </c>
      <c r="K1360" s="102">
        <f>IF(B1360="Total",SUM(K$8:K1359)+0.0001,IF(OR(B1360="",J1360&lt;&gt;0),0,VLOOKUP(A1360,Journal!$B$7:M$84,8)))</f>
        <v>0</v>
      </c>
      <c r="L1360" s="87">
        <f t="shared" si="154"/>
        <v>0</v>
      </c>
      <c r="P1360">
        <f t="shared" si="155"/>
        <v>1.0000000000000001E-5</v>
      </c>
      <c r="R1360" s="15">
        <f t="shared" si="156"/>
        <v>1353</v>
      </c>
      <c r="S1360" s="126">
        <f>IF(VLOOKUP(A1360,Journal!$A$7:$E$70,5)=0,S1359+1,VLOOKUP(A1360,Journal!$A$7:$E$70,5))</f>
        <v>47010</v>
      </c>
      <c r="T1360" s="125">
        <f>IF(H$2=VLOOKUP(A1360,Journal!$A$7:$F$70,6),VLOOKUP(A1360,Journal!$A$7:M$70,9),0)</f>
        <v>0</v>
      </c>
      <c r="U1360" s="125">
        <f>IF(H$2=VLOOKUP(A1360,Journal!$A$7:$G$70,7),VLOOKUP(A1360,Journal!$A$7:M$70,9),0)</f>
        <v>0</v>
      </c>
      <c r="V1360" s="125">
        <f t="shared" si="159"/>
        <v>40</v>
      </c>
      <c r="X1360">
        <f t="shared" si="157"/>
        <v>0</v>
      </c>
      <c r="Y1360" s="143">
        <f t="shared" si="158"/>
        <v>-964.47368421058286</v>
      </c>
    </row>
    <row r="1361" spans="1:25" x14ac:dyDescent="0.25">
      <c r="A1361">
        <f t="shared" si="153"/>
        <v>1354</v>
      </c>
      <c r="B1361" s="88" t="str">
        <f>IF(OR(B1360="Total",B1360=""),"",IF(VLOOKUP(A1361,Journal!$B$7:$E$84,4)=0,"Total",VLOOKUP(A1361,Journal!$B$7:$D$84,3)))</f>
        <v/>
      </c>
      <c r="C1361" s="86" t="str">
        <f>IF(B1361="","",VLOOKUP(A1361,Journal!$B$7:$E$84,4))</f>
        <v/>
      </c>
      <c r="D1361" s="114" t="str">
        <f>IF(B1361="","",VLOOKUP(A1361,Journal!$B$7:$J$84,9))</f>
        <v/>
      </c>
      <c r="E1361" s="116"/>
      <c r="F1361" s="116"/>
      <c r="G1361" s="115"/>
      <c r="H1361" s="84" t="str">
        <f>IF(B1361="","",VLOOKUP(A1361,Journal!$B$7:$L$84,11))</f>
        <v/>
      </c>
      <c r="I1361" s="84" t="str">
        <f>IF(B1361="","",VLOOKUP(A1361,Journal!$B$7:$M$84,12))</f>
        <v/>
      </c>
      <c r="J1361" s="105">
        <f>IF(B1361="Total",SUM(J$8:J1360)+0.0001,IF(OR(B1361="",I$2=I1361),0,VLOOKUP(A1361,Journal!$B$7:M$84,8)))</f>
        <v>0</v>
      </c>
      <c r="K1361" s="102">
        <f>IF(B1361="Total",SUM(K$8:K1360)+0.0001,IF(OR(B1361="",J1361&lt;&gt;0),0,VLOOKUP(A1361,Journal!$B$7:M$84,8)))</f>
        <v>0</v>
      </c>
      <c r="L1361" s="87">
        <f t="shared" si="154"/>
        <v>0</v>
      </c>
      <c r="P1361">
        <f t="shared" si="155"/>
        <v>1.0000000000000001E-5</v>
      </c>
      <c r="R1361" s="15">
        <f t="shared" si="156"/>
        <v>1354</v>
      </c>
      <c r="S1361" s="126">
        <f>IF(VLOOKUP(A1361,Journal!$A$7:$E$70,5)=0,S1360+1,VLOOKUP(A1361,Journal!$A$7:$E$70,5))</f>
        <v>47011</v>
      </c>
      <c r="T1361" s="125">
        <f>IF(H$2=VLOOKUP(A1361,Journal!$A$7:$F$70,6),VLOOKUP(A1361,Journal!$A$7:M$70,9),0)</f>
        <v>0</v>
      </c>
      <c r="U1361" s="125">
        <f>IF(H$2=VLOOKUP(A1361,Journal!$A$7:$G$70,7),VLOOKUP(A1361,Journal!$A$7:M$70,9),0)</f>
        <v>0</v>
      </c>
      <c r="V1361" s="125">
        <f t="shared" si="159"/>
        <v>40</v>
      </c>
      <c r="X1361">
        <f t="shared" si="157"/>
        <v>0</v>
      </c>
      <c r="Y1361" s="143">
        <f t="shared" si="158"/>
        <v>-964.44736842110922</v>
      </c>
    </row>
    <row r="1362" spans="1:25" x14ac:dyDescent="0.25">
      <c r="A1362">
        <f t="shared" ref="A1362:A1425" si="160">A1361+1</f>
        <v>1355</v>
      </c>
      <c r="B1362" s="88" t="str">
        <f>IF(OR(B1361="Total",B1361=""),"",IF(VLOOKUP(A1362,Journal!$B$7:$E$84,4)=0,"Total",VLOOKUP(A1362,Journal!$B$7:$D$84,3)))</f>
        <v/>
      </c>
      <c r="C1362" s="86" t="str">
        <f>IF(B1362="","",VLOOKUP(A1362,Journal!$B$7:$E$84,4))</f>
        <v/>
      </c>
      <c r="D1362" s="114" t="str">
        <f>IF(B1362="","",VLOOKUP(A1362,Journal!$B$7:$J$84,9))</f>
        <v/>
      </c>
      <c r="E1362" s="116"/>
      <c r="F1362" s="116"/>
      <c r="G1362" s="115"/>
      <c r="H1362" s="84" t="str">
        <f>IF(B1362="","",VLOOKUP(A1362,Journal!$B$7:$L$84,11))</f>
        <v/>
      </c>
      <c r="I1362" s="84" t="str">
        <f>IF(B1362="","",VLOOKUP(A1362,Journal!$B$7:$M$84,12))</f>
        <v/>
      </c>
      <c r="J1362" s="105">
        <f>IF(B1362="Total",SUM(J$8:J1361)+0.0001,IF(OR(B1362="",I$2=I1362),0,VLOOKUP(A1362,Journal!$B$7:M$84,8)))</f>
        <v>0</v>
      </c>
      <c r="K1362" s="102">
        <f>IF(B1362="Total",SUM(K$8:K1361)+0.0001,IF(OR(B1362="",J1362&lt;&gt;0),0,VLOOKUP(A1362,Journal!$B$7:M$84,8)))</f>
        <v>0</v>
      </c>
      <c r="L1362" s="87">
        <f t="shared" ref="L1362:L1425" si="161">IF(B1362="Total",L1361,IF(B1362="",0,IF($M$1=1,L1361+J1362-K1362,L1361-J1362+K1362)))</f>
        <v>0</v>
      </c>
      <c r="P1362">
        <f t="shared" ref="P1362:P1425" si="162">IF(L1361=L1362,L1361+0.00001,L1362)</f>
        <v>1.0000000000000001E-5</v>
      </c>
      <c r="R1362" s="15">
        <f t="shared" ref="R1362:R1425" si="163">R1361+1</f>
        <v>1355</v>
      </c>
      <c r="S1362" s="126">
        <f>IF(VLOOKUP(A1362,Journal!$A$7:$E$70,5)=0,S1361+1,VLOOKUP(A1362,Journal!$A$7:$E$70,5))</f>
        <v>47012</v>
      </c>
      <c r="T1362" s="125">
        <f>IF(H$2=VLOOKUP(A1362,Journal!$A$7:$F$70,6),VLOOKUP(A1362,Journal!$A$7:M$70,9),0)</f>
        <v>0</v>
      </c>
      <c r="U1362" s="125">
        <f>IF(H$2=VLOOKUP(A1362,Journal!$A$7:$G$70,7),VLOOKUP(A1362,Journal!$A$7:M$70,9),0)</f>
        <v>0</v>
      </c>
      <c r="V1362" s="125">
        <f t="shared" si="159"/>
        <v>40</v>
      </c>
      <c r="X1362">
        <f t="shared" ref="X1362:X1425" si="164">IF(J$2&gt;S1362,1,0)</f>
        <v>0</v>
      </c>
      <c r="Y1362" s="143">
        <f t="shared" si="158"/>
        <v>-964.42105263163558</v>
      </c>
    </row>
    <row r="1363" spans="1:25" x14ac:dyDescent="0.25">
      <c r="A1363">
        <f t="shared" si="160"/>
        <v>1356</v>
      </c>
      <c r="B1363" s="88" t="str">
        <f>IF(OR(B1362="Total",B1362=""),"",IF(VLOOKUP(A1363,Journal!$B$7:$E$84,4)=0,"Total",VLOOKUP(A1363,Journal!$B$7:$D$84,3)))</f>
        <v/>
      </c>
      <c r="C1363" s="86" t="str">
        <f>IF(B1363="","",VLOOKUP(A1363,Journal!$B$7:$E$84,4))</f>
        <v/>
      </c>
      <c r="D1363" s="114" t="str">
        <f>IF(B1363="","",VLOOKUP(A1363,Journal!$B$7:$J$84,9))</f>
        <v/>
      </c>
      <c r="E1363" s="116"/>
      <c r="F1363" s="116"/>
      <c r="G1363" s="115"/>
      <c r="H1363" s="84" t="str">
        <f>IF(B1363="","",VLOOKUP(A1363,Journal!$B$7:$L$84,11))</f>
        <v/>
      </c>
      <c r="I1363" s="84" t="str">
        <f>IF(B1363="","",VLOOKUP(A1363,Journal!$B$7:$M$84,12))</f>
        <v/>
      </c>
      <c r="J1363" s="105">
        <f>IF(B1363="Total",SUM(J$8:J1362)+0.0001,IF(OR(B1363="",I$2=I1363),0,VLOOKUP(A1363,Journal!$B$7:M$84,8)))</f>
        <v>0</v>
      </c>
      <c r="K1363" s="102">
        <f>IF(B1363="Total",SUM(K$8:K1362)+0.0001,IF(OR(B1363="",J1363&lt;&gt;0),0,VLOOKUP(A1363,Journal!$B$7:M$84,8)))</f>
        <v>0</v>
      </c>
      <c r="L1363" s="87">
        <f t="shared" si="161"/>
        <v>0</v>
      </c>
      <c r="P1363">
        <f t="shared" si="162"/>
        <v>1.0000000000000001E-5</v>
      </c>
      <c r="R1363" s="15">
        <f t="shared" si="163"/>
        <v>1356</v>
      </c>
      <c r="S1363" s="126">
        <f>IF(VLOOKUP(A1363,Journal!$A$7:$E$70,5)=0,S1362+1,VLOOKUP(A1363,Journal!$A$7:$E$70,5))</f>
        <v>47013</v>
      </c>
      <c r="T1363" s="125">
        <f>IF(H$2=VLOOKUP(A1363,Journal!$A$7:$F$70,6),VLOOKUP(A1363,Journal!$A$7:M$70,9),0)</f>
        <v>0</v>
      </c>
      <c r="U1363" s="125">
        <f>IF(H$2=VLOOKUP(A1363,Journal!$A$7:$G$70,7),VLOOKUP(A1363,Journal!$A$7:M$70,9),0)</f>
        <v>0</v>
      </c>
      <c r="V1363" s="125">
        <f t="shared" si="159"/>
        <v>40</v>
      </c>
      <c r="X1363">
        <f t="shared" si="164"/>
        <v>0</v>
      </c>
      <c r="Y1363" s="143">
        <f t="shared" si="158"/>
        <v>-964.39473684216193</v>
      </c>
    </row>
    <row r="1364" spans="1:25" x14ac:dyDescent="0.25">
      <c r="A1364">
        <f t="shared" si="160"/>
        <v>1357</v>
      </c>
      <c r="B1364" s="88" t="str">
        <f>IF(OR(B1363="Total",B1363=""),"",IF(VLOOKUP(A1364,Journal!$B$7:$E$84,4)=0,"Total",VLOOKUP(A1364,Journal!$B$7:$D$84,3)))</f>
        <v/>
      </c>
      <c r="C1364" s="86" t="str">
        <f>IF(B1364="","",VLOOKUP(A1364,Journal!$B$7:$E$84,4))</f>
        <v/>
      </c>
      <c r="D1364" s="114" t="str">
        <f>IF(B1364="","",VLOOKUP(A1364,Journal!$B$7:$J$84,9))</f>
        <v/>
      </c>
      <c r="E1364" s="116"/>
      <c r="F1364" s="116"/>
      <c r="G1364" s="115"/>
      <c r="H1364" s="84" t="str">
        <f>IF(B1364="","",VLOOKUP(A1364,Journal!$B$7:$L$84,11))</f>
        <v/>
      </c>
      <c r="I1364" s="84" t="str">
        <f>IF(B1364="","",VLOOKUP(A1364,Journal!$B$7:$M$84,12))</f>
        <v/>
      </c>
      <c r="J1364" s="105">
        <f>IF(B1364="Total",SUM(J$8:J1363)+0.0001,IF(OR(B1364="",I$2=I1364),0,VLOOKUP(A1364,Journal!$B$7:M$84,8)))</f>
        <v>0</v>
      </c>
      <c r="K1364" s="102">
        <f>IF(B1364="Total",SUM(K$8:K1363)+0.0001,IF(OR(B1364="",J1364&lt;&gt;0),0,VLOOKUP(A1364,Journal!$B$7:M$84,8)))</f>
        <v>0</v>
      </c>
      <c r="L1364" s="87">
        <f t="shared" si="161"/>
        <v>0</v>
      </c>
      <c r="P1364">
        <f t="shared" si="162"/>
        <v>1.0000000000000001E-5</v>
      </c>
      <c r="R1364" s="15">
        <f t="shared" si="163"/>
        <v>1357</v>
      </c>
      <c r="S1364" s="126">
        <f>IF(VLOOKUP(A1364,Journal!$A$7:$E$70,5)=0,S1363+1,VLOOKUP(A1364,Journal!$A$7:$E$70,5))</f>
        <v>47014</v>
      </c>
      <c r="T1364" s="125">
        <f>IF(H$2=VLOOKUP(A1364,Journal!$A$7:$F$70,6),VLOOKUP(A1364,Journal!$A$7:M$70,9),0)</f>
        <v>0</v>
      </c>
      <c r="U1364" s="125">
        <f>IF(H$2=VLOOKUP(A1364,Journal!$A$7:$G$70,7),VLOOKUP(A1364,Journal!$A$7:M$70,9),0)</f>
        <v>0</v>
      </c>
      <c r="V1364" s="125">
        <f t="shared" si="159"/>
        <v>40</v>
      </c>
      <c r="X1364">
        <f t="shared" si="164"/>
        <v>0</v>
      </c>
      <c r="Y1364" s="143">
        <f t="shared" si="158"/>
        <v>-964.36842105268829</v>
      </c>
    </row>
    <row r="1365" spans="1:25" x14ac:dyDescent="0.25">
      <c r="A1365">
        <f t="shared" si="160"/>
        <v>1358</v>
      </c>
      <c r="B1365" s="88" t="str">
        <f>IF(OR(B1364="Total",B1364=""),"",IF(VLOOKUP(A1365,Journal!$B$7:$E$84,4)=0,"Total",VLOOKUP(A1365,Journal!$B$7:$D$84,3)))</f>
        <v/>
      </c>
      <c r="C1365" s="86" t="str">
        <f>IF(B1365="","",VLOOKUP(A1365,Journal!$B$7:$E$84,4))</f>
        <v/>
      </c>
      <c r="D1365" s="114" t="str">
        <f>IF(B1365="","",VLOOKUP(A1365,Journal!$B$7:$J$84,9))</f>
        <v/>
      </c>
      <c r="E1365" s="116"/>
      <c r="F1365" s="116"/>
      <c r="G1365" s="115"/>
      <c r="H1365" s="84" t="str">
        <f>IF(B1365="","",VLOOKUP(A1365,Journal!$B$7:$L$84,11))</f>
        <v/>
      </c>
      <c r="I1365" s="84" t="str">
        <f>IF(B1365="","",VLOOKUP(A1365,Journal!$B$7:$M$84,12))</f>
        <v/>
      </c>
      <c r="J1365" s="105">
        <f>IF(B1365="Total",SUM(J$8:J1364)+0.0001,IF(OR(B1365="",I$2=I1365),0,VLOOKUP(A1365,Journal!$B$7:M$84,8)))</f>
        <v>0</v>
      </c>
      <c r="K1365" s="102">
        <f>IF(B1365="Total",SUM(K$8:K1364)+0.0001,IF(OR(B1365="",J1365&lt;&gt;0),0,VLOOKUP(A1365,Journal!$B$7:M$84,8)))</f>
        <v>0</v>
      </c>
      <c r="L1365" s="87">
        <f t="shared" si="161"/>
        <v>0</v>
      </c>
      <c r="P1365">
        <f t="shared" si="162"/>
        <v>1.0000000000000001E-5</v>
      </c>
      <c r="R1365" s="15">
        <f t="shared" si="163"/>
        <v>1358</v>
      </c>
      <c r="S1365" s="126">
        <f>IF(VLOOKUP(A1365,Journal!$A$7:$E$70,5)=0,S1364+1,VLOOKUP(A1365,Journal!$A$7:$E$70,5))</f>
        <v>47015</v>
      </c>
      <c r="T1365" s="125">
        <f>IF(H$2=VLOOKUP(A1365,Journal!$A$7:$F$70,6),VLOOKUP(A1365,Journal!$A$7:M$70,9),0)</f>
        <v>0</v>
      </c>
      <c r="U1365" s="125">
        <f>IF(H$2=VLOOKUP(A1365,Journal!$A$7:$G$70,7),VLOOKUP(A1365,Journal!$A$7:M$70,9),0)</f>
        <v>0</v>
      </c>
      <c r="V1365" s="125">
        <f t="shared" si="159"/>
        <v>40</v>
      </c>
      <c r="X1365">
        <f t="shared" si="164"/>
        <v>0</v>
      </c>
      <c r="Y1365" s="143">
        <f t="shared" si="158"/>
        <v>-964.34210526321465</v>
      </c>
    </row>
    <row r="1366" spans="1:25" x14ac:dyDescent="0.25">
      <c r="A1366">
        <f t="shared" si="160"/>
        <v>1359</v>
      </c>
      <c r="B1366" s="88" t="str">
        <f>IF(OR(B1365="Total",B1365=""),"",IF(VLOOKUP(A1366,Journal!$B$7:$E$84,4)=0,"Total",VLOOKUP(A1366,Journal!$B$7:$D$84,3)))</f>
        <v/>
      </c>
      <c r="C1366" s="86" t="str">
        <f>IF(B1366="","",VLOOKUP(A1366,Journal!$B$7:$E$84,4))</f>
        <v/>
      </c>
      <c r="D1366" s="114" t="str">
        <f>IF(B1366="","",VLOOKUP(A1366,Journal!$B$7:$J$84,9))</f>
        <v/>
      </c>
      <c r="E1366" s="116"/>
      <c r="F1366" s="116"/>
      <c r="G1366" s="115"/>
      <c r="H1366" s="84" t="str">
        <f>IF(B1366="","",VLOOKUP(A1366,Journal!$B$7:$L$84,11))</f>
        <v/>
      </c>
      <c r="I1366" s="84" t="str">
        <f>IF(B1366="","",VLOOKUP(A1366,Journal!$B$7:$M$84,12))</f>
        <v/>
      </c>
      <c r="J1366" s="105">
        <f>IF(B1366="Total",SUM(J$8:J1365)+0.0001,IF(OR(B1366="",I$2=I1366),0,VLOOKUP(A1366,Journal!$B$7:M$84,8)))</f>
        <v>0</v>
      </c>
      <c r="K1366" s="102">
        <f>IF(B1366="Total",SUM(K$8:K1365)+0.0001,IF(OR(B1366="",J1366&lt;&gt;0),0,VLOOKUP(A1366,Journal!$B$7:M$84,8)))</f>
        <v>0</v>
      </c>
      <c r="L1366" s="87">
        <f t="shared" si="161"/>
        <v>0</v>
      </c>
      <c r="P1366">
        <f t="shared" si="162"/>
        <v>1.0000000000000001E-5</v>
      </c>
      <c r="R1366" s="15">
        <f t="shared" si="163"/>
        <v>1359</v>
      </c>
      <c r="S1366" s="126">
        <f>IF(VLOOKUP(A1366,Journal!$A$7:$E$70,5)=0,S1365+1,VLOOKUP(A1366,Journal!$A$7:$E$70,5))</f>
        <v>47016</v>
      </c>
      <c r="T1366" s="125">
        <f>IF(H$2=VLOOKUP(A1366,Journal!$A$7:$F$70,6),VLOOKUP(A1366,Journal!$A$7:M$70,9),0)</f>
        <v>0</v>
      </c>
      <c r="U1366" s="125">
        <f>IF(H$2=VLOOKUP(A1366,Journal!$A$7:$G$70,7),VLOOKUP(A1366,Journal!$A$7:M$70,9),0)</f>
        <v>0</v>
      </c>
      <c r="V1366" s="125">
        <f t="shared" si="159"/>
        <v>40</v>
      </c>
      <c r="X1366">
        <f t="shared" si="164"/>
        <v>0</v>
      </c>
      <c r="Y1366" s="143">
        <f t="shared" si="158"/>
        <v>-964.31578947374101</v>
      </c>
    </row>
    <row r="1367" spans="1:25" x14ac:dyDescent="0.25">
      <c r="A1367">
        <f t="shared" si="160"/>
        <v>1360</v>
      </c>
      <c r="B1367" s="88" t="str">
        <f>IF(OR(B1366="Total",B1366=""),"",IF(VLOOKUP(A1367,Journal!$B$7:$E$84,4)=0,"Total",VLOOKUP(A1367,Journal!$B$7:$D$84,3)))</f>
        <v/>
      </c>
      <c r="C1367" s="86" t="str">
        <f>IF(B1367="","",VLOOKUP(A1367,Journal!$B$7:$E$84,4))</f>
        <v/>
      </c>
      <c r="D1367" s="114" t="str">
        <f>IF(B1367="","",VLOOKUP(A1367,Journal!$B$7:$J$84,9))</f>
        <v/>
      </c>
      <c r="E1367" s="116"/>
      <c r="F1367" s="116"/>
      <c r="G1367" s="115"/>
      <c r="H1367" s="84" t="str">
        <f>IF(B1367="","",VLOOKUP(A1367,Journal!$B$7:$L$84,11))</f>
        <v/>
      </c>
      <c r="I1367" s="84" t="str">
        <f>IF(B1367="","",VLOOKUP(A1367,Journal!$B$7:$M$84,12))</f>
        <v/>
      </c>
      <c r="J1367" s="105">
        <f>IF(B1367="Total",SUM(J$8:J1366)+0.0001,IF(OR(B1367="",I$2=I1367),0,VLOOKUP(A1367,Journal!$B$7:M$84,8)))</f>
        <v>0</v>
      </c>
      <c r="K1367" s="102">
        <f>IF(B1367="Total",SUM(K$8:K1366)+0.0001,IF(OR(B1367="",J1367&lt;&gt;0),0,VLOOKUP(A1367,Journal!$B$7:M$84,8)))</f>
        <v>0</v>
      </c>
      <c r="L1367" s="87">
        <f t="shared" si="161"/>
        <v>0</v>
      </c>
      <c r="P1367">
        <f t="shared" si="162"/>
        <v>1.0000000000000001E-5</v>
      </c>
      <c r="R1367" s="15">
        <f t="shared" si="163"/>
        <v>1360</v>
      </c>
      <c r="S1367" s="126">
        <f>IF(VLOOKUP(A1367,Journal!$A$7:$E$70,5)=0,S1366+1,VLOOKUP(A1367,Journal!$A$7:$E$70,5))</f>
        <v>47017</v>
      </c>
      <c r="T1367" s="125">
        <f>IF(H$2=VLOOKUP(A1367,Journal!$A$7:$F$70,6),VLOOKUP(A1367,Journal!$A$7:M$70,9),0)</f>
        <v>0</v>
      </c>
      <c r="U1367" s="125">
        <f>IF(H$2=VLOOKUP(A1367,Journal!$A$7:$G$70,7),VLOOKUP(A1367,Journal!$A$7:M$70,9),0)</f>
        <v>0</v>
      </c>
      <c r="V1367" s="125">
        <f t="shared" si="159"/>
        <v>40</v>
      </c>
      <c r="X1367">
        <f t="shared" si="164"/>
        <v>0</v>
      </c>
      <c r="Y1367" s="143">
        <f t="shared" si="158"/>
        <v>-964.28947368426736</v>
      </c>
    </row>
    <row r="1368" spans="1:25" x14ac:dyDescent="0.25">
      <c r="A1368">
        <f t="shared" si="160"/>
        <v>1361</v>
      </c>
      <c r="B1368" s="88" t="str">
        <f>IF(OR(B1367="Total",B1367=""),"",IF(VLOOKUP(A1368,Journal!$B$7:$E$84,4)=0,"Total",VLOOKUP(A1368,Journal!$B$7:$D$84,3)))</f>
        <v/>
      </c>
      <c r="C1368" s="86" t="str">
        <f>IF(B1368="","",VLOOKUP(A1368,Journal!$B$7:$E$84,4))</f>
        <v/>
      </c>
      <c r="D1368" s="114" t="str">
        <f>IF(B1368="","",VLOOKUP(A1368,Journal!$B$7:$J$84,9))</f>
        <v/>
      </c>
      <c r="E1368" s="116"/>
      <c r="F1368" s="116"/>
      <c r="G1368" s="115"/>
      <c r="H1368" s="84" t="str">
        <f>IF(B1368="","",VLOOKUP(A1368,Journal!$B$7:$L$84,11))</f>
        <v/>
      </c>
      <c r="I1368" s="84" t="str">
        <f>IF(B1368="","",VLOOKUP(A1368,Journal!$B$7:$M$84,12))</f>
        <v/>
      </c>
      <c r="J1368" s="105">
        <f>IF(B1368="Total",SUM(J$8:J1367)+0.0001,IF(OR(B1368="",I$2=I1368),0,VLOOKUP(A1368,Journal!$B$7:M$84,8)))</f>
        <v>0</v>
      </c>
      <c r="K1368" s="102">
        <f>IF(B1368="Total",SUM(K$8:K1367)+0.0001,IF(OR(B1368="",J1368&lt;&gt;0),0,VLOOKUP(A1368,Journal!$B$7:M$84,8)))</f>
        <v>0</v>
      </c>
      <c r="L1368" s="87">
        <f t="shared" si="161"/>
        <v>0</v>
      </c>
      <c r="P1368">
        <f t="shared" si="162"/>
        <v>1.0000000000000001E-5</v>
      </c>
      <c r="R1368" s="15">
        <f t="shared" si="163"/>
        <v>1361</v>
      </c>
      <c r="S1368" s="126">
        <f>IF(VLOOKUP(A1368,Journal!$A$7:$E$70,5)=0,S1367+1,VLOOKUP(A1368,Journal!$A$7:$E$70,5))</f>
        <v>47018</v>
      </c>
      <c r="T1368" s="125">
        <f>IF(H$2=VLOOKUP(A1368,Journal!$A$7:$F$70,6),VLOOKUP(A1368,Journal!$A$7:M$70,9),0)</f>
        <v>0</v>
      </c>
      <c r="U1368" s="125">
        <f>IF(H$2=VLOOKUP(A1368,Journal!$A$7:$G$70,7),VLOOKUP(A1368,Journal!$A$7:M$70,9),0)</f>
        <v>0</v>
      </c>
      <c r="V1368" s="125">
        <f t="shared" si="159"/>
        <v>40</v>
      </c>
      <c r="X1368">
        <f t="shared" si="164"/>
        <v>0</v>
      </c>
      <c r="Y1368" s="143">
        <f t="shared" si="158"/>
        <v>-964.26315789479372</v>
      </c>
    </row>
    <row r="1369" spans="1:25" x14ac:dyDescent="0.25">
      <c r="A1369">
        <f t="shared" si="160"/>
        <v>1362</v>
      </c>
      <c r="B1369" s="88" t="str">
        <f>IF(OR(B1368="Total",B1368=""),"",IF(VLOOKUP(A1369,Journal!$B$7:$E$84,4)=0,"Total",VLOOKUP(A1369,Journal!$B$7:$D$84,3)))</f>
        <v/>
      </c>
      <c r="C1369" s="86" t="str">
        <f>IF(B1369="","",VLOOKUP(A1369,Journal!$B$7:$E$84,4))</f>
        <v/>
      </c>
      <c r="D1369" s="114" t="str">
        <f>IF(B1369="","",VLOOKUP(A1369,Journal!$B$7:$J$84,9))</f>
        <v/>
      </c>
      <c r="E1369" s="116"/>
      <c r="F1369" s="116"/>
      <c r="G1369" s="115"/>
      <c r="H1369" s="84" t="str">
        <f>IF(B1369="","",VLOOKUP(A1369,Journal!$B$7:$L$84,11))</f>
        <v/>
      </c>
      <c r="I1369" s="84" t="str">
        <f>IF(B1369="","",VLOOKUP(A1369,Journal!$B$7:$M$84,12))</f>
        <v/>
      </c>
      <c r="J1369" s="105">
        <f>IF(B1369="Total",SUM(J$8:J1368)+0.0001,IF(OR(B1369="",I$2=I1369),0,VLOOKUP(A1369,Journal!$B$7:M$84,8)))</f>
        <v>0</v>
      </c>
      <c r="K1369" s="102">
        <f>IF(B1369="Total",SUM(K$8:K1368)+0.0001,IF(OR(B1369="",J1369&lt;&gt;0),0,VLOOKUP(A1369,Journal!$B$7:M$84,8)))</f>
        <v>0</v>
      </c>
      <c r="L1369" s="87">
        <f t="shared" si="161"/>
        <v>0</v>
      </c>
      <c r="P1369">
        <f t="shared" si="162"/>
        <v>1.0000000000000001E-5</v>
      </c>
      <c r="R1369" s="15">
        <f t="shared" si="163"/>
        <v>1362</v>
      </c>
      <c r="S1369" s="126">
        <f>IF(VLOOKUP(A1369,Journal!$A$7:$E$70,5)=0,S1368+1,VLOOKUP(A1369,Journal!$A$7:$E$70,5))</f>
        <v>47019</v>
      </c>
      <c r="T1369" s="125">
        <f>IF(H$2=VLOOKUP(A1369,Journal!$A$7:$F$70,6),VLOOKUP(A1369,Journal!$A$7:M$70,9),0)</f>
        <v>0</v>
      </c>
      <c r="U1369" s="125">
        <f>IF(H$2=VLOOKUP(A1369,Journal!$A$7:$G$70,7),VLOOKUP(A1369,Journal!$A$7:M$70,9),0)</f>
        <v>0</v>
      </c>
      <c r="V1369" s="125">
        <f t="shared" si="159"/>
        <v>40</v>
      </c>
      <c r="X1369">
        <f t="shared" si="164"/>
        <v>0</v>
      </c>
      <c r="Y1369" s="143">
        <f t="shared" si="158"/>
        <v>-964.23684210532008</v>
      </c>
    </row>
    <row r="1370" spans="1:25" x14ac:dyDescent="0.25">
      <c r="A1370">
        <f t="shared" si="160"/>
        <v>1363</v>
      </c>
      <c r="B1370" s="88" t="str">
        <f>IF(OR(B1369="Total",B1369=""),"",IF(VLOOKUP(A1370,Journal!$B$7:$E$84,4)=0,"Total",VLOOKUP(A1370,Journal!$B$7:$D$84,3)))</f>
        <v/>
      </c>
      <c r="C1370" s="86" t="str">
        <f>IF(B1370="","",VLOOKUP(A1370,Journal!$B$7:$E$84,4))</f>
        <v/>
      </c>
      <c r="D1370" s="114" t="str">
        <f>IF(B1370="","",VLOOKUP(A1370,Journal!$B$7:$J$84,9))</f>
        <v/>
      </c>
      <c r="E1370" s="116"/>
      <c r="F1370" s="116"/>
      <c r="G1370" s="115"/>
      <c r="H1370" s="84" t="str">
        <f>IF(B1370="","",VLOOKUP(A1370,Journal!$B$7:$L$84,11))</f>
        <v/>
      </c>
      <c r="I1370" s="84" t="str">
        <f>IF(B1370="","",VLOOKUP(A1370,Journal!$B$7:$M$84,12))</f>
        <v/>
      </c>
      <c r="J1370" s="105">
        <f>IF(B1370="Total",SUM(J$8:J1369)+0.0001,IF(OR(B1370="",I$2=I1370),0,VLOOKUP(A1370,Journal!$B$7:M$84,8)))</f>
        <v>0</v>
      </c>
      <c r="K1370" s="102">
        <f>IF(B1370="Total",SUM(K$8:K1369)+0.0001,IF(OR(B1370="",J1370&lt;&gt;0),0,VLOOKUP(A1370,Journal!$B$7:M$84,8)))</f>
        <v>0</v>
      </c>
      <c r="L1370" s="87">
        <f t="shared" si="161"/>
        <v>0</v>
      </c>
      <c r="P1370">
        <f t="shared" si="162"/>
        <v>1.0000000000000001E-5</v>
      </c>
      <c r="R1370" s="15">
        <f t="shared" si="163"/>
        <v>1363</v>
      </c>
      <c r="S1370" s="126">
        <f>IF(VLOOKUP(A1370,Journal!$A$7:$E$70,5)=0,S1369+1,VLOOKUP(A1370,Journal!$A$7:$E$70,5))</f>
        <v>47020</v>
      </c>
      <c r="T1370" s="125">
        <f>IF(H$2=VLOOKUP(A1370,Journal!$A$7:$F$70,6),VLOOKUP(A1370,Journal!$A$7:M$70,9),0)</f>
        <v>0</v>
      </c>
      <c r="U1370" s="125">
        <f>IF(H$2=VLOOKUP(A1370,Journal!$A$7:$G$70,7),VLOOKUP(A1370,Journal!$A$7:M$70,9),0)</f>
        <v>0</v>
      </c>
      <c r="V1370" s="125">
        <f t="shared" si="159"/>
        <v>40</v>
      </c>
      <c r="X1370">
        <f t="shared" si="164"/>
        <v>0</v>
      </c>
      <c r="Y1370" s="143">
        <f t="shared" si="158"/>
        <v>-964.21052631584644</v>
      </c>
    </row>
    <row r="1371" spans="1:25" x14ac:dyDescent="0.25">
      <c r="A1371">
        <f t="shared" si="160"/>
        <v>1364</v>
      </c>
      <c r="B1371" s="88" t="str">
        <f>IF(OR(B1370="Total",B1370=""),"",IF(VLOOKUP(A1371,Journal!$B$7:$E$84,4)=0,"Total",VLOOKUP(A1371,Journal!$B$7:$D$84,3)))</f>
        <v/>
      </c>
      <c r="C1371" s="86" t="str">
        <f>IF(B1371="","",VLOOKUP(A1371,Journal!$B$7:$E$84,4))</f>
        <v/>
      </c>
      <c r="D1371" s="114" t="str">
        <f>IF(B1371="","",VLOOKUP(A1371,Journal!$B$7:$J$84,9))</f>
        <v/>
      </c>
      <c r="E1371" s="116"/>
      <c r="F1371" s="116"/>
      <c r="G1371" s="115"/>
      <c r="H1371" s="84" t="str">
        <f>IF(B1371="","",VLOOKUP(A1371,Journal!$B$7:$L$84,11))</f>
        <v/>
      </c>
      <c r="I1371" s="84" t="str">
        <f>IF(B1371="","",VLOOKUP(A1371,Journal!$B$7:$M$84,12))</f>
        <v/>
      </c>
      <c r="J1371" s="105">
        <f>IF(B1371="Total",SUM(J$8:J1370)+0.0001,IF(OR(B1371="",I$2=I1371),0,VLOOKUP(A1371,Journal!$B$7:M$84,8)))</f>
        <v>0</v>
      </c>
      <c r="K1371" s="102">
        <f>IF(B1371="Total",SUM(K$8:K1370)+0.0001,IF(OR(B1371="",J1371&lt;&gt;0),0,VLOOKUP(A1371,Journal!$B$7:M$84,8)))</f>
        <v>0</v>
      </c>
      <c r="L1371" s="87">
        <f t="shared" si="161"/>
        <v>0</v>
      </c>
      <c r="P1371">
        <f t="shared" si="162"/>
        <v>1.0000000000000001E-5</v>
      </c>
      <c r="R1371" s="15">
        <f t="shared" si="163"/>
        <v>1364</v>
      </c>
      <c r="S1371" s="126">
        <f>IF(VLOOKUP(A1371,Journal!$A$7:$E$70,5)=0,S1370+1,VLOOKUP(A1371,Journal!$A$7:$E$70,5))</f>
        <v>47021</v>
      </c>
      <c r="T1371" s="125">
        <f>IF(H$2=VLOOKUP(A1371,Journal!$A$7:$F$70,6),VLOOKUP(A1371,Journal!$A$7:M$70,9),0)</f>
        <v>0</v>
      </c>
      <c r="U1371" s="125">
        <f>IF(H$2=VLOOKUP(A1371,Journal!$A$7:$G$70,7),VLOOKUP(A1371,Journal!$A$7:M$70,9),0)</f>
        <v>0</v>
      </c>
      <c r="V1371" s="125">
        <f t="shared" si="159"/>
        <v>40</v>
      </c>
      <c r="X1371">
        <f t="shared" si="164"/>
        <v>0</v>
      </c>
      <c r="Y1371" s="143">
        <f t="shared" si="158"/>
        <v>-964.18421052637279</v>
      </c>
    </row>
    <row r="1372" spans="1:25" x14ac:dyDescent="0.25">
      <c r="A1372">
        <f t="shared" si="160"/>
        <v>1365</v>
      </c>
      <c r="B1372" s="88" t="str">
        <f>IF(OR(B1371="Total",B1371=""),"",IF(VLOOKUP(A1372,Journal!$B$7:$E$84,4)=0,"Total",VLOOKUP(A1372,Journal!$B$7:$D$84,3)))</f>
        <v/>
      </c>
      <c r="C1372" s="86" t="str">
        <f>IF(B1372="","",VLOOKUP(A1372,Journal!$B$7:$E$84,4))</f>
        <v/>
      </c>
      <c r="D1372" s="114" t="str">
        <f>IF(B1372="","",VLOOKUP(A1372,Journal!$B$7:$J$84,9))</f>
        <v/>
      </c>
      <c r="E1372" s="116"/>
      <c r="F1372" s="116"/>
      <c r="G1372" s="115"/>
      <c r="H1372" s="84" t="str">
        <f>IF(B1372="","",VLOOKUP(A1372,Journal!$B$7:$L$84,11))</f>
        <v/>
      </c>
      <c r="I1372" s="84" t="str">
        <f>IF(B1372="","",VLOOKUP(A1372,Journal!$B$7:$M$84,12))</f>
        <v/>
      </c>
      <c r="J1372" s="105">
        <f>IF(B1372="Total",SUM(J$8:J1371)+0.0001,IF(OR(B1372="",I$2=I1372),0,VLOOKUP(A1372,Journal!$B$7:M$84,8)))</f>
        <v>0</v>
      </c>
      <c r="K1372" s="102">
        <f>IF(B1372="Total",SUM(K$8:K1371)+0.0001,IF(OR(B1372="",J1372&lt;&gt;0),0,VLOOKUP(A1372,Journal!$B$7:M$84,8)))</f>
        <v>0</v>
      </c>
      <c r="L1372" s="87">
        <f t="shared" si="161"/>
        <v>0</v>
      </c>
      <c r="P1372">
        <f t="shared" si="162"/>
        <v>1.0000000000000001E-5</v>
      </c>
      <c r="R1372" s="15">
        <f t="shared" si="163"/>
        <v>1365</v>
      </c>
      <c r="S1372" s="126">
        <f>IF(VLOOKUP(A1372,Journal!$A$7:$E$70,5)=0,S1371+1,VLOOKUP(A1372,Journal!$A$7:$E$70,5))</f>
        <v>47022</v>
      </c>
      <c r="T1372" s="125">
        <f>IF(H$2=VLOOKUP(A1372,Journal!$A$7:$F$70,6),VLOOKUP(A1372,Journal!$A$7:M$70,9),0)</f>
        <v>0</v>
      </c>
      <c r="U1372" s="125">
        <f>IF(H$2=VLOOKUP(A1372,Journal!$A$7:$G$70,7),VLOOKUP(A1372,Journal!$A$7:M$70,9),0)</f>
        <v>0</v>
      </c>
      <c r="V1372" s="125">
        <f t="shared" si="159"/>
        <v>40</v>
      </c>
      <c r="X1372">
        <f t="shared" si="164"/>
        <v>0</v>
      </c>
      <c r="Y1372" s="143">
        <f t="shared" si="158"/>
        <v>-964.15789473689915</v>
      </c>
    </row>
    <row r="1373" spans="1:25" x14ac:dyDescent="0.25">
      <c r="A1373">
        <f t="shared" si="160"/>
        <v>1366</v>
      </c>
      <c r="B1373" s="88" t="str">
        <f>IF(OR(B1372="Total",B1372=""),"",IF(VLOOKUP(A1373,Journal!$B$7:$E$84,4)=0,"Total",VLOOKUP(A1373,Journal!$B$7:$D$84,3)))</f>
        <v/>
      </c>
      <c r="C1373" s="86" t="str">
        <f>IF(B1373="","",VLOOKUP(A1373,Journal!$B$7:$E$84,4))</f>
        <v/>
      </c>
      <c r="D1373" s="114" t="str">
        <f>IF(B1373="","",VLOOKUP(A1373,Journal!$B$7:$J$84,9))</f>
        <v/>
      </c>
      <c r="E1373" s="116"/>
      <c r="F1373" s="116"/>
      <c r="G1373" s="115"/>
      <c r="H1373" s="84" t="str">
        <f>IF(B1373="","",VLOOKUP(A1373,Journal!$B$7:$L$84,11))</f>
        <v/>
      </c>
      <c r="I1373" s="84" t="str">
        <f>IF(B1373="","",VLOOKUP(A1373,Journal!$B$7:$M$84,12))</f>
        <v/>
      </c>
      <c r="J1373" s="105">
        <f>IF(B1373="Total",SUM(J$8:J1372)+0.0001,IF(OR(B1373="",I$2=I1373),0,VLOOKUP(A1373,Journal!$B$7:M$84,8)))</f>
        <v>0</v>
      </c>
      <c r="K1373" s="102">
        <f>IF(B1373="Total",SUM(K$8:K1372)+0.0001,IF(OR(B1373="",J1373&lt;&gt;0),0,VLOOKUP(A1373,Journal!$B$7:M$84,8)))</f>
        <v>0</v>
      </c>
      <c r="L1373" s="87">
        <f t="shared" si="161"/>
        <v>0</v>
      </c>
      <c r="P1373">
        <f t="shared" si="162"/>
        <v>1.0000000000000001E-5</v>
      </c>
      <c r="R1373" s="15">
        <f t="shared" si="163"/>
        <v>1366</v>
      </c>
      <c r="S1373" s="126">
        <f>IF(VLOOKUP(A1373,Journal!$A$7:$E$70,5)=0,S1372+1,VLOOKUP(A1373,Journal!$A$7:$E$70,5))</f>
        <v>47023</v>
      </c>
      <c r="T1373" s="125">
        <f>IF(H$2=VLOOKUP(A1373,Journal!$A$7:$F$70,6),VLOOKUP(A1373,Journal!$A$7:M$70,9),0)</f>
        <v>0</v>
      </c>
      <c r="U1373" s="125">
        <f>IF(H$2=VLOOKUP(A1373,Journal!$A$7:$G$70,7),VLOOKUP(A1373,Journal!$A$7:M$70,9),0)</f>
        <v>0</v>
      </c>
      <c r="V1373" s="125">
        <f t="shared" si="159"/>
        <v>40</v>
      </c>
      <c r="X1373">
        <f t="shared" si="164"/>
        <v>0</v>
      </c>
      <c r="Y1373" s="143">
        <f t="shared" si="158"/>
        <v>-964.13157894742551</v>
      </c>
    </row>
    <row r="1374" spans="1:25" x14ac:dyDescent="0.25">
      <c r="A1374">
        <f t="shared" si="160"/>
        <v>1367</v>
      </c>
      <c r="B1374" s="88" t="str">
        <f>IF(OR(B1373="Total",B1373=""),"",IF(VLOOKUP(A1374,Journal!$B$7:$E$84,4)=0,"Total",VLOOKUP(A1374,Journal!$B$7:$D$84,3)))</f>
        <v/>
      </c>
      <c r="C1374" s="86" t="str">
        <f>IF(B1374="","",VLOOKUP(A1374,Journal!$B$7:$E$84,4))</f>
        <v/>
      </c>
      <c r="D1374" s="114" t="str">
        <f>IF(B1374="","",VLOOKUP(A1374,Journal!$B$7:$J$84,9))</f>
        <v/>
      </c>
      <c r="E1374" s="116"/>
      <c r="F1374" s="116"/>
      <c r="G1374" s="115"/>
      <c r="H1374" s="84" t="str">
        <f>IF(B1374="","",VLOOKUP(A1374,Journal!$B$7:$L$84,11))</f>
        <v/>
      </c>
      <c r="I1374" s="84" t="str">
        <f>IF(B1374="","",VLOOKUP(A1374,Journal!$B$7:$M$84,12))</f>
        <v/>
      </c>
      <c r="J1374" s="105">
        <f>IF(B1374="Total",SUM(J$8:J1373)+0.0001,IF(OR(B1374="",I$2=I1374),0,VLOOKUP(A1374,Journal!$B$7:M$84,8)))</f>
        <v>0</v>
      </c>
      <c r="K1374" s="102">
        <f>IF(B1374="Total",SUM(K$8:K1373)+0.0001,IF(OR(B1374="",J1374&lt;&gt;0),0,VLOOKUP(A1374,Journal!$B$7:M$84,8)))</f>
        <v>0</v>
      </c>
      <c r="L1374" s="87">
        <f t="shared" si="161"/>
        <v>0</v>
      </c>
      <c r="P1374">
        <f t="shared" si="162"/>
        <v>1.0000000000000001E-5</v>
      </c>
      <c r="R1374" s="15">
        <f t="shared" si="163"/>
        <v>1367</v>
      </c>
      <c r="S1374" s="126">
        <f>IF(VLOOKUP(A1374,Journal!$A$7:$E$70,5)=0,S1373+1,VLOOKUP(A1374,Journal!$A$7:$E$70,5))</f>
        <v>47024</v>
      </c>
      <c r="T1374" s="125">
        <f>IF(H$2=VLOOKUP(A1374,Journal!$A$7:$F$70,6),VLOOKUP(A1374,Journal!$A$7:M$70,9),0)</f>
        <v>0</v>
      </c>
      <c r="U1374" s="125">
        <f>IF(H$2=VLOOKUP(A1374,Journal!$A$7:$G$70,7),VLOOKUP(A1374,Journal!$A$7:M$70,9),0)</f>
        <v>0</v>
      </c>
      <c r="V1374" s="125">
        <f t="shared" si="159"/>
        <v>40</v>
      </c>
      <c r="X1374">
        <f t="shared" si="164"/>
        <v>0</v>
      </c>
      <c r="Y1374" s="143">
        <f t="shared" si="158"/>
        <v>-964.10526315795187</v>
      </c>
    </row>
    <row r="1375" spans="1:25" x14ac:dyDescent="0.25">
      <c r="A1375">
        <f t="shared" si="160"/>
        <v>1368</v>
      </c>
      <c r="B1375" s="88" t="str">
        <f>IF(OR(B1374="Total",B1374=""),"",IF(VLOOKUP(A1375,Journal!$B$7:$E$84,4)=0,"Total",VLOOKUP(A1375,Journal!$B$7:$D$84,3)))</f>
        <v/>
      </c>
      <c r="C1375" s="86" t="str">
        <f>IF(B1375="","",VLOOKUP(A1375,Journal!$B$7:$E$84,4))</f>
        <v/>
      </c>
      <c r="D1375" s="114" t="str">
        <f>IF(B1375="","",VLOOKUP(A1375,Journal!$B$7:$J$84,9))</f>
        <v/>
      </c>
      <c r="E1375" s="116"/>
      <c r="F1375" s="116"/>
      <c r="G1375" s="115"/>
      <c r="H1375" s="84" t="str">
        <f>IF(B1375="","",VLOOKUP(A1375,Journal!$B$7:$L$84,11))</f>
        <v/>
      </c>
      <c r="I1375" s="84" t="str">
        <f>IF(B1375="","",VLOOKUP(A1375,Journal!$B$7:$M$84,12))</f>
        <v/>
      </c>
      <c r="J1375" s="105">
        <f>IF(B1375="Total",SUM(J$8:J1374)+0.0001,IF(OR(B1375="",I$2=I1375),0,VLOOKUP(A1375,Journal!$B$7:M$84,8)))</f>
        <v>0</v>
      </c>
      <c r="K1375" s="102">
        <f>IF(B1375="Total",SUM(K$8:K1374)+0.0001,IF(OR(B1375="",J1375&lt;&gt;0),0,VLOOKUP(A1375,Journal!$B$7:M$84,8)))</f>
        <v>0</v>
      </c>
      <c r="L1375" s="87">
        <f t="shared" si="161"/>
        <v>0</v>
      </c>
      <c r="P1375">
        <f t="shared" si="162"/>
        <v>1.0000000000000001E-5</v>
      </c>
      <c r="R1375" s="15">
        <f t="shared" si="163"/>
        <v>1368</v>
      </c>
      <c r="S1375" s="126">
        <f>IF(VLOOKUP(A1375,Journal!$A$7:$E$70,5)=0,S1374+1,VLOOKUP(A1375,Journal!$A$7:$E$70,5))</f>
        <v>47025</v>
      </c>
      <c r="T1375" s="125">
        <f>IF(H$2=VLOOKUP(A1375,Journal!$A$7:$F$70,6),VLOOKUP(A1375,Journal!$A$7:M$70,9),0)</f>
        <v>0</v>
      </c>
      <c r="U1375" s="125">
        <f>IF(H$2=VLOOKUP(A1375,Journal!$A$7:$G$70,7),VLOOKUP(A1375,Journal!$A$7:M$70,9),0)</f>
        <v>0</v>
      </c>
      <c r="V1375" s="125">
        <f t="shared" si="159"/>
        <v>40</v>
      </c>
      <c r="X1375">
        <f t="shared" si="164"/>
        <v>0</v>
      </c>
      <c r="Y1375" s="143">
        <f t="shared" si="158"/>
        <v>-964.07894736847823</v>
      </c>
    </row>
    <row r="1376" spans="1:25" x14ac:dyDescent="0.25">
      <c r="A1376">
        <f t="shared" si="160"/>
        <v>1369</v>
      </c>
      <c r="B1376" s="88" t="str">
        <f>IF(OR(B1375="Total",B1375=""),"",IF(VLOOKUP(A1376,Journal!$B$7:$E$84,4)=0,"Total",VLOOKUP(A1376,Journal!$B$7:$D$84,3)))</f>
        <v/>
      </c>
      <c r="C1376" s="86" t="str">
        <f>IF(B1376="","",VLOOKUP(A1376,Journal!$B$7:$E$84,4))</f>
        <v/>
      </c>
      <c r="D1376" s="114" t="str">
        <f>IF(B1376="","",VLOOKUP(A1376,Journal!$B$7:$J$84,9))</f>
        <v/>
      </c>
      <c r="E1376" s="116"/>
      <c r="F1376" s="116"/>
      <c r="G1376" s="115"/>
      <c r="H1376" s="84" t="str">
        <f>IF(B1376="","",VLOOKUP(A1376,Journal!$B$7:$L$84,11))</f>
        <v/>
      </c>
      <c r="I1376" s="84" t="str">
        <f>IF(B1376="","",VLOOKUP(A1376,Journal!$B$7:$M$84,12))</f>
        <v/>
      </c>
      <c r="J1376" s="105">
        <f>IF(B1376="Total",SUM(J$8:J1375)+0.0001,IF(OR(B1376="",I$2=I1376),0,VLOOKUP(A1376,Journal!$B$7:M$84,8)))</f>
        <v>0</v>
      </c>
      <c r="K1376" s="102">
        <f>IF(B1376="Total",SUM(K$8:K1375)+0.0001,IF(OR(B1376="",J1376&lt;&gt;0),0,VLOOKUP(A1376,Journal!$B$7:M$84,8)))</f>
        <v>0</v>
      </c>
      <c r="L1376" s="87">
        <f t="shared" si="161"/>
        <v>0</v>
      </c>
      <c r="P1376">
        <f t="shared" si="162"/>
        <v>1.0000000000000001E-5</v>
      </c>
      <c r="R1376" s="15">
        <f t="shared" si="163"/>
        <v>1369</v>
      </c>
      <c r="S1376" s="126">
        <f>IF(VLOOKUP(A1376,Journal!$A$7:$E$70,5)=0,S1375+1,VLOOKUP(A1376,Journal!$A$7:$E$70,5))</f>
        <v>47026</v>
      </c>
      <c r="T1376" s="125">
        <f>IF(H$2=VLOOKUP(A1376,Journal!$A$7:$F$70,6),VLOOKUP(A1376,Journal!$A$7:M$70,9),0)</f>
        <v>0</v>
      </c>
      <c r="U1376" s="125">
        <f>IF(H$2=VLOOKUP(A1376,Journal!$A$7:$G$70,7),VLOOKUP(A1376,Journal!$A$7:M$70,9),0)</f>
        <v>0</v>
      </c>
      <c r="V1376" s="125">
        <f t="shared" si="159"/>
        <v>40</v>
      </c>
      <c r="X1376">
        <f t="shared" si="164"/>
        <v>0</v>
      </c>
      <c r="Y1376" s="143">
        <f t="shared" si="158"/>
        <v>-964.05263157900458</v>
      </c>
    </row>
    <row r="1377" spans="1:25" x14ac:dyDescent="0.25">
      <c r="A1377">
        <f t="shared" si="160"/>
        <v>1370</v>
      </c>
      <c r="B1377" s="88" t="str">
        <f>IF(OR(B1376="Total",B1376=""),"",IF(VLOOKUP(A1377,Journal!$B$7:$E$84,4)=0,"Total",VLOOKUP(A1377,Journal!$B$7:$D$84,3)))</f>
        <v/>
      </c>
      <c r="C1377" s="86" t="str">
        <f>IF(B1377="","",VLOOKUP(A1377,Journal!$B$7:$E$84,4))</f>
        <v/>
      </c>
      <c r="D1377" s="114" t="str">
        <f>IF(B1377="","",VLOOKUP(A1377,Journal!$B$7:$J$84,9))</f>
        <v/>
      </c>
      <c r="E1377" s="116"/>
      <c r="F1377" s="116"/>
      <c r="G1377" s="115"/>
      <c r="H1377" s="84" t="str">
        <f>IF(B1377="","",VLOOKUP(A1377,Journal!$B$7:$L$84,11))</f>
        <v/>
      </c>
      <c r="I1377" s="84" t="str">
        <f>IF(B1377="","",VLOOKUP(A1377,Journal!$B$7:$M$84,12))</f>
        <v/>
      </c>
      <c r="J1377" s="105">
        <f>IF(B1377="Total",SUM(J$8:J1376)+0.0001,IF(OR(B1377="",I$2=I1377),0,VLOOKUP(A1377,Journal!$B$7:M$84,8)))</f>
        <v>0</v>
      </c>
      <c r="K1377" s="102">
        <f>IF(B1377="Total",SUM(K$8:K1376)+0.0001,IF(OR(B1377="",J1377&lt;&gt;0),0,VLOOKUP(A1377,Journal!$B$7:M$84,8)))</f>
        <v>0</v>
      </c>
      <c r="L1377" s="87">
        <f t="shared" si="161"/>
        <v>0</v>
      </c>
      <c r="P1377">
        <f t="shared" si="162"/>
        <v>1.0000000000000001E-5</v>
      </c>
      <c r="R1377" s="15">
        <f t="shared" si="163"/>
        <v>1370</v>
      </c>
      <c r="S1377" s="126">
        <f>IF(VLOOKUP(A1377,Journal!$A$7:$E$70,5)=0,S1376+1,VLOOKUP(A1377,Journal!$A$7:$E$70,5))</f>
        <v>47027</v>
      </c>
      <c r="T1377" s="125">
        <f>IF(H$2=VLOOKUP(A1377,Journal!$A$7:$F$70,6),VLOOKUP(A1377,Journal!$A$7:M$70,9),0)</f>
        <v>0</v>
      </c>
      <c r="U1377" s="125">
        <f>IF(H$2=VLOOKUP(A1377,Journal!$A$7:$G$70,7),VLOOKUP(A1377,Journal!$A$7:M$70,9),0)</f>
        <v>0</v>
      </c>
      <c r="V1377" s="125">
        <f t="shared" si="159"/>
        <v>40</v>
      </c>
      <c r="X1377">
        <f t="shared" si="164"/>
        <v>0</v>
      </c>
      <c r="Y1377" s="143">
        <f t="shared" si="158"/>
        <v>-964.02631578953094</v>
      </c>
    </row>
    <row r="1378" spans="1:25" x14ac:dyDescent="0.25">
      <c r="A1378">
        <f t="shared" si="160"/>
        <v>1371</v>
      </c>
      <c r="B1378" s="88" t="str">
        <f>IF(OR(B1377="Total",B1377=""),"",IF(VLOOKUP(A1378,Journal!$B$7:$E$84,4)=0,"Total",VLOOKUP(A1378,Journal!$B$7:$D$84,3)))</f>
        <v/>
      </c>
      <c r="C1378" s="86" t="str">
        <f>IF(B1378="","",VLOOKUP(A1378,Journal!$B$7:$E$84,4))</f>
        <v/>
      </c>
      <c r="D1378" s="114" t="str">
        <f>IF(B1378="","",VLOOKUP(A1378,Journal!$B$7:$J$84,9))</f>
        <v/>
      </c>
      <c r="E1378" s="116"/>
      <c r="F1378" s="116"/>
      <c r="G1378" s="115"/>
      <c r="H1378" s="84" t="str">
        <f>IF(B1378="","",VLOOKUP(A1378,Journal!$B$7:$L$84,11))</f>
        <v/>
      </c>
      <c r="I1378" s="84" t="str">
        <f>IF(B1378="","",VLOOKUP(A1378,Journal!$B$7:$M$84,12))</f>
        <v/>
      </c>
      <c r="J1378" s="105">
        <f>IF(B1378="Total",SUM(J$8:J1377)+0.0001,IF(OR(B1378="",I$2=I1378),0,VLOOKUP(A1378,Journal!$B$7:M$84,8)))</f>
        <v>0</v>
      </c>
      <c r="K1378" s="102">
        <f>IF(B1378="Total",SUM(K$8:K1377)+0.0001,IF(OR(B1378="",J1378&lt;&gt;0),0,VLOOKUP(A1378,Journal!$B$7:M$84,8)))</f>
        <v>0</v>
      </c>
      <c r="L1378" s="87">
        <f t="shared" si="161"/>
        <v>0</v>
      </c>
      <c r="P1378">
        <f t="shared" si="162"/>
        <v>1.0000000000000001E-5</v>
      </c>
      <c r="R1378" s="15">
        <f t="shared" si="163"/>
        <v>1371</v>
      </c>
      <c r="S1378" s="126">
        <f>IF(VLOOKUP(A1378,Journal!$A$7:$E$70,5)=0,S1377+1,VLOOKUP(A1378,Journal!$A$7:$E$70,5))</f>
        <v>47028</v>
      </c>
      <c r="T1378" s="125">
        <f>IF(H$2=VLOOKUP(A1378,Journal!$A$7:$F$70,6),VLOOKUP(A1378,Journal!$A$7:M$70,9),0)</f>
        <v>0</v>
      </c>
      <c r="U1378" s="125">
        <f>IF(H$2=VLOOKUP(A1378,Journal!$A$7:$G$70,7),VLOOKUP(A1378,Journal!$A$7:M$70,9),0)</f>
        <v>0</v>
      </c>
      <c r="V1378" s="125">
        <f t="shared" si="159"/>
        <v>40</v>
      </c>
      <c r="X1378">
        <f t="shared" si="164"/>
        <v>0</v>
      </c>
      <c r="Y1378" s="143">
        <f t="shared" si="158"/>
        <v>-964.0000000000573</v>
      </c>
    </row>
    <row r="1379" spans="1:25" x14ac:dyDescent="0.25">
      <c r="A1379">
        <f t="shared" si="160"/>
        <v>1372</v>
      </c>
      <c r="B1379" s="88" t="str">
        <f>IF(OR(B1378="Total",B1378=""),"",IF(VLOOKUP(A1379,Journal!$B$7:$E$84,4)=0,"Total",VLOOKUP(A1379,Journal!$B$7:$D$84,3)))</f>
        <v/>
      </c>
      <c r="C1379" s="86" t="str">
        <f>IF(B1379="","",VLOOKUP(A1379,Journal!$B$7:$E$84,4))</f>
        <v/>
      </c>
      <c r="D1379" s="114" t="str">
        <f>IF(B1379="","",VLOOKUP(A1379,Journal!$B$7:$J$84,9))</f>
        <v/>
      </c>
      <c r="E1379" s="116"/>
      <c r="F1379" s="116"/>
      <c r="G1379" s="115"/>
      <c r="H1379" s="84" t="str">
        <f>IF(B1379="","",VLOOKUP(A1379,Journal!$B$7:$L$84,11))</f>
        <v/>
      </c>
      <c r="I1379" s="84" t="str">
        <f>IF(B1379="","",VLOOKUP(A1379,Journal!$B$7:$M$84,12))</f>
        <v/>
      </c>
      <c r="J1379" s="105">
        <f>IF(B1379="Total",SUM(J$8:J1378)+0.0001,IF(OR(B1379="",I$2=I1379),0,VLOOKUP(A1379,Journal!$B$7:M$84,8)))</f>
        <v>0</v>
      </c>
      <c r="K1379" s="102">
        <f>IF(B1379="Total",SUM(K$8:K1378)+0.0001,IF(OR(B1379="",J1379&lt;&gt;0),0,VLOOKUP(A1379,Journal!$B$7:M$84,8)))</f>
        <v>0</v>
      </c>
      <c r="L1379" s="87">
        <f t="shared" si="161"/>
        <v>0</v>
      </c>
      <c r="P1379">
        <f t="shared" si="162"/>
        <v>1.0000000000000001E-5</v>
      </c>
      <c r="R1379" s="15">
        <f t="shared" si="163"/>
        <v>1372</v>
      </c>
      <c r="S1379" s="126">
        <f>IF(VLOOKUP(A1379,Journal!$A$7:$E$70,5)=0,S1378+1,VLOOKUP(A1379,Journal!$A$7:$E$70,5))</f>
        <v>47029</v>
      </c>
      <c r="T1379" s="125">
        <f>IF(H$2=VLOOKUP(A1379,Journal!$A$7:$F$70,6),VLOOKUP(A1379,Journal!$A$7:M$70,9),0)</f>
        <v>0</v>
      </c>
      <c r="U1379" s="125">
        <f>IF(H$2=VLOOKUP(A1379,Journal!$A$7:$G$70,7),VLOOKUP(A1379,Journal!$A$7:M$70,9),0)</f>
        <v>0</v>
      </c>
      <c r="V1379" s="125">
        <f t="shared" si="159"/>
        <v>40</v>
      </c>
      <c r="X1379">
        <f t="shared" si="164"/>
        <v>0</v>
      </c>
      <c r="Y1379" s="143">
        <f t="shared" si="158"/>
        <v>-963.97368421058366</v>
      </c>
    </row>
    <row r="1380" spans="1:25" x14ac:dyDescent="0.25">
      <c r="A1380">
        <f t="shared" si="160"/>
        <v>1373</v>
      </c>
      <c r="B1380" s="88" t="str">
        <f>IF(OR(B1379="Total",B1379=""),"",IF(VLOOKUP(A1380,Journal!$B$7:$E$84,4)=0,"Total",VLOOKUP(A1380,Journal!$B$7:$D$84,3)))</f>
        <v/>
      </c>
      <c r="C1380" s="86" t="str">
        <f>IF(B1380="","",VLOOKUP(A1380,Journal!$B$7:$E$84,4))</f>
        <v/>
      </c>
      <c r="D1380" s="114" t="str">
        <f>IF(B1380="","",VLOOKUP(A1380,Journal!$B$7:$J$84,9))</f>
        <v/>
      </c>
      <c r="E1380" s="116"/>
      <c r="F1380" s="116"/>
      <c r="G1380" s="115"/>
      <c r="H1380" s="84" t="str">
        <f>IF(B1380="","",VLOOKUP(A1380,Journal!$B$7:$L$84,11))</f>
        <v/>
      </c>
      <c r="I1380" s="84" t="str">
        <f>IF(B1380="","",VLOOKUP(A1380,Journal!$B$7:$M$84,12))</f>
        <v/>
      </c>
      <c r="J1380" s="105">
        <f>IF(B1380="Total",SUM(J$8:J1379)+0.0001,IF(OR(B1380="",I$2=I1380),0,VLOOKUP(A1380,Journal!$B$7:M$84,8)))</f>
        <v>0</v>
      </c>
      <c r="K1380" s="102">
        <f>IF(B1380="Total",SUM(K$8:K1379)+0.0001,IF(OR(B1380="",J1380&lt;&gt;0),0,VLOOKUP(A1380,Journal!$B$7:M$84,8)))</f>
        <v>0</v>
      </c>
      <c r="L1380" s="87">
        <f t="shared" si="161"/>
        <v>0</v>
      </c>
      <c r="P1380">
        <f t="shared" si="162"/>
        <v>1.0000000000000001E-5</v>
      </c>
      <c r="R1380" s="15">
        <f t="shared" si="163"/>
        <v>1373</v>
      </c>
      <c r="S1380" s="126">
        <f>IF(VLOOKUP(A1380,Journal!$A$7:$E$70,5)=0,S1379+1,VLOOKUP(A1380,Journal!$A$7:$E$70,5))</f>
        <v>47030</v>
      </c>
      <c r="T1380" s="125">
        <f>IF(H$2=VLOOKUP(A1380,Journal!$A$7:$F$70,6),VLOOKUP(A1380,Journal!$A$7:M$70,9),0)</f>
        <v>0</v>
      </c>
      <c r="U1380" s="125">
        <f>IF(H$2=VLOOKUP(A1380,Journal!$A$7:$G$70,7),VLOOKUP(A1380,Journal!$A$7:M$70,9),0)</f>
        <v>0</v>
      </c>
      <c r="V1380" s="125">
        <f t="shared" si="159"/>
        <v>40</v>
      </c>
      <c r="X1380">
        <f t="shared" si="164"/>
        <v>0</v>
      </c>
      <c r="Y1380" s="143">
        <f t="shared" si="158"/>
        <v>-963.94736842111001</v>
      </c>
    </row>
    <row r="1381" spans="1:25" x14ac:dyDescent="0.25">
      <c r="A1381">
        <f t="shared" si="160"/>
        <v>1374</v>
      </c>
      <c r="B1381" s="88" t="str">
        <f>IF(OR(B1380="Total",B1380=""),"",IF(VLOOKUP(A1381,Journal!$B$7:$E$84,4)=0,"Total",VLOOKUP(A1381,Journal!$B$7:$D$84,3)))</f>
        <v/>
      </c>
      <c r="C1381" s="86" t="str">
        <f>IF(B1381="","",VLOOKUP(A1381,Journal!$B$7:$E$84,4))</f>
        <v/>
      </c>
      <c r="D1381" s="114" t="str">
        <f>IF(B1381="","",VLOOKUP(A1381,Journal!$B$7:$J$84,9))</f>
        <v/>
      </c>
      <c r="E1381" s="116"/>
      <c r="F1381" s="116"/>
      <c r="G1381" s="115"/>
      <c r="H1381" s="84" t="str">
        <f>IF(B1381="","",VLOOKUP(A1381,Journal!$B$7:$L$84,11))</f>
        <v/>
      </c>
      <c r="I1381" s="84" t="str">
        <f>IF(B1381="","",VLOOKUP(A1381,Journal!$B$7:$M$84,12))</f>
        <v/>
      </c>
      <c r="J1381" s="105">
        <f>IF(B1381="Total",SUM(J$8:J1380)+0.0001,IF(OR(B1381="",I$2=I1381),0,VLOOKUP(A1381,Journal!$B$7:M$84,8)))</f>
        <v>0</v>
      </c>
      <c r="K1381" s="102">
        <f>IF(B1381="Total",SUM(K$8:K1380)+0.0001,IF(OR(B1381="",J1381&lt;&gt;0),0,VLOOKUP(A1381,Journal!$B$7:M$84,8)))</f>
        <v>0</v>
      </c>
      <c r="L1381" s="87">
        <f t="shared" si="161"/>
        <v>0</v>
      </c>
      <c r="P1381">
        <f t="shared" si="162"/>
        <v>1.0000000000000001E-5</v>
      </c>
      <c r="R1381" s="15">
        <f t="shared" si="163"/>
        <v>1374</v>
      </c>
      <c r="S1381" s="126">
        <f>IF(VLOOKUP(A1381,Journal!$A$7:$E$70,5)=0,S1380+1,VLOOKUP(A1381,Journal!$A$7:$E$70,5))</f>
        <v>47031</v>
      </c>
      <c r="T1381" s="125">
        <f>IF(H$2=VLOOKUP(A1381,Journal!$A$7:$F$70,6),VLOOKUP(A1381,Journal!$A$7:M$70,9),0)</f>
        <v>0</v>
      </c>
      <c r="U1381" s="125">
        <f>IF(H$2=VLOOKUP(A1381,Journal!$A$7:$G$70,7),VLOOKUP(A1381,Journal!$A$7:M$70,9),0)</f>
        <v>0</v>
      </c>
      <c r="V1381" s="125">
        <f t="shared" si="159"/>
        <v>40</v>
      </c>
      <c r="X1381">
        <f t="shared" si="164"/>
        <v>0</v>
      </c>
      <c r="Y1381" s="143">
        <f t="shared" si="158"/>
        <v>-963.92105263163637</v>
      </c>
    </row>
    <row r="1382" spans="1:25" x14ac:dyDescent="0.25">
      <c r="A1382">
        <f t="shared" si="160"/>
        <v>1375</v>
      </c>
      <c r="B1382" s="88" t="str">
        <f>IF(OR(B1381="Total",B1381=""),"",IF(VLOOKUP(A1382,Journal!$B$7:$E$84,4)=0,"Total",VLOOKUP(A1382,Journal!$B$7:$D$84,3)))</f>
        <v/>
      </c>
      <c r="C1382" s="86" t="str">
        <f>IF(B1382="","",VLOOKUP(A1382,Journal!$B$7:$E$84,4))</f>
        <v/>
      </c>
      <c r="D1382" s="114" t="str">
        <f>IF(B1382="","",VLOOKUP(A1382,Journal!$B$7:$J$84,9))</f>
        <v/>
      </c>
      <c r="E1382" s="116"/>
      <c r="F1382" s="116"/>
      <c r="G1382" s="115"/>
      <c r="H1382" s="84" t="str">
        <f>IF(B1382="","",VLOOKUP(A1382,Journal!$B$7:$L$84,11))</f>
        <v/>
      </c>
      <c r="I1382" s="84" t="str">
        <f>IF(B1382="","",VLOOKUP(A1382,Journal!$B$7:$M$84,12))</f>
        <v/>
      </c>
      <c r="J1382" s="105">
        <f>IF(B1382="Total",SUM(J$8:J1381)+0.0001,IF(OR(B1382="",I$2=I1382),0,VLOOKUP(A1382,Journal!$B$7:M$84,8)))</f>
        <v>0</v>
      </c>
      <c r="K1382" s="102">
        <f>IF(B1382="Total",SUM(K$8:K1381)+0.0001,IF(OR(B1382="",J1382&lt;&gt;0),0,VLOOKUP(A1382,Journal!$B$7:M$84,8)))</f>
        <v>0</v>
      </c>
      <c r="L1382" s="87">
        <f t="shared" si="161"/>
        <v>0</v>
      </c>
      <c r="P1382">
        <f t="shared" si="162"/>
        <v>1.0000000000000001E-5</v>
      </c>
      <c r="R1382" s="15">
        <f t="shared" si="163"/>
        <v>1375</v>
      </c>
      <c r="S1382" s="126">
        <f>IF(VLOOKUP(A1382,Journal!$A$7:$E$70,5)=0,S1381+1,VLOOKUP(A1382,Journal!$A$7:$E$70,5))</f>
        <v>47032</v>
      </c>
      <c r="T1382" s="125">
        <f>IF(H$2=VLOOKUP(A1382,Journal!$A$7:$F$70,6),VLOOKUP(A1382,Journal!$A$7:M$70,9),0)</f>
        <v>0</v>
      </c>
      <c r="U1382" s="125">
        <f>IF(H$2=VLOOKUP(A1382,Journal!$A$7:$G$70,7),VLOOKUP(A1382,Journal!$A$7:M$70,9),0)</f>
        <v>0</v>
      </c>
      <c r="V1382" s="125">
        <f t="shared" si="159"/>
        <v>40</v>
      </c>
      <c r="X1382">
        <f t="shared" si="164"/>
        <v>0</v>
      </c>
      <c r="Y1382" s="143">
        <f t="shared" si="158"/>
        <v>-963.89473684216273</v>
      </c>
    </row>
    <row r="1383" spans="1:25" x14ac:dyDescent="0.25">
      <c r="A1383">
        <f t="shared" si="160"/>
        <v>1376</v>
      </c>
      <c r="B1383" s="88" t="str">
        <f>IF(OR(B1382="Total",B1382=""),"",IF(VLOOKUP(A1383,Journal!$B$7:$E$84,4)=0,"Total",VLOOKUP(A1383,Journal!$B$7:$D$84,3)))</f>
        <v/>
      </c>
      <c r="C1383" s="86" t="str">
        <f>IF(B1383="","",VLOOKUP(A1383,Journal!$B$7:$E$84,4))</f>
        <v/>
      </c>
      <c r="D1383" s="114" t="str">
        <f>IF(B1383="","",VLOOKUP(A1383,Journal!$B$7:$J$84,9))</f>
        <v/>
      </c>
      <c r="E1383" s="116"/>
      <c r="F1383" s="116"/>
      <c r="G1383" s="115"/>
      <c r="H1383" s="84" t="str">
        <f>IF(B1383="","",VLOOKUP(A1383,Journal!$B$7:$L$84,11))</f>
        <v/>
      </c>
      <c r="I1383" s="84" t="str">
        <f>IF(B1383="","",VLOOKUP(A1383,Journal!$B$7:$M$84,12))</f>
        <v/>
      </c>
      <c r="J1383" s="105">
        <f>IF(B1383="Total",SUM(J$8:J1382)+0.0001,IF(OR(B1383="",I$2=I1383),0,VLOOKUP(A1383,Journal!$B$7:M$84,8)))</f>
        <v>0</v>
      </c>
      <c r="K1383" s="102">
        <f>IF(B1383="Total",SUM(K$8:K1382)+0.0001,IF(OR(B1383="",J1383&lt;&gt;0),0,VLOOKUP(A1383,Journal!$B$7:M$84,8)))</f>
        <v>0</v>
      </c>
      <c r="L1383" s="87">
        <f t="shared" si="161"/>
        <v>0</v>
      </c>
      <c r="P1383">
        <f t="shared" si="162"/>
        <v>1.0000000000000001E-5</v>
      </c>
      <c r="R1383" s="15">
        <f t="shared" si="163"/>
        <v>1376</v>
      </c>
      <c r="S1383" s="126">
        <f>IF(VLOOKUP(A1383,Journal!$A$7:$E$70,5)=0,S1382+1,VLOOKUP(A1383,Journal!$A$7:$E$70,5))</f>
        <v>47033</v>
      </c>
      <c r="T1383" s="125">
        <f>IF(H$2=VLOOKUP(A1383,Journal!$A$7:$F$70,6),VLOOKUP(A1383,Journal!$A$7:M$70,9),0)</f>
        <v>0</v>
      </c>
      <c r="U1383" s="125">
        <f>IF(H$2=VLOOKUP(A1383,Journal!$A$7:$G$70,7),VLOOKUP(A1383,Journal!$A$7:M$70,9),0)</f>
        <v>0</v>
      </c>
      <c r="V1383" s="125">
        <f t="shared" si="159"/>
        <v>40</v>
      </c>
      <c r="X1383">
        <f t="shared" si="164"/>
        <v>0</v>
      </c>
      <c r="Y1383" s="143">
        <f t="shared" si="158"/>
        <v>-963.86842105268909</v>
      </c>
    </row>
    <row r="1384" spans="1:25" x14ac:dyDescent="0.25">
      <c r="A1384">
        <f t="shared" si="160"/>
        <v>1377</v>
      </c>
      <c r="B1384" s="88" t="str">
        <f>IF(OR(B1383="Total",B1383=""),"",IF(VLOOKUP(A1384,Journal!$B$7:$E$84,4)=0,"Total",VLOOKUP(A1384,Journal!$B$7:$D$84,3)))</f>
        <v/>
      </c>
      <c r="C1384" s="86" t="str">
        <f>IF(B1384="","",VLOOKUP(A1384,Journal!$B$7:$E$84,4))</f>
        <v/>
      </c>
      <c r="D1384" s="114" t="str">
        <f>IF(B1384="","",VLOOKUP(A1384,Journal!$B$7:$J$84,9))</f>
        <v/>
      </c>
      <c r="E1384" s="116"/>
      <c r="F1384" s="116"/>
      <c r="G1384" s="115"/>
      <c r="H1384" s="84" t="str">
        <f>IF(B1384="","",VLOOKUP(A1384,Journal!$B$7:$L$84,11))</f>
        <v/>
      </c>
      <c r="I1384" s="84" t="str">
        <f>IF(B1384="","",VLOOKUP(A1384,Journal!$B$7:$M$84,12))</f>
        <v/>
      </c>
      <c r="J1384" s="105">
        <f>IF(B1384="Total",SUM(J$8:J1383)+0.0001,IF(OR(B1384="",I$2=I1384),0,VLOOKUP(A1384,Journal!$B$7:M$84,8)))</f>
        <v>0</v>
      </c>
      <c r="K1384" s="102">
        <f>IF(B1384="Total",SUM(K$8:K1383)+0.0001,IF(OR(B1384="",J1384&lt;&gt;0),0,VLOOKUP(A1384,Journal!$B$7:M$84,8)))</f>
        <v>0</v>
      </c>
      <c r="L1384" s="87">
        <f t="shared" si="161"/>
        <v>0</v>
      </c>
      <c r="P1384">
        <f t="shared" si="162"/>
        <v>1.0000000000000001E-5</v>
      </c>
      <c r="R1384" s="15">
        <f t="shared" si="163"/>
        <v>1377</v>
      </c>
      <c r="S1384" s="126">
        <f>IF(VLOOKUP(A1384,Journal!$A$7:$E$70,5)=0,S1383+1,VLOOKUP(A1384,Journal!$A$7:$E$70,5))</f>
        <v>47034</v>
      </c>
      <c r="T1384" s="125">
        <f>IF(H$2=VLOOKUP(A1384,Journal!$A$7:$F$70,6),VLOOKUP(A1384,Journal!$A$7:M$70,9),0)</f>
        <v>0</v>
      </c>
      <c r="U1384" s="125">
        <f>IF(H$2=VLOOKUP(A1384,Journal!$A$7:$G$70,7),VLOOKUP(A1384,Journal!$A$7:M$70,9),0)</f>
        <v>0</v>
      </c>
      <c r="V1384" s="125">
        <f t="shared" si="159"/>
        <v>40</v>
      </c>
      <c r="X1384">
        <f t="shared" si="164"/>
        <v>0</v>
      </c>
      <c r="Y1384" s="143">
        <f t="shared" si="158"/>
        <v>-963.84210526321544</v>
      </c>
    </row>
    <row r="1385" spans="1:25" x14ac:dyDescent="0.25">
      <c r="A1385">
        <f t="shared" si="160"/>
        <v>1378</v>
      </c>
      <c r="B1385" s="88" t="str">
        <f>IF(OR(B1384="Total",B1384=""),"",IF(VLOOKUP(A1385,Journal!$B$7:$E$84,4)=0,"Total",VLOOKUP(A1385,Journal!$B$7:$D$84,3)))</f>
        <v/>
      </c>
      <c r="C1385" s="86" t="str">
        <f>IF(B1385="","",VLOOKUP(A1385,Journal!$B$7:$E$84,4))</f>
        <v/>
      </c>
      <c r="D1385" s="114" t="str">
        <f>IF(B1385="","",VLOOKUP(A1385,Journal!$B$7:$J$84,9))</f>
        <v/>
      </c>
      <c r="E1385" s="116"/>
      <c r="F1385" s="116"/>
      <c r="G1385" s="115"/>
      <c r="H1385" s="84" t="str">
        <f>IF(B1385="","",VLOOKUP(A1385,Journal!$B$7:$L$84,11))</f>
        <v/>
      </c>
      <c r="I1385" s="84" t="str">
        <f>IF(B1385="","",VLOOKUP(A1385,Journal!$B$7:$M$84,12))</f>
        <v/>
      </c>
      <c r="J1385" s="105">
        <f>IF(B1385="Total",SUM(J$8:J1384)+0.0001,IF(OR(B1385="",I$2=I1385),0,VLOOKUP(A1385,Journal!$B$7:M$84,8)))</f>
        <v>0</v>
      </c>
      <c r="K1385" s="102">
        <f>IF(B1385="Total",SUM(K$8:K1384)+0.0001,IF(OR(B1385="",J1385&lt;&gt;0),0,VLOOKUP(A1385,Journal!$B$7:M$84,8)))</f>
        <v>0</v>
      </c>
      <c r="L1385" s="87">
        <f t="shared" si="161"/>
        <v>0</v>
      </c>
      <c r="P1385">
        <f t="shared" si="162"/>
        <v>1.0000000000000001E-5</v>
      </c>
      <c r="R1385" s="15">
        <f t="shared" si="163"/>
        <v>1378</v>
      </c>
      <c r="S1385" s="126">
        <f>IF(VLOOKUP(A1385,Journal!$A$7:$E$70,5)=0,S1384+1,VLOOKUP(A1385,Journal!$A$7:$E$70,5))</f>
        <v>47035</v>
      </c>
      <c r="T1385" s="125">
        <f>IF(H$2=VLOOKUP(A1385,Journal!$A$7:$F$70,6),VLOOKUP(A1385,Journal!$A$7:M$70,9),0)</f>
        <v>0</v>
      </c>
      <c r="U1385" s="125">
        <f>IF(H$2=VLOOKUP(A1385,Journal!$A$7:$G$70,7),VLOOKUP(A1385,Journal!$A$7:M$70,9),0)</f>
        <v>0</v>
      </c>
      <c r="V1385" s="125">
        <f t="shared" si="159"/>
        <v>40</v>
      </c>
      <c r="X1385">
        <f t="shared" si="164"/>
        <v>0</v>
      </c>
      <c r="Y1385" s="143">
        <f t="shared" si="158"/>
        <v>-963.8157894737418</v>
      </c>
    </row>
    <row r="1386" spans="1:25" x14ac:dyDescent="0.25">
      <c r="A1386">
        <f t="shared" si="160"/>
        <v>1379</v>
      </c>
      <c r="B1386" s="88" t="str">
        <f>IF(OR(B1385="Total",B1385=""),"",IF(VLOOKUP(A1386,Journal!$B$7:$E$84,4)=0,"Total",VLOOKUP(A1386,Journal!$B$7:$D$84,3)))</f>
        <v/>
      </c>
      <c r="C1386" s="86" t="str">
        <f>IF(B1386="","",VLOOKUP(A1386,Journal!$B$7:$E$84,4))</f>
        <v/>
      </c>
      <c r="D1386" s="114" t="str">
        <f>IF(B1386="","",VLOOKUP(A1386,Journal!$B$7:$J$84,9))</f>
        <v/>
      </c>
      <c r="E1386" s="116"/>
      <c r="F1386" s="116"/>
      <c r="G1386" s="115"/>
      <c r="H1386" s="84" t="str">
        <f>IF(B1386="","",VLOOKUP(A1386,Journal!$B$7:$L$84,11))</f>
        <v/>
      </c>
      <c r="I1386" s="84" t="str">
        <f>IF(B1386="","",VLOOKUP(A1386,Journal!$B$7:$M$84,12))</f>
        <v/>
      </c>
      <c r="J1386" s="105">
        <f>IF(B1386="Total",SUM(J$8:J1385)+0.0001,IF(OR(B1386="",I$2=I1386),0,VLOOKUP(A1386,Journal!$B$7:M$84,8)))</f>
        <v>0</v>
      </c>
      <c r="K1386" s="102">
        <f>IF(B1386="Total",SUM(K$8:K1385)+0.0001,IF(OR(B1386="",J1386&lt;&gt;0),0,VLOOKUP(A1386,Journal!$B$7:M$84,8)))</f>
        <v>0</v>
      </c>
      <c r="L1386" s="87">
        <f t="shared" si="161"/>
        <v>0</v>
      </c>
      <c r="P1386">
        <f t="shared" si="162"/>
        <v>1.0000000000000001E-5</v>
      </c>
      <c r="R1386" s="15">
        <f t="shared" si="163"/>
        <v>1379</v>
      </c>
      <c r="S1386" s="126">
        <f>IF(VLOOKUP(A1386,Journal!$A$7:$E$70,5)=0,S1385+1,VLOOKUP(A1386,Journal!$A$7:$E$70,5))</f>
        <v>47036</v>
      </c>
      <c r="T1386" s="125">
        <f>IF(H$2=VLOOKUP(A1386,Journal!$A$7:$F$70,6),VLOOKUP(A1386,Journal!$A$7:M$70,9),0)</f>
        <v>0</v>
      </c>
      <c r="U1386" s="125">
        <f>IF(H$2=VLOOKUP(A1386,Journal!$A$7:$G$70,7),VLOOKUP(A1386,Journal!$A$7:M$70,9),0)</f>
        <v>0</v>
      </c>
      <c r="V1386" s="125">
        <f t="shared" si="159"/>
        <v>40</v>
      </c>
      <c r="X1386">
        <f t="shared" si="164"/>
        <v>0</v>
      </c>
      <c r="Y1386" s="143">
        <f t="shared" si="158"/>
        <v>-963.78947368426816</v>
      </c>
    </row>
    <row r="1387" spans="1:25" x14ac:dyDescent="0.25">
      <c r="A1387">
        <f t="shared" si="160"/>
        <v>1380</v>
      </c>
      <c r="B1387" s="88" t="str">
        <f>IF(OR(B1386="Total",B1386=""),"",IF(VLOOKUP(A1387,Journal!$B$7:$E$84,4)=0,"Total",VLOOKUP(A1387,Journal!$B$7:$D$84,3)))</f>
        <v/>
      </c>
      <c r="C1387" s="86" t="str">
        <f>IF(B1387="","",VLOOKUP(A1387,Journal!$B$7:$E$84,4))</f>
        <v/>
      </c>
      <c r="D1387" s="114" t="str">
        <f>IF(B1387="","",VLOOKUP(A1387,Journal!$B$7:$J$84,9))</f>
        <v/>
      </c>
      <c r="E1387" s="116"/>
      <c r="F1387" s="116"/>
      <c r="G1387" s="115"/>
      <c r="H1387" s="84" t="str">
        <f>IF(B1387="","",VLOOKUP(A1387,Journal!$B$7:$L$84,11))</f>
        <v/>
      </c>
      <c r="I1387" s="84" t="str">
        <f>IF(B1387="","",VLOOKUP(A1387,Journal!$B$7:$M$84,12))</f>
        <v/>
      </c>
      <c r="J1387" s="105">
        <f>IF(B1387="Total",SUM(J$8:J1386)+0.0001,IF(OR(B1387="",I$2=I1387),0,VLOOKUP(A1387,Journal!$B$7:M$84,8)))</f>
        <v>0</v>
      </c>
      <c r="K1387" s="102">
        <f>IF(B1387="Total",SUM(K$8:K1386)+0.0001,IF(OR(B1387="",J1387&lt;&gt;0),0,VLOOKUP(A1387,Journal!$B$7:M$84,8)))</f>
        <v>0</v>
      </c>
      <c r="L1387" s="87">
        <f t="shared" si="161"/>
        <v>0</v>
      </c>
      <c r="P1387">
        <f t="shared" si="162"/>
        <v>1.0000000000000001E-5</v>
      </c>
      <c r="R1387" s="15">
        <f t="shared" si="163"/>
        <v>1380</v>
      </c>
      <c r="S1387" s="126">
        <f>IF(VLOOKUP(A1387,Journal!$A$7:$E$70,5)=0,S1386+1,VLOOKUP(A1387,Journal!$A$7:$E$70,5))</f>
        <v>47037</v>
      </c>
      <c r="T1387" s="125">
        <f>IF(H$2=VLOOKUP(A1387,Journal!$A$7:$F$70,6),VLOOKUP(A1387,Journal!$A$7:M$70,9),0)</f>
        <v>0</v>
      </c>
      <c r="U1387" s="125">
        <f>IF(H$2=VLOOKUP(A1387,Journal!$A$7:$G$70,7),VLOOKUP(A1387,Journal!$A$7:M$70,9),0)</f>
        <v>0</v>
      </c>
      <c r="V1387" s="125">
        <f t="shared" si="159"/>
        <v>40</v>
      </c>
      <c r="X1387">
        <f t="shared" si="164"/>
        <v>0</v>
      </c>
      <c r="Y1387" s="143">
        <f t="shared" si="158"/>
        <v>-963.76315789479452</v>
      </c>
    </row>
    <row r="1388" spans="1:25" x14ac:dyDescent="0.25">
      <c r="A1388">
        <f t="shared" si="160"/>
        <v>1381</v>
      </c>
      <c r="B1388" s="88" t="str">
        <f>IF(OR(B1387="Total",B1387=""),"",IF(VLOOKUP(A1388,Journal!$B$7:$E$84,4)=0,"Total",VLOOKUP(A1388,Journal!$B$7:$D$84,3)))</f>
        <v/>
      </c>
      <c r="C1388" s="86" t="str">
        <f>IF(B1388="","",VLOOKUP(A1388,Journal!$B$7:$E$84,4))</f>
        <v/>
      </c>
      <c r="D1388" s="114" t="str">
        <f>IF(B1388="","",VLOOKUP(A1388,Journal!$B$7:$J$84,9))</f>
        <v/>
      </c>
      <c r="E1388" s="116"/>
      <c r="F1388" s="116"/>
      <c r="G1388" s="115"/>
      <c r="H1388" s="84" t="str">
        <f>IF(B1388="","",VLOOKUP(A1388,Journal!$B$7:$L$84,11))</f>
        <v/>
      </c>
      <c r="I1388" s="84" t="str">
        <f>IF(B1388="","",VLOOKUP(A1388,Journal!$B$7:$M$84,12))</f>
        <v/>
      </c>
      <c r="J1388" s="105">
        <f>IF(B1388="Total",SUM(J$8:J1387)+0.0001,IF(OR(B1388="",I$2=I1388),0,VLOOKUP(A1388,Journal!$B$7:M$84,8)))</f>
        <v>0</v>
      </c>
      <c r="K1388" s="102">
        <f>IF(B1388="Total",SUM(K$8:K1387)+0.0001,IF(OR(B1388="",J1388&lt;&gt;0),0,VLOOKUP(A1388,Journal!$B$7:M$84,8)))</f>
        <v>0</v>
      </c>
      <c r="L1388" s="87">
        <f t="shared" si="161"/>
        <v>0</v>
      </c>
      <c r="P1388">
        <f t="shared" si="162"/>
        <v>1.0000000000000001E-5</v>
      </c>
      <c r="R1388" s="15">
        <f t="shared" si="163"/>
        <v>1381</v>
      </c>
      <c r="S1388" s="126">
        <f>IF(VLOOKUP(A1388,Journal!$A$7:$E$70,5)=0,S1387+1,VLOOKUP(A1388,Journal!$A$7:$E$70,5))</f>
        <v>47038</v>
      </c>
      <c r="T1388" s="125">
        <f>IF(H$2=VLOOKUP(A1388,Journal!$A$7:$F$70,6),VLOOKUP(A1388,Journal!$A$7:M$70,9),0)</f>
        <v>0</v>
      </c>
      <c r="U1388" s="125">
        <f>IF(H$2=VLOOKUP(A1388,Journal!$A$7:$G$70,7),VLOOKUP(A1388,Journal!$A$7:M$70,9),0)</f>
        <v>0</v>
      </c>
      <c r="V1388" s="125">
        <f t="shared" si="159"/>
        <v>40</v>
      </c>
      <c r="X1388">
        <f t="shared" si="164"/>
        <v>0</v>
      </c>
      <c r="Y1388" s="143">
        <f t="shared" si="158"/>
        <v>-963.73684210532087</v>
      </c>
    </row>
    <row r="1389" spans="1:25" x14ac:dyDescent="0.25">
      <c r="A1389">
        <f t="shared" si="160"/>
        <v>1382</v>
      </c>
      <c r="B1389" s="88" t="str">
        <f>IF(OR(B1388="Total",B1388=""),"",IF(VLOOKUP(A1389,Journal!$B$7:$E$84,4)=0,"Total",VLOOKUP(A1389,Journal!$B$7:$D$84,3)))</f>
        <v/>
      </c>
      <c r="C1389" s="86" t="str">
        <f>IF(B1389="","",VLOOKUP(A1389,Journal!$B$7:$E$84,4))</f>
        <v/>
      </c>
      <c r="D1389" s="114" t="str">
        <f>IF(B1389="","",VLOOKUP(A1389,Journal!$B$7:$J$84,9))</f>
        <v/>
      </c>
      <c r="E1389" s="116"/>
      <c r="F1389" s="116"/>
      <c r="G1389" s="115"/>
      <c r="H1389" s="84" t="str">
        <f>IF(B1389="","",VLOOKUP(A1389,Journal!$B$7:$L$84,11))</f>
        <v/>
      </c>
      <c r="I1389" s="84" t="str">
        <f>IF(B1389="","",VLOOKUP(A1389,Journal!$B$7:$M$84,12))</f>
        <v/>
      </c>
      <c r="J1389" s="105">
        <f>IF(B1389="Total",SUM(J$8:J1388)+0.0001,IF(OR(B1389="",I$2=I1389),0,VLOOKUP(A1389,Journal!$B$7:M$84,8)))</f>
        <v>0</v>
      </c>
      <c r="K1389" s="102">
        <f>IF(B1389="Total",SUM(K$8:K1388)+0.0001,IF(OR(B1389="",J1389&lt;&gt;0),0,VLOOKUP(A1389,Journal!$B$7:M$84,8)))</f>
        <v>0</v>
      </c>
      <c r="L1389" s="87">
        <f t="shared" si="161"/>
        <v>0</v>
      </c>
      <c r="P1389">
        <f t="shared" si="162"/>
        <v>1.0000000000000001E-5</v>
      </c>
      <c r="R1389" s="15">
        <f t="shared" si="163"/>
        <v>1382</v>
      </c>
      <c r="S1389" s="126">
        <f>IF(VLOOKUP(A1389,Journal!$A$7:$E$70,5)=0,S1388+1,VLOOKUP(A1389,Journal!$A$7:$E$70,5))</f>
        <v>47039</v>
      </c>
      <c r="T1389" s="125">
        <f>IF(H$2=VLOOKUP(A1389,Journal!$A$7:$F$70,6),VLOOKUP(A1389,Journal!$A$7:M$70,9),0)</f>
        <v>0</v>
      </c>
      <c r="U1389" s="125">
        <f>IF(H$2=VLOOKUP(A1389,Journal!$A$7:$G$70,7),VLOOKUP(A1389,Journal!$A$7:M$70,9),0)</f>
        <v>0</v>
      </c>
      <c r="V1389" s="125">
        <f t="shared" si="159"/>
        <v>40</v>
      </c>
      <c r="X1389">
        <f t="shared" si="164"/>
        <v>0</v>
      </c>
      <c r="Y1389" s="143">
        <f t="shared" si="158"/>
        <v>-963.71052631584723</v>
      </c>
    </row>
    <row r="1390" spans="1:25" x14ac:dyDescent="0.25">
      <c r="A1390">
        <f t="shared" si="160"/>
        <v>1383</v>
      </c>
      <c r="B1390" s="88" t="str">
        <f>IF(OR(B1389="Total",B1389=""),"",IF(VLOOKUP(A1390,Journal!$B$7:$E$84,4)=0,"Total",VLOOKUP(A1390,Journal!$B$7:$D$84,3)))</f>
        <v/>
      </c>
      <c r="C1390" s="86" t="str">
        <f>IF(B1390="","",VLOOKUP(A1390,Journal!$B$7:$E$84,4))</f>
        <v/>
      </c>
      <c r="D1390" s="114" t="str">
        <f>IF(B1390="","",VLOOKUP(A1390,Journal!$B$7:$J$84,9))</f>
        <v/>
      </c>
      <c r="E1390" s="116"/>
      <c r="F1390" s="116"/>
      <c r="G1390" s="115"/>
      <c r="H1390" s="84" t="str">
        <f>IF(B1390="","",VLOOKUP(A1390,Journal!$B$7:$L$84,11))</f>
        <v/>
      </c>
      <c r="I1390" s="84" t="str">
        <f>IF(B1390="","",VLOOKUP(A1390,Journal!$B$7:$M$84,12))</f>
        <v/>
      </c>
      <c r="J1390" s="105">
        <f>IF(B1390="Total",SUM(J$8:J1389)+0.0001,IF(OR(B1390="",I$2=I1390),0,VLOOKUP(A1390,Journal!$B$7:M$84,8)))</f>
        <v>0</v>
      </c>
      <c r="K1390" s="102">
        <f>IF(B1390="Total",SUM(K$8:K1389)+0.0001,IF(OR(B1390="",J1390&lt;&gt;0),0,VLOOKUP(A1390,Journal!$B$7:M$84,8)))</f>
        <v>0</v>
      </c>
      <c r="L1390" s="87">
        <f t="shared" si="161"/>
        <v>0</v>
      </c>
      <c r="P1390">
        <f t="shared" si="162"/>
        <v>1.0000000000000001E-5</v>
      </c>
      <c r="R1390" s="15">
        <f t="shared" si="163"/>
        <v>1383</v>
      </c>
      <c r="S1390" s="126">
        <f>IF(VLOOKUP(A1390,Journal!$A$7:$E$70,5)=0,S1389+1,VLOOKUP(A1390,Journal!$A$7:$E$70,5))</f>
        <v>47040</v>
      </c>
      <c r="T1390" s="125">
        <f>IF(H$2=VLOOKUP(A1390,Journal!$A$7:$F$70,6),VLOOKUP(A1390,Journal!$A$7:M$70,9),0)</f>
        <v>0</v>
      </c>
      <c r="U1390" s="125">
        <f>IF(H$2=VLOOKUP(A1390,Journal!$A$7:$G$70,7),VLOOKUP(A1390,Journal!$A$7:M$70,9),0)</f>
        <v>0</v>
      </c>
      <c r="V1390" s="125">
        <f t="shared" si="159"/>
        <v>40</v>
      </c>
      <c r="X1390">
        <f t="shared" si="164"/>
        <v>0</v>
      </c>
      <c r="Y1390" s="143">
        <f t="shared" si="158"/>
        <v>-963.68421052637359</v>
      </c>
    </row>
    <row r="1391" spans="1:25" x14ac:dyDescent="0.25">
      <c r="A1391">
        <f t="shared" si="160"/>
        <v>1384</v>
      </c>
      <c r="B1391" s="88" t="str">
        <f>IF(OR(B1390="Total",B1390=""),"",IF(VLOOKUP(A1391,Journal!$B$7:$E$84,4)=0,"Total",VLOOKUP(A1391,Journal!$B$7:$D$84,3)))</f>
        <v/>
      </c>
      <c r="C1391" s="86" t="str">
        <f>IF(B1391="","",VLOOKUP(A1391,Journal!$B$7:$E$84,4))</f>
        <v/>
      </c>
      <c r="D1391" s="114" t="str">
        <f>IF(B1391="","",VLOOKUP(A1391,Journal!$B$7:$J$84,9))</f>
        <v/>
      </c>
      <c r="E1391" s="116"/>
      <c r="F1391" s="116"/>
      <c r="G1391" s="115"/>
      <c r="H1391" s="84" t="str">
        <f>IF(B1391="","",VLOOKUP(A1391,Journal!$B$7:$L$84,11))</f>
        <v/>
      </c>
      <c r="I1391" s="84" t="str">
        <f>IF(B1391="","",VLOOKUP(A1391,Journal!$B$7:$M$84,12))</f>
        <v/>
      </c>
      <c r="J1391" s="105">
        <f>IF(B1391="Total",SUM(J$8:J1390)+0.0001,IF(OR(B1391="",I$2=I1391),0,VLOOKUP(A1391,Journal!$B$7:M$84,8)))</f>
        <v>0</v>
      </c>
      <c r="K1391" s="102">
        <f>IF(B1391="Total",SUM(K$8:K1390)+0.0001,IF(OR(B1391="",J1391&lt;&gt;0),0,VLOOKUP(A1391,Journal!$B$7:M$84,8)))</f>
        <v>0</v>
      </c>
      <c r="L1391" s="87">
        <f t="shared" si="161"/>
        <v>0</v>
      </c>
      <c r="P1391">
        <f t="shared" si="162"/>
        <v>1.0000000000000001E-5</v>
      </c>
      <c r="R1391" s="15">
        <f t="shared" si="163"/>
        <v>1384</v>
      </c>
      <c r="S1391" s="126">
        <f>IF(VLOOKUP(A1391,Journal!$A$7:$E$70,5)=0,S1390+1,VLOOKUP(A1391,Journal!$A$7:$E$70,5))</f>
        <v>47041</v>
      </c>
      <c r="T1391" s="125">
        <f>IF(H$2=VLOOKUP(A1391,Journal!$A$7:$F$70,6),VLOOKUP(A1391,Journal!$A$7:M$70,9),0)</f>
        <v>0</v>
      </c>
      <c r="U1391" s="125">
        <f>IF(H$2=VLOOKUP(A1391,Journal!$A$7:$G$70,7),VLOOKUP(A1391,Journal!$A$7:M$70,9),0)</f>
        <v>0</v>
      </c>
      <c r="V1391" s="125">
        <f t="shared" si="159"/>
        <v>40</v>
      </c>
      <c r="X1391">
        <f t="shared" si="164"/>
        <v>0</v>
      </c>
      <c r="Y1391" s="143">
        <f t="shared" si="158"/>
        <v>-963.65789473689995</v>
      </c>
    </row>
    <row r="1392" spans="1:25" x14ac:dyDescent="0.25">
      <c r="A1392">
        <f t="shared" si="160"/>
        <v>1385</v>
      </c>
      <c r="B1392" s="88" t="str">
        <f>IF(OR(B1391="Total",B1391=""),"",IF(VLOOKUP(A1392,Journal!$B$7:$E$84,4)=0,"Total",VLOOKUP(A1392,Journal!$B$7:$D$84,3)))</f>
        <v/>
      </c>
      <c r="C1392" s="86" t="str">
        <f>IF(B1392="","",VLOOKUP(A1392,Journal!$B$7:$E$84,4))</f>
        <v/>
      </c>
      <c r="D1392" s="114" t="str">
        <f>IF(B1392="","",VLOOKUP(A1392,Journal!$B$7:$J$84,9))</f>
        <v/>
      </c>
      <c r="E1392" s="116"/>
      <c r="F1392" s="116"/>
      <c r="G1392" s="115"/>
      <c r="H1392" s="84" t="str">
        <f>IF(B1392="","",VLOOKUP(A1392,Journal!$B$7:$L$84,11))</f>
        <v/>
      </c>
      <c r="I1392" s="84" t="str">
        <f>IF(B1392="","",VLOOKUP(A1392,Journal!$B$7:$M$84,12))</f>
        <v/>
      </c>
      <c r="J1392" s="105">
        <f>IF(B1392="Total",SUM(J$8:J1391)+0.0001,IF(OR(B1392="",I$2=I1392),0,VLOOKUP(A1392,Journal!$B$7:M$84,8)))</f>
        <v>0</v>
      </c>
      <c r="K1392" s="102">
        <f>IF(B1392="Total",SUM(K$8:K1391)+0.0001,IF(OR(B1392="",J1392&lt;&gt;0),0,VLOOKUP(A1392,Journal!$B$7:M$84,8)))</f>
        <v>0</v>
      </c>
      <c r="L1392" s="87">
        <f t="shared" si="161"/>
        <v>0</v>
      </c>
      <c r="P1392">
        <f t="shared" si="162"/>
        <v>1.0000000000000001E-5</v>
      </c>
      <c r="R1392" s="15">
        <f t="shared" si="163"/>
        <v>1385</v>
      </c>
      <c r="S1392" s="126">
        <f>IF(VLOOKUP(A1392,Journal!$A$7:$E$70,5)=0,S1391+1,VLOOKUP(A1392,Journal!$A$7:$E$70,5))</f>
        <v>47042</v>
      </c>
      <c r="T1392" s="125">
        <f>IF(H$2=VLOOKUP(A1392,Journal!$A$7:$F$70,6),VLOOKUP(A1392,Journal!$A$7:M$70,9),0)</f>
        <v>0</v>
      </c>
      <c r="U1392" s="125">
        <f>IF(H$2=VLOOKUP(A1392,Journal!$A$7:$G$70,7),VLOOKUP(A1392,Journal!$A$7:M$70,9),0)</f>
        <v>0</v>
      </c>
      <c r="V1392" s="125">
        <f t="shared" si="159"/>
        <v>40</v>
      </c>
      <c r="X1392">
        <f t="shared" si="164"/>
        <v>0</v>
      </c>
      <c r="Y1392" s="143">
        <f t="shared" si="158"/>
        <v>-963.63157894742631</v>
      </c>
    </row>
    <row r="1393" spans="1:25" x14ac:dyDescent="0.25">
      <c r="A1393">
        <f t="shared" si="160"/>
        <v>1386</v>
      </c>
      <c r="B1393" s="88" t="str">
        <f>IF(OR(B1392="Total",B1392=""),"",IF(VLOOKUP(A1393,Journal!$B$7:$E$84,4)=0,"Total",VLOOKUP(A1393,Journal!$B$7:$D$84,3)))</f>
        <v/>
      </c>
      <c r="C1393" s="86" t="str">
        <f>IF(B1393="","",VLOOKUP(A1393,Journal!$B$7:$E$84,4))</f>
        <v/>
      </c>
      <c r="D1393" s="114" t="str">
        <f>IF(B1393="","",VLOOKUP(A1393,Journal!$B$7:$J$84,9))</f>
        <v/>
      </c>
      <c r="E1393" s="116"/>
      <c r="F1393" s="116"/>
      <c r="G1393" s="115"/>
      <c r="H1393" s="84" t="str">
        <f>IF(B1393="","",VLOOKUP(A1393,Journal!$B$7:$L$84,11))</f>
        <v/>
      </c>
      <c r="I1393" s="84" t="str">
        <f>IF(B1393="","",VLOOKUP(A1393,Journal!$B$7:$M$84,12))</f>
        <v/>
      </c>
      <c r="J1393" s="105">
        <f>IF(B1393="Total",SUM(J$8:J1392)+0.0001,IF(OR(B1393="",I$2=I1393),0,VLOOKUP(A1393,Journal!$B$7:M$84,8)))</f>
        <v>0</v>
      </c>
      <c r="K1393" s="102">
        <f>IF(B1393="Total",SUM(K$8:K1392)+0.0001,IF(OR(B1393="",J1393&lt;&gt;0),0,VLOOKUP(A1393,Journal!$B$7:M$84,8)))</f>
        <v>0</v>
      </c>
      <c r="L1393" s="87">
        <f t="shared" si="161"/>
        <v>0</v>
      </c>
      <c r="P1393">
        <f t="shared" si="162"/>
        <v>1.0000000000000001E-5</v>
      </c>
      <c r="R1393" s="15">
        <f t="shared" si="163"/>
        <v>1386</v>
      </c>
      <c r="S1393" s="126">
        <f>IF(VLOOKUP(A1393,Journal!$A$7:$E$70,5)=0,S1392+1,VLOOKUP(A1393,Journal!$A$7:$E$70,5))</f>
        <v>47043</v>
      </c>
      <c r="T1393" s="125">
        <f>IF(H$2=VLOOKUP(A1393,Journal!$A$7:$F$70,6),VLOOKUP(A1393,Journal!$A$7:M$70,9),0)</f>
        <v>0</v>
      </c>
      <c r="U1393" s="125">
        <f>IF(H$2=VLOOKUP(A1393,Journal!$A$7:$G$70,7),VLOOKUP(A1393,Journal!$A$7:M$70,9),0)</f>
        <v>0</v>
      </c>
      <c r="V1393" s="125">
        <f t="shared" si="159"/>
        <v>40</v>
      </c>
      <c r="X1393">
        <f t="shared" si="164"/>
        <v>0</v>
      </c>
      <c r="Y1393" s="143">
        <f t="shared" si="158"/>
        <v>-963.60526315795266</v>
      </c>
    </row>
    <row r="1394" spans="1:25" x14ac:dyDescent="0.25">
      <c r="A1394">
        <f t="shared" si="160"/>
        <v>1387</v>
      </c>
      <c r="B1394" s="88" t="str">
        <f>IF(OR(B1393="Total",B1393=""),"",IF(VLOOKUP(A1394,Journal!$B$7:$E$84,4)=0,"Total",VLOOKUP(A1394,Journal!$B$7:$D$84,3)))</f>
        <v/>
      </c>
      <c r="C1394" s="86" t="str">
        <f>IF(B1394="","",VLOOKUP(A1394,Journal!$B$7:$E$84,4))</f>
        <v/>
      </c>
      <c r="D1394" s="114" t="str">
        <f>IF(B1394="","",VLOOKUP(A1394,Journal!$B$7:$J$84,9))</f>
        <v/>
      </c>
      <c r="E1394" s="116"/>
      <c r="F1394" s="116"/>
      <c r="G1394" s="115"/>
      <c r="H1394" s="84" t="str">
        <f>IF(B1394="","",VLOOKUP(A1394,Journal!$B$7:$L$84,11))</f>
        <v/>
      </c>
      <c r="I1394" s="84" t="str">
        <f>IF(B1394="","",VLOOKUP(A1394,Journal!$B$7:$M$84,12))</f>
        <v/>
      </c>
      <c r="J1394" s="105">
        <f>IF(B1394="Total",SUM(J$8:J1393)+0.0001,IF(OR(B1394="",I$2=I1394),0,VLOOKUP(A1394,Journal!$B$7:M$84,8)))</f>
        <v>0</v>
      </c>
      <c r="K1394" s="102">
        <f>IF(B1394="Total",SUM(K$8:K1393)+0.0001,IF(OR(B1394="",J1394&lt;&gt;0),0,VLOOKUP(A1394,Journal!$B$7:M$84,8)))</f>
        <v>0</v>
      </c>
      <c r="L1394" s="87">
        <f t="shared" si="161"/>
        <v>0</v>
      </c>
      <c r="P1394">
        <f t="shared" si="162"/>
        <v>1.0000000000000001E-5</v>
      </c>
      <c r="R1394" s="15">
        <f t="shared" si="163"/>
        <v>1387</v>
      </c>
      <c r="S1394" s="126">
        <f>IF(VLOOKUP(A1394,Journal!$A$7:$E$70,5)=0,S1393+1,VLOOKUP(A1394,Journal!$A$7:$E$70,5))</f>
        <v>47044</v>
      </c>
      <c r="T1394" s="125">
        <f>IF(H$2=VLOOKUP(A1394,Journal!$A$7:$F$70,6),VLOOKUP(A1394,Journal!$A$7:M$70,9),0)</f>
        <v>0</v>
      </c>
      <c r="U1394" s="125">
        <f>IF(H$2=VLOOKUP(A1394,Journal!$A$7:$G$70,7),VLOOKUP(A1394,Journal!$A$7:M$70,9),0)</f>
        <v>0</v>
      </c>
      <c r="V1394" s="125">
        <f t="shared" si="159"/>
        <v>40</v>
      </c>
      <c r="X1394">
        <f t="shared" si="164"/>
        <v>0</v>
      </c>
      <c r="Y1394" s="143">
        <f t="shared" si="158"/>
        <v>-963.57894736847902</v>
      </c>
    </row>
    <row r="1395" spans="1:25" x14ac:dyDescent="0.25">
      <c r="A1395">
        <f t="shared" si="160"/>
        <v>1388</v>
      </c>
      <c r="B1395" s="88" t="str">
        <f>IF(OR(B1394="Total",B1394=""),"",IF(VLOOKUP(A1395,Journal!$B$7:$E$84,4)=0,"Total",VLOOKUP(A1395,Journal!$B$7:$D$84,3)))</f>
        <v/>
      </c>
      <c r="C1395" s="86" t="str">
        <f>IF(B1395="","",VLOOKUP(A1395,Journal!$B$7:$E$84,4))</f>
        <v/>
      </c>
      <c r="D1395" s="114" t="str">
        <f>IF(B1395="","",VLOOKUP(A1395,Journal!$B$7:$J$84,9))</f>
        <v/>
      </c>
      <c r="E1395" s="116"/>
      <c r="F1395" s="116"/>
      <c r="G1395" s="115"/>
      <c r="H1395" s="84" t="str">
        <f>IF(B1395="","",VLOOKUP(A1395,Journal!$B$7:$L$84,11))</f>
        <v/>
      </c>
      <c r="I1395" s="84" t="str">
        <f>IF(B1395="","",VLOOKUP(A1395,Journal!$B$7:$M$84,12))</f>
        <v/>
      </c>
      <c r="J1395" s="105">
        <f>IF(B1395="Total",SUM(J$8:J1394)+0.0001,IF(OR(B1395="",I$2=I1395),0,VLOOKUP(A1395,Journal!$B$7:M$84,8)))</f>
        <v>0</v>
      </c>
      <c r="K1395" s="102">
        <f>IF(B1395="Total",SUM(K$8:K1394)+0.0001,IF(OR(B1395="",J1395&lt;&gt;0),0,VLOOKUP(A1395,Journal!$B$7:M$84,8)))</f>
        <v>0</v>
      </c>
      <c r="L1395" s="87">
        <f t="shared" si="161"/>
        <v>0</v>
      </c>
      <c r="P1395">
        <f t="shared" si="162"/>
        <v>1.0000000000000001E-5</v>
      </c>
      <c r="R1395" s="15">
        <f t="shared" si="163"/>
        <v>1388</v>
      </c>
      <c r="S1395" s="126">
        <f>IF(VLOOKUP(A1395,Journal!$A$7:$E$70,5)=0,S1394+1,VLOOKUP(A1395,Journal!$A$7:$E$70,5))</f>
        <v>47045</v>
      </c>
      <c r="T1395" s="125">
        <f>IF(H$2=VLOOKUP(A1395,Journal!$A$7:$F$70,6),VLOOKUP(A1395,Journal!$A$7:M$70,9),0)</f>
        <v>0</v>
      </c>
      <c r="U1395" s="125">
        <f>IF(H$2=VLOOKUP(A1395,Journal!$A$7:$G$70,7),VLOOKUP(A1395,Journal!$A$7:M$70,9),0)</f>
        <v>0</v>
      </c>
      <c r="V1395" s="125">
        <f t="shared" si="159"/>
        <v>40</v>
      </c>
      <c r="X1395">
        <f t="shared" si="164"/>
        <v>0</v>
      </c>
      <c r="Y1395" s="143">
        <f t="shared" si="158"/>
        <v>-963.55263157900538</v>
      </c>
    </row>
    <row r="1396" spans="1:25" x14ac:dyDescent="0.25">
      <c r="A1396">
        <f t="shared" si="160"/>
        <v>1389</v>
      </c>
      <c r="B1396" s="88" t="str">
        <f>IF(OR(B1395="Total",B1395=""),"",IF(VLOOKUP(A1396,Journal!$B$7:$E$84,4)=0,"Total",VLOOKUP(A1396,Journal!$B$7:$D$84,3)))</f>
        <v/>
      </c>
      <c r="C1396" s="86" t="str">
        <f>IF(B1396="","",VLOOKUP(A1396,Journal!$B$7:$E$84,4))</f>
        <v/>
      </c>
      <c r="D1396" s="114" t="str">
        <f>IF(B1396="","",VLOOKUP(A1396,Journal!$B$7:$J$84,9))</f>
        <v/>
      </c>
      <c r="E1396" s="116"/>
      <c r="F1396" s="116"/>
      <c r="G1396" s="115"/>
      <c r="H1396" s="84" t="str">
        <f>IF(B1396="","",VLOOKUP(A1396,Journal!$B$7:$L$84,11))</f>
        <v/>
      </c>
      <c r="I1396" s="84" t="str">
        <f>IF(B1396="","",VLOOKUP(A1396,Journal!$B$7:$M$84,12))</f>
        <v/>
      </c>
      <c r="J1396" s="105">
        <f>IF(B1396="Total",SUM(J$8:J1395)+0.0001,IF(OR(B1396="",I$2=I1396),0,VLOOKUP(A1396,Journal!$B$7:M$84,8)))</f>
        <v>0</v>
      </c>
      <c r="K1396" s="102">
        <f>IF(B1396="Total",SUM(K$8:K1395)+0.0001,IF(OR(B1396="",J1396&lt;&gt;0),0,VLOOKUP(A1396,Journal!$B$7:M$84,8)))</f>
        <v>0</v>
      </c>
      <c r="L1396" s="87">
        <f t="shared" si="161"/>
        <v>0</v>
      </c>
      <c r="P1396">
        <f t="shared" si="162"/>
        <v>1.0000000000000001E-5</v>
      </c>
      <c r="R1396" s="15">
        <f t="shared" si="163"/>
        <v>1389</v>
      </c>
      <c r="S1396" s="126">
        <f>IF(VLOOKUP(A1396,Journal!$A$7:$E$70,5)=0,S1395+1,VLOOKUP(A1396,Journal!$A$7:$E$70,5))</f>
        <v>47046</v>
      </c>
      <c r="T1396" s="125">
        <f>IF(H$2=VLOOKUP(A1396,Journal!$A$7:$F$70,6),VLOOKUP(A1396,Journal!$A$7:M$70,9),0)</f>
        <v>0</v>
      </c>
      <c r="U1396" s="125">
        <f>IF(H$2=VLOOKUP(A1396,Journal!$A$7:$G$70,7),VLOOKUP(A1396,Journal!$A$7:M$70,9),0)</f>
        <v>0</v>
      </c>
      <c r="V1396" s="125">
        <f t="shared" si="159"/>
        <v>40</v>
      </c>
      <c r="X1396">
        <f t="shared" si="164"/>
        <v>0</v>
      </c>
      <c r="Y1396" s="143">
        <f t="shared" si="158"/>
        <v>-963.52631578953174</v>
      </c>
    </row>
    <row r="1397" spans="1:25" x14ac:dyDescent="0.25">
      <c r="A1397">
        <f t="shared" si="160"/>
        <v>1390</v>
      </c>
      <c r="B1397" s="88" t="str">
        <f>IF(OR(B1396="Total",B1396=""),"",IF(VLOOKUP(A1397,Journal!$B$7:$E$84,4)=0,"Total",VLOOKUP(A1397,Journal!$B$7:$D$84,3)))</f>
        <v/>
      </c>
      <c r="C1397" s="86" t="str">
        <f>IF(B1397="","",VLOOKUP(A1397,Journal!$B$7:$E$84,4))</f>
        <v/>
      </c>
      <c r="D1397" s="114" t="str">
        <f>IF(B1397="","",VLOOKUP(A1397,Journal!$B$7:$J$84,9))</f>
        <v/>
      </c>
      <c r="E1397" s="116"/>
      <c r="F1397" s="116"/>
      <c r="G1397" s="115"/>
      <c r="H1397" s="84" t="str">
        <f>IF(B1397="","",VLOOKUP(A1397,Journal!$B$7:$L$84,11))</f>
        <v/>
      </c>
      <c r="I1397" s="84" t="str">
        <f>IF(B1397="","",VLOOKUP(A1397,Journal!$B$7:$M$84,12))</f>
        <v/>
      </c>
      <c r="J1397" s="105">
        <f>IF(B1397="Total",SUM(J$8:J1396)+0.0001,IF(OR(B1397="",I$2=I1397),0,VLOOKUP(A1397,Journal!$B$7:M$84,8)))</f>
        <v>0</v>
      </c>
      <c r="K1397" s="102">
        <f>IF(B1397="Total",SUM(K$8:K1396)+0.0001,IF(OR(B1397="",J1397&lt;&gt;0),0,VLOOKUP(A1397,Journal!$B$7:M$84,8)))</f>
        <v>0</v>
      </c>
      <c r="L1397" s="87">
        <f t="shared" si="161"/>
        <v>0</v>
      </c>
      <c r="P1397">
        <f t="shared" si="162"/>
        <v>1.0000000000000001E-5</v>
      </c>
      <c r="R1397" s="15">
        <f t="shared" si="163"/>
        <v>1390</v>
      </c>
      <c r="S1397" s="126">
        <f>IF(VLOOKUP(A1397,Journal!$A$7:$E$70,5)=0,S1396+1,VLOOKUP(A1397,Journal!$A$7:$E$70,5))</f>
        <v>47047</v>
      </c>
      <c r="T1397" s="125">
        <f>IF(H$2=VLOOKUP(A1397,Journal!$A$7:$F$70,6),VLOOKUP(A1397,Journal!$A$7:M$70,9),0)</f>
        <v>0</v>
      </c>
      <c r="U1397" s="125">
        <f>IF(H$2=VLOOKUP(A1397,Journal!$A$7:$G$70,7),VLOOKUP(A1397,Journal!$A$7:M$70,9),0)</f>
        <v>0</v>
      </c>
      <c r="V1397" s="125">
        <f t="shared" si="159"/>
        <v>40</v>
      </c>
      <c r="X1397">
        <f t="shared" si="164"/>
        <v>0</v>
      </c>
      <c r="Y1397" s="143">
        <f t="shared" si="158"/>
        <v>-963.50000000005809</v>
      </c>
    </row>
    <row r="1398" spans="1:25" x14ac:dyDescent="0.25">
      <c r="A1398">
        <f t="shared" si="160"/>
        <v>1391</v>
      </c>
      <c r="B1398" s="88" t="str">
        <f>IF(OR(B1397="Total",B1397=""),"",IF(VLOOKUP(A1398,Journal!$B$7:$E$84,4)=0,"Total",VLOOKUP(A1398,Journal!$B$7:$D$84,3)))</f>
        <v/>
      </c>
      <c r="C1398" s="86" t="str">
        <f>IF(B1398="","",VLOOKUP(A1398,Journal!$B$7:$E$84,4))</f>
        <v/>
      </c>
      <c r="D1398" s="114" t="str">
        <f>IF(B1398="","",VLOOKUP(A1398,Journal!$B$7:$J$84,9))</f>
        <v/>
      </c>
      <c r="E1398" s="116"/>
      <c r="F1398" s="116"/>
      <c r="G1398" s="115"/>
      <c r="H1398" s="84" t="str">
        <f>IF(B1398="","",VLOOKUP(A1398,Journal!$B$7:$L$84,11))</f>
        <v/>
      </c>
      <c r="I1398" s="84" t="str">
        <f>IF(B1398="","",VLOOKUP(A1398,Journal!$B$7:$M$84,12))</f>
        <v/>
      </c>
      <c r="J1398" s="105">
        <f>IF(B1398="Total",SUM(J$8:J1397)+0.0001,IF(OR(B1398="",I$2=I1398),0,VLOOKUP(A1398,Journal!$B$7:M$84,8)))</f>
        <v>0</v>
      </c>
      <c r="K1398" s="102">
        <f>IF(B1398="Total",SUM(K$8:K1397)+0.0001,IF(OR(B1398="",J1398&lt;&gt;0),0,VLOOKUP(A1398,Journal!$B$7:M$84,8)))</f>
        <v>0</v>
      </c>
      <c r="L1398" s="87">
        <f t="shared" si="161"/>
        <v>0</v>
      </c>
      <c r="P1398">
        <f t="shared" si="162"/>
        <v>1.0000000000000001E-5</v>
      </c>
      <c r="R1398" s="15">
        <f t="shared" si="163"/>
        <v>1391</v>
      </c>
      <c r="S1398" s="126">
        <f>IF(VLOOKUP(A1398,Journal!$A$7:$E$70,5)=0,S1397+1,VLOOKUP(A1398,Journal!$A$7:$E$70,5))</f>
        <v>47048</v>
      </c>
      <c r="T1398" s="125">
        <f>IF(H$2=VLOOKUP(A1398,Journal!$A$7:$F$70,6),VLOOKUP(A1398,Journal!$A$7:M$70,9),0)</f>
        <v>0</v>
      </c>
      <c r="U1398" s="125">
        <f>IF(H$2=VLOOKUP(A1398,Journal!$A$7:$G$70,7),VLOOKUP(A1398,Journal!$A$7:M$70,9),0)</f>
        <v>0</v>
      </c>
      <c r="V1398" s="125">
        <f t="shared" si="159"/>
        <v>40</v>
      </c>
      <c r="X1398">
        <f t="shared" si="164"/>
        <v>0</v>
      </c>
      <c r="Y1398" s="143">
        <f t="shared" si="158"/>
        <v>-963.47368421058445</v>
      </c>
    </row>
    <row r="1399" spans="1:25" x14ac:dyDescent="0.25">
      <c r="A1399">
        <f t="shared" si="160"/>
        <v>1392</v>
      </c>
      <c r="B1399" s="88" t="str">
        <f>IF(OR(B1398="Total",B1398=""),"",IF(VLOOKUP(A1399,Journal!$B$7:$E$84,4)=0,"Total",VLOOKUP(A1399,Journal!$B$7:$D$84,3)))</f>
        <v/>
      </c>
      <c r="C1399" s="86" t="str">
        <f>IF(B1399="","",VLOOKUP(A1399,Journal!$B$7:$E$84,4))</f>
        <v/>
      </c>
      <c r="D1399" s="114" t="str">
        <f>IF(B1399="","",VLOOKUP(A1399,Journal!$B$7:$J$84,9))</f>
        <v/>
      </c>
      <c r="E1399" s="116"/>
      <c r="F1399" s="116"/>
      <c r="G1399" s="115"/>
      <c r="H1399" s="84" t="str">
        <f>IF(B1399="","",VLOOKUP(A1399,Journal!$B$7:$L$84,11))</f>
        <v/>
      </c>
      <c r="I1399" s="84" t="str">
        <f>IF(B1399="","",VLOOKUP(A1399,Journal!$B$7:$M$84,12))</f>
        <v/>
      </c>
      <c r="J1399" s="105">
        <f>IF(B1399="Total",SUM(J$8:J1398)+0.0001,IF(OR(B1399="",I$2=I1399),0,VLOOKUP(A1399,Journal!$B$7:M$84,8)))</f>
        <v>0</v>
      </c>
      <c r="K1399" s="102">
        <f>IF(B1399="Total",SUM(K$8:K1398)+0.0001,IF(OR(B1399="",J1399&lt;&gt;0),0,VLOOKUP(A1399,Journal!$B$7:M$84,8)))</f>
        <v>0</v>
      </c>
      <c r="L1399" s="87">
        <f t="shared" si="161"/>
        <v>0</v>
      </c>
      <c r="P1399">
        <f t="shared" si="162"/>
        <v>1.0000000000000001E-5</v>
      </c>
      <c r="R1399" s="15">
        <f t="shared" si="163"/>
        <v>1392</v>
      </c>
      <c r="S1399" s="126">
        <f>IF(VLOOKUP(A1399,Journal!$A$7:$E$70,5)=0,S1398+1,VLOOKUP(A1399,Journal!$A$7:$E$70,5))</f>
        <v>47049</v>
      </c>
      <c r="T1399" s="125">
        <f>IF(H$2=VLOOKUP(A1399,Journal!$A$7:$F$70,6),VLOOKUP(A1399,Journal!$A$7:M$70,9),0)</f>
        <v>0</v>
      </c>
      <c r="U1399" s="125">
        <f>IF(H$2=VLOOKUP(A1399,Journal!$A$7:$G$70,7),VLOOKUP(A1399,Journal!$A$7:M$70,9),0)</f>
        <v>0</v>
      </c>
      <c r="V1399" s="125">
        <f t="shared" si="159"/>
        <v>40</v>
      </c>
      <c r="X1399">
        <f t="shared" si="164"/>
        <v>0</v>
      </c>
      <c r="Y1399" s="143">
        <f t="shared" si="158"/>
        <v>-963.44736842111081</v>
      </c>
    </row>
    <row r="1400" spans="1:25" x14ac:dyDescent="0.25">
      <c r="A1400">
        <f t="shared" si="160"/>
        <v>1393</v>
      </c>
      <c r="B1400" s="88" t="str">
        <f>IF(OR(B1399="Total",B1399=""),"",IF(VLOOKUP(A1400,Journal!$B$7:$E$84,4)=0,"Total",VLOOKUP(A1400,Journal!$B$7:$D$84,3)))</f>
        <v/>
      </c>
      <c r="C1400" s="86" t="str">
        <f>IF(B1400="","",VLOOKUP(A1400,Journal!$B$7:$E$84,4))</f>
        <v/>
      </c>
      <c r="D1400" s="114" t="str">
        <f>IF(B1400="","",VLOOKUP(A1400,Journal!$B$7:$J$84,9))</f>
        <v/>
      </c>
      <c r="E1400" s="116"/>
      <c r="F1400" s="116"/>
      <c r="G1400" s="115"/>
      <c r="H1400" s="84" t="str">
        <f>IF(B1400="","",VLOOKUP(A1400,Journal!$B$7:$L$84,11))</f>
        <v/>
      </c>
      <c r="I1400" s="84" t="str">
        <f>IF(B1400="","",VLOOKUP(A1400,Journal!$B$7:$M$84,12))</f>
        <v/>
      </c>
      <c r="J1400" s="105">
        <f>IF(B1400="Total",SUM(J$8:J1399)+0.0001,IF(OR(B1400="",I$2=I1400),0,VLOOKUP(A1400,Journal!$B$7:M$84,8)))</f>
        <v>0</v>
      </c>
      <c r="K1400" s="102">
        <f>IF(B1400="Total",SUM(K$8:K1399)+0.0001,IF(OR(B1400="",J1400&lt;&gt;0),0,VLOOKUP(A1400,Journal!$B$7:M$84,8)))</f>
        <v>0</v>
      </c>
      <c r="L1400" s="87">
        <f t="shared" si="161"/>
        <v>0</v>
      </c>
      <c r="P1400">
        <f t="shared" si="162"/>
        <v>1.0000000000000001E-5</v>
      </c>
      <c r="R1400" s="15">
        <f t="shared" si="163"/>
        <v>1393</v>
      </c>
      <c r="S1400" s="126">
        <f>IF(VLOOKUP(A1400,Journal!$A$7:$E$70,5)=0,S1399+1,VLOOKUP(A1400,Journal!$A$7:$E$70,5))</f>
        <v>47050</v>
      </c>
      <c r="T1400" s="125">
        <f>IF(H$2=VLOOKUP(A1400,Journal!$A$7:$F$70,6),VLOOKUP(A1400,Journal!$A$7:M$70,9),0)</f>
        <v>0</v>
      </c>
      <c r="U1400" s="125">
        <f>IF(H$2=VLOOKUP(A1400,Journal!$A$7:$G$70,7),VLOOKUP(A1400,Journal!$A$7:M$70,9),0)</f>
        <v>0</v>
      </c>
      <c r="V1400" s="125">
        <f t="shared" si="159"/>
        <v>40</v>
      </c>
      <c r="X1400">
        <f t="shared" si="164"/>
        <v>0</v>
      </c>
      <c r="Y1400" s="143">
        <f t="shared" si="158"/>
        <v>-963.42105263163717</v>
      </c>
    </row>
    <row r="1401" spans="1:25" x14ac:dyDescent="0.25">
      <c r="A1401">
        <f t="shared" si="160"/>
        <v>1394</v>
      </c>
      <c r="B1401" s="88" t="str">
        <f>IF(OR(B1400="Total",B1400=""),"",IF(VLOOKUP(A1401,Journal!$B$7:$E$84,4)=0,"Total",VLOOKUP(A1401,Journal!$B$7:$D$84,3)))</f>
        <v/>
      </c>
      <c r="C1401" s="86" t="str">
        <f>IF(B1401="","",VLOOKUP(A1401,Journal!$B$7:$E$84,4))</f>
        <v/>
      </c>
      <c r="D1401" s="114" t="str">
        <f>IF(B1401="","",VLOOKUP(A1401,Journal!$B$7:$J$84,9))</f>
        <v/>
      </c>
      <c r="E1401" s="116"/>
      <c r="F1401" s="116"/>
      <c r="G1401" s="115"/>
      <c r="H1401" s="84" t="str">
        <f>IF(B1401="","",VLOOKUP(A1401,Journal!$B$7:$L$84,11))</f>
        <v/>
      </c>
      <c r="I1401" s="84" t="str">
        <f>IF(B1401="","",VLOOKUP(A1401,Journal!$B$7:$M$84,12))</f>
        <v/>
      </c>
      <c r="J1401" s="105">
        <f>IF(B1401="Total",SUM(J$8:J1400)+0.0001,IF(OR(B1401="",I$2=I1401),0,VLOOKUP(A1401,Journal!$B$7:M$84,8)))</f>
        <v>0</v>
      </c>
      <c r="K1401" s="102">
        <f>IF(B1401="Total",SUM(K$8:K1400)+0.0001,IF(OR(B1401="",J1401&lt;&gt;0),0,VLOOKUP(A1401,Journal!$B$7:M$84,8)))</f>
        <v>0</v>
      </c>
      <c r="L1401" s="87">
        <f t="shared" si="161"/>
        <v>0</v>
      </c>
      <c r="P1401">
        <f t="shared" si="162"/>
        <v>1.0000000000000001E-5</v>
      </c>
      <c r="R1401" s="15">
        <f t="shared" si="163"/>
        <v>1394</v>
      </c>
      <c r="S1401" s="126">
        <f>IF(VLOOKUP(A1401,Journal!$A$7:$E$70,5)=0,S1400+1,VLOOKUP(A1401,Journal!$A$7:$E$70,5))</f>
        <v>47051</v>
      </c>
      <c r="T1401" s="125">
        <f>IF(H$2=VLOOKUP(A1401,Journal!$A$7:$F$70,6),VLOOKUP(A1401,Journal!$A$7:M$70,9),0)</f>
        <v>0</v>
      </c>
      <c r="U1401" s="125">
        <f>IF(H$2=VLOOKUP(A1401,Journal!$A$7:$G$70,7),VLOOKUP(A1401,Journal!$A$7:M$70,9),0)</f>
        <v>0</v>
      </c>
      <c r="V1401" s="125">
        <f t="shared" si="159"/>
        <v>40</v>
      </c>
      <c r="X1401">
        <f t="shared" si="164"/>
        <v>0</v>
      </c>
      <c r="Y1401" s="143">
        <f t="shared" si="158"/>
        <v>-963.39473684216352</v>
      </c>
    </row>
    <row r="1402" spans="1:25" x14ac:dyDescent="0.25">
      <c r="A1402">
        <f t="shared" si="160"/>
        <v>1395</v>
      </c>
      <c r="B1402" s="88" t="str">
        <f>IF(OR(B1401="Total",B1401=""),"",IF(VLOOKUP(A1402,Journal!$B$7:$E$84,4)=0,"Total",VLOOKUP(A1402,Journal!$B$7:$D$84,3)))</f>
        <v/>
      </c>
      <c r="C1402" s="86" t="str">
        <f>IF(B1402="","",VLOOKUP(A1402,Journal!$B$7:$E$84,4))</f>
        <v/>
      </c>
      <c r="D1402" s="114" t="str">
        <f>IF(B1402="","",VLOOKUP(A1402,Journal!$B$7:$J$84,9))</f>
        <v/>
      </c>
      <c r="E1402" s="116"/>
      <c r="F1402" s="116"/>
      <c r="G1402" s="115"/>
      <c r="H1402" s="84" t="str">
        <f>IF(B1402="","",VLOOKUP(A1402,Journal!$B$7:$L$84,11))</f>
        <v/>
      </c>
      <c r="I1402" s="84" t="str">
        <f>IF(B1402="","",VLOOKUP(A1402,Journal!$B$7:$M$84,12))</f>
        <v/>
      </c>
      <c r="J1402" s="105">
        <f>IF(B1402="Total",SUM(J$8:J1401)+0.0001,IF(OR(B1402="",I$2=I1402),0,VLOOKUP(A1402,Journal!$B$7:M$84,8)))</f>
        <v>0</v>
      </c>
      <c r="K1402" s="102">
        <f>IF(B1402="Total",SUM(K$8:K1401)+0.0001,IF(OR(B1402="",J1402&lt;&gt;0),0,VLOOKUP(A1402,Journal!$B$7:M$84,8)))</f>
        <v>0</v>
      </c>
      <c r="L1402" s="87">
        <f t="shared" si="161"/>
        <v>0</v>
      </c>
      <c r="P1402">
        <f t="shared" si="162"/>
        <v>1.0000000000000001E-5</v>
      </c>
      <c r="R1402" s="15">
        <f t="shared" si="163"/>
        <v>1395</v>
      </c>
      <c r="S1402" s="126">
        <f>IF(VLOOKUP(A1402,Journal!$A$7:$E$70,5)=0,S1401+1,VLOOKUP(A1402,Journal!$A$7:$E$70,5))</f>
        <v>47052</v>
      </c>
      <c r="T1402" s="125">
        <f>IF(H$2=VLOOKUP(A1402,Journal!$A$7:$F$70,6),VLOOKUP(A1402,Journal!$A$7:M$70,9),0)</f>
        <v>0</v>
      </c>
      <c r="U1402" s="125">
        <f>IF(H$2=VLOOKUP(A1402,Journal!$A$7:$G$70,7),VLOOKUP(A1402,Journal!$A$7:M$70,9),0)</f>
        <v>0</v>
      </c>
      <c r="V1402" s="125">
        <f t="shared" si="159"/>
        <v>40</v>
      </c>
      <c r="X1402">
        <f t="shared" si="164"/>
        <v>0</v>
      </c>
      <c r="Y1402" s="143">
        <f t="shared" si="158"/>
        <v>-963.36842105268988</v>
      </c>
    </row>
    <row r="1403" spans="1:25" x14ac:dyDescent="0.25">
      <c r="A1403">
        <f t="shared" si="160"/>
        <v>1396</v>
      </c>
      <c r="B1403" s="88" t="str">
        <f>IF(OR(B1402="Total",B1402=""),"",IF(VLOOKUP(A1403,Journal!$B$7:$E$84,4)=0,"Total",VLOOKUP(A1403,Journal!$B$7:$D$84,3)))</f>
        <v/>
      </c>
      <c r="C1403" s="86" t="str">
        <f>IF(B1403="","",VLOOKUP(A1403,Journal!$B$7:$E$84,4))</f>
        <v/>
      </c>
      <c r="D1403" s="114" t="str">
        <f>IF(B1403="","",VLOOKUP(A1403,Journal!$B$7:$J$84,9))</f>
        <v/>
      </c>
      <c r="E1403" s="116"/>
      <c r="F1403" s="116"/>
      <c r="G1403" s="115"/>
      <c r="H1403" s="84" t="str">
        <f>IF(B1403="","",VLOOKUP(A1403,Journal!$B$7:$L$84,11))</f>
        <v/>
      </c>
      <c r="I1403" s="84" t="str">
        <f>IF(B1403="","",VLOOKUP(A1403,Journal!$B$7:$M$84,12))</f>
        <v/>
      </c>
      <c r="J1403" s="105">
        <f>IF(B1403="Total",SUM(J$8:J1402)+0.0001,IF(OR(B1403="",I$2=I1403),0,VLOOKUP(A1403,Journal!$B$7:M$84,8)))</f>
        <v>0</v>
      </c>
      <c r="K1403" s="102">
        <f>IF(B1403="Total",SUM(K$8:K1402)+0.0001,IF(OR(B1403="",J1403&lt;&gt;0),0,VLOOKUP(A1403,Journal!$B$7:M$84,8)))</f>
        <v>0</v>
      </c>
      <c r="L1403" s="87">
        <f t="shared" si="161"/>
        <v>0</v>
      </c>
      <c r="P1403">
        <f t="shared" si="162"/>
        <v>1.0000000000000001E-5</v>
      </c>
      <c r="R1403" s="15">
        <f t="shared" si="163"/>
        <v>1396</v>
      </c>
      <c r="S1403" s="126">
        <f>IF(VLOOKUP(A1403,Journal!$A$7:$E$70,5)=0,S1402+1,VLOOKUP(A1403,Journal!$A$7:$E$70,5))</f>
        <v>47053</v>
      </c>
      <c r="T1403" s="125">
        <f>IF(H$2=VLOOKUP(A1403,Journal!$A$7:$F$70,6),VLOOKUP(A1403,Journal!$A$7:M$70,9),0)</f>
        <v>0</v>
      </c>
      <c r="U1403" s="125">
        <f>IF(H$2=VLOOKUP(A1403,Journal!$A$7:$G$70,7),VLOOKUP(A1403,Journal!$A$7:M$70,9),0)</f>
        <v>0</v>
      </c>
      <c r="V1403" s="125">
        <f t="shared" si="159"/>
        <v>40</v>
      </c>
      <c r="X1403">
        <f t="shared" si="164"/>
        <v>0</v>
      </c>
      <c r="Y1403" s="143">
        <f t="shared" si="158"/>
        <v>-963.34210526321624</v>
      </c>
    </row>
    <row r="1404" spans="1:25" x14ac:dyDescent="0.25">
      <c r="A1404">
        <f t="shared" si="160"/>
        <v>1397</v>
      </c>
      <c r="B1404" s="88" t="str">
        <f>IF(OR(B1403="Total",B1403=""),"",IF(VLOOKUP(A1404,Journal!$B$7:$E$84,4)=0,"Total",VLOOKUP(A1404,Journal!$B$7:$D$84,3)))</f>
        <v/>
      </c>
      <c r="C1404" s="86" t="str">
        <f>IF(B1404="","",VLOOKUP(A1404,Journal!$B$7:$E$84,4))</f>
        <v/>
      </c>
      <c r="D1404" s="114" t="str">
        <f>IF(B1404="","",VLOOKUP(A1404,Journal!$B$7:$J$84,9))</f>
        <v/>
      </c>
      <c r="E1404" s="116"/>
      <c r="F1404" s="116"/>
      <c r="G1404" s="115"/>
      <c r="H1404" s="84" t="str">
        <f>IF(B1404="","",VLOOKUP(A1404,Journal!$B$7:$L$84,11))</f>
        <v/>
      </c>
      <c r="I1404" s="84" t="str">
        <f>IF(B1404="","",VLOOKUP(A1404,Journal!$B$7:$M$84,12))</f>
        <v/>
      </c>
      <c r="J1404" s="105">
        <f>IF(B1404="Total",SUM(J$8:J1403)+0.0001,IF(OR(B1404="",I$2=I1404),0,VLOOKUP(A1404,Journal!$B$7:M$84,8)))</f>
        <v>0</v>
      </c>
      <c r="K1404" s="102">
        <f>IF(B1404="Total",SUM(K$8:K1403)+0.0001,IF(OR(B1404="",J1404&lt;&gt;0),0,VLOOKUP(A1404,Journal!$B$7:M$84,8)))</f>
        <v>0</v>
      </c>
      <c r="L1404" s="87">
        <f t="shared" si="161"/>
        <v>0</v>
      </c>
      <c r="P1404">
        <f t="shared" si="162"/>
        <v>1.0000000000000001E-5</v>
      </c>
      <c r="R1404" s="15">
        <f t="shared" si="163"/>
        <v>1397</v>
      </c>
      <c r="S1404" s="126">
        <f>IF(VLOOKUP(A1404,Journal!$A$7:$E$70,5)=0,S1403+1,VLOOKUP(A1404,Journal!$A$7:$E$70,5))</f>
        <v>47054</v>
      </c>
      <c r="T1404" s="125">
        <f>IF(H$2=VLOOKUP(A1404,Journal!$A$7:$F$70,6),VLOOKUP(A1404,Journal!$A$7:M$70,9),0)</f>
        <v>0</v>
      </c>
      <c r="U1404" s="125">
        <f>IF(H$2=VLOOKUP(A1404,Journal!$A$7:$G$70,7),VLOOKUP(A1404,Journal!$A$7:M$70,9),0)</f>
        <v>0</v>
      </c>
      <c r="V1404" s="125">
        <f t="shared" si="159"/>
        <v>40</v>
      </c>
      <c r="X1404">
        <f t="shared" si="164"/>
        <v>0</v>
      </c>
      <c r="Y1404" s="143">
        <f t="shared" si="158"/>
        <v>-963.3157894737426</v>
      </c>
    </row>
    <row r="1405" spans="1:25" x14ac:dyDescent="0.25">
      <c r="A1405">
        <f t="shared" si="160"/>
        <v>1398</v>
      </c>
      <c r="B1405" s="88" t="str">
        <f>IF(OR(B1404="Total",B1404=""),"",IF(VLOOKUP(A1405,Journal!$B$7:$E$84,4)=0,"Total",VLOOKUP(A1405,Journal!$B$7:$D$84,3)))</f>
        <v/>
      </c>
      <c r="C1405" s="86" t="str">
        <f>IF(B1405="","",VLOOKUP(A1405,Journal!$B$7:$E$84,4))</f>
        <v/>
      </c>
      <c r="D1405" s="114" t="str">
        <f>IF(B1405="","",VLOOKUP(A1405,Journal!$B$7:$J$84,9))</f>
        <v/>
      </c>
      <c r="E1405" s="116"/>
      <c r="F1405" s="116"/>
      <c r="G1405" s="115"/>
      <c r="H1405" s="84" t="str">
        <f>IF(B1405="","",VLOOKUP(A1405,Journal!$B$7:$L$84,11))</f>
        <v/>
      </c>
      <c r="I1405" s="84" t="str">
        <f>IF(B1405="","",VLOOKUP(A1405,Journal!$B$7:$M$84,12))</f>
        <v/>
      </c>
      <c r="J1405" s="105">
        <f>IF(B1405="Total",SUM(J$8:J1404)+0.0001,IF(OR(B1405="",I$2=I1405),0,VLOOKUP(A1405,Journal!$B$7:M$84,8)))</f>
        <v>0</v>
      </c>
      <c r="K1405" s="102">
        <f>IF(B1405="Total",SUM(K$8:K1404)+0.0001,IF(OR(B1405="",J1405&lt;&gt;0),0,VLOOKUP(A1405,Journal!$B$7:M$84,8)))</f>
        <v>0</v>
      </c>
      <c r="L1405" s="87">
        <f t="shared" si="161"/>
        <v>0</v>
      </c>
      <c r="P1405">
        <f t="shared" si="162"/>
        <v>1.0000000000000001E-5</v>
      </c>
      <c r="R1405" s="15">
        <f t="shared" si="163"/>
        <v>1398</v>
      </c>
      <c r="S1405" s="126">
        <f>IF(VLOOKUP(A1405,Journal!$A$7:$E$70,5)=0,S1404+1,VLOOKUP(A1405,Journal!$A$7:$E$70,5))</f>
        <v>47055</v>
      </c>
      <c r="T1405" s="125">
        <f>IF(H$2=VLOOKUP(A1405,Journal!$A$7:$F$70,6),VLOOKUP(A1405,Journal!$A$7:M$70,9),0)</f>
        <v>0</v>
      </c>
      <c r="U1405" s="125">
        <f>IF(H$2=VLOOKUP(A1405,Journal!$A$7:$G$70,7),VLOOKUP(A1405,Journal!$A$7:M$70,9),0)</f>
        <v>0</v>
      </c>
      <c r="V1405" s="125">
        <f t="shared" si="159"/>
        <v>40</v>
      </c>
      <c r="X1405">
        <f t="shared" si="164"/>
        <v>0</v>
      </c>
      <c r="Y1405" s="143">
        <f t="shared" si="158"/>
        <v>-963.28947368426896</v>
      </c>
    </row>
    <row r="1406" spans="1:25" x14ac:dyDescent="0.25">
      <c r="A1406">
        <f t="shared" si="160"/>
        <v>1399</v>
      </c>
      <c r="B1406" s="88" t="str">
        <f>IF(OR(B1405="Total",B1405=""),"",IF(VLOOKUP(A1406,Journal!$B$7:$E$84,4)=0,"Total",VLOOKUP(A1406,Journal!$B$7:$D$84,3)))</f>
        <v/>
      </c>
      <c r="C1406" s="86" t="str">
        <f>IF(B1406="","",VLOOKUP(A1406,Journal!$B$7:$E$84,4))</f>
        <v/>
      </c>
      <c r="D1406" s="114" t="str">
        <f>IF(B1406="","",VLOOKUP(A1406,Journal!$B$7:$J$84,9))</f>
        <v/>
      </c>
      <c r="E1406" s="116"/>
      <c r="F1406" s="116"/>
      <c r="G1406" s="115"/>
      <c r="H1406" s="84" t="str">
        <f>IF(B1406="","",VLOOKUP(A1406,Journal!$B$7:$L$84,11))</f>
        <v/>
      </c>
      <c r="I1406" s="84" t="str">
        <f>IF(B1406="","",VLOOKUP(A1406,Journal!$B$7:$M$84,12))</f>
        <v/>
      </c>
      <c r="J1406" s="105">
        <f>IF(B1406="Total",SUM(J$8:J1405)+0.0001,IF(OR(B1406="",I$2=I1406),0,VLOOKUP(A1406,Journal!$B$7:M$84,8)))</f>
        <v>0</v>
      </c>
      <c r="K1406" s="102">
        <f>IF(B1406="Total",SUM(K$8:K1405)+0.0001,IF(OR(B1406="",J1406&lt;&gt;0),0,VLOOKUP(A1406,Journal!$B$7:M$84,8)))</f>
        <v>0</v>
      </c>
      <c r="L1406" s="87">
        <f t="shared" si="161"/>
        <v>0</v>
      </c>
      <c r="P1406">
        <f t="shared" si="162"/>
        <v>1.0000000000000001E-5</v>
      </c>
      <c r="R1406" s="15">
        <f t="shared" si="163"/>
        <v>1399</v>
      </c>
      <c r="S1406" s="126">
        <f>IF(VLOOKUP(A1406,Journal!$A$7:$E$70,5)=0,S1405+1,VLOOKUP(A1406,Journal!$A$7:$E$70,5))</f>
        <v>47056</v>
      </c>
      <c r="T1406" s="125">
        <f>IF(H$2=VLOOKUP(A1406,Journal!$A$7:$F$70,6),VLOOKUP(A1406,Journal!$A$7:M$70,9),0)</f>
        <v>0</v>
      </c>
      <c r="U1406" s="125">
        <f>IF(H$2=VLOOKUP(A1406,Journal!$A$7:$G$70,7),VLOOKUP(A1406,Journal!$A$7:M$70,9),0)</f>
        <v>0</v>
      </c>
      <c r="V1406" s="125">
        <f t="shared" si="159"/>
        <v>40</v>
      </c>
      <c r="X1406">
        <f t="shared" si="164"/>
        <v>0</v>
      </c>
      <c r="Y1406" s="143">
        <f t="shared" si="158"/>
        <v>-963.26315789479531</v>
      </c>
    </row>
    <row r="1407" spans="1:25" x14ac:dyDescent="0.25">
      <c r="A1407">
        <f t="shared" si="160"/>
        <v>1400</v>
      </c>
      <c r="B1407" s="88" t="str">
        <f>IF(OR(B1406="Total",B1406=""),"",IF(VLOOKUP(A1407,Journal!$B$7:$E$84,4)=0,"Total",VLOOKUP(A1407,Journal!$B$7:$D$84,3)))</f>
        <v/>
      </c>
      <c r="C1407" s="86" t="str">
        <f>IF(B1407="","",VLOOKUP(A1407,Journal!$B$7:$E$84,4))</f>
        <v/>
      </c>
      <c r="D1407" s="114" t="str">
        <f>IF(B1407="","",VLOOKUP(A1407,Journal!$B$7:$J$84,9))</f>
        <v/>
      </c>
      <c r="E1407" s="116"/>
      <c r="F1407" s="116"/>
      <c r="G1407" s="115"/>
      <c r="H1407" s="84" t="str">
        <f>IF(B1407="","",VLOOKUP(A1407,Journal!$B$7:$L$84,11))</f>
        <v/>
      </c>
      <c r="I1407" s="84" t="str">
        <f>IF(B1407="","",VLOOKUP(A1407,Journal!$B$7:$M$84,12))</f>
        <v/>
      </c>
      <c r="J1407" s="105">
        <f>IF(B1407="Total",SUM(J$8:J1406)+0.0001,IF(OR(B1407="",I$2=I1407),0,VLOOKUP(A1407,Journal!$B$7:M$84,8)))</f>
        <v>0</v>
      </c>
      <c r="K1407" s="102">
        <f>IF(B1407="Total",SUM(K$8:K1406)+0.0001,IF(OR(B1407="",J1407&lt;&gt;0),0,VLOOKUP(A1407,Journal!$B$7:M$84,8)))</f>
        <v>0</v>
      </c>
      <c r="L1407" s="87">
        <f t="shared" si="161"/>
        <v>0</v>
      </c>
      <c r="P1407">
        <f t="shared" si="162"/>
        <v>1.0000000000000001E-5</v>
      </c>
      <c r="R1407" s="15">
        <f t="shared" si="163"/>
        <v>1400</v>
      </c>
      <c r="S1407" s="126">
        <f>IF(VLOOKUP(A1407,Journal!$A$7:$E$70,5)=0,S1406+1,VLOOKUP(A1407,Journal!$A$7:$E$70,5))</f>
        <v>47057</v>
      </c>
      <c r="T1407" s="125">
        <f>IF(H$2=VLOOKUP(A1407,Journal!$A$7:$F$70,6),VLOOKUP(A1407,Journal!$A$7:M$70,9),0)</f>
        <v>0</v>
      </c>
      <c r="U1407" s="125">
        <f>IF(H$2=VLOOKUP(A1407,Journal!$A$7:$G$70,7),VLOOKUP(A1407,Journal!$A$7:M$70,9),0)</f>
        <v>0</v>
      </c>
      <c r="V1407" s="125">
        <f t="shared" si="159"/>
        <v>40</v>
      </c>
      <c r="X1407">
        <f t="shared" si="164"/>
        <v>0</v>
      </c>
      <c r="Y1407" s="143">
        <f t="shared" si="158"/>
        <v>-963.23684210532167</v>
      </c>
    </row>
    <row r="1408" spans="1:25" x14ac:dyDescent="0.25">
      <c r="A1408">
        <f t="shared" si="160"/>
        <v>1401</v>
      </c>
      <c r="B1408" s="88" t="str">
        <f>IF(OR(B1407="Total",B1407=""),"",IF(VLOOKUP(A1408,Journal!$B$7:$E$84,4)=0,"Total",VLOOKUP(A1408,Journal!$B$7:$D$84,3)))</f>
        <v/>
      </c>
      <c r="C1408" s="86" t="str">
        <f>IF(B1408="","",VLOOKUP(A1408,Journal!$B$7:$E$84,4))</f>
        <v/>
      </c>
      <c r="D1408" s="114" t="str">
        <f>IF(B1408="","",VLOOKUP(A1408,Journal!$B$7:$J$84,9))</f>
        <v/>
      </c>
      <c r="E1408" s="116"/>
      <c r="F1408" s="116"/>
      <c r="G1408" s="115"/>
      <c r="H1408" s="84" t="str">
        <f>IF(B1408="","",VLOOKUP(A1408,Journal!$B$7:$L$84,11))</f>
        <v/>
      </c>
      <c r="I1408" s="84" t="str">
        <f>IF(B1408="","",VLOOKUP(A1408,Journal!$B$7:$M$84,12))</f>
        <v/>
      </c>
      <c r="J1408" s="105">
        <f>IF(B1408="Total",SUM(J$8:J1407)+0.0001,IF(OR(B1408="",I$2=I1408),0,VLOOKUP(A1408,Journal!$B$7:M$84,8)))</f>
        <v>0</v>
      </c>
      <c r="K1408" s="102">
        <f>IF(B1408="Total",SUM(K$8:K1407)+0.0001,IF(OR(B1408="",J1408&lt;&gt;0),0,VLOOKUP(A1408,Journal!$B$7:M$84,8)))</f>
        <v>0</v>
      </c>
      <c r="L1408" s="87">
        <f t="shared" si="161"/>
        <v>0</v>
      </c>
      <c r="P1408">
        <f t="shared" si="162"/>
        <v>1.0000000000000001E-5</v>
      </c>
      <c r="R1408" s="15">
        <f t="shared" si="163"/>
        <v>1401</v>
      </c>
      <c r="S1408" s="126">
        <f>IF(VLOOKUP(A1408,Journal!$A$7:$E$70,5)=0,S1407+1,VLOOKUP(A1408,Journal!$A$7:$E$70,5))</f>
        <v>47058</v>
      </c>
      <c r="T1408" s="125">
        <f>IF(H$2=VLOOKUP(A1408,Journal!$A$7:$F$70,6),VLOOKUP(A1408,Journal!$A$7:M$70,9),0)</f>
        <v>0</v>
      </c>
      <c r="U1408" s="125">
        <f>IF(H$2=VLOOKUP(A1408,Journal!$A$7:$G$70,7),VLOOKUP(A1408,Journal!$A$7:M$70,9),0)</f>
        <v>0</v>
      </c>
      <c r="V1408" s="125">
        <f t="shared" si="159"/>
        <v>40</v>
      </c>
      <c r="X1408">
        <f t="shared" si="164"/>
        <v>0</v>
      </c>
      <c r="Y1408" s="143">
        <f t="shared" si="158"/>
        <v>-963.21052631584803</v>
      </c>
    </row>
    <row r="1409" spans="1:25" x14ac:dyDescent="0.25">
      <c r="A1409">
        <f t="shared" si="160"/>
        <v>1402</v>
      </c>
      <c r="B1409" s="88" t="str">
        <f>IF(OR(B1408="Total",B1408=""),"",IF(VLOOKUP(A1409,Journal!$B$7:$E$84,4)=0,"Total",VLOOKUP(A1409,Journal!$B$7:$D$84,3)))</f>
        <v/>
      </c>
      <c r="C1409" s="86" t="str">
        <f>IF(B1409="","",VLOOKUP(A1409,Journal!$B$7:$E$84,4))</f>
        <v/>
      </c>
      <c r="D1409" s="114" t="str">
        <f>IF(B1409="","",VLOOKUP(A1409,Journal!$B$7:$J$84,9))</f>
        <v/>
      </c>
      <c r="E1409" s="116"/>
      <c r="F1409" s="116"/>
      <c r="G1409" s="115"/>
      <c r="H1409" s="84" t="str">
        <f>IF(B1409="","",VLOOKUP(A1409,Journal!$B$7:$L$84,11))</f>
        <v/>
      </c>
      <c r="I1409" s="84" t="str">
        <f>IF(B1409="","",VLOOKUP(A1409,Journal!$B$7:$M$84,12))</f>
        <v/>
      </c>
      <c r="J1409" s="105">
        <f>IF(B1409="Total",SUM(J$8:J1408)+0.0001,IF(OR(B1409="",I$2=I1409),0,VLOOKUP(A1409,Journal!$B$7:M$84,8)))</f>
        <v>0</v>
      </c>
      <c r="K1409" s="102">
        <f>IF(B1409="Total",SUM(K$8:K1408)+0.0001,IF(OR(B1409="",J1409&lt;&gt;0),0,VLOOKUP(A1409,Journal!$B$7:M$84,8)))</f>
        <v>0</v>
      </c>
      <c r="L1409" s="87">
        <f t="shared" si="161"/>
        <v>0</v>
      </c>
      <c r="P1409">
        <f t="shared" si="162"/>
        <v>1.0000000000000001E-5</v>
      </c>
      <c r="R1409" s="15">
        <f t="shared" si="163"/>
        <v>1402</v>
      </c>
      <c r="S1409" s="126">
        <f>IF(VLOOKUP(A1409,Journal!$A$7:$E$70,5)=0,S1408+1,VLOOKUP(A1409,Journal!$A$7:$E$70,5))</f>
        <v>47059</v>
      </c>
      <c r="T1409" s="125">
        <f>IF(H$2=VLOOKUP(A1409,Journal!$A$7:$F$70,6),VLOOKUP(A1409,Journal!$A$7:M$70,9),0)</f>
        <v>0</v>
      </c>
      <c r="U1409" s="125">
        <f>IF(H$2=VLOOKUP(A1409,Journal!$A$7:$G$70,7),VLOOKUP(A1409,Journal!$A$7:M$70,9),0)</f>
        <v>0</v>
      </c>
      <c r="V1409" s="125">
        <f t="shared" si="159"/>
        <v>40</v>
      </c>
      <c r="X1409">
        <f t="shared" si="164"/>
        <v>0</v>
      </c>
      <c r="Y1409" s="143">
        <f t="shared" si="158"/>
        <v>-963.18421052637439</v>
      </c>
    </row>
    <row r="1410" spans="1:25" x14ac:dyDescent="0.25">
      <c r="A1410">
        <f t="shared" si="160"/>
        <v>1403</v>
      </c>
      <c r="B1410" s="88" t="str">
        <f>IF(OR(B1409="Total",B1409=""),"",IF(VLOOKUP(A1410,Journal!$B$7:$E$84,4)=0,"Total",VLOOKUP(A1410,Journal!$B$7:$D$84,3)))</f>
        <v/>
      </c>
      <c r="C1410" s="86" t="str">
        <f>IF(B1410="","",VLOOKUP(A1410,Journal!$B$7:$E$84,4))</f>
        <v/>
      </c>
      <c r="D1410" s="114" t="str">
        <f>IF(B1410="","",VLOOKUP(A1410,Journal!$B$7:$J$84,9))</f>
        <v/>
      </c>
      <c r="E1410" s="116"/>
      <c r="F1410" s="116"/>
      <c r="G1410" s="115"/>
      <c r="H1410" s="84" t="str">
        <f>IF(B1410="","",VLOOKUP(A1410,Journal!$B$7:$L$84,11))</f>
        <v/>
      </c>
      <c r="I1410" s="84" t="str">
        <f>IF(B1410="","",VLOOKUP(A1410,Journal!$B$7:$M$84,12))</f>
        <v/>
      </c>
      <c r="J1410" s="105">
        <f>IF(B1410="Total",SUM(J$8:J1409)+0.0001,IF(OR(B1410="",I$2=I1410),0,VLOOKUP(A1410,Journal!$B$7:M$84,8)))</f>
        <v>0</v>
      </c>
      <c r="K1410" s="102">
        <f>IF(B1410="Total",SUM(K$8:K1409)+0.0001,IF(OR(B1410="",J1410&lt;&gt;0),0,VLOOKUP(A1410,Journal!$B$7:M$84,8)))</f>
        <v>0</v>
      </c>
      <c r="L1410" s="87">
        <f t="shared" si="161"/>
        <v>0</v>
      </c>
      <c r="P1410">
        <f t="shared" si="162"/>
        <v>1.0000000000000001E-5</v>
      </c>
      <c r="R1410" s="15">
        <f t="shared" si="163"/>
        <v>1403</v>
      </c>
      <c r="S1410" s="126">
        <f>IF(VLOOKUP(A1410,Journal!$A$7:$E$70,5)=0,S1409+1,VLOOKUP(A1410,Journal!$A$7:$E$70,5))</f>
        <v>47060</v>
      </c>
      <c r="T1410" s="125">
        <f>IF(H$2=VLOOKUP(A1410,Journal!$A$7:$F$70,6),VLOOKUP(A1410,Journal!$A$7:M$70,9),0)</f>
        <v>0</v>
      </c>
      <c r="U1410" s="125">
        <f>IF(H$2=VLOOKUP(A1410,Journal!$A$7:$G$70,7),VLOOKUP(A1410,Journal!$A$7:M$70,9),0)</f>
        <v>0</v>
      </c>
      <c r="V1410" s="125">
        <f t="shared" si="159"/>
        <v>40</v>
      </c>
      <c r="X1410">
        <f t="shared" si="164"/>
        <v>0</v>
      </c>
      <c r="Y1410" s="143">
        <f t="shared" si="158"/>
        <v>-963.15789473690074</v>
      </c>
    </row>
    <row r="1411" spans="1:25" x14ac:dyDescent="0.25">
      <c r="A1411">
        <f t="shared" si="160"/>
        <v>1404</v>
      </c>
      <c r="B1411" s="88" t="str">
        <f>IF(OR(B1410="Total",B1410=""),"",IF(VLOOKUP(A1411,Journal!$B$7:$E$84,4)=0,"Total",VLOOKUP(A1411,Journal!$B$7:$D$84,3)))</f>
        <v/>
      </c>
      <c r="C1411" s="86" t="str">
        <f>IF(B1411="","",VLOOKUP(A1411,Journal!$B$7:$E$84,4))</f>
        <v/>
      </c>
      <c r="D1411" s="114" t="str">
        <f>IF(B1411="","",VLOOKUP(A1411,Journal!$B$7:$J$84,9))</f>
        <v/>
      </c>
      <c r="E1411" s="116"/>
      <c r="F1411" s="116"/>
      <c r="G1411" s="115"/>
      <c r="H1411" s="84" t="str">
        <f>IF(B1411="","",VLOOKUP(A1411,Journal!$B$7:$L$84,11))</f>
        <v/>
      </c>
      <c r="I1411" s="84" t="str">
        <f>IF(B1411="","",VLOOKUP(A1411,Journal!$B$7:$M$84,12))</f>
        <v/>
      </c>
      <c r="J1411" s="105">
        <f>IF(B1411="Total",SUM(J$8:J1410)+0.0001,IF(OR(B1411="",I$2=I1411),0,VLOOKUP(A1411,Journal!$B$7:M$84,8)))</f>
        <v>0</v>
      </c>
      <c r="K1411" s="102">
        <f>IF(B1411="Total",SUM(K$8:K1410)+0.0001,IF(OR(B1411="",J1411&lt;&gt;0),0,VLOOKUP(A1411,Journal!$B$7:M$84,8)))</f>
        <v>0</v>
      </c>
      <c r="L1411" s="87">
        <f t="shared" si="161"/>
        <v>0</v>
      </c>
      <c r="P1411">
        <f t="shared" si="162"/>
        <v>1.0000000000000001E-5</v>
      </c>
      <c r="R1411" s="15">
        <f t="shared" si="163"/>
        <v>1404</v>
      </c>
      <c r="S1411" s="126">
        <f>IF(VLOOKUP(A1411,Journal!$A$7:$E$70,5)=0,S1410+1,VLOOKUP(A1411,Journal!$A$7:$E$70,5))</f>
        <v>47061</v>
      </c>
      <c r="T1411" s="125">
        <f>IF(H$2=VLOOKUP(A1411,Journal!$A$7:$F$70,6),VLOOKUP(A1411,Journal!$A$7:M$70,9),0)</f>
        <v>0</v>
      </c>
      <c r="U1411" s="125">
        <f>IF(H$2=VLOOKUP(A1411,Journal!$A$7:$G$70,7),VLOOKUP(A1411,Journal!$A$7:M$70,9),0)</f>
        <v>0</v>
      </c>
      <c r="V1411" s="125">
        <f t="shared" si="159"/>
        <v>40</v>
      </c>
      <c r="X1411">
        <f t="shared" si="164"/>
        <v>0</v>
      </c>
      <c r="Y1411" s="143">
        <f t="shared" si="158"/>
        <v>-963.1315789474271</v>
      </c>
    </row>
    <row r="1412" spans="1:25" x14ac:dyDescent="0.25">
      <c r="A1412">
        <f t="shared" si="160"/>
        <v>1405</v>
      </c>
      <c r="B1412" s="88" t="str">
        <f>IF(OR(B1411="Total",B1411=""),"",IF(VLOOKUP(A1412,Journal!$B$7:$E$84,4)=0,"Total",VLOOKUP(A1412,Journal!$B$7:$D$84,3)))</f>
        <v/>
      </c>
      <c r="C1412" s="86" t="str">
        <f>IF(B1412="","",VLOOKUP(A1412,Journal!$B$7:$E$84,4))</f>
        <v/>
      </c>
      <c r="D1412" s="114" t="str">
        <f>IF(B1412="","",VLOOKUP(A1412,Journal!$B$7:$J$84,9))</f>
        <v/>
      </c>
      <c r="E1412" s="116"/>
      <c r="F1412" s="116"/>
      <c r="G1412" s="115"/>
      <c r="H1412" s="84" t="str">
        <f>IF(B1412="","",VLOOKUP(A1412,Journal!$B$7:$L$84,11))</f>
        <v/>
      </c>
      <c r="I1412" s="84" t="str">
        <f>IF(B1412="","",VLOOKUP(A1412,Journal!$B$7:$M$84,12))</f>
        <v/>
      </c>
      <c r="J1412" s="105">
        <f>IF(B1412="Total",SUM(J$8:J1411)+0.0001,IF(OR(B1412="",I$2=I1412),0,VLOOKUP(A1412,Journal!$B$7:M$84,8)))</f>
        <v>0</v>
      </c>
      <c r="K1412" s="102">
        <f>IF(B1412="Total",SUM(K$8:K1411)+0.0001,IF(OR(B1412="",J1412&lt;&gt;0),0,VLOOKUP(A1412,Journal!$B$7:M$84,8)))</f>
        <v>0</v>
      </c>
      <c r="L1412" s="87">
        <f t="shared" si="161"/>
        <v>0</v>
      </c>
      <c r="P1412">
        <f t="shared" si="162"/>
        <v>1.0000000000000001E-5</v>
      </c>
      <c r="R1412" s="15">
        <f t="shared" si="163"/>
        <v>1405</v>
      </c>
      <c r="S1412" s="126">
        <f>IF(VLOOKUP(A1412,Journal!$A$7:$E$70,5)=0,S1411+1,VLOOKUP(A1412,Journal!$A$7:$E$70,5))</f>
        <v>47062</v>
      </c>
      <c r="T1412" s="125">
        <f>IF(H$2=VLOOKUP(A1412,Journal!$A$7:$F$70,6),VLOOKUP(A1412,Journal!$A$7:M$70,9),0)</f>
        <v>0</v>
      </c>
      <c r="U1412" s="125">
        <f>IF(H$2=VLOOKUP(A1412,Journal!$A$7:$G$70,7),VLOOKUP(A1412,Journal!$A$7:M$70,9),0)</f>
        <v>0</v>
      </c>
      <c r="V1412" s="125">
        <f t="shared" si="159"/>
        <v>40</v>
      </c>
      <c r="X1412">
        <f t="shared" si="164"/>
        <v>0</v>
      </c>
      <c r="Y1412" s="143">
        <f t="shared" si="158"/>
        <v>-963.10526315795346</v>
      </c>
    </row>
    <row r="1413" spans="1:25" x14ac:dyDescent="0.25">
      <c r="A1413">
        <f t="shared" si="160"/>
        <v>1406</v>
      </c>
      <c r="B1413" s="88" t="str">
        <f>IF(OR(B1412="Total",B1412=""),"",IF(VLOOKUP(A1413,Journal!$B$7:$E$84,4)=0,"Total",VLOOKUP(A1413,Journal!$B$7:$D$84,3)))</f>
        <v/>
      </c>
      <c r="C1413" s="86" t="str">
        <f>IF(B1413="","",VLOOKUP(A1413,Journal!$B$7:$E$84,4))</f>
        <v/>
      </c>
      <c r="D1413" s="114" t="str">
        <f>IF(B1413="","",VLOOKUP(A1413,Journal!$B$7:$J$84,9))</f>
        <v/>
      </c>
      <c r="E1413" s="116"/>
      <c r="F1413" s="116"/>
      <c r="G1413" s="115"/>
      <c r="H1413" s="84" t="str">
        <f>IF(B1413="","",VLOOKUP(A1413,Journal!$B$7:$L$84,11))</f>
        <v/>
      </c>
      <c r="I1413" s="84" t="str">
        <f>IF(B1413="","",VLOOKUP(A1413,Journal!$B$7:$M$84,12))</f>
        <v/>
      </c>
      <c r="J1413" s="105">
        <f>IF(B1413="Total",SUM(J$8:J1412)+0.0001,IF(OR(B1413="",I$2=I1413),0,VLOOKUP(A1413,Journal!$B$7:M$84,8)))</f>
        <v>0</v>
      </c>
      <c r="K1413" s="102">
        <f>IF(B1413="Total",SUM(K$8:K1412)+0.0001,IF(OR(B1413="",J1413&lt;&gt;0),0,VLOOKUP(A1413,Journal!$B$7:M$84,8)))</f>
        <v>0</v>
      </c>
      <c r="L1413" s="87">
        <f t="shared" si="161"/>
        <v>0</v>
      </c>
      <c r="P1413">
        <f t="shared" si="162"/>
        <v>1.0000000000000001E-5</v>
      </c>
      <c r="R1413" s="15">
        <f t="shared" si="163"/>
        <v>1406</v>
      </c>
      <c r="S1413" s="126">
        <f>IF(VLOOKUP(A1413,Journal!$A$7:$E$70,5)=0,S1412+1,VLOOKUP(A1413,Journal!$A$7:$E$70,5))</f>
        <v>47063</v>
      </c>
      <c r="T1413" s="125">
        <f>IF(H$2=VLOOKUP(A1413,Journal!$A$7:$F$70,6),VLOOKUP(A1413,Journal!$A$7:M$70,9),0)</f>
        <v>0</v>
      </c>
      <c r="U1413" s="125">
        <f>IF(H$2=VLOOKUP(A1413,Journal!$A$7:$G$70,7),VLOOKUP(A1413,Journal!$A$7:M$70,9),0)</f>
        <v>0</v>
      </c>
      <c r="V1413" s="125">
        <f t="shared" si="159"/>
        <v>40</v>
      </c>
      <c r="X1413">
        <f t="shared" si="164"/>
        <v>0</v>
      </c>
      <c r="Y1413" s="143">
        <f t="shared" si="158"/>
        <v>-963.07894736847982</v>
      </c>
    </row>
    <row r="1414" spans="1:25" x14ac:dyDescent="0.25">
      <c r="A1414">
        <f t="shared" si="160"/>
        <v>1407</v>
      </c>
      <c r="B1414" s="88" t="str">
        <f>IF(OR(B1413="Total",B1413=""),"",IF(VLOOKUP(A1414,Journal!$B$7:$E$84,4)=0,"Total",VLOOKUP(A1414,Journal!$B$7:$D$84,3)))</f>
        <v/>
      </c>
      <c r="C1414" s="86" t="str">
        <f>IF(B1414="","",VLOOKUP(A1414,Journal!$B$7:$E$84,4))</f>
        <v/>
      </c>
      <c r="D1414" s="114" t="str">
        <f>IF(B1414="","",VLOOKUP(A1414,Journal!$B$7:$J$84,9))</f>
        <v/>
      </c>
      <c r="E1414" s="116"/>
      <c r="F1414" s="116"/>
      <c r="G1414" s="115"/>
      <c r="H1414" s="84" t="str">
        <f>IF(B1414="","",VLOOKUP(A1414,Journal!$B$7:$L$84,11))</f>
        <v/>
      </c>
      <c r="I1414" s="84" t="str">
        <f>IF(B1414="","",VLOOKUP(A1414,Journal!$B$7:$M$84,12))</f>
        <v/>
      </c>
      <c r="J1414" s="105">
        <f>IF(B1414="Total",SUM(J$8:J1413)+0.0001,IF(OR(B1414="",I$2=I1414),0,VLOOKUP(A1414,Journal!$B$7:M$84,8)))</f>
        <v>0</v>
      </c>
      <c r="K1414" s="102">
        <f>IF(B1414="Total",SUM(K$8:K1413)+0.0001,IF(OR(B1414="",J1414&lt;&gt;0),0,VLOOKUP(A1414,Journal!$B$7:M$84,8)))</f>
        <v>0</v>
      </c>
      <c r="L1414" s="87">
        <f t="shared" si="161"/>
        <v>0</v>
      </c>
      <c r="P1414">
        <f t="shared" si="162"/>
        <v>1.0000000000000001E-5</v>
      </c>
      <c r="R1414" s="15">
        <f t="shared" si="163"/>
        <v>1407</v>
      </c>
      <c r="S1414" s="126">
        <f>IF(VLOOKUP(A1414,Journal!$A$7:$E$70,5)=0,S1413+1,VLOOKUP(A1414,Journal!$A$7:$E$70,5))</f>
        <v>47064</v>
      </c>
      <c r="T1414" s="125">
        <f>IF(H$2=VLOOKUP(A1414,Journal!$A$7:$F$70,6),VLOOKUP(A1414,Journal!$A$7:M$70,9),0)</f>
        <v>0</v>
      </c>
      <c r="U1414" s="125">
        <f>IF(H$2=VLOOKUP(A1414,Journal!$A$7:$G$70,7),VLOOKUP(A1414,Journal!$A$7:M$70,9),0)</f>
        <v>0</v>
      </c>
      <c r="V1414" s="125">
        <f t="shared" si="159"/>
        <v>40</v>
      </c>
      <c r="X1414">
        <f t="shared" si="164"/>
        <v>0</v>
      </c>
      <c r="Y1414" s="143">
        <f t="shared" si="158"/>
        <v>-963.05263157900617</v>
      </c>
    </row>
    <row r="1415" spans="1:25" x14ac:dyDescent="0.25">
      <c r="A1415">
        <f t="shared" si="160"/>
        <v>1408</v>
      </c>
      <c r="B1415" s="88" t="str">
        <f>IF(OR(B1414="Total",B1414=""),"",IF(VLOOKUP(A1415,Journal!$B$7:$E$84,4)=0,"Total",VLOOKUP(A1415,Journal!$B$7:$D$84,3)))</f>
        <v/>
      </c>
      <c r="C1415" s="86" t="str">
        <f>IF(B1415="","",VLOOKUP(A1415,Journal!$B$7:$E$84,4))</f>
        <v/>
      </c>
      <c r="D1415" s="114" t="str">
        <f>IF(B1415="","",VLOOKUP(A1415,Journal!$B$7:$J$84,9))</f>
        <v/>
      </c>
      <c r="E1415" s="116"/>
      <c r="F1415" s="116"/>
      <c r="G1415" s="115"/>
      <c r="H1415" s="84" t="str">
        <f>IF(B1415="","",VLOOKUP(A1415,Journal!$B$7:$L$84,11))</f>
        <v/>
      </c>
      <c r="I1415" s="84" t="str">
        <f>IF(B1415="","",VLOOKUP(A1415,Journal!$B$7:$M$84,12))</f>
        <v/>
      </c>
      <c r="J1415" s="105">
        <f>IF(B1415="Total",SUM(J$8:J1414)+0.0001,IF(OR(B1415="",I$2=I1415),0,VLOOKUP(A1415,Journal!$B$7:M$84,8)))</f>
        <v>0</v>
      </c>
      <c r="K1415" s="102">
        <f>IF(B1415="Total",SUM(K$8:K1414)+0.0001,IF(OR(B1415="",J1415&lt;&gt;0),0,VLOOKUP(A1415,Journal!$B$7:M$84,8)))</f>
        <v>0</v>
      </c>
      <c r="L1415" s="87">
        <f t="shared" si="161"/>
        <v>0</v>
      </c>
      <c r="P1415">
        <f t="shared" si="162"/>
        <v>1.0000000000000001E-5</v>
      </c>
      <c r="R1415" s="15">
        <f t="shared" si="163"/>
        <v>1408</v>
      </c>
      <c r="S1415" s="126">
        <f>IF(VLOOKUP(A1415,Journal!$A$7:$E$70,5)=0,S1414+1,VLOOKUP(A1415,Journal!$A$7:$E$70,5))</f>
        <v>47065</v>
      </c>
      <c r="T1415" s="125">
        <f>IF(H$2=VLOOKUP(A1415,Journal!$A$7:$F$70,6),VLOOKUP(A1415,Journal!$A$7:M$70,9),0)</f>
        <v>0</v>
      </c>
      <c r="U1415" s="125">
        <f>IF(H$2=VLOOKUP(A1415,Journal!$A$7:$G$70,7),VLOOKUP(A1415,Journal!$A$7:M$70,9),0)</f>
        <v>0</v>
      </c>
      <c r="V1415" s="125">
        <f t="shared" si="159"/>
        <v>40</v>
      </c>
      <c r="X1415">
        <f t="shared" si="164"/>
        <v>0</v>
      </c>
      <c r="Y1415" s="143">
        <f t="shared" si="158"/>
        <v>-963.02631578953253</v>
      </c>
    </row>
    <row r="1416" spans="1:25" x14ac:dyDescent="0.25">
      <c r="A1416">
        <f t="shared" si="160"/>
        <v>1409</v>
      </c>
      <c r="B1416" s="88" t="str">
        <f>IF(OR(B1415="Total",B1415=""),"",IF(VLOOKUP(A1416,Journal!$B$7:$E$84,4)=0,"Total",VLOOKUP(A1416,Journal!$B$7:$D$84,3)))</f>
        <v/>
      </c>
      <c r="C1416" s="86" t="str">
        <f>IF(B1416="","",VLOOKUP(A1416,Journal!$B$7:$E$84,4))</f>
        <v/>
      </c>
      <c r="D1416" s="114" t="str">
        <f>IF(B1416="","",VLOOKUP(A1416,Journal!$B$7:$J$84,9))</f>
        <v/>
      </c>
      <c r="E1416" s="116"/>
      <c r="F1416" s="116"/>
      <c r="G1416" s="115"/>
      <c r="H1416" s="84" t="str">
        <f>IF(B1416="","",VLOOKUP(A1416,Journal!$B$7:$L$84,11))</f>
        <v/>
      </c>
      <c r="I1416" s="84" t="str">
        <f>IF(B1416="","",VLOOKUP(A1416,Journal!$B$7:$M$84,12))</f>
        <v/>
      </c>
      <c r="J1416" s="105">
        <f>IF(B1416="Total",SUM(J$8:J1415)+0.0001,IF(OR(B1416="",I$2=I1416),0,VLOOKUP(A1416,Journal!$B$7:M$84,8)))</f>
        <v>0</v>
      </c>
      <c r="K1416" s="102">
        <f>IF(B1416="Total",SUM(K$8:K1415)+0.0001,IF(OR(B1416="",J1416&lt;&gt;0),0,VLOOKUP(A1416,Journal!$B$7:M$84,8)))</f>
        <v>0</v>
      </c>
      <c r="L1416" s="87">
        <f t="shared" si="161"/>
        <v>0</v>
      </c>
      <c r="P1416">
        <f t="shared" si="162"/>
        <v>1.0000000000000001E-5</v>
      </c>
      <c r="R1416" s="15">
        <f t="shared" si="163"/>
        <v>1409</v>
      </c>
      <c r="S1416" s="126">
        <f>IF(VLOOKUP(A1416,Journal!$A$7:$E$70,5)=0,S1415+1,VLOOKUP(A1416,Journal!$A$7:$E$70,5))</f>
        <v>47066</v>
      </c>
      <c r="T1416" s="125">
        <f>IF(H$2=VLOOKUP(A1416,Journal!$A$7:$F$70,6),VLOOKUP(A1416,Journal!$A$7:M$70,9),0)</f>
        <v>0</v>
      </c>
      <c r="U1416" s="125">
        <f>IF(H$2=VLOOKUP(A1416,Journal!$A$7:$G$70,7),VLOOKUP(A1416,Journal!$A$7:M$70,9),0)</f>
        <v>0</v>
      </c>
      <c r="V1416" s="125">
        <f t="shared" si="159"/>
        <v>40</v>
      </c>
      <c r="X1416">
        <f t="shared" si="164"/>
        <v>0</v>
      </c>
      <c r="Y1416" s="143">
        <f t="shared" ref="Y1416:Y1479" si="165">IF(B1415="Total",-1000,Y1415+Y$4)</f>
        <v>-963.00000000005889</v>
      </c>
    </row>
    <row r="1417" spans="1:25" x14ac:dyDescent="0.25">
      <c r="A1417">
        <f t="shared" si="160"/>
        <v>1410</v>
      </c>
      <c r="B1417" s="88" t="str">
        <f>IF(OR(B1416="Total",B1416=""),"",IF(VLOOKUP(A1417,Journal!$B$7:$E$84,4)=0,"Total",VLOOKUP(A1417,Journal!$B$7:$D$84,3)))</f>
        <v/>
      </c>
      <c r="C1417" s="86" t="str">
        <f>IF(B1417="","",VLOOKUP(A1417,Journal!$B$7:$E$84,4))</f>
        <v/>
      </c>
      <c r="D1417" s="114" t="str">
        <f>IF(B1417="","",VLOOKUP(A1417,Journal!$B$7:$J$84,9))</f>
        <v/>
      </c>
      <c r="E1417" s="116"/>
      <c r="F1417" s="116"/>
      <c r="G1417" s="115"/>
      <c r="H1417" s="84" t="str">
        <f>IF(B1417="","",VLOOKUP(A1417,Journal!$B$7:$L$84,11))</f>
        <v/>
      </c>
      <c r="I1417" s="84" t="str">
        <f>IF(B1417="","",VLOOKUP(A1417,Journal!$B$7:$M$84,12))</f>
        <v/>
      </c>
      <c r="J1417" s="105">
        <f>IF(B1417="Total",SUM(J$8:J1416)+0.0001,IF(OR(B1417="",I$2=I1417),0,VLOOKUP(A1417,Journal!$B$7:M$84,8)))</f>
        <v>0</v>
      </c>
      <c r="K1417" s="102">
        <f>IF(B1417="Total",SUM(K$8:K1416)+0.0001,IF(OR(B1417="",J1417&lt;&gt;0),0,VLOOKUP(A1417,Journal!$B$7:M$84,8)))</f>
        <v>0</v>
      </c>
      <c r="L1417" s="87">
        <f t="shared" si="161"/>
        <v>0</v>
      </c>
      <c r="P1417">
        <f t="shared" si="162"/>
        <v>1.0000000000000001E-5</v>
      </c>
      <c r="R1417" s="15">
        <f t="shared" si="163"/>
        <v>1410</v>
      </c>
      <c r="S1417" s="126">
        <f>IF(VLOOKUP(A1417,Journal!$A$7:$E$70,5)=0,S1416+1,VLOOKUP(A1417,Journal!$A$7:$E$70,5))</f>
        <v>47067</v>
      </c>
      <c r="T1417" s="125">
        <f>IF(H$2=VLOOKUP(A1417,Journal!$A$7:$F$70,6),VLOOKUP(A1417,Journal!$A$7:M$70,9),0)</f>
        <v>0</v>
      </c>
      <c r="U1417" s="125">
        <f>IF(H$2=VLOOKUP(A1417,Journal!$A$7:$G$70,7),VLOOKUP(A1417,Journal!$A$7:M$70,9),0)</f>
        <v>0</v>
      </c>
      <c r="V1417" s="125">
        <f t="shared" si="159"/>
        <v>40</v>
      </c>
      <c r="X1417">
        <f t="shared" si="164"/>
        <v>0</v>
      </c>
      <c r="Y1417" s="143">
        <f t="shared" si="165"/>
        <v>-962.97368421058525</v>
      </c>
    </row>
    <row r="1418" spans="1:25" x14ac:dyDescent="0.25">
      <c r="A1418">
        <f t="shared" si="160"/>
        <v>1411</v>
      </c>
      <c r="B1418" s="88" t="str">
        <f>IF(OR(B1417="Total",B1417=""),"",IF(VLOOKUP(A1418,Journal!$B$7:$E$84,4)=0,"Total",VLOOKUP(A1418,Journal!$B$7:$D$84,3)))</f>
        <v/>
      </c>
      <c r="C1418" s="86" t="str">
        <f>IF(B1418="","",VLOOKUP(A1418,Journal!$B$7:$E$84,4))</f>
        <v/>
      </c>
      <c r="D1418" s="114" t="str">
        <f>IF(B1418="","",VLOOKUP(A1418,Journal!$B$7:$J$84,9))</f>
        <v/>
      </c>
      <c r="E1418" s="116"/>
      <c r="F1418" s="116"/>
      <c r="G1418" s="115"/>
      <c r="H1418" s="84" t="str">
        <f>IF(B1418="","",VLOOKUP(A1418,Journal!$B$7:$L$84,11))</f>
        <v/>
      </c>
      <c r="I1418" s="84" t="str">
        <f>IF(B1418="","",VLOOKUP(A1418,Journal!$B$7:$M$84,12))</f>
        <v/>
      </c>
      <c r="J1418" s="105">
        <f>IF(B1418="Total",SUM(J$8:J1417)+0.0001,IF(OR(B1418="",I$2=I1418),0,VLOOKUP(A1418,Journal!$B$7:M$84,8)))</f>
        <v>0</v>
      </c>
      <c r="K1418" s="102">
        <f>IF(B1418="Total",SUM(K$8:K1417)+0.0001,IF(OR(B1418="",J1418&lt;&gt;0),0,VLOOKUP(A1418,Journal!$B$7:M$84,8)))</f>
        <v>0</v>
      </c>
      <c r="L1418" s="87">
        <f t="shared" si="161"/>
        <v>0</v>
      </c>
      <c r="P1418">
        <f t="shared" si="162"/>
        <v>1.0000000000000001E-5</v>
      </c>
      <c r="R1418" s="15">
        <f t="shared" si="163"/>
        <v>1411</v>
      </c>
      <c r="S1418" s="126">
        <f>IF(VLOOKUP(A1418,Journal!$A$7:$E$70,5)=0,S1417+1,VLOOKUP(A1418,Journal!$A$7:$E$70,5))</f>
        <v>47068</v>
      </c>
      <c r="T1418" s="125">
        <f>IF(H$2=VLOOKUP(A1418,Journal!$A$7:$F$70,6),VLOOKUP(A1418,Journal!$A$7:M$70,9),0)</f>
        <v>0</v>
      </c>
      <c r="U1418" s="125">
        <f>IF(H$2=VLOOKUP(A1418,Journal!$A$7:$G$70,7),VLOOKUP(A1418,Journal!$A$7:M$70,9),0)</f>
        <v>0</v>
      </c>
      <c r="V1418" s="125">
        <f t="shared" ref="V1418:V1481" si="166">IF($M$1=1,V1417+T1418-U1418,V1417-T1418+U1418)</f>
        <v>40</v>
      </c>
      <c r="X1418">
        <f t="shared" si="164"/>
        <v>0</v>
      </c>
      <c r="Y1418" s="143">
        <f t="shared" si="165"/>
        <v>-962.94736842111161</v>
      </c>
    </row>
    <row r="1419" spans="1:25" x14ac:dyDescent="0.25">
      <c r="A1419">
        <f t="shared" si="160"/>
        <v>1412</v>
      </c>
      <c r="B1419" s="88" t="str">
        <f>IF(OR(B1418="Total",B1418=""),"",IF(VLOOKUP(A1419,Journal!$B$7:$E$84,4)=0,"Total",VLOOKUP(A1419,Journal!$B$7:$D$84,3)))</f>
        <v/>
      </c>
      <c r="C1419" s="86" t="str">
        <f>IF(B1419="","",VLOOKUP(A1419,Journal!$B$7:$E$84,4))</f>
        <v/>
      </c>
      <c r="D1419" s="114" t="str">
        <f>IF(B1419="","",VLOOKUP(A1419,Journal!$B$7:$J$84,9))</f>
        <v/>
      </c>
      <c r="E1419" s="116"/>
      <c r="F1419" s="116"/>
      <c r="G1419" s="115"/>
      <c r="H1419" s="84" t="str">
        <f>IF(B1419="","",VLOOKUP(A1419,Journal!$B$7:$L$84,11))</f>
        <v/>
      </c>
      <c r="I1419" s="84" t="str">
        <f>IF(B1419="","",VLOOKUP(A1419,Journal!$B$7:$M$84,12))</f>
        <v/>
      </c>
      <c r="J1419" s="105">
        <f>IF(B1419="Total",SUM(J$8:J1418)+0.0001,IF(OR(B1419="",I$2=I1419),0,VLOOKUP(A1419,Journal!$B$7:M$84,8)))</f>
        <v>0</v>
      </c>
      <c r="K1419" s="102">
        <f>IF(B1419="Total",SUM(K$8:K1418)+0.0001,IF(OR(B1419="",J1419&lt;&gt;0),0,VLOOKUP(A1419,Journal!$B$7:M$84,8)))</f>
        <v>0</v>
      </c>
      <c r="L1419" s="87">
        <f t="shared" si="161"/>
        <v>0</v>
      </c>
      <c r="P1419">
        <f t="shared" si="162"/>
        <v>1.0000000000000001E-5</v>
      </c>
      <c r="R1419" s="15">
        <f t="shared" si="163"/>
        <v>1412</v>
      </c>
      <c r="S1419" s="126">
        <f>IF(VLOOKUP(A1419,Journal!$A$7:$E$70,5)=0,S1418+1,VLOOKUP(A1419,Journal!$A$7:$E$70,5))</f>
        <v>47069</v>
      </c>
      <c r="T1419" s="125">
        <f>IF(H$2=VLOOKUP(A1419,Journal!$A$7:$F$70,6),VLOOKUP(A1419,Journal!$A$7:M$70,9),0)</f>
        <v>0</v>
      </c>
      <c r="U1419" s="125">
        <f>IF(H$2=VLOOKUP(A1419,Journal!$A$7:$G$70,7),VLOOKUP(A1419,Journal!$A$7:M$70,9),0)</f>
        <v>0</v>
      </c>
      <c r="V1419" s="125">
        <f t="shared" si="166"/>
        <v>40</v>
      </c>
      <c r="X1419">
        <f t="shared" si="164"/>
        <v>0</v>
      </c>
      <c r="Y1419" s="143">
        <f t="shared" si="165"/>
        <v>-962.92105263163796</v>
      </c>
    </row>
    <row r="1420" spans="1:25" x14ac:dyDescent="0.25">
      <c r="A1420">
        <f t="shared" si="160"/>
        <v>1413</v>
      </c>
      <c r="B1420" s="88" t="str">
        <f>IF(OR(B1419="Total",B1419=""),"",IF(VLOOKUP(A1420,Journal!$B$7:$E$84,4)=0,"Total",VLOOKUP(A1420,Journal!$B$7:$D$84,3)))</f>
        <v/>
      </c>
      <c r="C1420" s="86" t="str">
        <f>IF(B1420="","",VLOOKUP(A1420,Journal!$B$7:$E$84,4))</f>
        <v/>
      </c>
      <c r="D1420" s="114" t="str">
        <f>IF(B1420="","",VLOOKUP(A1420,Journal!$B$7:$J$84,9))</f>
        <v/>
      </c>
      <c r="E1420" s="116"/>
      <c r="F1420" s="116"/>
      <c r="G1420" s="115"/>
      <c r="H1420" s="84" t="str">
        <f>IF(B1420="","",VLOOKUP(A1420,Journal!$B$7:$L$84,11))</f>
        <v/>
      </c>
      <c r="I1420" s="84" t="str">
        <f>IF(B1420="","",VLOOKUP(A1420,Journal!$B$7:$M$84,12))</f>
        <v/>
      </c>
      <c r="J1420" s="105">
        <f>IF(B1420="Total",SUM(J$8:J1419)+0.0001,IF(OR(B1420="",I$2=I1420),0,VLOOKUP(A1420,Journal!$B$7:M$84,8)))</f>
        <v>0</v>
      </c>
      <c r="K1420" s="102">
        <f>IF(B1420="Total",SUM(K$8:K1419)+0.0001,IF(OR(B1420="",J1420&lt;&gt;0),0,VLOOKUP(A1420,Journal!$B$7:M$84,8)))</f>
        <v>0</v>
      </c>
      <c r="L1420" s="87">
        <f t="shared" si="161"/>
        <v>0</v>
      </c>
      <c r="P1420">
        <f t="shared" si="162"/>
        <v>1.0000000000000001E-5</v>
      </c>
      <c r="R1420" s="15">
        <f t="shared" si="163"/>
        <v>1413</v>
      </c>
      <c r="S1420" s="126">
        <f>IF(VLOOKUP(A1420,Journal!$A$7:$E$70,5)=0,S1419+1,VLOOKUP(A1420,Journal!$A$7:$E$70,5))</f>
        <v>47070</v>
      </c>
      <c r="T1420" s="125">
        <f>IF(H$2=VLOOKUP(A1420,Journal!$A$7:$F$70,6),VLOOKUP(A1420,Journal!$A$7:M$70,9),0)</f>
        <v>0</v>
      </c>
      <c r="U1420" s="125">
        <f>IF(H$2=VLOOKUP(A1420,Journal!$A$7:$G$70,7),VLOOKUP(A1420,Journal!$A$7:M$70,9),0)</f>
        <v>0</v>
      </c>
      <c r="V1420" s="125">
        <f t="shared" si="166"/>
        <v>40</v>
      </c>
      <c r="X1420">
        <f t="shared" si="164"/>
        <v>0</v>
      </c>
      <c r="Y1420" s="143">
        <f t="shared" si="165"/>
        <v>-962.89473684216432</v>
      </c>
    </row>
    <row r="1421" spans="1:25" x14ac:dyDescent="0.25">
      <c r="A1421">
        <f t="shared" si="160"/>
        <v>1414</v>
      </c>
      <c r="B1421" s="88" t="str">
        <f>IF(OR(B1420="Total",B1420=""),"",IF(VLOOKUP(A1421,Journal!$B$7:$E$84,4)=0,"Total",VLOOKUP(A1421,Journal!$B$7:$D$84,3)))</f>
        <v/>
      </c>
      <c r="C1421" s="86" t="str">
        <f>IF(B1421="","",VLOOKUP(A1421,Journal!$B$7:$E$84,4))</f>
        <v/>
      </c>
      <c r="D1421" s="114" t="str">
        <f>IF(B1421="","",VLOOKUP(A1421,Journal!$B$7:$J$84,9))</f>
        <v/>
      </c>
      <c r="E1421" s="116"/>
      <c r="F1421" s="116"/>
      <c r="G1421" s="115"/>
      <c r="H1421" s="84" t="str">
        <f>IF(B1421="","",VLOOKUP(A1421,Journal!$B$7:$L$84,11))</f>
        <v/>
      </c>
      <c r="I1421" s="84" t="str">
        <f>IF(B1421="","",VLOOKUP(A1421,Journal!$B$7:$M$84,12))</f>
        <v/>
      </c>
      <c r="J1421" s="105">
        <f>IF(B1421="Total",SUM(J$8:J1420)+0.0001,IF(OR(B1421="",I$2=I1421),0,VLOOKUP(A1421,Journal!$B$7:M$84,8)))</f>
        <v>0</v>
      </c>
      <c r="K1421" s="102">
        <f>IF(B1421="Total",SUM(K$8:K1420)+0.0001,IF(OR(B1421="",J1421&lt;&gt;0),0,VLOOKUP(A1421,Journal!$B$7:M$84,8)))</f>
        <v>0</v>
      </c>
      <c r="L1421" s="87">
        <f t="shared" si="161"/>
        <v>0</v>
      </c>
      <c r="P1421">
        <f t="shared" si="162"/>
        <v>1.0000000000000001E-5</v>
      </c>
      <c r="R1421" s="15">
        <f t="shared" si="163"/>
        <v>1414</v>
      </c>
      <c r="S1421" s="126">
        <f>IF(VLOOKUP(A1421,Journal!$A$7:$E$70,5)=0,S1420+1,VLOOKUP(A1421,Journal!$A$7:$E$70,5))</f>
        <v>47071</v>
      </c>
      <c r="T1421" s="125">
        <f>IF(H$2=VLOOKUP(A1421,Journal!$A$7:$F$70,6),VLOOKUP(A1421,Journal!$A$7:M$70,9),0)</f>
        <v>0</v>
      </c>
      <c r="U1421" s="125">
        <f>IF(H$2=VLOOKUP(A1421,Journal!$A$7:$G$70,7),VLOOKUP(A1421,Journal!$A$7:M$70,9),0)</f>
        <v>0</v>
      </c>
      <c r="V1421" s="125">
        <f t="shared" si="166"/>
        <v>40</v>
      </c>
      <c r="X1421">
        <f t="shared" si="164"/>
        <v>0</v>
      </c>
      <c r="Y1421" s="143">
        <f t="shared" si="165"/>
        <v>-962.86842105269068</v>
      </c>
    </row>
    <row r="1422" spans="1:25" x14ac:dyDescent="0.25">
      <c r="A1422">
        <f t="shared" si="160"/>
        <v>1415</v>
      </c>
      <c r="B1422" s="88" t="str">
        <f>IF(OR(B1421="Total",B1421=""),"",IF(VLOOKUP(A1422,Journal!$B$7:$E$84,4)=0,"Total",VLOOKUP(A1422,Journal!$B$7:$D$84,3)))</f>
        <v/>
      </c>
      <c r="C1422" s="86" t="str">
        <f>IF(B1422="","",VLOOKUP(A1422,Journal!$B$7:$E$84,4))</f>
        <v/>
      </c>
      <c r="D1422" s="114" t="str">
        <f>IF(B1422="","",VLOOKUP(A1422,Journal!$B$7:$J$84,9))</f>
        <v/>
      </c>
      <c r="E1422" s="116"/>
      <c r="F1422" s="116"/>
      <c r="G1422" s="115"/>
      <c r="H1422" s="84" t="str">
        <f>IF(B1422="","",VLOOKUP(A1422,Journal!$B$7:$L$84,11))</f>
        <v/>
      </c>
      <c r="I1422" s="84" t="str">
        <f>IF(B1422="","",VLOOKUP(A1422,Journal!$B$7:$M$84,12))</f>
        <v/>
      </c>
      <c r="J1422" s="105">
        <f>IF(B1422="Total",SUM(J$8:J1421)+0.0001,IF(OR(B1422="",I$2=I1422),0,VLOOKUP(A1422,Journal!$B$7:M$84,8)))</f>
        <v>0</v>
      </c>
      <c r="K1422" s="102">
        <f>IF(B1422="Total",SUM(K$8:K1421)+0.0001,IF(OR(B1422="",J1422&lt;&gt;0),0,VLOOKUP(A1422,Journal!$B$7:M$84,8)))</f>
        <v>0</v>
      </c>
      <c r="L1422" s="87">
        <f t="shared" si="161"/>
        <v>0</v>
      </c>
      <c r="P1422">
        <f t="shared" si="162"/>
        <v>1.0000000000000001E-5</v>
      </c>
      <c r="R1422" s="15">
        <f t="shared" si="163"/>
        <v>1415</v>
      </c>
      <c r="S1422" s="126">
        <f>IF(VLOOKUP(A1422,Journal!$A$7:$E$70,5)=0,S1421+1,VLOOKUP(A1422,Journal!$A$7:$E$70,5))</f>
        <v>47072</v>
      </c>
      <c r="T1422" s="125">
        <f>IF(H$2=VLOOKUP(A1422,Journal!$A$7:$F$70,6),VLOOKUP(A1422,Journal!$A$7:M$70,9),0)</f>
        <v>0</v>
      </c>
      <c r="U1422" s="125">
        <f>IF(H$2=VLOOKUP(A1422,Journal!$A$7:$G$70,7),VLOOKUP(A1422,Journal!$A$7:M$70,9),0)</f>
        <v>0</v>
      </c>
      <c r="V1422" s="125">
        <f t="shared" si="166"/>
        <v>40</v>
      </c>
      <c r="X1422">
        <f t="shared" si="164"/>
        <v>0</v>
      </c>
      <c r="Y1422" s="143">
        <f t="shared" si="165"/>
        <v>-962.84210526321704</v>
      </c>
    </row>
    <row r="1423" spans="1:25" x14ac:dyDescent="0.25">
      <c r="A1423">
        <f t="shared" si="160"/>
        <v>1416</v>
      </c>
      <c r="B1423" s="88" t="str">
        <f>IF(OR(B1422="Total",B1422=""),"",IF(VLOOKUP(A1423,Journal!$B$7:$E$84,4)=0,"Total",VLOOKUP(A1423,Journal!$B$7:$D$84,3)))</f>
        <v/>
      </c>
      <c r="C1423" s="86" t="str">
        <f>IF(B1423="","",VLOOKUP(A1423,Journal!$B$7:$E$84,4))</f>
        <v/>
      </c>
      <c r="D1423" s="114" t="str">
        <f>IF(B1423="","",VLOOKUP(A1423,Journal!$B$7:$J$84,9))</f>
        <v/>
      </c>
      <c r="E1423" s="116"/>
      <c r="F1423" s="116"/>
      <c r="G1423" s="115"/>
      <c r="H1423" s="84" t="str">
        <f>IF(B1423="","",VLOOKUP(A1423,Journal!$B$7:$L$84,11))</f>
        <v/>
      </c>
      <c r="I1423" s="84" t="str">
        <f>IF(B1423="","",VLOOKUP(A1423,Journal!$B$7:$M$84,12))</f>
        <v/>
      </c>
      <c r="J1423" s="105">
        <f>IF(B1423="Total",SUM(J$8:J1422)+0.0001,IF(OR(B1423="",I$2=I1423),0,VLOOKUP(A1423,Journal!$B$7:M$84,8)))</f>
        <v>0</v>
      </c>
      <c r="K1423" s="102">
        <f>IF(B1423="Total",SUM(K$8:K1422)+0.0001,IF(OR(B1423="",J1423&lt;&gt;0),0,VLOOKUP(A1423,Journal!$B$7:M$84,8)))</f>
        <v>0</v>
      </c>
      <c r="L1423" s="87">
        <f t="shared" si="161"/>
        <v>0</v>
      </c>
      <c r="P1423">
        <f t="shared" si="162"/>
        <v>1.0000000000000001E-5</v>
      </c>
      <c r="R1423" s="15">
        <f t="shared" si="163"/>
        <v>1416</v>
      </c>
      <c r="S1423" s="126">
        <f>IF(VLOOKUP(A1423,Journal!$A$7:$E$70,5)=0,S1422+1,VLOOKUP(A1423,Journal!$A$7:$E$70,5))</f>
        <v>47073</v>
      </c>
      <c r="T1423" s="125">
        <f>IF(H$2=VLOOKUP(A1423,Journal!$A$7:$F$70,6),VLOOKUP(A1423,Journal!$A$7:M$70,9),0)</f>
        <v>0</v>
      </c>
      <c r="U1423" s="125">
        <f>IF(H$2=VLOOKUP(A1423,Journal!$A$7:$G$70,7),VLOOKUP(A1423,Journal!$A$7:M$70,9),0)</f>
        <v>0</v>
      </c>
      <c r="V1423" s="125">
        <f t="shared" si="166"/>
        <v>40</v>
      </c>
      <c r="X1423">
        <f t="shared" si="164"/>
        <v>0</v>
      </c>
      <c r="Y1423" s="143">
        <f t="shared" si="165"/>
        <v>-962.81578947374339</v>
      </c>
    </row>
    <row r="1424" spans="1:25" x14ac:dyDescent="0.25">
      <c r="A1424">
        <f t="shared" si="160"/>
        <v>1417</v>
      </c>
      <c r="B1424" s="88" t="str">
        <f>IF(OR(B1423="Total",B1423=""),"",IF(VLOOKUP(A1424,Journal!$B$7:$E$84,4)=0,"Total",VLOOKUP(A1424,Journal!$B$7:$D$84,3)))</f>
        <v/>
      </c>
      <c r="C1424" s="86" t="str">
        <f>IF(B1424="","",VLOOKUP(A1424,Journal!$B$7:$E$84,4))</f>
        <v/>
      </c>
      <c r="D1424" s="114" t="str">
        <f>IF(B1424="","",VLOOKUP(A1424,Journal!$B$7:$J$84,9))</f>
        <v/>
      </c>
      <c r="E1424" s="116"/>
      <c r="F1424" s="116"/>
      <c r="G1424" s="115"/>
      <c r="H1424" s="84" t="str">
        <f>IF(B1424="","",VLOOKUP(A1424,Journal!$B$7:$L$84,11))</f>
        <v/>
      </c>
      <c r="I1424" s="84" t="str">
        <f>IF(B1424="","",VLOOKUP(A1424,Journal!$B$7:$M$84,12))</f>
        <v/>
      </c>
      <c r="J1424" s="105">
        <f>IF(B1424="Total",SUM(J$8:J1423)+0.0001,IF(OR(B1424="",I$2=I1424),0,VLOOKUP(A1424,Journal!$B$7:M$84,8)))</f>
        <v>0</v>
      </c>
      <c r="K1424" s="102">
        <f>IF(B1424="Total",SUM(K$8:K1423)+0.0001,IF(OR(B1424="",J1424&lt;&gt;0),0,VLOOKUP(A1424,Journal!$B$7:M$84,8)))</f>
        <v>0</v>
      </c>
      <c r="L1424" s="87">
        <f t="shared" si="161"/>
        <v>0</v>
      </c>
      <c r="P1424">
        <f t="shared" si="162"/>
        <v>1.0000000000000001E-5</v>
      </c>
      <c r="R1424" s="15">
        <f t="shared" si="163"/>
        <v>1417</v>
      </c>
      <c r="S1424" s="126">
        <f>IF(VLOOKUP(A1424,Journal!$A$7:$E$70,5)=0,S1423+1,VLOOKUP(A1424,Journal!$A$7:$E$70,5))</f>
        <v>47074</v>
      </c>
      <c r="T1424" s="125">
        <f>IF(H$2=VLOOKUP(A1424,Journal!$A$7:$F$70,6),VLOOKUP(A1424,Journal!$A$7:M$70,9),0)</f>
        <v>0</v>
      </c>
      <c r="U1424" s="125">
        <f>IF(H$2=VLOOKUP(A1424,Journal!$A$7:$G$70,7),VLOOKUP(A1424,Journal!$A$7:M$70,9),0)</f>
        <v>0</v>
      </c>
      <c r="V1424" s="125">
        <f t="shared" si="166"/>
        <v>40</v>
      </c>
      <c r="X1424">
        <f t="shared" si="164"/>
        <v>0</v>
      </c>
      <c r="Y1424" s="143">
        <f t="shared" si="165"/>
        <v>-962.78947368426975</v>
      </c>
    </row>
    <row r="1425" spans="1:25" x14ac:dyDescent="0.25">
      <c r="A1425">
        <f t="shared" si="160"/>
        <v>1418</v>
      </c>
      <c r="B1425" s="88" t="str">
        <f>IF(OR(B1424="Total",B1424=""),"",IF(VLOOKUP(A1425,Journal!$B$7:$E$84,4)=0,"Total",VLOOKUP(A1425,Journal!$B$7:$D$84,3)))</f>
        <v/>
      </c>
      <c r="C1425" s="86" t="str">
        <f>IF(B1425="","",VLOOKUP(A1425,Journal!$B$7:$E$84,4))</f>
        <v/>
      </c>
      <c r="D1425" s="114" t="str">
        <f>IF(B1425="","",VLOOKUP(A1425,Journal!$B$7:$J$84,9))</f>
        <v/>
      </c>
      <c r="E1425" s="116"/>
      <c r="F1425" s="116"/>
      <c r="G1425" s="115"/>
      <c r="H1425" s="84" t="str">
        <f>IF(B1425="","",VLOOKUP(A1425,Journal!$B$7:$L$84,11))</f>
        <v/>
      </c>
      <c r="I1425" s="84" t="str">
        <f>IF(B1425="","",VLOOKUP(A1425,Journal!$B$7:$M$84,12))</f>
        <v/>
      </c>
      <c r="J1425" s="105">
        <f>IF(B1425="Total",SUM(J$8:J1424)+0.0001,IF(OR(B1425="",I$2=I1425),0,VLOOKUP(A1425,Journal!$B$7:M$84,8)))</f>
        <v>0</v>
      </c>
      <c r="K1425" s="102">
        <f>IF(B1425="Total",SUM(K$8:K1424)+0.0001,IF(OR(B1425="",J1425&lt;&gt;0),0,VLOOKUP(A1425,Journal!$B$7:M$84,8)))</f>
        <v>0</v>
      </c>
      <c r="L1425" s="87">
        <f t="shared" si="161"/>
        <v>0</v>
      </c>
      <c r="P1425">
        <f t="shared" si="162"/>
        <v>1.0000000000000001E-5</v>
      </c>
      <c r="R1425" s="15">
        <f t="shared" si="163"/>
        <v>1418</v>
      </c>
      <c r="S1425" s="126">
        <f>IF(VLOOKUP(A1425,Journal!$A$7:$E$70,5)=0,S1424+1,VLOOKUP(A1425,Journal!$A$7:$E$70,5))</f>
        <v>47075</v>
      </c>
      <c r="T1425" s="125">
        <f>IF(H$2=VLOOKUP(A1425,Journal!$A$7:$F$70,6),VLOOKUP(A1425,Journal!$A$7:M$70,9),0)</f>
        <v>0</v>
      </c>
      <c r="U1425" s="125">
        <f>IF(H$2=VLOOKUP(A1425,Journal!$A$7:$G$70,7),VLOOKUP(A1425,Journal!$A$7:M$70,9),0)</f>
        <v>0</v>
      </c>
      <c r="V1425" s="125">
        <f t="shared" si="166"/>
        <v>40</v>
      </c>
      <c r="X1425">
        <f t="shared" si="164"/>
        <v>0</v>
      </c>
      <c r="Y1425" s="143">
        <f t="shared" si="165"/>
        <v>-962.76315789479611</v>
      </c>
    </row>
    <row r="1426" spans="1:25" x14ac:dyDescent="0.25">
      <c r="A1426">
        <f t="shared" ref="A1426:A1489" si="167">A1425+1</f>
        <v>1419</v>
      </c>
      <c r="B1426" s="88" t="str">
        <f>IF(OR(B1425="Total",B1425=""),"",IF(VLOOKUP(A1426,Journal!$B$7:$E$84,4)=0,"Total",VLOOKUP(A1426,Journal!$B$7:$D$84,3)))</f>
        <v/>
      </c>
      <c r="C1426" s="86" t="str">
        <f>IF(B1426="","",VLOOKUP(A1426,Journal!$B$7:$E$84,4))</f>
        <v/>
      </c>
      <c r="D1426" s="114" t="str">
        <f>IF(B1426="","",VLOOKUP(A1426,Journal!$B$7:$J$84,9))</f>
        <v/>
      </c>
      <c r="E1426" s="116"/>
      <c r="F1426" s="116"/>
      <c r="G1426" s="115"/>
      <c r="H1426" s="84" t="str">
        <f>IF(B1426="","",VLOOKUP(A1426,Journal!$B$7:$L$84,11))</f>
        <v/>
      </c>
      <c r="I1426" s="84" t="str">
        <f>IF(B1426="","",VLOOKUP(A1426,Journal!$B$7:$M$84,12))</f>
        <v/>
      </c>
      <c r="J1426" s="105">
        <f>IF(B1426="Total",SUM(J$8:J1425)+0.0001,IF(OR(B1426="",I$2=I1426),0,VLOOKUP(A1426,Journal!$B$7:M$84,8)))</f>
        <v>0</v>
      </c>
      <c r="K1426" s="102">
        <f>IF(B1426="Total",SUM(K$8:K1425)+0.0001,IF(OR(B1426="",J1426&lt;&gt;0),0,VLOOKUP(A1426,Journal!$B$7:M$84,8)))</f>
        <v>0</v>
      </c>
      <c r="L1426" s="87">
        <f t="shared" ref="L1426:L1489" si="168">IF(B1426="Total",L1425,IF(B1426="",0,IF($M$1=1,L1425+J1426-K1426,L1425-J1426+K1426)))</f>
        <v>0</v>
      </c>
      <c r="P1426">
        <f t="shared" ref="P1426:P1489" si="169">IF(L1425=L1426,L1425+0.00001,L1426)</f>
        <v>1.0000000000000001E-5</v>
      </c>
      <c r="R1426" s="15">
        <f t="shared" ref="R1426:R1489" si="170">R1425+1</f>
        <v>1419</v>
      </c>
      <c r="S1426" s="126">
        <f>IF(VLOOKUP(A1426,Journal!$A$7:$E$70,5)=0,S1425+1,VLOOKUP(A1426,Journal!$A$7:$E$70,5))</f>
        <v>47076</v>
      </c>
      <c r="T1426" s="125">
        <f>IF(H$2=VLOOKUP(A1426,Journal!$A$7:$F$70,6),VLOOKUP(A1426,Journal!$A$7:M$70,9),0)</f>
        <v>0</v>
      </c>
      <c r="U1426" s="125">
        <f>IF(H$2=VLOOKUP(A1426,Journal!$A$7:$G$70,7),VLOOKUP(A1426,Journal!$A$7:M$70,9),0)</f>
        <v>0</v>
      </c>
      <c r="V1426" s="125">
        <f t="shared" si="166"/>
        <v>40</v>
      </c>
      <c r="X1426">
        <f t="shared" ref="X1426:X1489" si="171">IF(J$2&gt;S1426,1,0)</f>
        <v>0</v>
      </c>
      <c r="Y1426" s="143">
        <f t="shared" si="165"/>
        <v>-962.73684210532247</v>
      </c>
    </row>
    <row r="1427" spans="1:25" x14ac:dyDescent="0.25">
      <c r="A1427">
        <f t="shared" si="167"/>
        <v>1420</v>
      </c>
      <c r="B1427" s="88" t="str">
        <f>IF(OR(B1426="Total",B1426=""),"",IF(VLOOKUP(A1427,Journal!$B$7:$E$84,4)=0,"Total",VLOOKUP(A1427,Journal!$B$7:$D$84,3)))</f>
        <v/>
      </c>
      <c r="C1427" s="86" t="str">
        <f>IF(B1427="","",VLOOKUP(A1427,Journal!$B$7:$E$84,4))</f>
        <v/>
      </c>
      <c r="D1427" s="114" t="str">
        <f>IF(B1427="","",VLOOKUP(A1427,Journal!$B$7:$J$84,9))</f>
        <v/>
      </c>
      <c r="E1427" s="116"/>
      <c r="F1427" s="116"/>
      <c r="G1427" s="115"/>
      <c r="H1427" s="84" t="str">
        <f>IF(B1427="","",VLOOKUP(A1427,Journal!$B$7:$L$84,11))</f>
        <v/>
      </c>
      <c r="I1427" s="84" t="str">
        <f>IF(B1427="","",VLOOKUP(A1427,Journal!$B$7:$M$84,12))</f>
        <v/>
      </c>
      <c r="J1427" s="105">
        <f>IF(B1427="Total",SUM(J$8:J1426)+0.0001,IF(OR(B1427="",I$2=I1427),0,VLOOKUP(A1427,Journal!$B$7:M$84,8)))</f>
        <v>0</v>
      </c>
      <c r="K1427" s="102">
        <f>IF(B1427="Total",SUM(K$8:K1426)+0.0001,IF(OR(B1427="",J1427&lt;&gt;0),0,VLOOKUP(A1427,Journal!$B$7:M$84,8)))</f>
        <v>0</v>
      </c>
      <c r="L1427" s="87">
        <f t="shared" si="168"/>
        <v>0</v>
      </c>
      <c r="P1427">
        <f t="shared" si="169"/>
        <v>1.0000000000000001E-5</v>
      </c>
      <c r="R1427" s="15">
        <f t="shared" si="170"/>
        <v>1420</v>
      </c>
      <c r="S1427" s="126">
        <f>IF(VLOOKUP(A1427,Journal!$A$7:$E$70,5)=0,S1426+1,VLOOKUP(A1427,Journal!$A$7:$E$70,5))</f>
        <v>47077</v>
      </c>
      <c r="T1427" s="125">
        <f>IF(H$2=VLOOKUP(A1427,Journal!$A$7:$F$70,6),VLOOKUP(A1427,Journal!$A$7:M$70,9),0)</f>
        <v>0</v>
      </c>
      <c r="U1427" s="125">
        <f>IF(H$2=VLOOKUP(A1427,Journal!$A$7:$G$70,7),VLOOKUP(A1427,Journal!$A$7:M$70,9),0)</f>
        <v>0</v>
      </c>
      <c r="V1427" s="125">
        <f t="shared" si="166"/>
        <v>40</v>
      </c>
      <c r="X1427">
        <f t="shared" si="171"/>
        <v>0</v>
      </c>
      <c r="Y1427" s="143">
        <f t="shared" si="165"/>
        <v>-962.71052631584882</v>
      </c>
    </row>
    <row r="1428" spans="1:25" x14ac:dyDescent="0.25">
      <c r="A1428">
        <f t="shared" si="167"/>
        <v>1421</v>
      </c>
      <c r="B1428" s="88" t="str">
        <f>IF(OR(B1427="Total",B1427=""),"",IF(VLOOKUP(A1428,Journal!$B$7:$E$84,4)=0,"Total",VLOOKUP(A1428,Journal!$B$7:$D$84,3)))</f>
        <v/>
      </c>
      <c r="C1428" s="86" t="str">
        <f>IF(B1428="","",VLOOKUP(A1428,Journal!$B$7:$E$84,4))</f>
        <v/>
      </c>
      <c r="D1428" s="114" t="str">
        <f>IF(B1428="","",VLOOKUP(A1428,Journal!$B$7:$J$84,9))</f>
        <v/>
      </c>
      <c r="E1428" s="116"/>
      <c r="F1428" s="116"/>
      <c r="G1428" s="115"/>
      <c r="H1428" s="84" t="str">
        <f>IF(B1428="","",VLOOKUP(A1428,Journal!$B$7:$L$84,11))</f>
        <v/>
      </c>
      <c r="I1428" s="84" t="str">
        <f>IF(B1428="","",VLOOKUP(A1428,Journal!$B$7:$M$84,12))</f>
        <v/>
      </c>
      <c r="J1428" s="105">
        <f>IF(B1428="Total",SUM(J$8:J1427)+0.0001,IF(OR(B1428="",I$2=I1428),0,VLOOKUP(A1428,Journal!$B$7:M$84,8)))</f>
        <v>0</v>
      </c>
      <c r="K1428" s="102">
        <f>IF(B1428="Total",SUM(K$8:K1427)+0.0001,IF(OR(B1428="",J1428&lt;&gt;0),0,VLOOKUP(A1428,Journal!$B$7:M$84,8)))</f>
        <v>0</v>
      </c>
      <c r="L1428" s="87">
        <f t="shared" si="168"/>
        <v>0</v>
      </c>
      <c r="P1428">
        <f t="shared" si="169"/>
        <v>1.0000000000000001E-5</v>
      </c>
      <c r="R1428" s="15">
        <f t="shared" si="170"/>
        <v>1421</v>
      </c>
      <c r="S1428" s="126">
        <f>IF(VLOOKUP(A1428,Journal!$A$7:$E$70,5)=0,S1427+1,VLOOKUP(A1428,Journal!$A$7:$E$70,5))</f>
        <v>47078</v>
      </c>
      <c r="T1428" s="125">
        <f>IF(H$2=VLOOKUP(A1428,Journal!$A$7:$F$70,6),VLOOKUP(A1428,Journal!$A$7:M$70,9),0)</f>
        <v>0</v>
      </c>
      <c r="U1428" s="125">
        <f>IF(H$2=VLOOKUP(A1428,Journal!$A$7:$G$70,7),VLOOKUP(A1428,Journal!$A$7:M$70,9),0)</f>
        <v>0</v>
      </c>
      <c r="V1428" s="125">
        <f t="shared" si="166"/>
        <v>40</v>
      </c>
      <c r="X1428">
        <f t="shared" si="171"/>
        <v>0</v>
      </c>
      <c r="Y1428" s="143">
        <f t="shared" si="165"/>
        <v>-962.68421052637518</v>
      </c>
    </row>
    <row r="1429" spans="1:25" x14ac:dyDescent="0.25">
      <c r="A1429">
        <f t="shared" si="167"/>
        <v>1422</v>
      </c>
      <c r="B1429" s="88" t="str">
        <f>IF(OR(B1428="Total",B1428=""),"",IF(VLOOKUP(A1429,Journal!$B$7:$E$84,4)=0,"Total",VLOOKUP(A1429,Journal!$B$7:$D$84,3)))</f>
        <v/>
      </c>
      <c r="C1429" s="86" t="str">
        <f>IF(B1429="","",VLOOKUP(A1429,Journal!$B$7:$E$84,4))</f>
        <v/>
      </c>
      <c r="D1429" s="114" t="str">
        <f>IF(B1429="","",VLOOKUP(A1429,Journal!$B$7:$J$84,9))</f>
        <v/>
      </c>
      <c r="E1429" s="116"/>
      <c r="F1429" s="116"/>
      <c r="G1429" s="115"/>
      <c r="H1429" s="84" t="str">
        <f>IF(B1429="","",VLOOKUP(A1429,Journal!$B$7:$L$84,11))</f>
        <v/>
      </c>
      <c r="I1429" s="84" t="str">
        <f>IF(B1429="","",VLOOKUP(A1429,Journal!$B$7:$M$84,12))</f>
        <v/>
      </c>
      <c r="J1429" s="105">
        <f>IF(B1429="Total",SUM(J$8:J1428)+0.0001,IF(OR(B1429="",I$2=I1429),0,VLOOKUP(A1429,Journal!$B$7:M$84,8)))</f>
        <v>0</v>
      </c>
      <c r="K1429" s="102">
        <f>IF(B1429="Total",SUM(K$8:K1428)+0.0001,IF(OR(B1429="",J1429&lt;&gt;0),0,VLOOKUP(A1429,Journal!$B$7:M$84,8)))</f>
        <v>0</v>
      </c>
      <c r="L1429" s="87">
        <f t="shared" si="168"/>
        <v>0</v>
      </c>
      <c r="P1429">
        <f t="shared" si="169"/>
        <v>1.0000000000000001E-5</v>
      </c>
      <c r="R1429" s="15">
        <f t="shared" si="170"/>
        <v>1422</v>
      </c>
      <c r="S1429" s="126">
        <f>IF(VLOOKUP(A1429,Journal!$A$7:$E$70,5)=0,S1428+1,VLOOKUP(A1429,Journal!$A$7:$E$70,5))</f>
        <v>47079</v>
      </c>
      <c r="T1429" s="125">
        <f>IF(H$2=VLOOKUP(A1429,Journal!$A$7:$F$70,6),VLOOKUP(A1429,Journal!$A$7:M$70,9),0)</f>
        <v>0</v>
      </c>
      <c r="U1429" s="125">
        <f>IF(H$2=VLOOKUP(A1429,Journal!$A$7:$G$70,7),VLOOKUP(A1429,Journal!$A$7:M$70,9),0)</f>
        <v>0</v>
      </c>
      <c r="V1429" s="125">
        <f t="shared" si="166"/>
        <v>40</v>
      </c>
      <c r="X1429">
        <f t="shared" si="171"/>
        <v>0</v>
      </c>
      <c r="Y1429" s="143">
        <f t="shared" si="165"/>
        <v>-962.65789473690154</v>
      </c>
    </row>
    <row r="1430" spans="1:25" x14ac:dyDescent="0.25">
      <c r="A1430">
        <f t="shared" si="167"/>
        <v>1423</v>
      </c>
      <c r="B1430" s="88" t="str">
        <f>IF(OR(B1429="Total",B1429=""),"",IF(VLOOKUP(A1430,Journal!$B$7:$E$84,4)=0,"Total",VLOOKUP(A1430,Journal!$B$7:$D$84,3)))</f>
        <v/>
      </c>
      <c r="C1430" s="86" t="str">
        <f>IF(B1430="","",VLOOKUP(A1430,Journal!$B$7:$E$84,4))</f>
        <v/>
      </c>
      <c r="D1430" s="114" t="str">
        <f>IF(B1430="","",VLOOKUP(A1430,Journal!$B$7:$J$84,9))</f>
        <v/>
      </c>
      <c r="E1430" s="116"/>
      <c r="F1430" s="116"/>
      <c r="G1430" s="115"/>
      <c r="H1430" s="84" t="str">
        <f>IF(B1430="","",VLOOKUP(A1430,Journal!$B$7:$L$84,11))</f>
        <v/>
      </c>
      <c r="I1430" s="84" t="str">
        <f>IF(B1430="","",VLOOKUP(A1430,Journal!$B$7:$M$84,12))</f>
        <v/>
      </c>
      <c r="J1430" s="105">
        <f>IF(B1430="Total",SUM(J$8:J1429)+0.0001,IF(OR(B1430="",I$2=I1430),0,VLOOKUP(A1430,Journal!$B$7:M$84,8)))</f>
        <v>0</v>
      </c>
      <c r="K1430" s="102">
        <f>IF(B1430="Total",SUM(K$8:K1429)+0.0001,IF(OR(B1430="",J1430&lt;&gt;0),0,VLOOKUP(A1430,Journal!$B$7:M$84,8)))</f>
        <v>0</v>
      </c>
      <c r="L1430" s="87">
        <f t="shared" si="168"/>
        <v>0</v>
      </c>
      <c r="P1430">
        <f t="shared" si="169"/>
        <v>1.0000000000000001E-5</v>
      </c>
      <c r="R1430" s="15">
        <f t="shared" si="170"/>
        <v>1423</v>
      </c>
      <c r="S1430" s="126">
        <f>IF(VLOOKUP(A1430,Journal!$A$7:$E$70,5)=0,S1429+1,VLOOKUP(A1430,Journal!$A$7:$E$70,5))</f>
        <v>47080</v>
      </c>
      <c r="T1430" s="125">
        <f>IF(H$2=VLOOKUP(A1430,Journal!$A$7:$F$70,6),VLOOKUP(A1430,Journal!$A$7:M$70,9),0)</f>
        <v>0</v>
      </c>
      <c r="U1430" s="125">
        <f>IF(H$2=VLOOKUP(A1430,Journal!$A$7:$G$70,7),VLOOKUP(A1430,Journal!$A$7:M$70,9),0)</f>
        <v>0</v>
      </c>
      <c r="V1430" s="125">
        <f t="shared" si="166"/>
        <v>40</v>
      </c>
      <c r="X1430">
        <f t="shared" si="171"/>
        <v>0</v>
      </c>
      <c r="Y1430" s="143">
        <f t="shared" si="165"/>
        <v>-962.6315789474279</v>
      </c>
    </row>
    <row r="1431" spans="1:25" x14ac:dyDescent="0.25">
      <c r="A1431">
        <f t="shared" si="167"/>
        <v>1424</v>
      </c>
      <c r="B1431" s="88" t="str">
        <f>IF(OR(B1430="Total",B1430=""),"",IF(VLOOKUP(A1431,Journal!$B$7:$E$84,4)=0,"Total",VLOOKUP(A1431,Journal!$B$7:$D$84,3)))</f>
        <v/>
      </c>
      <c r="C1431" s="86" t="str">
        <f>IF(B1431="","",VLOOKUP(A1431,Journal!$B$7:$E$84,4))</f>
        <v/>
      </c>
      <c r="D1431" s="114" t="str">
        <f>IF(B1431="","",VLOOKUP(A1431,Journal!$B$7:$J$84,9))</f>
        <v/>
      </c>
      <c r="E1431" s="116"/>
      <c r="F1431" s="116"/>
      <c r="G1431" s="115"/>
      <c r="H1431" s="84" t="str">
        <f>IF(B1431="","",VLOOKUP(A1431,Journal!$B$7:$L$84,11))</f>
        <v/>
      </c>
      <c r="I1431" s="84" t="str">
        <f>IF(B1431="","",VLOOKUP(A1431,Journal!$B$7:$M$84,12))</f>
        <v/>
      </c>
      <c r="J1431" s="105">
        <f>IF(B1431="Total",SUM(J$8:J1430)+0.0001,IF(OR(B1431="",I$2=I1431),0,VLOOKUP(A1431,Journal!$B$7:M$84,8)))</f>
        <v>0</v>
      </c>
      <c r="K1431" s="102">
        <f>IF(B1431="Total",SUM(K$8:K1430)+0.0001,IF(OR(B1431="",J1431&lt;&gt;0),0,VLOOKUP(A1431,Journal!$B$7:M$84,8)))</f>
        <v>0</v>
      </c>
      <c r="L1431" s="87">
        <f t="shared" si="168"/>
        <v>0</v>
      </c>
      <c r="P1431">
        <f t="shared" si="169"/>
        <v>1.0000000000000001E-5</v>
      </c>
      <c r="R1431" s="15">
        <f t="shared" si="170"/>
        <v>1424</v>
      </c>
      <c r="S1431" s="126">
        <f>IF(VLOOKUP(A1431,Journal!$A$7:$E$70,5)=0,S1430+1,VLOOKUP(A1431,Journal!$A$7:$E$70,5))</f>
        <v>47081</v>
      </c>
      <c r="T1431" s="125">
        <f>IF(H$2=VLOOKUP(A1431,Journal!$A$7:$F$70,6),VLOOKUP(A1431,Journal!$A$7:M$70,9),0)</f>
        <v>0</v>
      </c>
      <c r="U1431" s="125">
        <f>IF(H$2=VLOOKUP(A1431,Journal!$A$7:$G$70,7),VLOOKUP(A1431,Journal!$A$7:M$70,9),0)</f>
        <v>0</v>
      </c>
      <c r="V1431" s="125">
        <f t="shared" si="166"/>
        <v>40</v>
      </c>
      <c r="X1431">
        <f t="shared" si="171"/>
        <v>0</v>
      </c>
      <c r="Y1431" s="143">
        <f t="shared" si="165"/>
        <v>-962.60526315795425</v>
      </c>
    </row>
    <row r="1432" spans="1:25" x14ac:dyDescent="0.25">
      <c r="A1432">
        <f t="shared" si="167"/>
        <v>1425</v>
      </c>
      <c r="B1432" s="88" t="str">
        <f>IF(OR(B1431="Total",B1431=""),"",IF(VLOOKUP(A1432,Journal!$B$7:$E$84,4)=0,"Total",VLOOKUP(A1432,Journal!$B$7:$D$84,3)))</f>
        <v/>
      </c>
      <c r="C1432" s="86" t="str">
        <f>IF(B1432="","",VLOOKUP(A1432,Journal!$B$7:$E$84,4))</f>
        <v/>
      </c>
      <c r="D1432" s="114" t="str">
        <f>IF(B1432="","",VLOOKUP(A1432,Journal!$B$7:$J$84,9))</f>
        <v/>
      </c>
      <c r="E1432" s="116"/>
      <c r="F1432" s="116"/>
      <c r="G1432" s="115"/>
      <c r="H1432" s="84" t="str">
        <f>IF(B1432="","",VLOOKUP(A1432,Journal!$B$7:$L$84,11))</f>
        <v/>
      </c>
      <c r="I1432" s="84" t="str">
        <f>IF(B1432="","",VLOOKUP(A1432,Journal!$B$7:$M$84,12))</f>
        <v/>
      </c>
      <c r="J1432" s="105">
        <f>IF(B1432="Total",SUM(J$8:J1431)+0.0001,IF(OR(B1432="",I$2=I1432),0,VLOOKUP(A1432,Journal!$B$7:M$84,8)))</f>
        <v>0</v>
      </c>
      <c r="K1432" s="102">
        <f>IF(B1432="Total",SUM(K$8:K1431)+0.0001,IF(OR(B1432="",J1432&lt;&gt;0),0,VLOOKUP(A1432,Journal!$B$7:M$84,8)))</f>
        <v>0</v>
      </c>
      <c r="L1432" s="87">
        <f t="shared" si="168"/>
        <v>0</v>
      </c>
      <c r="P1432">
        <f t="shared" si="169"/>
        <v>1.0000000000000001E-5</v>
      </c>
      <c r="R1432" s="15">
        <f t="shared" si="170"/>
        <v>1425</v>
      </c>
      <c r="S1432" s="126">
        <f>IF(VLOOKUP(A1432,Journal!$A$7:$E$70,5)=0,S1431+1,VLOOKUP(A1432,Journal!$A$7:$E$70,5))</f>
        <v>47082</v>
      </c>
      <c r="T1432" s="125">
        <f>IF(H$2=VLOOKUP(A1432,Journal!$A$7:$F$70,6),VLOOKUP(A1432,Journal!$A$7:M$70,9),0)</f>
        <v>0</v>
      </c>
      <c r="U1432" s="125">
        <f>IF(H$2=VLOOKUP(A1432,Journal!$A$7:$G$70,7),VLOOKUP(A1432,Journal!$A$7:M$70,9),0)</f>
        <v>0</v>
      </c>
      <c r="V1432" s="125">
        <f t="shared" si="166"/>
        <v>40</v>
      </c>
      <c r="X1432">
        <f t="shared" si="171"/>
        <v>0</v>
      </c>
      <c r="Y1432" s="143">
        <f t="shared" si="165"/>
        <v>-962.57894736848061</v>
      </c>
    </row>
    <row r="1433" spans="1:25" x14ac:dyDescent="0.25">
      <c r="A1433">
        <f t="shared" si="167"/>
        <v>1426</v>
      </c>
      <c r="B1433" s="88" t="str">
        <f>IF(OR(B1432="Total",B1432=""),"",IF(VLOOKUP(A1433,Journal!$B$7:$E$84,4)=0,"Total",VLOOKUP(A1433,Journal!$B$7:$D$84,3)))</f>
        <v/>
      </c>
      <c r="C1433" s="86" t="str">
        <f>IF(B1433="","",VLOOKUP(A1433,Journal!$B$7:$E$84,4))</f>
        <v/>
      </c>
      <c r="D1433" s="114" t="str">
        <f>IF(B1433="","",VLOOKUP(A1433,Journal!$B$7:$J$84,9))</f>
        <v/>
      </c>
      <c r="E1433" s="116"/>
      <c r="F1433" s="116"/>
      <c r="G1433" s="115"/>
      <c r="H1433" s="84" t="str">
        <f>IF(B1433="","",VLOOKUP(A1433,Journal!$B$7:$L$84,11))</f>
        <v/>
      </c>
      <c r="I1433" s="84" t="str">
        <f>IF(B1433="","",VLOOKUP(A1433,Journal!$B$7:$M$84,12))</f>
        <v/>
      </c>
      <c r="J1433" s="105">
        <f>IF(B1433="Total",SUM(J$8:J1432)+0.0001,IF(OR(B1433="",I$2=I1433),0,VLOOKUP(A1433,Journal!$B$7:M$84,8)))</f>
        <v>0</v>
      </c>
      <c r="K1433" s="102">
        <f>IF(B1433="Total",SUM(K$8:K1432)+0.0001,IF(OR(B1433="",J1433&lt;&gt;0),0,VLOOKUP(A1433,Journal!$B$7:M$84,8)))</f>
        <v>0</v>
      </c>
      <c r="L1433" s="87">
        <f t="shared" si="168"/>
        <v>0</v>
      </c>
      <c r="P1433">
        <f t="shared" si="169"/>
        <v>1.0000000000000001E-5</v>
      </c>
      <c r="R1433" s="15">
        <f t="shared" si="170"/>
        <v>1426</v>
      </c>
      <c r="S1433" s="126">
        <f>IF(VLOOKUP(A1433,Journal!$A$7:$E$70,5)=0,S1432+1,VLOOKUP(A1433,Journal!$A$7:$E$70,5))</f>
        <v>47083</v>
      </c>
      <c r="T1433" s="125">
        <f>IF(H$2=VLOOKUP(A1433,Journal!$A$7:$F$70,6),VLOOKUP(A1433,Journal!$A$7:M$70,9),0)</f>
        <v>0</v>
      </c>
      <c r="U1433" s="125">
        <f>IF(H$2=VLOOKUP(A1433,Journal!$A$7:$G$70,7),VLOOKUP(A1433,Journal!$A$7:M$70,9),0)</f>
        <v>0</v>
      </c>
      <c r="V1433" s="125">
        <f t="shared" si="166"/>
        <v>40</v>
      </c>
      <c r="X1433">
        <f t="shared" si="171"/>
        <v>0</v>
      </c>
      <c r="Y1433" s="143">
        <f t="shared" si="165"/>
        <v>-962.55263157900697</v>
      </c>
    </row>
    <row r="1434" spans="1:25" x14ac:dyDescent="0.25">
      <c r="A1434">
        <f t="shared" si="167"/>
        <v>1427</v>
      </c>
      <c r="B1434" s="88" t="str">
        <f>IF(OR(B1433="Total",B1433=""),"",IF(VLOOKUP(A1434,Journal!$B$7:$E$84,4)=0,"Total",VLOOKUP(A1434,Journal!$B$7:$D$84,3)))</f>
        <v/>
      </c>
      <c r="C1434" s="86" t="str">
        <f>IF(B1434="","",VLOOKUP(A1434,Journal!$B$7:$E$84,4))</f>
        <v/>
      </c>
      <c r="D1434" s="114" t="str">
        <f>IF(B1434="","",VLOOKUP(A1434,Journal!$B$7:$J$84,9))</f>
        <v/>
      </c>
      <c r="E1434" s="116"/>
      <c r="F1434" s="116"/>
      <c r="G1434" s="115"/>
      <c r="H1434" s="84" t="str">
        <f>IF(B1434="","",VLOOKUP(A1434,Journal!$B$7:$L$84,11))</f>
        <v/>
      </c>
      <c r="I1434" s="84" t="str">
        <f>IF(B1434="","",VLOOKUP(A1434,Journal!$B$7:$M$84,12))</f>
        <v/>
      </c>
      <c r="J1434" s="105">
        <f>IF(B1434="Total",SUM(J$8:J1433)+0.0001,IF(OR(B1434="",I$2=I1434),0,VLOOKUP(A1434,Journal!$B$7:M$84,8)))</f>
        <v>0</v>
      </c>
      <c r="K1434" s="102">
        <f>IF(B1434="Total",SUM(K$8:K1433)+0.0001,IF(OR(B1434="",J1434&lt;&gt;0),0,VLOOKUP(A1434,Journal!$B$7:M$84,8)))</f>
        <v>0</v>
      </c>
      <c r="L1434" s="87">
        <f t="shared" si="168"/>
        <v>0</v>
      </c>
      <c r="P1434">
        <f t="shared" si="169"/>
        <v>1.0000000000000001E-5</v>
      </c>
      <c r="R1434" s="15">
        <f t="shared" si="170"/>
        <v>1427</v>
      </c>
      <c r="S1434" s="126">
        <f>IF(VLOOKUP(A1434,Journal!$A$7:$E$70,5)=0,S1433+1,VLOOKUP(A1434,Journal!$A$7:$E$70,5))</f>
        <v>47084</v>
      </c>
      <c r="T1434" s="125">
        <f>IF(H$2=VLOOKUP(A1434,Journal!$A$7:$F$70,6),VLOOKUP(A1434,Journal!$A$7:M$70,9),0)</f>
        <v>0</v>
      </c>
      <c r="U1434" s="125">
        <f>IF(H$2=VLOOKUP(A1434,Journal!$A$7:$G$70,7),VLOOKUP(A1434,Journal!$A$7:M$70,9),0)</f>
        <v>0</v>
      </c>
      <c r="V1434" s="125">
        <f t="shared" si="166"/>
        <v>40</v>
      </c>
      <c r="X1434">
        <f t="shared" si="171"/>
        <v>0</v>
      </c>
      <c r="Y1434" s="143">
        <f t="shared" si="165"/>
        <v>-962.52631578953333</v>
      </c>
    </row>
    <row r="1435" spans="1:25" x14ac:dyDescent="0.25">
      <c r="A1435">
        <f t="shared" si="167"/>
        <v>1428</v>
      </c>
      <c r="B1435" s="88" t="str">
        <f>IF(OR(B1434="Total",B1434=""),"",IF(VLOOKUP(A1435,Journal!$B$7:$E$84,4)=0,"Total",VLOOKUP(A1435,Journal!$B$7:$D$84,3)))</f>
        <v/>
      </c>
      <c r="C1435" s="86" t="str">
        <f>IF(B1435="","",VLOOKUP(A1435,Journal!$B$7:$E$84,4))</f>
        <v/>
      </c>
      <c r="D1435" s="114" t="str">
        <f>IF(B1435="","",VLOOKUP(A1435,Journal!$B$7:$J$84,9))</f>
        <v/>
      </c>
      <c r="E1435" s="116"/>
      <c r="F1435" s="116"/>
      <c r="G1435" s="115"/>
      <c r="H1435" s="84" t="str">
        <f>IF(B1435="","",VLOOKUP(A1435,Journal!$B$7:$L$84,11))</f>
        <v/>
      </c>
      <c r="I1435" s="84" t="str">
        <f>IF(B1435="","",VLOOKUP(A1435,Journal!$B$7:$M$84,12))</f>
        <v/>
      </c>
      <c r="J1435" s="105">
        <f>IF(B1435="Total",SUM(J$8:J1434)+0.0001,IF(OR(B1435="",I$2=I1435),0,VLOOKUP(A1435,Journal!$B$7:M$84,8)))</f>
        <v>0</v>
      </c>
      <c r="K1435" s="102">
        <f>IF(B1435="Total",SUM(K$8:K1434)+0.0001,IF(OR(B1435="",J1435&lt;&gt;0),0,VLOOKUP(A1435,Journal!$B$7:M$84,8)))</f>
        <v>0</v>
      </c>
      <c r="L1435" s="87">
        <f t="shared" si="168"/>
        <v>0</v>
      </c>
      <c r="P1435">
        <f t="shared" si="169"/>
        <v>1.0000000000000001E-5</v>
      </c>
      <c r="R1435" s="15">
        <f t="shared" si="170"/>
        <v>1428</v>
      </c>
      <c r="S1435" s="126">
        <f>IF(VLOOKUP(A1435,Journal!$A$7:$E$70,5)=0,S1434+1,VLOOKUP(A1435,Journal!$A$7:$E$70,5))</f>
        <v>47085</v>
      </c>
      <c r="T1435" s="125">
        <f>IF(H$2=VLOOKUP(A1435,Journal!$A$7:$F$70,6),VLOOKUP(A1435,Journal!$A$7:M$70,9),0)</f>
        <v>0</v>
      </c>
      <c r="U1435" s="125">
        <f>IF(H$2=VLOOKUP(A1435,Journal!$A$7:$G$70,7),VLOOKUP(A1435,Journal!$A$7:M$70,9),0)</f>
        <v>0</v>
      </c>
      <c r="V1435" s="125">
        <f t="shared" si="166"/>
        <v>40</v>
      </c>
      <c r="X1435">
        <f t="shared" si="171"/>
        <v>0</v>
      </c>
      <c r="Y1435" s="143">
        <f t="shared" si="165"/>
        <v>-962.50000000005969</v>
      </c>
    </row>
    <row r="1436" spans="1:25" x14ac:dyDescent="0.25">
      <c r="A1436">
        <f t="shared" si="167"/>
        <v>1429</v>
      </c>
      <c r="B1436" s="88" t="str">
        <f>IF(OR(B1435="Total",B1435=""),"",IF(VLOOKUP(A1436,Journal!$B$7:$E$84,4)=0,"Total",VLOOKUP(A1436,Journal!$B$7:$D$84,3)))</f>
        <v/>
      </c>
      <c r="C1436" s="86" t="str">
        <f>IF(B1436="","",VLOOKUP(A1436,Journal!$B$7:$E$84,4))</f>
        <v/>
      </c>
      <c r="D1436" s="114" t="str">
        <f>IF(B1436="","",VLOOKUP(A1436,Journal!$B$7:$J$84,9))</f>
        <v/>
      </c>
      <c r="E1436" s="116"/>
      <c r="F1436" s="116"/>
      <c r="G1436" s="115"/>
      <c r="H1436" s="84" t="str">
        <f>IF(B1436="","",VLOOKUP(A1436,Journal!$B$7:$L$84,11))</f>
        <v/>
      </c>
      <c r="I1436" s="84" t="str">
        <f>IF(B1436="","",VLOOKUP(A1436,Journal!$B$7:$M$84,12))</f>
        <v/>
      </c>
      <c r="J1436" s="105">
        <f>IF(B1436="Total",SUM(J$8:J1435)+0.0001,IF(OR(B1436="",I$2=I1436),0,VLOOKUP(A1436,Journal!$B$7:M$84,8)))</f>
        <v>0</v>
      </c>
      <c r="K1436" s="102">
        <f>IF(B1436="Total",SUM(K$8:K1435)+0.0001,IF(OR(B1436="",J1436&lt;&gt;0),0,VLOOKUP(A1436,Journal!$B$7:M$84,8)))</f>
        <v>0</v>
      </c>
      <c r="L1436" s="87">
        <f t="shared" si="168"/>
        <v>0</v>
      </c>
      <c r="P1436">
        <f t="shared" si="169"/>
        <v>1.0000000000000001E-5</v>
      </c>
      <c r="R1436" s="15">
        <f t="shared" si="170"/>
        <v>1429</v>
      </c>
      <c r="S1436" s="126">
        <f>IF(VLOOKUP(A1436,Journal!$A$7:$E$70,5)=0,S1435+1,VLOOKUP(A1436,Journal!$A$7:$E$70,5))</f>
        <v>47086</v>
      </c>
      <c r="T1436" s="125">
        <f>IF(H$2=VLOOKUP(A1436,Journal!$A$7:$F$70,6),VLOOKUP(A1436,Journal!$A$7:M$70,9),0)</f>
        <v>0</v>
      </c>
      <c r="U1436" s="125">
        <f>IF(H$2=VLOOKUP(A1436,Journal!$A$7:$G$70,7),VLOOKUP(A1436,Journal!$A$7:M$70,9),0)</f>
        <v>0</v>
      </c>
      <c r="V1436" s="125">
        <f t="shared" si="166"/>
        <v>40</v>
      </c>
      <c r="X1436">
        <f t="shared" si="171"/>
        <v>0</v>
      </c>
      <c r="Y1436" s="143">
        <f t="shared" si="165"/>
        <v>-962.47368421058604</v>
      </c>
    </row>
    <row r="1437" spans="1:25" x14ac:dyDescent="0.25">
      <c r="A1437">
        <f t="shared" si="167"/>
        <v>1430</v>
      </c>
      <c r="B1437" s="88" t="str">
        <f>IF(OR(B1436="Total",B1436=""),"",IF(VLOOKUP(A1437,Journal!$B$7:$E$84,4)=0,"Total",VLOOKUP(A1437,Journal!$B$7:$D$84,3)))</f>
        <v/>
      </c>
      <c r="C1437" s="86" t="str">
        <f>IF(B1437="","",VLOOKUP(A1437,Journal!$B$7:$E$84,4))</f>
        <v/>
      </c>
      <c r="D1437" s="114" t="str">
        <f>IF(B1437="","",VLOOKUP(A1437,Journal!$B$7:$J$84,9))</f>
        <v/>
      </c>
      <c r="E1437" s="116"/>
      <c r="F1437" s="116"/>
      <c r="G1437" s="115"/>
      <c r="H1437" s="84" t="str">
        <f>IF(B1437="","",VLOOKUP(A1437,Journal!$B$7:$L$84,11))</f>
        <v/>
      </c>
      <c r="I1437" s="84" t="str">
        <f>IF(B1437="","",VLOOKUP(A1437,Journal!$B$7:$M$84,12))</f>
        <v/>
      </c>
      <c r="J1437" s="105">
        <f>IF(B1437="Total",SUM(J$8:J1436)+0.0001,IF(OR(B1437="",I$2=I1437),0,VLOOKUP(A1437,Journal!$B$7:M$84,8)))</f>
        <v>0</v>
      </c>
      <c r="K1437" s="102">
        <f>IF(B1437="Total",SUM(K$8:K1436)+0.0001,IF(OR(B1437="",J1437&lt;&gt;0),0,VLOOKUP(A1437,Journal!$B$7:M$84,8)))</f>
        <v>0</v>
      </c>
      <c r="L1437" s="87">
        <f t="shared" si="168"/>
        <v>0</v>
      </c>
      <c r="P1437">
        <f t="shared" si="169"/>
        <v>1.0000000000000001E-5</v>
      </c>
      <c r="R1437" s="15">
        <f t="shared" si="170"/>
        <v>1430</v>
      </c>
      <c r="S1437" s="126">
        <f>IF(VLOOKUP(A1437,Journal!$A$7:$E$70,5)=0,S1436+1,VLOOKUP(A1437,Journal!$A$7:$E$70,5))</f>
        <v>47087</v>
      </c>
      <c r="T1437" s="125">
        <f>IF(H$2=VLOOKUP(A1437,Journal!$A$7:$F$70,6),VLOOKUP(A1437,Journal!$A$7:M$70,9),0)</f>
        <v>0</v>
      </c>
      <c r="U1437" s="125">
        <f>IF(H$2=VLOOKUP(A1437,Journal!$A$7:$G$70,7),VLOOKUP(A1437,Journal!$A$7:M$70,9),0)</f>
        <v>0</v>
      </c>
      <c r="V1437" s="125">
        <f t="shared" si="166"/>
        <v>40</v>
      </c>
      <c r="X1437">
        <f t="shared" si="171"/>
        <v>0</v>
      </c>
      <c r="Y1437" s="143">
        <f t="shared" si="165"/>
        <v>-962.4473684211124</v>
      </c>
    </row>
    <row r="1438" spans="1:25" x14ac:dyDescent="0.25">
      <c r="A1438">
        <f t="shared" si="167"/>
        <v>1431</v>
      </c>
      <c r="B1438" s="88" t="str">
        <f>IF(OR(B1437="Total",B1437=""),"",IF(VLOOKUP(A1438,Journal!$B$7:$E$84,4)=0,"Total",VLOOKUP(A1438,Journal!$B$7:$D$84,3)))</f>
        <v/>
      </c>
      <c r="C1438" s="86" t="str">
        <f>IF(B1438="","",VLOOKUP(A1438,Journal!$B$7:$E$84,4))</f>
        <v/>
      </c>
      <c r="D1438" s="114" t="str">
        <f>IF(B1438="","",VLOOKUP(A1438,Journal!$B$7:$J$84,9))</f>
        <v/>
      </c>
      <c r="E1438" s="116"/>
      <c r="F1438" s="116"/>
      <c r="G1438" s="115"/>
      <c r="H1438" s="84" t="str">
        <f>IF(B1438="","",VLOOKUP(A1438,Journal!$B$7:$L$84,11))</f>
        <v/>
      </c>
      <c r="I1438" s="84" t="str">
        <f>IF(B1438="","",VLOOKUP(A1438,Journal!$B$7:$M$84,12))</f>
        <v/>
      </c>
      <c r="J1438" s="105">
        <f>IF(B1438="Total",SUM(J$8:J1437)+0.0001,IF(OR(B1438="",I$2=I1438),0,VLOOKUP(A1438,Journal!$B$7:M$84,8)))</f>
        <v>0</v>
      </c>
      <c r="K1438" s="102">
        <f>IF(B1438="Total",SUM(K$8:K1437)+0.0001,IF(OR(B1438="",J1438&lt;&gt;0),0,VLOOKUP(A1438,Journal!$B$7:M$84,8)))</f>
        <v>0</v>
      </c>
      <c r="L1438" s="87">
        <f t="shared" si="168"/>
        <v>0</v>
      </c>
      <c r="P1438">
        <f t="shared" si="169"/>
        <v>1.0000000000000001E-5</v>
      </c>
      <c r="R1438" s="15">
        <f t="shared" si="170"/>
        <v>1431</v>
      </c>
      <c r="S1438" s="126">
        <f>IF(VLOOKUP(A1438,Journal!$A$7:$E$70,5)=0,S1437+1,VLOOKUP(A1438,Journal!$A$7:$E$70,5))</f>
        <v>47088</v>
      </c>
      <c r="T1438" s="125">
        <f>IF(H$2=VLOOKUP(A1438,Journal!$A$7:$F$70,6),VLOOKUP(A1438,Journal!$A$7:M$70,9),0)</f>
        <v>0</v>
      </c>
      <c r="U1438" s="125">
        <f>IF(H$2=VLOOKUP(A1438,Journal!$A$7:$G$70,7),VLOOKUP(A1438,Journal!$A$7:M$70,9),0)</f>
        <v>0</v>
      </c>
      <c r="V1438" s="125">
        <f t="shared" si="166"/>
        <v>40</v>
      </c>
      <c r="X1438">
        <f t="shared" si="171"/>
        <v>0</v>
      </c>
      <c r="Y1438" s="143">
        <f t="shared" si="165"/>
        <v>-962.42105263163876</v>
      </c>
    </row>
    <row r="1439" spans="1:25" x14ac:dyDescent="0.25">
      <c r="A1439">
        <f t="shared" si="167"/>
        <v>1432</v>
      </c>
      <c r="B1439" s="88" t="str">
        <f>IF(OR(B1438="Total",B1438=""),"",IF(VLOOKUP(A1439,Journal!$B$7:$E$84,4)=0,"Total",VLOOKUP(A1439,Journal!$B$7:$D$84,3)))</f>
        <v/>
      </c>
      <c r="C1439" s="86" t="str">
        <f>IF(B1439="","",VLOOKUP(A1439,Journal!$B$7:$E$84,4))</f>
        <v/>
      </c>
      <c r="D1439" s="114" t="str">
        <f>IF(B1439="","",VLOOKUP(A1439,Journal!$B$7:$J$84,9))</f>
        <v/>
      </c>
      <c r="E1439" s="116"/>
      <c r="F1439" s="116"/>
      <c r="G1439" s="115"/>
      <c r="H1439" s="84" t="str">
        <f>IF(B1439="","",VLOOKUP(A1439,Journal!$B$7:$L$84,11))</f>
        <v/>
      </c>
      <c r="I1439" s="84" t="str">
        <f>IF(B1439="","",VLOOKUP(A1439,Journal!$B$7:$M$84,12))</f>
        <v/>
      </c>
      <c r="J1439" s="105">
        <f>IF(B1439="Total",SUM(J$8:J1438)+0.0001,IF(OR(B1439="",I$2=I1439),0,VLOOKUP(A1439,Journal!$B$7:M$84,8)))</f>
        <v>0</v>
      </c>
      <c r="K1439" s="102">
        <f>IF(B1439="Total",SUM(K$8:K1438)+0.0001,IF(OR(B1439="",J1439&lt;&gt;0),0,VLOOKUP(A1439,Journal!$B$7:M$84,8)))</f>
        <v>0</v>
      </c>
      <c r="L1439" s="87">
        <f t="shared" si="168"/>
        <v>0</v>
      </c>
      <c r="P1439">
        <f t="shared" si="169"/>
        <v>1.0000000000000001E-5</v>
      </c>
      <c r="R1439" s="15">
        <f t="shared" si="170"/>
        <v>1432</v>
      </c>
      <c r="S1439" s="126">
        <f>IF(VLOOKUP(A1439,Journal!$A$7:$E$70,5)=0,S1438+1,VLOOKUP(A1439,Journal!$A$7:$E$70,5))</f>
        <v>47089</v>
      </c>
      <c r="T1439" s="125">
        <f>IF(H$2=VLOOKUP(A1439,Journal!$A$7:$F$70,6),VLOOKUP(A1439,Journal!$A$7:M$70,9),0)</f>
        <v>0</v>
      </c>
      <c r="U1439" s="125">
        <f>IF(H$2=VLOOKUP(A1439,Journal!$A$7:$G$70,7),VLOOKUP(A1439,Journal!$A$7:M$70,9),0)</f>
        <v>0</v>
      </c>
      <c r="V1439" s="125">
        <f t="shared" si="166"/>
        <v>40</v>
      </c>
      <c r="X1439">
        <f t="shared" si="171"/>
        <v>0</v>
      </c>
      <c r="Y1439" s="143">
        <f t="shared" si="165"/>
        <v>-962.39473684216512</v>
      </c>
    </row>
    <row r="1440" spans="1:25" x14ac:dyDescent="0.25">
      <c r="A1440">
        <f t="shared" si="167"/>
        <v>1433</v>
      </c>
      <c r="B1440" s="88" t="str">
        <f>IF(OR(B1439="Total",B1439=""),"",IF(VLOOKUP(A1440,Journal!$B$7:$E$84,4)=0,"Total",VLOOKUP(A1440,Journal!$B$7:$D$84,3)))</f>
        <v/>
      </c>
      <c r="C1440" s="86" t="str">
        <f>IF(B1440="","",VLOOKUP(A1440,Journal!$B$7:$E$84,4))</f>
        <v/>
      </c>
      <c r="D1440" s="114" t="str">
        <f>IF(B1440="","",VLOOKUP(A1440,Journal!$B$7:$J$84,9))</f>
        <v/>
      </c>
      <c r="E1440" s="116"/>
      <c r="F1440" s="116"/>
      <c r="G1440" s="115"/>
      <c r="H1440" s="84" t="str">
        <f>IF(B1440="","",VLOOKUP(A1440,Journal!$B$7:$L$84,11))</f>
        <v/>
      </c>
      <c r="I1440" s="84" t="str">
        <f>IF(B1440="","",VLOOKUP(A1440,Journal!$B$7:$M$84,12))</f>
        <v/>
      </c>
      <c r="J1440" s="105">
        <f>IF(B1440="Total",SUM(J$8:J1439)+0.0001,IF(OR(B1440="",I$2=I1440),0,VLOOKUP(A1440,Journal!$B$7:M$84,8)))</f>
        <v>0</v>
      </c>
      <c r="K1440" s="102">
        <f>IF(B1440="Total",SUM(K$8:K1439)+0.0001,IF(OR(B1440="",J1440&lt;&gt;0),0,VLOOKUP(A1440,Journal!$B$7:M$84,8)))</f>
        <v>0</v>
      </c>
      <c r="L1440" s="87">
        <f t="shared" si="168"/>
        <v>0</v>
      </c>
      <c r="P1440">
        <f t="shared" si="169"/>
        <v>1.0000000000000001E-5</v>
      </c>
      <c r="R1440" s="15">
        <f t="shared" si="170"/>
        <v>1433</v>
      </c>
      <c r="S1440" s="126">
        <f>IF(VLOOKUP(A1440,Journal!$A$7:$E$70,5)=0,S1439+1,VLOOKUP(A1440,Journal!$A$7:$E$70,5))</f>
        <v>47090</v>
      </c>
      <c r="T1440" s="125">
        <f>IF(H$2=VLOOKUP(A1440,Journal!$A$7:$F$70,6),VLOOKUP(A1440,Journal!$A$7:M$70,9),0)</f>
        <v>0</v>
      </c>
      <c r="U1440" s="125">
        <f>IF(H$2=VLOOKUP(A1440,Journal!$A$7:$G$70,7),VLOOKUP(A1440,Journal!$A$7:M$70,9),0)</f>
        <v>0</v>
      </c>
      <c r="V1440" s="125">
        <f t="shared" si="166"/>
        <v>40</v>
      </c>
      <c r="X1440">
        <f t="shared" si="171"/>
        <v>0</v>
      </c>
      <c r="Y1440" s="143">
        <f t="shared" si="165"/>
        <v>-962.36842105269147</v>
      </c>
    </row>
    <row r="1441" spans="1:25" x14ac:dyDescent="0.25">
      <c r="A1441">
        <f t="shared" si="167"/>
        <v>1434</v>
      </c>
      <c r="B1441" s="88" t="str">
        <f>IF(OR(B1440="Total",B1440=""),"",IF(VLOOKUP(A1441,Journal!$B$7:$E$84,4)=0,"Total",VLOOKUP(A1441,Journal!$B$7:$D$84,3)))</f>
        <v/>
      </c>
      <c r="C1441" s="86" t="str">
        <f>IF(B1441="","",VLOOKUP(A1441,Journal!$B$7:$E$84,4))</f>
        <v/>
      </c>
      <c r="D1441" s="114" t="str">
        <f>IF(B1441="","",VLOOKUP(A1441,Journal!$B$7:$J$84,9))</f>
        <v/>
      </c>
      <c r="E1441" s="116"/>
      <c r="F1441" s="116"/>
      <c r="G1441" s="115"/>
      <c r="H1441" s="84" t="str">
        <f>IF(B1441="","",VLOOKUP(A1441,Journal!$B$7:$L$84,11))</f>
        <v/>
      </c>
      <c r="I1441" s="84" t="str">
        <f>IF(B1441="","",VLOOKUP(A1441,Journal!$B$7:$M$84,12))</f>
        <v/>
      </c>
      <c r="J1441" s="105">
        <f>IF(B1441="Total",SUM(J$8:J1440)+0.0001,IF(OR(B1441="",I$2=I1441),0,VLOOKUP(A1441,Journal!$B$7:M$84,8)))</f>
        <v>0</v>
      </c>
      <c r="K1441" s="102">
        <f>IF(B1441="Total",SUM(K$8:K1440)+0.0001,IF(OR(B1441="",J1441&lt;&gt;0),0,VLOOKUP(A1441,Journal!$B$7:M$84,8)))</f>
        <v>0</v>
      </c>
      <c r="L1441" s="87">
        <f t="shared" si="168"/>
        <v>0</v>
      </c>
      <c r="P1441">
        <f t="shared" si="169"/>
        <v>1.0000000000000001E-5</v>
      </c>
      <c r="R1441" s="15">
        <f t="shared" si="170"/>
        <v>1434</v>
      </c>
      <c r="S1441" s="126">
        <f>IF(VLOOKUP(A1441,Journal!$A$7:$E$70,5)=0,S1440+1,VLOOKUP(A1441,Journal!$A$7:$E$70,5))</f>
        <v>47091</v>
      </c>
      <c r="T1441" s="125">
        <f>IF(H$2=VLOOKUP(A1441,Journal!$A$7:$F$70,6),VLOOKUP(A1441,Journal!$A$7:M$70,9),0)</f>
        <v>0</v>
      </c>
      <c r="U1441" s="125">
        <f>IF(H$2=VLOOKUP(A1441,Journal!$A$7:$G$70,7),VLOOKUP(A1441,Journal!$A$7:M$70,9),0)</f>
        <v>0</v>
      </c>
      <c r="V1441" s="125">
        <f t="shared" si="166"/>
        <v>40</v>
      </c>
      <c r="X1441">
        <f t="shared" si="171"/>
        <v>0</v>
      </c>
      <c r="Y1441" s="143">
        <f t="shared" si="165"/>
        <v>-962.34210526321783</v>
      </c>
    </row>
    <row r="1442" spans="1:25" x14ac:dyDescent="0.25">
      <c r="A1442">
        <f t="shared" si="167"/>
        <v>1435</v>
      </c>
      <c r="B1442" s="88" t="str">
        <f>IF(OR(B1441="Total",B1441=""),"",IF(VLOOKUP(A1442,Journal!$B$7:$E$84,4)=0,"Total",VLOOKUP(A1442,Journal!$B$7:$D$84,3)))</f>
        <v/>
      </c>
      <c r="C1442" s="86" t="str">
        <f>IF(B1442="","",VLOOKUP(A1442,Journal!$B$7:$E$84,4))</f>
        <v/>
      </c>
      <c r="D1442" s="114" t="str">
        <f>IF(B1442="","",VLOOKUP(A1442,Journal!$B$7:$J$84,9))</f>
        <v/>
      </c>
      <c r="E1442" s="116"/>
      <c r="F1442" s="116"/>
      <c r="G1442" s="115"/>
      <c r="H1442" s="84" t="str">
        <f>IF(B1442="","",VLOOKUP(A1442,Journal!$B$7:$L$84,11))</f>
        <v/>
      </c>
      <c r="I1442" s="84" t="str">
        <f>IF(B1442="","",VLOOKUP(A1442,Journal!$B$7:$M$84,12))</f>
        <v/>
      </c>
      <c r="J1442" s="105">
        <f>IF(B1442="Total",SUM(J$8:J1441)+0.0001,IF(OR(B1442="",I$2=I1442),0,VLOOKUP(A1442,Journal!$B$7:M$84,8)))</f>
        <v>0</v>
      </c>
      <c r="K1442" s="102">
        <f>IF(B1442="Total",SUM(K$8:K1441)+0.0001,IF(OR(B1442="",J1442&lt;&gt;0),0,VLOOKUP(A1442,Journal!$B$7:M$84,8)))</f>
        <v>0</v>
      </c>
      <c r="L1442" s="87">
        <f t="shared" si="168"/>
        <v>0</v>
      </c>
      <c r="P1442">
        <f t="shared" si="169"/>
        <v>1.0000000000000001E-5</v>
      </c>
      <c r="R1442" s="15">
        <f t="shared" si="170"/>
        <v>1435</v>
      </c>
      <c r="S1442" s="126">
        <f>IF(VLOOKUP(A1442,Journal!$A$7:$E$70,5)=0,S1441+1,VLOOKUP(A1442,Journal!$A$7:$E$70,5))</f>
        <v>47092</v>
      </c>
      <c r="T1442" s="125">
        <f>IF(H$2=VLOOKUP(A1442,Journal!$A$7:$F$70,6),VLOOKUP(A1442,Journal!$A$7:M$70,9),0)</f>
        <v>0</v>
      </c>
      <c r="U1442" s="125">
        <f>IF(H$2=VLOOKUP(A1442,Journal!$A$7:$G$70,7),VLOOKUP(A1442,Journal!$A$7:M$70,9),0)</f>
        <v>0</v>
      </c>
      <c r="V1442" s="125">
        <f t="shared" si="166"/>
        <v>40</v>
      </c>
      <c r="X1442">
        <f t="shared" si="171"/>
        <v>0</v>
      </c>
      <c r="Y1442" s="143">
        <f t="shared" si="165"/>
        <v>-962.31578947374419</v>
      </c>
    </row>
    <row r="1443" spans="1:25" x14ac:dyDescent="0.25">
      <c r="A1443">
        <f t="shared" si="167"/>
        <v>1436</v>
      </c>
      <c r="B1443" s="88" t="str">
        <f>IF(OR(B1442="Total",B1442=""),"",IF(VLOOKUP(A1443,Journal!$B$7:$E$84,4)=0,"Total",VLOOKUP(A1443,Journal!$B$7:$D$84,3)))</f>
        <v/>
      </c>
      <c r="C1443" s="86" t="str">
        <f>IF(B1443="","",VLOOKUP(A1443,Journal!$B$7:$E$84,4))</f>
        <v/>
      </c>
      <c r="D1443" s="114" t="str">
        <f>IF(B1443="","",VLOOKUP(A1443,Journal!$B$7:$J$84,9))</f>
        <v/>
      </c>
      <c r="E1443" s="116"/>
      <c r="F1443" s="116"/>
      <c r="G1443" s="115"/>
      <c r="H1443" s="84" t="str">
        <f>IF(B1443="","",VLOOKUP(A1443,Journal!$B$7:$L$84,11))</f>
        <v/>
      </c>
      <c r="I1443" s="84" t="str">
        <f>IF(B1443="","",VLOOKUP(A1443,Journal!$B$7:$M$84,12))</f>
        <v/>
      </c>
      <c r="J1443" s="105">
        <f>IF(B1443="Total",SUM(J$8:J1442)+0.0001,IF(OR(B1443="",I$2=I1443),0,VLOOKUP(A1443,Journal!$B$7:M$84,8)))</f>
        <v>0</v>
      </c>
      <c r="K1443" s="102">
        <f>IF(B1443="Total",SUM(K$8:K1442)+0.0001,IF(OR(B1443="",J1443&lt;&gt;0),0,VLOOKUP(A1443,Journal!$B$7:M$84,8)))</f>
        <v>0</v>
      </c>
      <c r="L1443" s="87">
        <f t="shared" si="168"/>
        <v>0</v>
      </c>
      <c r="P1443">
        <f t="shared" si="169"/>
        <v>1.0000000000000001E-5</v>
      </c>
      <c r="R1443" s="15">
        <f t="shared" si="170"/>
        <v>1436</v>
      </c>
      <c r="S1443" s="126">
        <f>IF(VLOOKUP(A1443,Journal!$A$7:$E$70,5)=0,S1442+1,VLOOKUP(A1443,Journal!$A$7:$E$70,5))</f>
        <v>47093</v>
      </c>
      <c r="T1443" s="125">
        <f>IF(H$2=VLOOKUP(A1443,Journal!$A$7:$F$70,6),VLOOKUP(A1443,Journal!$A$7:M$70,9),0)</f>
        <v>0</v>
      </c>
      <c r="U1443" s="125">
        <f>IF(H$2=VLOOKUP(A1443,Journal!$A$7:$G$70,7),VLOOKUP(A1443,Journal!$A$7:M$70,9),0)</f>
        <v>0</v>
      </c>
      <c r="V1443" s="125">
        <f t="shared" si="166"/>
        <v>40</v>
      </c>
      <c r="X1443">
        <f t="shared" si="171"/>
        <v>0</v>
      </c>
      <c r="Y1443" s="143">
        <f t="shared" si="165"/>
        <v>-962.28947368427055</v>
      </c>
    </row>
    <row r="1444" spans="1:25" x14ac:dyDescent="0.25">
      <c r="A1444">
        <f t="shared" si="167"/>
        <v>1437</v>
      </c>
      <c r="B1444" s="88" t="str">
        <f>IF(OR(B1443="Total",B1443=""),"",IF(VLOOKUP(A1444,Journal!$B$7:$E$84,4)=0,"Total",VLOOKUP(A1444,Journal!$B$7:$D$84,3)))</f>
        <v/>
      </c>
      <c r="C1444" s="86" t="str">
        <f>IF(B1444="","",VLOOKUP(A1444,Journal!$B$7:$E$84,4))</f>
        <v/>
      </c>
      <c r="D1444" s="114" t="str">
        <f>IF(B1444="","",VLOOKUP(A1444,Journal!$B$7:$J$84,9))</f>
        <v/>
      </c>
      <c r="E1444" s="116"/>
      <c r="F1444" s="116"/>
      <c r="G1444" s="115"/>
      <c r="H1444" s="84" t="str">
        <f>IF(B1444="","",VLOOKUP(A1444,Journal!$B$7:$L$84,11))</f>
        <v/>
      </c>
      <c r="I1444" s="84" t="str">
        <f>IF(B1444="","",VLOOKUP(A1444,Journal!$B$7:$M$84,12))</f>
        <v/>
      </c>
      <c r="J1444" s="105">
        <f>IF(B1444="Total",SUM(J$8:J1443)+0.0001,IF(OR(B1444="",I$2=I1444),0,VLOOKUP(A1444,Journal!$B$7:M$84,8)))</f>
        <v>0</v>
      </c>
      <c r="K1444" s="102">
        <f>IF(B1444="Total",SUM(K$8:K1443)+0.0001,IF(OR(B1444="",J1444&lt;&gt;0),0,VLOOKUP(A1444,Journal!$B$7:M$84,8)))</f>
        <v>0</v>
      </c>
      <c r="L1444" s="87">
        <f t="shared" si="168"/>
        <v>0</v>
      </c>
      <c r="P1444">
        <f t="shared" si="169"/>
        <v>1.0000000000000001E-5</v>
      </c>
      <c r="R1444" s="15">
        <f t="shared" si="170"/>
        <v>1437</v>
      </c>
      <c r="S1444" s="126">
        <f>IF(VLOOKUP(A1444,Journal!$A$7:$E$70,5)=0,S1443+1,VLOOKUP(A1444,Journal!$A$7:$E$70,5))</f>
        <v>47094</v>
      </c>
      <c r="T1444" s="125">
        <f>IF(H$2=VLOOKUP(A1444,Journal!$A$7:$F$70,6),VLOOKUP(A1444,Journal!$A$7:M$70,9),0)</f>
        <v>0</v>
      </c>
      <c r="U1444" s="125">
        <f>IF(H$2=VLOOKUP(A1444,Journal!$A$7:$G$70,7),VLOOKUP(A1444,Journal!$A$7:M$70,9),0)</f>
        <v>0</v>
      </c>
      <c r="V1444" s="125">
        <f t="shared" si="166"/>
        <v>40</v>
      </c>
      <c r="X1444">
        <f t="shared" si="171"/>
        <v>0</v>
      </c>
      <c r="Y1444" s="143">
        <f t="shared" si="165"/>
        <v>-962.2631578947969</v>
      </c>
    </row>
    <row r="1445" spans="1:25" x14ac:dyDescent="0.25">
      <c r="A1445">
        <f t="shared" si="167"/>
        <v>1438</v>
      </c>
      <c r="B1445" s="88" t="str">
        <f>IF(OR(B1444="Total",B1444=""),"",IF(VLOOKUP(A1445,Journal!$B$7:$E$84,4)=0,"Total",VLOOKUP(A1445,Journal!$B$7:$D$84,3)))</f>
        <v/>
      </c>
      <c r="C1445" s="86" t="str">
        <f>IF(B1445="","",VLOOKUP(A1445,Journal!$B$7:$E$84,4))</f>
        <v/>
      </c>
      <c r="D1445" s="114" t="str">
        <f>IF(B1445="","",VLOOKUP(A1445,Journal!$B$7:$J$84,9))</f>
        <v/>
      </c>
      <c r="E1445" s="116"/>
      <c r="F1445" s="116"/>
      <c r="G1445" s="115"/>
      <c r="H1445" s="84" t="str">
        <f>IF(B1445="","",VLOOKUP(A1445,Journal!$B$7:$L$84,11))</f>
        <v/>
      </c>
      <c r="I1445" s="84" t="str">
        <f>IF(B1445="","",VLOOKUP(A1445,Journal!$B$7:$M$84,12))</f>
        <v/>
      </c>
      <c r="J1445" s="105">
        <f>IF(B1445="Total",SUM(J$8:J1444)+0.0001,IF(OR(B1445="",I$2=I1445),0,VLOOKUP(A1445,Journal!$B$7:M$84,8)))</f>
        <v>0</v>
      </c>
      <c r="K1445" s="102">
        <f>IF(B1445="Total",SUM(K$8:K1444)+0.0001,IF(OR(B1445="",J1445&lt;&gt;0),0,VLOOKUP(A1445,Journal!$B$7:M$84,8)))</f>
        <v>0</v>
      </c>
      <c r="L1445" s="87">
        <f t="shared" si="168"/>
        <v>0</v>
      </c>
      <c r="P1445">
        <f t="shared" si="169"/>
        <v>1.0000000000000001E-5</v>
      </c>
      <c r="R1445" s="15">
        <f t="shared" si="170"/>
        <v>1438</v>
      </c>
      <c r="S1445" s="126">
        <f>IF(VLOOKUP(A1445,Journal!$A$7:$E$70,5)=0,S1444+1,VLOOKUP(A1445,Journal!$A$7:$E$70,5))</f>
        <v>47095</v>
      </c>
      <c r="T1445" s="125">
        <f>IF(H$2=VLOOKUP(A1445,Journal!$A$7:$F$70,6),VLOOKUP(A1445,Journal!$A$7:M$70,9),0)</f>
        <v>0</v>
      </c>
      <c r="U1445" s="125">
        <f>IF(H$2=VLOOKUP(A1445,Journal!$A$7:$G$70,7),VLOOKUP(A1445,Journal!$A$7:M$70,9),0)</f>
        <v>0</v>
      </c>
      <c r="V1445" s="125">
        <f t="shared" si="166"/>
        <v>40</v>
      </c>
      <c r="X1445">
        <f t="shared" si="171"/>
        <v>0</v>
      </c>
      <c r="Y1445" s="143">
        <f t="shared" si="165"/>
        <v>-962.23684210532326</v>
      </c>
    </row>
    <row r="1446" spans="1:25" x14ac:dyDescent="0.25">
      <c r="A1446">
        <f t="shared" si="167"/>
        <v>1439</v>
      </c>
      <c r="B1446" s="88" t="str">
        <f>IF(OR(B1445="Total",B1445=""),"",IF(VLOOKUP(A1446,Journal!$B$7:$E$84,4)=0,"Total",VLOOKUP(A1446,Journal!$B$7:$D$84,3)))</f>
        <v/>
      </c>
      <c r="C1446" s="86" t="str">
        <f>IF(B1446="","",VLOOKUP(A1446,Journal!$B$7:$E$84,4))</f>
        <v/>
      </c>
      <c r="D1446" s="114" t="str">
        <f>IF(B1446="","",VLOOKUP(A1446,Journal!$B$7:$J$84,9))</f>
        <v/>
      </c>
      <c r="E1446" s="116"/>
      <c r="F1446" s="116"/>
      <c r="G1446" s="115"/>
      <c r="H1446" s="84" t="str">
        <f>IF(B1446="","",VLOOKUP(A1446,Journal!$B$7:$L$84,11))</f>
        <v/>
      </c>
      <c r="I1446" s="84" t="str">
        <f>IF(B1446="","",VLOOKUP(A1446,Journal!$B$7:$M$84,12))</f>
        <v/>
      </c>
      <c r="J1446" s="105">
        <f>IF(B1446="Total",SUM(J$8:J1445)+0.0001,IF(OR(B1446="",I$2=I1446),0,VLOOKUP(A1446,Journal!$B$7:M$84,8)))</f>
        <v>0</v>
      </c>
      <c r="K1446" s="102">
        <f>IF(B1446="Total",SUM(K$8:K1445)+0.0001,IF(OR(B1446="",J1446&lt;&gt;0),0,VLOOKUP(A1446,Journal!$B$7:M$84,8)))</f>
        <v>0</v>
      </c>
      <c r="L1446" s="87">
        <f t="shared" si="168"/>
        <v>0</v>
      </c>
      <c r="P1446">
        <f t="shared" si="169"/>
        <v>1.0000000000000001E-5</v>
      </c>
      <c r="R1446" s="15">
        <f t="shared" si="170"/>
        <v>1439</v>
      </c>
      <c r="S1446" s="126">
        <f>IF(VLOOKUP(A1446,Journal!$A$7:$E$70,5)=0,S1445+1,VLOOKUP(A1446,Journal!$A$7:$E$70,5))</f>
        <v>47096</v>
      </c>
      <c r="T1446" s="125">
        <f>IF(H$2=VLOOKUP(A1446,Journal!$A$7:$F$70,6),VLOOKUP(A1446,Journal!$A$7:M$70,9),0)</f>
        <v>0</v>
      </c>
      <c r="U1446" s="125">
        <f>IF(H$2=VLOOKUP(A1446,Journal!$A$7:$G$70,7),VLOOKUP(A1446,Journal!$A$7:M$70,9),0)</f>
        <v>0</v>
      </c>
      <c r="V1446" s="125">
        <f t="shared" si="166"/>
        <v>40</v>
      </c>
      <c r="X1446">
        <f t="shared" si="171"/>
        <v>0</v>
      </c>
      <c r="Y1446" s="143">
        <f t="shared" si="165"/>
        <v>-962.21052631584962</v>
      </c>
    </row>
    <row r="1447" spans="1:25" x14ac:dyDescent="0.25">
      <c r="A1447">
        <f t="shared" si="167"/>
        <v>1440</v>
      </c>
      <c r="B1447" s="88" t="str">
        <f>IF(OR(B1446="Total",B1446=""),"",IF(VLOOKUP(A1447,Journal!$B$7:$E$84,4)=0,"Total",VLOOKUP(A1447,Journal!$B$7:$D$84,3)))</f>
        <v/>
      </c>
      <c r="C1447" s="86" t="str">
        <f>IF(B1447="","",VLOOKUP(A1447,Journal!$B$7:$E$84,4))</f>
        <v/>
      </c>
      <c r="D1447" s="114" t="str">
        <f>IF(B1447="","",VLOOKUP(A1447,Journal!$B$7:$J$84,9))</f>
        <v/>
      </c>
      <c r="E1447" s="116"/>
      <c r="F1447" s="116"/>
      <c r="G1447" s="115"/>
      <c r="H1447" s="84" t="str">
        <f>IF(B1447="","",VLOOKUP(A1447,Journal!$B$7:$L$84,11))</f>
        <v/>
      </c>
      <c r="I1447" s="84" t="str">
        <f>IF(B1447="","",VLOOKUP(A1447,Journal!$B$7:$M$84,12))</f>
        <v/>
      </c>
      <c r="J1447" s="105">
        <f>IF(B1447="Total",SUM(J$8:J1446)+0.0001,IF(OR(B1447="",I$2=I1447),0,VLOOKUP(A1447,Journal!$B$7:M$84,8)))</f>
        <v>0</v>
      </c>
      <c r="K1447" s="102">
        <f>IF(B1447="Total",SUM(K$8:K1446)+0.0001,IF(OR(B1447="",J1447&lt;&gt;0),0,VLOOKUP(A1447,Journal!$B$7:M$84,8)))</f>
        <v>0</v>
      </c>
      <c r="L1447" s="87">
        <f t="shared" si="168"/>
        <v>0</v>
      </c>
      <c r="P1447">
        <f t="shared" si="169"/>
        <v>1.0000000000000001E-5</v>
      </c>
      <c r="R1447" s="15">
        <f t="shared" si="170"/>
        <v>1440</v>
      </c>
      <c r="S1447" s="126">
        <f>IF(VLOOKUP(A1447,Journal!$A$7:$E$70,5)=0,S1446+1,VLOOKUP(A1447,Journal!$A$7:$E$70,5))</f>
        <v>47097</v>
      </c>
      <c r="T1447" s="125">
        <f>IF(H$2=VLOOKUP(A1447,Journal!$A$7:$F$70,6),VLOOKUP(A1447,Journal!$A$7:M$70,9),0)</f>
        <v>0</v>
      </c>
      <c r="U1447" s="125">
        <f>IF(H$2=VLOOKUP(A1447,Journal!$A$7:$G$70,7),VLOOKUP(A1447,Journal!$A$7:M$70,9),0)</f>
        <v>0</v>
      </c>
      <c r="V1447" s="125">
        <f t="shared" si="166"/>
        <v>40</v>
      </c>
      <c r="X1447">
        <f t="shared" si="171"/>
        <v>0</v>
      </c>
      <c r="Y1447" s="143">
        <f t="shared" si="165"/>
        <v>-962.18421052637598</v>
      </c>
    </row>
    <row r="1448" spans="1:25" x14ac:dyDescent="0.25">
      <c r="A1448">
        <f t="shared" si="167"/>
        <v>1441</v>
      </c>
      <c r="B1448" s="88" t="str">
        <f>IF(OR(B1447="Total",B1447=""),"",IF(VLOOKUP(A1448,Journal!$B$7:$E$84,4)=0,"Total",VLOOKUP(A1448,Journal!$B$7:$D$84,3)))</f>
        <v/>
      </c>
      <c r="C1448" s="86" t="str">
        <f>IF(B1448="","",VLOOKUP(A1448,Journal!$B$7:$E$84,4))</f>
        <v/>
      </c>
      <c r="D1448" s="114" t="str">
        <f>IF(B1448="","",VLOOKUP(A1448,Journal!$B$7:$J$84,9))</f>
        <v/>
      </c>
      <c r="E1448" s="116"/>
      <c r="F1448" s="116"/>
      <c r="G1448" s="115"/>
      <c r="H1448" s="84" t="str">
        <f>IF(B1448="","",VLOOKUP(A1448,Journal!$B$7:$L$84,11))</f>
        <v/>
      </c>
      <c r="I1448" s="84" t="str">
        <f>IF(B1448="","",VLOOKUP(A1448,Journal!$B$7:$M$84,12))</f>
        <v/>
      </c>
      <c r="J1448" s="105">
        <f>IF(B1448="Total",SUM(J$8:J1447)+0.0001,IF(OR(B1448="",I$2=I1448),0,VLOOKUP(A1448,Journal!$B$7:M$84,8)))</f>
        <v>0</v>
      </c>
      <c r="K1448" s="102">
        <f>IF(B1448="Total",SUM(K$8:K1447)+0.0001,IF(OR(B1448="",J1448&lt;&gt;0),0,VLOOKUP(A1448,Journal!$B$7:M$84,8)))</f>
        <v>0</v>
      </c>
      <c r="L1448" s="87">
        <f t="shared" si="168"/>
        <v>0</v>
      </c>
      <c r="P1448">
        <f t="shared" si="169"/>
        <v>1.0000000000000001E-5</v>
      </c>
      <c r="R1448" s="15">
        <f t="shared" si="170"/>
        <v>1441</v>
      </c>
      <c r="S1448" s="126">
        <f>IF(VLOOKUP(A1448,Journal!$A$7:$E$70,5)=0,S1447+1,VLOOKUP(A1448,Journal!$A$7:$E$70,5))</f>
        <v>47098</v>
      </c>
      <c r="T1448" s="125">
        <f>IF(H$2=VLOOKUP(A1448,Journal!$A$7:$F$70,6),VLOOKUP(A1448,Journal!$A$7:M$70,9),0)</f>
        <v>0</v>
      </c>
      <c r="U1448" s="125">
        <f>IF(H$2=VLOOKUP(A1448,Journal!$A$7:$G$70,7),VLOOKUP(A1448,Journal!$A$7:M$70,9),0)</f>
        <v>0</v>
      </c>
      <c r="V1448" s="125">
        <f t="shared" si="166"/>
        <v>40</v>
      </c>
      <c r="X1448">
        <f t="shared" si="171"/>
        <v>0</v>
      </c>
      <c r="Y1448" s="143">
        <f t="shared" si="165"/>
        <v>-962.15789473690234</v>
      </c>
    </row>
    <row r="1449" spans="1:25" x14ac:dyDescent="0.25">
      <c r="A1449">
        <f t="shared" si="167"/>
        <v>1442</v>
      </c>
      <c r="B1449" s="88" t="str">
        <f>IF(OR(B1448="Total",B1448=""),"",IF(VLOOKUP(A1449,Journal!$B$7:$E$84,4)=0,"Total",VLOOKUP(A1449,Journal!$B$7:$D$84,3)))</f>
        <v/>
      </c>
      <c r="C1449" s="86" t="str">
        <f>IF(B1449="","",VLOOKUP(A1449,Journal!$B$7:$E$84,4))</f>
        <v/>
      </c>
      <c r="D1449" s="114" t="str">
        <f>IF(B1449="","",VLOOKUP(A1449,Journal!$B$7:$J$84,9))</f>
        <v/>
      </c>
      <c r="E1449" s="116"/>
      <c r="F1449" s="116"/>
      <c r="G1449" s="115"/>
      <c r="H1449" s="84" t="str">
        <f>IF(B1449="","",VLOOKUP(A1449,Journal!$B$7:$L$84,11))</f>
        <v/>
      </c>
      <c r="I1449" s="84" t="str">
        <f>IF(B1449="","",VLOOKUP(A1449,Journal!$B$7:$M$84,12))</f>
        <v/>
      </c>
      <c r="J1449" s="105">
        <f>IF(B1449="Total",SUM(J$8:J1448)+0.0001,IF(OR(B1449="",I$2=I1449),0,VLOOKUP(A1449,Journal!$B$7:M$84,8)))</f>
        <v>0</v>
      </c>
      <c r="K1449" s="102">
        <f>IF(B1449="Total",SUM(K$8:K1448)+0.0001,IF(OR(B1449="",J1449&lt;&gt;0),0,VLOOKUP(A1449,Journal!$B$7:M$84,8)))</f>
        <v>0</v>
      </c>
      <c r="L1449" s="87">
        <f t="shared" si="168"/>
        <v>0</v>
      </c>
      <c r="P1449">
        <f t="shared" si="169"/>
        <v>1.0000000000000001E-5</v>
      </c>
      <c r="R1449" s="15">
        <f t="shared" si="170"/>
        <v>1442</v>
      </c>
      <c r="S1449" s="126">
        <f>IF(VLOOKUP(A1449,Journal!$A$7:$E$70,5)=0,S1448+1,VLOOKUP(A1449,Journal!$A$7:$E$70,5))</f>
        <v>47099</v>
      </c>
      <c r="T1449" s="125">
        <f>IF(H$2=VLOOKUP(A1449,Journal!$A$7:$F$70,6),VLOOKUP(A1449,Journal!$A$7:M$70,9),0)</f>
        <v>0</v>
      </c>
      <c r="U1449" s="125">
        <f>IF(H$2=VLOOKUP(A1449,Journal!$A$7:$G$70,7),VLOOKUP(A1449,Journal!$A$7:M$70,9),0)</f>
        <v>0</v>
      </c>
      <c r="V1449" s="125">
        <f t="shared" si="166"/>
        <v>40</v>
      </c>
      <c r="X1449">
        <f t="shared" si="171"/>
        <v>0</v>
      </c>
      <c r="Y1449" s="143">
        <f t="shared" si="165"/>
        <v>-962.13157894742869</v>
      </c>
    </row>
    <row r="1450" spans="1:25" x14ac:dyDescent="0.25">
      <c r="A1450">
        <f t="shared" si="167"/>
        <v>1443</v>
      </c>
      <c r="B1450" s="88" t="str">
        <f>IF(OR(B1449="Total",B1449=""),"",IF(VLOOKUP(A1450,Journal!$B$7:$E$84,4)=0,"Total",VLOOKUP(A1450,Journal!$B$7:$D$84,3)))</f>
        <v/>
      </c>
      <c r="C1450" s="86" t="str">
        <f>IF(B1450="","",VLOOKUP(A1450,Journal!$B$7:$E$84,4))</f>
        <v/>
      </c>
      <c r="D1450" s="114" t="str">
        <f>IF(B1450="","",VLOOKUP(A1450,Journal!$B$7:$J$84,9))</f>
        <v/>
      </c>
      <c r="E1450" s="116"/>
      <c r="F1450" s="116"/>
      <c r="G1450" s="115"/>
      <c r="H1450" s="84" t="str">
        <f>IF(B1450="","",VLOOKUP(A1450,Journal!$B$7:$L$84,11))</f>
        <v/>
      </c>
      <c r="I1450" s="84" t="str">
        <f>IF(B1450="","",VLOOKUP(A1450,Journal!$B$7:$M$84,12))</f>
        <v/>
      </c>
      <c r="J1450" s="105">
        <f>IF(B1450="Total",SUM(J$8:J1449)+0.0001,IF(OR(B1450="",I$2=I1450),0,VLOOKUP(A1450,Journal!$B$7:M$84,8)))</f>
        <v>0</v>
      </c>
      <c r="K1450" s="102">
        <f>IF(B1450="Total",SUM(K$8:K1449)+0.0001,IF(OR(B1450="",J1450&lt;&gt;0),0,VLOOKUP(A1450,Journal!$B$7:M$84,8)))</f>
        <v>0</v>
      </c>
      <c r="L1450" s="87">
        <f t="shared" si="168"/>
        <v>0</v>
      </c>
      <c r="P1450">
        <f t="shared" si="169"/>
        <v>1.0000000000000001E-5</v>
      </c>
      <c r="R1450" s="15">
        <f t="shared" si="170"/>
        <v>1443</v>
      </c>
      <c r="S1450" s="126">
        <f>IF(VLOOKUP(A1450,Journal!$A$7:$E$70,5)=0,S1449+1,VLOOKUP(A1450,Journal!$A$7:$E$70,5))</f>
        <v>47100</v>
      </c>
      <c r="T1450" s="125">
        <f>IF(H$2=VLOOKUP(A1450,Journal!$A$7:$F$70,6),VLOOKUP(A1450,Journal!$A$7:M$70,9),0)</f>
        <v>0</v>
      </c>
      <c r="U1450" s="125">
        <f>IF(H$2=VLOOKUP(A1450,Journal!$A$7:$G$70,7),VLOOKUP(A1450,Journal!$A$7:M$70,9),0)</f>
        <v>0</v>
      </c>
      <c r="V1450" s="125">
        <f t="shared" si="166"/>
        <v>40</v>
      </c>
      <c r="X1450">
        <f t="shared" si="171"/>
        <v>0</v>
      </c>
      <c r="Y1450" s="143">
        <f t="shared" si="165"/>
        <v>-962.10526315795505</v>
      </c>
    </row>
    <row r="1451" spans="1:25" x14ac:dyDescent="0.25">
      <c r="A1451">
        <f t="shared" si="167"/>
        <v>1444</v>
      </c>
      <c r="B1451" s="88" t="str">
        <f>IF(OR(B1450="Total",B1450=""),"",IF(VLOOKUP(A1451,Journal!$B$7:$E$84,4)=0,"Total",VLOOKUP(A1451,Journal!$B$7:$D$84,3)))</f>
        <v/>
      </c>
      <c r="C1451" s="86" t="str">
        <f>IF(B1451="","",VLOOKUP(A1451,Journal!$B$7:$E$84,4))</f>
        <v/>
      </c>
      <c r="D1451" s="114" t="str">
        <f>IF(B1451="","",VLOOKUP(A1451,Journal!$B$7:$J$84,9))</f>
        <v/>
      </c>
      <c r="E1451" s="116"/>
      <c r="F1451" s="116"/>
      <c r="G1451" s="115"/>
      <c r="H1451" s="84" t="str">
        <f>IF(B1451="","",VLOOKUP(A1451,Journal!$B$7:$L$84,11))</f>
        <v/>
      </c>
      <c r="I1451" s="84" t="str">
        <f>IF(B1451="","",VLOOKUP(A1451,Journal!$B$7:$M$84,12))</f>
        <v/>
      </c>
      <c r="J1451" s="105">
        <f>IF(B1451="Total",SUM(J$8:J1450)+0.0001,IF(OR(B1451="",I$2=I1451),0,VLOOKUP(A1451,Journal!$B$7:M$84,8)))</f>
        <v>0</v>
      </c>
      <c r="K1451" s="102">
        <f>IF(B1451="Total",SUM(K$8:K1450)+0.0001,IF(OR(B1451="",J1451&lt;&gt;0),0,VLOOKUP(A1451,Journal!$B$7:M$84,8)))</f>
        <v>0</v>
      </c>
      <c r="L1451" s="87">
        <f t="shared" si="168"/>
        <v>0</v>
      </c>
      <c r="P1451">
        <f t="shared" si="169"/>
        <v>1.0000000000000001E-5</v>
      </c>
      <c r="R1451" s="15">
        <f t="shared" si="170"/>
        <v>1444</v>
      </c>
      <c r="S1451" s="126">
        <f>IF(VLOOKUP(A1451,Journal!$A$7:$E$70,5)=0,S1450+1,VLOOKUP(A1451,Journal!$A$7:$E$70,5))</f>
        <v>47101</v>
      </c>
      <c r="T1451" s="125">
        <f>IF(H$2=VLOOKUP(A1451,Journal!$A$7:$F$70,6),VLOOKUP(A1451,Journal!$A$7:M$70,9),0)</f>
        <v>0</v>
      </c>
      <c r="U1451" s="125">
        <f>IF(H$2=VLOOKUP(A1451,Journal!$A$7:$G$70,7),VLOOKUP(A1451,Journal!$A$7:M$70,9),0)</f>
        <v>0</v>
      </c>
      <c r="V1451" s="125">
        <f t="shared" si="166"/>
        <v>40</v>
      </c>
      <c r="X1451">
        <f t="shared" si="171"/>
        <v>0</v>
      </c>
      <c r="Y1451" s="143">
        <f t="shared" si="165"/>
        <v>-962.07894736848141</v>
      </c>
    </row>
    <row r="1452" spans="1:25" x14ac:dyDescent="0.25">
      <c r="A1452">
        <f t="shared" si="167"/>
        <v>1445</v>
      </c>
      <c r="B1452" s="88" t="str">
        <f>IF(OR(B1451="Total",B1451=""),"",IF(VLOOKUP(A1452,Journal!$B$7:$E$84,4)=0,"Total",VLOOKUP(A1452,Journal!$B$7:$D$84,3)))</f>
        <v/>
      </c>
      <c r="C1452" s="86" t="str">
        <f>IF(B1452="","",VLOOKUP(A1452,Journal!$B$7:$E$84,4))</f>
        <v/>
      </c>
      <c r="D1452" s="114" t="str">
        <f>IF(B1452="","",VLOOKUP(A1452,Journal!$B$7:$J$84,9))</f>
        <v/>
      </c>
      <c r="E1452" s="116"/>
      <c r="F1452" s="116"/>
      <c r="G1452" s="115"/>
      <c r="H1452" s="84" t="str">
        <f>IF(B1452="","",VLOOKUP(A1452,Journal!$B$7:$L$84,11))</f>
        <v/>
      </c>
      <c r="I1452" s="84" t="str">
        <f>IF(B1452="","",VLOOKUP(A1452,Journal!$B$7:$M$84,12))</f>
        <v/>
      </c>
      <c r="J1452" s="105">
        <f>IF(B1452="Total",SUM(J$8:J1451)+0.0001,IF(OR(B1452="",I$2=I1452),0,VLOOKUP(A1452,Journal!$B$7:M$84,8)))</f>
        <v>0</v>
      </c>
      <c r="K1452" s="102">
        <f>IF(B1452="Total",SUM(K$8:K1451)+0.0001,IF(OR(B1452="",J1452&lt;&gt;0),0,VLOOKUP(A1452,Journal!$B$7:M$84,8)))</f>
        <v>0</v>
      </c>
      <c r="L1452" s="87">
        <f t="shared" si="168"/>
        <v>0</v>
      </c>
      <c r="P1452">
        <f t="shared" si="169"/>
        <v>1.0000000000000001E-5</v>
      </c>
      <c r="R1452" s="15">
        <f t="shared" si="170"/>
        <v>1445</v>
      </c>
      <c r="S1452" s="126">
        <f>IF(VLOOKUP(A1452,Journal!$A$7:$E$70,5)=0,S1451+1,VLOOKUP(A1452,Journal!$A$7:$E$70,5))</f>
        <v>47102</v>
      </c>
      <c r="T1452" s="125">
        <f>IF(H$2=VLOOKUP(A1452,Journal!$A$7:$F$70,6),VLOOKUP(A1452,Journal!$A$7:M$70,9),0)</f>
        <v>0</v>
      </c>
      <c r="U1452" s="125">
        <f>IF(H$2=VLOOKUP(A1452,Journal!$A$7:$G$70,7),VLOOKUP(A1452,Journal!$A$7:M$70,9),0)</f>
        <v>0</v>
      </c>
      <c r="V1452" s="125">
        <f t="shared" si="166"/>
        <v>40</v>
      </c>
      <c r="X1452">
        <f t="shared" si="171"/>
        <v>0</v>
      </c>
      <c r="Y1452" s="143">
        <f t="shared" si="165"/>
        <v>-962.05263157900777</v>
      </c>
    </row>
    <row r="1453" spans="1:25" x14ac:dyDescent="0.25">
      <c r="A1453">
        <f t="shared" si="167"/>
        <v>1446</v>
      </c>
      <c r="B1453" s="88" t="str">
        <f>IF(OR(B1452="Total",B1452=""),"",IF(VLOOKUP(A1453,Journal!$B$7:$E$84,4)=0,"Total",VLOOKUP(A1453,Journal!$B$7:$D$84,3)))</f>
        <v/>
      </c>
      <c r="C1453" s="86" t="str">
        <f>IF(B1453="","",VLOOKUP(A1453,Journal!$B$7:$E$84,4))</f>
        <v/>
      </c>
      <c r="D1453" s="114" t="str">
        <f>IF(B1453="","",VLOOKUP(A1453,Journal!$B$7:$J$84,9))</f>
        <v/>
      </c>
      <c r="E1453" s="116"/>
      <c r="F1453" s="116"/>
      <c r="G1453" s="115"/>
      <c r="H1453" s="84" t="str">
        <f>IF(B1453="","",VLOOKUP(A1453,Journal!$B$7:$L$84,11))</f>
        <v/>
      </c>
      <c r="I1453" s="84" t="str">
        <f>IF(B1453="","",VLOOKUP(A1453,Journal!$B$7:$M$84,12))</f>
        <v/>
      </c>
      <c r="J1453" s="105">
        <f>IF(B1453="Total",SUM(J$8:J1452)+0.0001,IF(OR(B1453="",I$2=I1453),0,VLOOKUP(A1453,Journal!$B$7:M$84,8)))</f>
        <v>0</v>
      </c>
      <c r="K1453" s="102">
        <f>IF(B1453="Total",SUM(K$8:K1452)+0.0001,IF(OR(B1453="",J1453&lt;&gt;0),0,VLOOKUP(A1453,Journal!$B$7:M$84,8)))</f>
        <v>0</v>
      </c>
      <c r="L1453" s="87">
        <f t="shared" si="168"/>
        <v>0</v>
      </c>
      <c r="P1453">
        <f t="shared" si="169"/>
        <v>1.0000000000000001E-5</v>
      </c>
      <c r="R1453" s="15">
        <f t="shared" si="170"/>
        <v>1446</v>
      </c>
      <c r="S1453" s="126">
        <f>IF(VLOOKUP(A1453,Journal!$A$7:$E$70,5)=0,S1452+1,VLOOKUP(A1453,Journal!$A$7:$E$70,5))</f>
        <v>47103</v>
      </c>
      <c r="T1453" s="125">
        <f>IF(H$2=VLOOKUP(A1453,Journal!$A$7:$F$70,6),VLOOKUP(A1453,Journal!$A$7:M$70,9),0)</f>
        <v>0</v>
      </c>
      <c r="U1453" s="125">
        <f>IF(H$2=VLOOKUP(A1453,Journal!$A$7:$G$70,7),VLOOKUP(A1453,Journal!$A$7:M$70,9),0)</f>
        <v>0</v>
      </c>
      <c r="V1453" s="125">
        <f t="shared" si="166"/>
        <v>40</v>
      </c>
      <c r="X1453">
        <f t="shared" si="171"/>
        <v>0</v>
      </c>
      <c r="Y1453" s="143">
        <f t="shared" si="165"/>
        <v>-962.02631578953412</v>
      </c>
    </row>
    <row r="1454" spans="1:25" x14ac:dyDescent="0.25">
      <c r="A1454">
        <f t="shared" si="167"/>
        <v>1447</v>
      </c>
      <c r="B1454" s="88" t="str">
        <f>IF(OR(B1453="Total",B1453=""),"",IF(VLOOKUP(A1454,Journal!$B$7:$E$84,4)=0,"Total",VLOOKUP(A1454,Journal!$B$7:$D$84,3)))</f>
        <v/>
      </c>
      <c r="C1454" s="86" t="str">
        <f>IF(B1454="","",VLOOKUP(A1454,Journal!$B$7:$E$84,4))</f>
        <v/>
      </c>
      <c r="D1454" s="114" t="str">
        <f>IF(B1454="","",VLOOKUP(A1454,Journal!$B$7:$J$84,9))</f>
        <v/>
      </c>
      <c r="E1454" s="116"/>
      <c r="F1454" s="116"/>
      <c r="G1454" s="115"/>
      <c r="H1454" s="84" t="str">
        <f>IF(B1454="","",VLOOKUP(A1454,Journal!$B$7:$L$84,11))</f>
        <v/>
      </c>
      <c r="I1454" s="84" t="str">
        <f>IF(B1454="","",VLOOKUP(A1454,Journal!$B$7:$M$84,12))</f>
        <v/>
      </c>
      <c r="J1454" s="105">
        <f>IF(B1454="Total",SUM(J$8:J1453)+0.0001,IF(OR(B1454="",I$2=I1454),0,VLOOKUP(A1454,Journal!$B$7:M$84,8)))</f>
        <v>0</v>
      </c>
      <c r="K1454" s="102">
        <f>IF(B1454="Total",SUM(K$8:K1453)+0.0001,IF(OR(B1454="",J1454&lt;&gt;0),0,VLOOKUP(A1454,Journal!$B$7:M$84,8)))</f>
        <v>0</v>
      </c>
      <c r="L1454" s="87">
        <f t="shared" si="168"/>
        <v>0</v>
      </c>
      <c r="P1454">
        <f t="shared" si="169"/>
        <v>1.0000000000000001E-5</v>
      </c>
      <c r="R1454" s="15">
        <f t="shared" si="170"/>
        <v>1447</v>
      </c>
      <c r="S1454" s="126">
        <f>IF(VLOOKUP(A1454,Journal!$A$7:$E$70,5)=0,S1453+1,VLOOKUP(A1454,Journal!$A$7:$E$70,5))</f>
        <v>47104</v>
      </c>
      <c r="T1454" s="125">
        <f>IF(H$2=VLOOKUP(A1454,Journal!$A$7:$F$70,6),VLOOKUP(A1454,Journal!$A$7:M$70,9),0)</f>
        <v>0</v>
      </c>
      <c r="U1454" s="125">
        <f>IF(H$2=VLOOKUP(A1454,Journal!$A$7:$G$70,7),VLOOKUP(A1454,Journal!$A$7:M$70,9),0)</f>
        <v>0</v>
      </c>
      <c r="V1454" s="125">
        <f t="shared" si="166"/>
        <v>40</v>
      </c>
      <c r="X1454">
        <f t="shared" si="171"/>
        <v>0</v>
      </c>
      <c r="Y1454" s="143">
        <f t="shared" si="165"/>
        <v>-962.00000000006048</v>
      </c>
    </row>
    <row r="1455" spans="1:25" x14ac:dyDescent="0.25">
      <c r="A1455">
        <f t="shared" si="167"/>
        <v>1448</v>
      </c>
      <c r="B1455" s="88" t="str">
        <f>IF(OR(B1454="Total",B1454=""),"",IF(VLOOKUP(A1455,Journal!$B$7:$E$84,4)=0,"Total",VLOOKUP(A1455,Journal!$B$7:$D$84,3)))</f>
        <v/>
      </c>
      <c r="C1455" s="86" t="str">
        <f>IF(B1455="","",VLOOKUP(A1455,Journal!$B$7:$E$84,4))</f>
        <v/>
      </c>
      <c r="D1455" s="114" t="str">
        <f>IF(B1455="","",VLOOKUP(A1455,Journal!$B$7:$J$84,9))</f>
        <v/>
      </c>
      <c r="E1455" s="116"/>
      <c r="F1455" s="116"/>
      <c r="G1455" s="115"/>
      <c r="H1455" s="84" t="str">
        <f>IF(B1455="","",VLOOKUP(A1455,Journal!$B$7:$L$84,11))</f>
        <v/>
      </c>
      <c r="I1455" s="84" t="str">
        <f>IF(B1455="","",VLOOKUP(A1455,Journal!$B$7:$M$84,12))</f>
        <v/>
      </c>
      <c r="J1455" s="105">
        <f>IF(B1455="Total",SUM(J$8:J1454)+0.0001,IF(OR(B1455="",I$2=I1455),0,VLOOKUP(A1455,Journal!$B$7:M$84,8)))</f>
        <v>0</v>
      </c>
      <c r="K1455" s="102">
        <f>IF(B1455="Total",SUM(K$8:K1454)+0.0001,IF(OR(B1455="",J1455&lt;&gt;0),0,VLOOKUP(A1455,Journal!$B$7:M$84,8)))</f>
        <v>0</v>
      </c>
      <c r="L1455" s="87">
        <f t="shared" si="168"/>
        <v>0</v>
      </c>
      <c r="P1455">
        <f t="shared" si="169"/>
        <v>1.0000000000000001E-5</v>
      </c>
      <c r="R1455" s="15">
        <f t="shared" si="170"/>
        <v>1448</v>
      </c>
      <c r="S1455" s="126">
        <f>IF(VLOOKUP(A1455,Journal!$A$7:$E$70,5)=0,S1454+1,VLOOKUP(A1455,Journal!$A$7:$E$70,5))</f>
        <v>47105</v>
      </c>
      <c r="T1455" s="125">
        <f>IF(H$2=VLOOKUP(A1455,Journal!$A$7:$F$70,6),VLOOKUP(A1455,Journal!$A$7:M$70,9),0)</f>
        <v>0</v>
      </c>
      <c r="U1455" s="125">
        <f>IF(H$2=VLOOKUP(A1455,Journal!$A$7:$G$70,7),VLOOKUP(A1455,Journal!$A$7:M$70,9),0)</f>
        <v>0</v>
      </c>
      <c r="V1455" s="125">
        <f t="shared" si="166"/>
        <v>40</v>
      </c>
      <c r="X1455">
        <f t="shared" si="171"/>
        <v>0</v>
      </c>
      <c r="Y1455" s="143">
        <f t="shared" si="165"/>
        <v>-961.97368421058684</v>
      </c>
    </row>
    <row r="1456" spans="1:25" x14ac:dyDescent="0.25">
      <c r="A1456">
        <f t="shared" si="167"/>
        <v>1449</v>
      </c>
      <c r="B1456" s="88" t="str">
        <f>IF(OR(B1455="Total",B1455=""),"",IF(VLOOKUP(A1456,Journal!$B$7:$E$84,4)=0,"Total",VLOOKUP(A1456,Journal!$B$7:$D$84,3)))</f>
        <v/>
      </c>
      <c r="C1456" s="86" t="str">
        <f>IF(B1456="","",VLOOKUP(A1456,Journal!$B$7:$E$84,4))</f>
        <v/>
      </c>
      <c r="D1456" s="114" t="str">
        <f>IF(B1456="","",VLOOKUP(A1456,Journal!$B$7:$J$84,9))</f>
        <v/>
      </c>
      <c r="E1456" s="116"/>
      <c r="F1456" s="116"/>
      <c r="G1456" s="115"/>
      <c r="H1456" s="84" t="str">
        <f>IF(B1456="","",VLOOKUP(A1456,Journal!$B$7:$L$84,11))</f>
        <v/>
      </c>
      <c r="I1456" s="84" t="str">
        <f>IF(B1456="","",VLOOKUP(A1456,Journal!$B$7:$M$84,12))</f>
        <v/>
      </c>
      <c r="J1456" s="105">
        <f>IF(B1456="Total",SUM(J$8:J1455)+0.0001,IF(OR(B1456="",I$2=I1456),0,VLOOKUP(A1456,Journal!$B$7:M$84,8)))</f>
        <v>0</v>
      </c>
      <c r="K1456" s="102">
        <f>IF(B1456="Total",SUM(K$8:K1455)+0.0001,IF(OR(B1456="",J1456&lt;&gt;0),0,VLOOKUP(A1456,Journal!$B$7:M$84,8)))</f>
        <v>0</v>
      </c>
      <c r="L1456" s="87">
        <f t="shared" si="168"/>
        <v>0</v>
      </c>
      <c r="P1456">
        <f t="shared" si="169"/>
        <v>1.0000000000000001E-5</v>
      </c>
      <c r="R1456" s="15">
        <f t="shared" si="170"/>
        <v>1449</v>
      </c>
      <c r="S1456" s="126">
        <f>IF(VLOOKUP(A1456,Journal!$A$7:$E$70,5)=0,S1455+1,VLOOKUP(A1456,Journal!$A$7:$E$70,5))</f>
        <v>47106</v>
      </c>
      <c r="T1456" s="125">
        <f>IF(H$2=VLOOKUP(A1456,Journal!$A$7:$F$70,6),VLOOKUP(A1456,Journal!$A$7:M$70,9),0)</f>
        <v>0</v>
      </c>
      <c r="U1456" s="125">
        <f>IF(H$2=VLOOKUP(A1456,Journal!$A$7:$G$70,7),VLOOKUP(A1456,Journal!$A$7:M$70,9),0)</f>
        <v>0</v>
      </c>
      <c r="V1456" s="125">
        <f t="shared" si="166"/>
        <v>40</v>
      </c>
      <c r="X1456">
        <f t="shared" si="171"/>
        <v>0</v>
      </c>
      <c r="Y1456" s="143">
        <f t="shared" si="165"/>
        <v>-961.9473684211132</v>
      </c>
    </row>
    <row r="1457" spans="1:25" x14ac:dyDescent="0.25">
      <c r="A1457">
        <f t="shared" si="167"/>
        <v>1450</v>
      </c>
      <c r="B1457" s="88" t="str">
        <f>IF(OR(B1456="Total",B1456=""),"",IF(VLOOKUP(A1457,Journal!$B$7:$E$84,4)=0,"Total",VLOOKUP(A1457,Journal!$B$7:$D$84,3)))</f>
        <v/>
      </c>
      <c r="C1457" s="86" t="str">
        <f>IF(B1457="","",VLOOKUP(A1457,Journal!$B$7:$E$84,4))</f>
        <v/>
      </c>
      <c r="D1457" s="114" t="str">
        <f>IF(B1457="","",VLOOKUP(A1457,Journal!$B$7:$J$84,9))</f>
        <v/>
      </c>
      <c r="E1457" s="116"/>
      <c r="F1457" s="116"/>
      <c r="G1457" s="115"/>
      <c r="H1457" s="84" t="str">
        <f>IF(B1457="","",VLOOKUP(A1457,Journal!$B$7:$L$84,11))</f>
        <v/>
      </c>
      <c r="I1457" s="84" t="str">
        <f>IF(B1457="","",VLOOKUP(A1457,Journal!$B$7:$M$84,12))</f>
        <v/>
      </c>
      <c r="J1457" s="105">
        <f>IF(B1457="Total",SUM(J$8:J1456)+0.0001,IF(OR(B1457="",I$2=I1457),0,VLOOKUP(A1457,Journal!$B$7:M$84,8)))</f>
        <v>0</v>
      </c>
      <c r="K1457" s="102">
        <f>IF(B1457="Total",SUM(K$8:K1456)+0.0001,IF(OR(B1457="",J1457&lt;&gt;0),0,VLOOKUP(A1457,Journal!$B$7:M$84,8)))</f>
        <v>0</v>
      </c>
      <c r="L1457" s="87">
        <f t="shared" si="168"/>
        <v>0</v>
      </c>
      <c r="P1457">
        <f t="shared" si="169"/>
        <v>1.0000000000000001E-5</v>
      </c>
      <c r="R1457" s="15">
        <f t="shared" si="170"/>
        <v>1450</v>
      </c>
      <c r="S1457" s="126">
        <f>IF(VLOOKUP(A1457,Journal!$A$7:$E$70,5)=0,S1456+1,VLOOKUP(A1457,Journal!$A$7:$E$70,5))</f>
        <v>47107</v>
      </c>
      <c r="T1457" s="125">
        <f>IF(H$2=VLOOKUP(A1457,Journal!$A$7:$F$70,6),VLOOKUP(A1457,Journal!$A$7:M$70,9),0)</f>
        <v>0</v>
      </c>
      <c r="U1457" s="125">
        <f>IF(H$2=VLOOKUP(A1457,Journal!$A$7:$G$70,7),VLOOKUP(A1457,Journal!$A$7:M$70,9),0)</f>
        <v>0</v>
      </c>
      <c r="V1457" s="125">
        <f t="shared" si="166"/>
        <v>40</v>
      </c>
      <c r="X1457">
        <f t="shared" si="171"/>
        <v>0</v>
      </c>
      <c r="Y1457" s="143">
        <f t="shared" si="165"/>
        <v>-961.92105263163955</v>
      </c>
    </row>
    <row r="1458" spans="1:25" x14ac:dyDescent="0.25">
      <c r="A1458">
        <f t="shared" si="167"/>
        <v>1451</v>
      </c>
      <c r="B1458" s="88" t="str">
        <f>IF(OR(B1457="Total",B1457=""),"",IF(VLOOKUP(A1458,Journal!$B$7:$E$84,4)=0,"Total",VLOOKUP(A1458,Journal!$B$7:$D$84,3)))</f>
        <v/>
      </c>
      <c r="C1458" s="86" t="str">
        <f>IF(B1458="","",VLOOKUP(A1458,Journal!$B$7:$E$84,4))</f>
        <v/>
      </c>
      <c r="D1458" s="114" t="str">
        <f>IF(B1458="","",VLOOKUP(A1458,Journal!$B$7:$J$84,9))</f>
        <v/>
      </c>
      <c r="E1458" s="116"/>
      <c r="F1458" s="116"/>
      <c r="G1458" s="115"/>
      <c r="H1458" s="84" t="str">
        <f>IF(B1458="","",VLOOKUP(A1458,Journal!$B$7:$L$84,11))</f>
        <v/>
      </c>
      <c r="I1458" s="84" t="str">
        <f>IF(B1458="","",VLOOKUP(A1458,Journal!$B$7:$M$84,12))</f>
        <v/>
      </c>
      <c r="J1458" s="105">
        <f>IF(B1458="Total",SUM(J$8:J1457)+0.0001,IF(OR(B1458="",I$2=I1458),0,VLOOKUP(A1458,Journal!$B$7:M$84,8)))</f>
        <v>0</v>
      </c>
      <c r="K1458" s="102">
        <f>IF(B1458="Total",SUM(K$8:K1457)+0.0001,IF(OR(B1458="",J1458&lt;&gt;0),0,VLOOKUP(A1458,Journal!$B$7:M$84,8)))</f>
        <v>0</v>
      </c>
      <c r="L1458" s="87">
        <f t="shared" si="168"/>
        <v>0</v>
      </c>
      <c r="P1458">
        <f t="shared" si="169"/>
        <v>1.0000000000000001E-5</v>
      </c>
      <c r="R1458" s="15">
        <f t="shared" si="170"/>
        <v>1451</v>
      </c>
      <c r="S1458" s="126">
        <f>IF(VLOOKUP(A1458,Journal!$A$7:$E$70,5)=0,S1457+1,VLOOKUP(A1458,Journal!$A$7:$E$70,5))</f>
        <v>47108</v>
      </c>
      <c r="T1458" s="125">
        <f>IF(H$2=VLOOKUP(A1458,Journal!$A$7:$F$70,6),VLOOKUP(A1458,Journal!$A$7:M$70,9),0)</f>
        <v>0</v>
      </c>
      <c r="U1458" s="125">
        <f>IF(H$2=VLOOKUP(A1458,Journal!$A$7:$G$70,7),VLOOKUP(A1458,Journal!$A$7:M$70,9),0)</f>
        <v>0</v>
      </c>
      <c r="V1458" s="125">
        <f t="shared" si="166"/>
        <v>40</v>
      </c>
      <c r="X1458">
        <f t="shared" si="171"/>
        <v>0</v>
      </c>
      <c r="Y1458" s="143">
        <f t="shared" si="165"/>
        <v>-961.89473684216591</v>
      </c>
    </row>
    <row r="1459" spans="1:25" x14ac:dyDescent="0.25">
      <c r="A1459">
        <f t="shared" si="167"/>
        <v>1452</v>
      </c>
      <c r="B1459" s="88" t="str">
        <f>IF(OR(B1458="Total",B1458=""),"",IF(VLOOKUP(A1459,Journal!$B$7:$E$84,4)=0,"Total",VLOOKUP(A1459,Journal!$B$7:$D$84,3)))</f>
        <v/>
      </c>
      <c r="C1459" s="86" t="str">
        <f>IF(B1459="","",VLOOKUP(A1459,Journal!$B$7:$E$84,4))</f>
        <v/>
      </c>
      <c r="D1459" s="114" t="str">
        <f>IF(B1459="","",VLOOKUP(A1459,Journal!$B$7:$J$84,9))</f>
        <v/>
      </c>
      <c r="E1459" s="116"/>
      <c r="F1459" s="116"/>
      <c r="G1459" s="115"/>
      <c r="H1459" s="84" t="str">
        <f>IF(B1459="","",VLOOKUP(A1459,Journal!$B$7:$L$84,11))</f>
        <v/>
      </c>
      <c r="I1459" s="84" t="str">
        <f>IF(B1459="","",VLOOKUP(A1459,Journal!$B$7:$M$84,12))</f>
        <v/>
      </c>
      <c r="J1459" s="105">
        <f>IF(B1459="Total",SUM(J$8:J1458)+0.0001,IF(OR(B1459="",I$2=I1459),0,VLOOKUP(A1459,Journal!$B$7:M$84,8)))</f>
        <v>0</v>
      </c>
      <c r="K1459" s="102">
        <f>IF(B1459="Total",SUM(K$8:K1458)+0.0001,IF(OR(B1459="",J1459&lt;&gt;0),0,VLOOKUP(A1459,Journal!$B$7:M$84,8)))</f>
        <v>0</v>
      </c>
      <c r="L1459" s="87">
        <f t="shared" si="168"/>
        <v>0</v>
      </c>
      <c r="P1459">
        <f t="shared" si="169"/>
        <v>1.0000000000000001E-5</v>
      </c>
      <c r="R1459" s="15">
        <f t="shared" si="170"/>
        <v>1452</v>
      </c>
      <c r="S1459" s="126">
        <f>IF(VLOOKUP(A1459,Journal!$A$7:$E$70,5)=0,S1458+1,VLOOKUP(A1459,Journal!$A$7:$E$70,5))</f>
        <v>47109</v>
      </c>
      <c r="T1459" s="125">
        <f>IF(H$2=VLOOKUP(A1459,Journal!$A$7:$F$70,6),VLOOKUP(A1459,Journal!$A$7:M$70,9),0)</f>
        <v>0</v>
      </c>
      <c r="U1459" s="125">
        <f>IF(H$2=VLOOKUP(A1459,Journal!$A$7:$G$70,7),VLOOKUP(A1459,Journal!$A$7:M$70,9),0)</f>
        <v>0</v>
      </c>
      <c r="V1459" s="125">
        <f t="shared" si="166"/>
        <v>40</v>
      </c>
      <c r="X1459">
        <f t="shared" si="171"/>
        <v>0</v>
      </c>
      <c r="Y1459" s="143">
        <f t="shared" si="165"/>
        <v>-961.86842105269227</v>
      </c>
    </row>
    <row r="1460" spans="1:25" x14ac:dyDescent="0.25">
      <c r="A1460">
        <f t="shared" si="167"/>
        <v>1453</v>
      </c>
      <c r="B1460" s="88" t="str">
        <f>IF(OR(B1459="Total",B1459=""),"",IF(VLOOKUP(A1460,Journal!$B$7:$E$84,4)=0,"Total",VLOOKUP(A1460,Journal!$B$7:$D$84,3)))</f>
        <v/>
      </c>
      <c r="C1460" s="86" t="str">
        <f>IF(B1460="","",VLOOKUP(A1460,Journal!$B$7:$E$84,4))</f>
        <v/>
      </c>
      <c r="D1460" s="114" t="str">
        <f>IF(B1460="","",VLOOKUP(A1460,Journal!$B$7:$J$84,9))</f>
        <v/>
      </c>
      <c r="E1460" s="116"/>
      <c r="F1460" s="116"/>
      <c r="G1460" s="115"/>
      <c r="H1460" s="84" t="str">
        <f>IF(B1460="","",VLOOKUP(A1460,Journal!$B$7:$L$84,11))</f>
        <v/>
      </c>
      <c r="I1460" s="84" t="str">
        <f>IF(B1460="","",VLOOKUP(A1460,Journal!$B$7:$M$84,12))</f>
        <v/>
      </c>
      <c r="J1460" s="105">
        <f>IF(B1460="Total",SUM(J$8:J1459)+0.0001,IF(OR(B1460="",I$2=I1460),0,VLOOKUP(A1460,Journal!$B$7:M$84,8)))</f>
        <v>0</v>
      </c>
      <c r="K1460" s="102">
        <f>IF(B1460="Total",SUM(K$8:K1459)+0.0001,IF(OR(B1460="",J1460&lt;&gt;0),0,VLOOKUP(A1460,Journal!$B$7:M$84,8)))</f>
        <v>0</v>
      </c>
      <c r="L1460" s="87">
        <f t="shared" si="168"/>
        <v>0</v>
      </c>
      <c r="P1460">
        <f t="shared" si="169"/>
        <v>1.0000000000000001E-5</v>
      </c>
      <c r="R1460" s="15">
        <f t="shared" si="170"/>
        <v>1453</v>
      </c>
      <c r="S1460" s="126">
        <f>IF(VLOOKUP(A1460,Journal!$A$7:$E$70,5)=0,S1459+1,VLOOKUP(A1460,Journal!$A$7:$E$70,5))</f>
        <v>47110</v>
      </c>
      <c r="T1460" s="125">
        <f>IF(H$2=VLOOKUP(A1460,Journal!$A$7:$F$70,6),VLOOKUP(A1460,Journal!$A$7:M$70,9),0)</f>
        <v>0</v>
      </c>
      <c r="U1460" s="125">
        <f>IF(H$2=VLOOKUP(A1460,Journal!$A$7:$G$70,7),VLOOKUP(A1460,Journal!$A$7:M$70,9),0)</f>
        <v>0</v>
      </c>
      <c r="V1460" s="125">
        <f t="shared" si="166"/>
        <v>40</v>
      </c>
      <c r="X1460">
        <f t="shared" si="171"/>
        <v>0</v>
      </c>
      <c r="Y1460" s="143">
        <f t="shared" si="165"/>
        <v>-961.84210526321863</v>
      </c>
    </row>
    <row r="1461" spans="1:25" x14ac:dyDescent="0.25">
      <c r="A1461">
        <f t="shared" si="167"/>
        <v>1454</v>
      </c>
      <c r="B1461" s="88" t="str">
        <f>IF(OR(B1460="Total",B1460=""),"",IF(VLOOKUP(A1461,Journal!$B$7:$E$84,4)=0,"Total",VLOOKUP(A1461,Journal!$B$7:$D$84,3)))</f>
        <v/>
      </c>
      <c r="C1461" s="86" t="str">
        <f>IF(B1461="","",VLOOKUP(A1461,Journal!$B$7:$E$84,4))</f>
        <v/>
      </c>
      <c r="D1461" s="114" t="str">
        <f>IF(B1461="","",VLOOKUP(A1461,Journal!$B$7:$J$84,9))</f>
        <v/>
      </c>
      <c r="E1461" s="116"/>
      <c r="F1461" s="116"/>
      <c r="G1461" s="115"/>
      <c r="H1461" s="84" t="str">
        <f>IF(B1461="","",VLOOKUP(A1461,Journal!$B$7:$L$84,11))</f>
        <v/>
      </c>
      <c r="I1461" s="84" t="str">
        <f>IF(B1461="","",VLOOKUP(A1461,Journal!$B$7:$M$84,12))</f>
        <v/>
      </c>
      <c r="J1461" s="105">
        <f>IF(B1461="Total",SUM(J$8:J1460)+0.0001,IF(OR(B1461="",I$2=I1461),0,VLOOKUP(A1461,Journal!$B$7:M$84,8)))</f>
        <v>0</v>
      </c>
      <c r="K1461" s="102">
        <f>IF(B1461="Total",SUM(K$8:K1460)+0.0001,IF(OR(B1461="",J1461&lt;&gt;0),0,VLOOKUP(A1461,Journal!$B$7:M$84,8)))</f>
        <v>0</v>
      </c>
      <c r="L1461" s="87">
        <f t="shared" si="168"/>
        <v>0</v>
      </c>
      <c r="P1461">
        <f t="shared" si="169"/>
        <v>1.0000000000000001E-5</v>
      </c>
      <c r="R1461" s="15">
        <f t="shared" si="170"/>
        <v>1454</v>
      </c>
      <c r="S1461" s="126">
        <f>IF(VLOOKUP(A1461,Journal!$A$7:$E$70,5)=0,S1460+1,VLOOKUP(A1461,Journal!$A$7:$E$70,5))</f>
        <v>47111</v>
      </c>
      <c r="T1461" s="125">
        <f>IF(H$2=VLOOKUP(A1461,Journal!$A$7:$F$70,6),VLOOKUP(A1461,Journal!$A$7:M$70,9),0)</f>
        <v>0</v>
      </c>
      <c r="U1461" s="125">
        <f>IF(H$2=VLOOKUP(A1461,Journal!$A$7:$G$70,7),VLOOKUP(A1461,Journal!$A$7:M$70,9),0)</f>
        <v>0</v>
      </c>
      <c r="V1461" s="125">
        <f t="shared" si="166"/>
        <v>40</v>
      </c>
      <c r="X1461">
        <f t="shared" si="171"/>
        <v>0</v>
      </c>
      <c r="Y1461" s="143">
        <f t="shared" si="165"/>
        <v>-961.81578947374499</v>
      </c>
    </row>
    <row r="1462" spans="1:25" x14ac:dyDescent="0.25">
      <c r="A1462">
        <f t="shared" si="167"/>
        <v>1455</v>
      </c>
      <c r="B1462" s="88" t="str">
        <f>IF(OR(B1461="Total",B1461=""),"",IF(VLOOKUP(A1462,Journal!$B$7:$E$84,4)=0,"Total",VLOOKUP(A1462,Journal!$B$7:$D$84,3)))</f>
        <v/>
      </c>
      <c r="C1462" s="86" t="str">
        <f>IF(B1462="","",VLOOKUP(A1462,Journal!$B$7:$E$84,4))</f>
        <v/>
      </c>
      <c r="D1462" s="114" t="str">
        <f>IF(B1462="","",VLOOKUP(A1462,Journal!$B$7:$J$84,9))</f>
        <v/>
      </c>
      <c r="E1462" s="116"/>
      <c r="F1462" s="116"/>
      <c r="G1462" s="115"/>
      <c r="H1462" s="84" t="str">
        <f>IF(B1462="","",VLOOKUP(A1462,Journal!$B$7:$L$84,11))</f>
        <v/>
      </c>
      <c r="I1462" s="84" t="str">
        <f>IF(B1462="","",VLOOKUP(A1462,Journal!$B$7:$M$84,12))</f>
        <v/>
      </c>
      <c r="J1462" s="105">
        <f>IF(B1462="Total",SUM(J$8:J1461)+0.0001,IF(OR(B1462="",I$2=I1462),0,VLOOKUP(A1462,Journal!$B$7:M$84,8)))</f>
        <v>0</v>
      </c>
      <c r="K1462" s="102">
        <f>IF(B1462="Total",SUM(K$8:K1461)+0.0001,IF(OR(B1462="",J1462&lt;&gt;0),0,VLOOKUP(A1462,Journal!$B$7:M$84,8)))</f>
        <v>0</v>
      </c>
      <c r="L1462" s="87">
        <f t="shared" si="168"/>
        <v>0</v>
      </c>
      <c r="P1462">
        <f t="shared" si="169"/>
        <v>1.0000000000000001E-5</v>
      </c>
      <c r="R1462" s="15">
        <f t="shared" si="170"/>
        <v>1455</v>
      </c>
      <c r="S1462" s="126">
        <f>IF(VLOOKUP(A1462,Journal!$A$7:$E$70,5)=0,S1461+1,VLOOKUP(A1462,Journal!$A$7:$E$70,5))</f>
        <v>47112</v>
      </c>
      <c r="T1462" s="125">
        <f>IF(H$2=VLOOKUP(A1462,Journal!$A$7:$F$70,6),VLOOKUP(A1462,Journal!$A$7:M$70,9),0)</f>
        <v>0</v>
      </c>
      <c r="U1462" s="125">
        <f>IF(H$2=VLOOKUP(A1462,Journal!$A$7:$G$70,7),VLOOKUP(A1462,Journal!$A$7:M$70,9),0)</f>
        <v>0</v>
      </c>
      <c r="V1462" s="125">
        <f t="shared" si="166"/>
        <v>40</v>
      </c>
      <c r="X1462">
        <f t="shared" si="171"/>
        <v>0</v>
      </c>
      <c r="Y1462" s="143">
        <f t="shared" si="165"/>
        <v>-961.78947368427134</v>
      </c>
    </row>
    <row r="1463" spans="1:25" x14ac:dyDescent="0.25">
      <c r="A1463">
        <f t="shared" si="167"/>
        <v>1456</v>
      </c>
      <c r="B1463" s="88" t="str">
        <f>IF(OR(B1462="Total",B1462=""),"",IF(VLOOKUP(A1463,Journal!$B$7:$E$84,4)=0,"Total",VLOOKUP(A1463,Journal!$B$7:$D$84,3)))</f>
        <v/>
      </c>
      <c r="C1463" s="86" t="str">
        <f>IF(B1463="","",VLOOKUP(A1463,Journal!$B$7:$E$84,4))</f>
        <v/>
      </c>
      <c r="D1463" s="114" t="str">
        <f>IF(B1463="","",VLOOKUP(A1463,Journal!$B$7:$J$84,9))</f>
        <v/>
      </c>
      <c r="E1463" s="116"/>
      <c r="F1463" s="116"/>
      <c r="G1463" s="115"/>
      <c r="H1463" s="84" t="str">
        <f>IF(B1463="","",VLOOKUP(A1463,Journal!$B$7:$L$84,11))</f>
        <v/>
      </c>
      <c r="I1463" s="84" t="str">
        <f>IF(B1463="","",VLOOKUP(A1463,Journal!$B$7:$M$84,12))</f>
        <v/>
      </c>
      <c r="J1463" s="105">
        <f>IF(B1463="Total",SUM(J$8:J1462)+0.0001,IF(OR(B1463="",I$2=I1463),0,VLOOKUP(A1463,Journal!$B$7:M$84,8)))</f>
        <v>0</v>
      </c>
      <c r="K1463" s="102">
        <f>IF(B1463="Total",SUM(K$8:K1462)+0.0001,IF(OR(B1463="",J1463&lt;&gt;0),0,VLOOKUP(A1463,Journal!$B$7:M$84,8)))</f>
        <v>0</v>
      </c>
      <c r="L1463" s="87">
        <f t="shared" si="168"/>
        <v>0</v>
      </c>
      <c r="P1463">
        <f t="shared" si="169"/>
        <v>1.0000000000000001E-5</v>
      </c>
      <c r="R1463" s="15">
        <f t="shared" si="170"/>
        <v>1456</v>
      </c>
      <c r="S1463" s="126">
        <f>IF(VLOOKUP(A1463,Journal!$A$7:$E$70,5)=0,S1462+1,VLOOKUP(A1463,Journal!$A$7:$E$70,5))</f>
        <v>47113</v>
      </c>
      <c r="T1463" s="125">
        <f>IF(H$2=VLOOKUP(A1463,Journal!$A$7:$F$70,6),VLOOKUP(A1463,Journal!$A$7:M$70,9),0)</f>
        <v>0</v>
      </c>
      <c r="U1463" s="125">
        <f>IF(H$2=VLOOKUP(A1463,Journal!$A$7:$G$70,7),VLOOKUP(A1463,Journal!$A$7:M$70,9),0)</f>
        <v>0</v>
      </c>
      <c r="V1463" s="125">
        <f t="shared" si="166"/>
        <v>40</v>
      </c>
      <c r="X1463">
        <f t="shared" si="171"/>
        <v>0</v>
      </c>
      <c r="Y1463" s="143">
        <f t="shared" si="165"/>
        <v>-961.7631578947977</v>
      </c>
    </row>
    <row r="1464" spans="1:25" x14ac:dyDescent="0.25">
      <c r="A1464">
        <f t="shared" si="167"/>
        <v>1457</v>
      </c>
      <c r="B1464" s="88" t="str">
        <f>IF(OR(B1463="Total",B1463=""),"",IF(VLOOKUP(A1464,Journal!$B$7:$E$84,4)=0,"Total",VLOOKUP(A1464,Journal!$B$7:$D$84,3)))</f>
        <v/>
      </c>
      <c r="C1464" s="86" t="str">
        <f>IF(B1464="","",VLOOKUP(A1464,Journal!$B$7:$E$84,4))</f>
        <v/>
      </c>
      <c r="D1464" s="114" t="str">
        <f>IF(B1464="","",VLOOKUP(A1464,Journal!$B$7:$J$84,9))</f>
        <v/>
      </c>
      <c r="E1464" s="116"/>
      <c r="F1464" s="116"/>
      <c r="G1464" s="115"/>
      <c r="H1464" s="84" t="str">
        <f>IF(B1464="","",VLOOKUP(A1464,Journal!$B$7:$L$84,11))</f>
        <v/>
      </c>
      <c r="I1464" s="84" t="str">
        <f>IF(B1464="","",VLOOKUP(A1464,Journal!$B$7:$M$84,12))</f>
        <v/>
      </c>
      <c r="J1464" s="105">
        <f>IF(B1464="Total",SUM(J$8:J1463)+0.0001,IF(OR(B1464="",I$2=I1464),0,VLOOKUP(A1464,Journal!$B$7:M$84,8)))</f>
        <v>0</v>
      </c>
      <c r="K1464" s="102">
        <f>IF(B1464="Total",SUM(K$8:K1463)+0.0001,IF(OR(B1464="",J1464&lt;&gt;0),0,VLOOKUP(A1464,Journal!$B$7:M$84,8)))</f>
        <v>0</v>
      </c>
      <c r="L1464" s="87">
        <f t="shared" si="168"/>
        <v>0</v>
      </c>
      <c r="P1464">
        <f t="shared" si="169"/>
        <v>1.0000000000000001E-5</v>
      </c>
      <c r="R1464" s="15">
        <f t="shared" si="170"/>
        <v>1457</v>
      </c>
      <c r="S1464" s="126">
        <f>IF(VLOOKUP(A1464,Journal!$A$7:$E$70,5)=0,S1463+1,VLOOKUP(A1464,Journal!$A$7:$E$70,5))</f>
        <v>47114</v>
      </c>
      <c r="T1464" s="125">
        <f>IF(H$2=VLOOKUP(A1464,Journal!$A$7:$F$70,6),VLOOKUP(A1464,Journal!$A$7:M$70,9),0)</f>
        <v>0</v>
      </c>
      <c r="U1464" s="125">
        <f>IF(H$2=VLOOKUP(A1464,Journal!$A$7:$G$70,7),VLOOKUP(A1464,Journal!$A$7:M$70,9),0)</f>
        <v>0</v>
      </c>
      <c r="V1464" s="125">
        <f t="shared" si="166"/>
        <v>40</v>
      </c>
      <c r="X1464">
        <f t="shared" si="171"/>
        <v>0</v>
      </c>
      <c r="Y1464" s="143">
        <f t="shared" si="165"/>
        <v>-961.73684210532406</v>
      </c>
    </row>
    <row r="1465" spans="1:25" x14ac:dyDescent="0.25">
      <c r="A1465">
        <f t="shared" si="167"/>
        <v>1458</v>
      </c>
      <c r="B1465" s="88" t="str">
        <f>IF(OR(B1464="Total",B1464=""),"",IF(VLOOKUP(A1465,Journal!$B$7:$E$84,4)=0,"Total",VLOOKUP(A1465,Journal!$B$7:$D$84,3)))</f>
        <v/>
      </c>
      <c r="C1465" s="86" t="str">
        <f>IF(B1465="","",VLOOKUP(A1465,Journal!$B$7:$E$84,4))</f>
        <v/>
      </c>
      <c r="D1465" s="114" t="str">
        <f>IF(B1465="","",VLOOKUP(A1465,Journal!$B$7:$J$84,9))</f>
        <v/>
      </c>
      <c r="E1465" s="116"/>
      <c r="F1465" s="116"/>
      <c r="G1465" s="115"/>
      <c r="H1465" s="84" t="str">
        <f>IF(B1465="","",VLOOKUP(A1465,Journal!$B$7:$L$84,11))</f>
        <v/>
      </c>
      <c r="I1465" s="84" t="str">
        <f>IF(B1465="","",VLOOKUP(A1465,Journal!$B$7:$M$84,12))</f>
        <v/>
      </c>
      <c r="J1465" s="105">
        <f>IF(B1465="Total",SUM(J$8:J1464)+0.0001,IF(OR(B1465="",I$2=I1465),0,VLOOKUP(A1465,Journal!$B$7:M$84,8)))</f>
        <v>0</v>
      </c>
      <c r="K1465" s="102">
        <f>IF(B1465="Total",SUM(K$8:K1464)+0.0001,IF(OR(B1465="",J1465&lt;&gt;0),0,VLOOKUP(A1465,Journal!$B$7:M$84,8)))</f>
        <v>0</v>
      </c>
      <c r="L1465" s="87">
        <f t="shared" si="168"/>
        <v>0</v>
      </c>
      <c r="P1465">
        <f t="shared" si="169"/>
        <v>1.0000000000000001E-5</v>
      </c>
      <c r="R1465" s="15">
        <f t="shared" si="170"/>
        <v>1458</v>
      </c>
      <c r="S1465" s="126">
        <f>IF(VLOOKUP(A1465,Journal!$A$7:$E$70,5)=0,S1464+1,VLOOKUP(A1465,Journal!$A$7:$E$70,5))</f>
        <v>47115</v>
      </c>
      <c r="T1465" s="125">
        <f>IF(H$2=VLOOKUP(A1465,Journal!$A$7:$F$70,6),VLOOKUP(A1465,Journal!$A$7:M$70,9),0)</f>
        <v>0</v>
      </c>
      <c r="U1465" s="125">
        <f>IF(H$2=VLOOKUP(A1465,Journal!$A$7:$G$70,7),VLOOKUP(A1465,Journal!$A$7:M$70,9),0)</f>
        <v>0</v>
      </c>
      <c r="V1465" s="125">
        <f t="shared" si="166"/>
        <v>40</v>
      </c>
      <c r="X1465">
        <f t="shared" si="171"/>
        <v>0</v>
      </c>
      <c r="Y1465" s="143">
        <f t="shared" si="165"/>
        <v>-961.71052631585042</v>
      </c>
    </row>
    <row r="1466" spans="1:25" x14ac:dyDescent="0.25">
      <c r="A1466">
        <f t="shared" si="167"/>
        <v>1459</v>
      </c>
      <c r="B1466" s="88" t="str">
        <f>IF(OR(B1465="Total",B1465=""),"",IF(VLOOKUP(A1466,Journal!$B$7:$E$84,4)=0,"Total",VLOOKUP(A1466,Journal!$B$7:$D$84,3)))</f>
        <v/>
      </c>
      <c r="C1466" s="86" t="str">
        <f>IF(B1466="","",VLOOKUP(A1466,Journal!$B$7:$E$84,4))</f>
        <v/>
      </c>
      <c r="D1466" s="114" t="str">
        <f>IF(B1466="","",VLOOKUP(A1466,Journal!$B$7:$J$84,9))</f>
        <v/>
      </c>
      <c r="E1466" s="116"/>
      <c r="F1466" s="116"/>
      <c r="G1466" s="115"/>
      <c r="H1466" s="84" t="str">
        <f>IF(B1466="","",VLOOKUP(A1466,Journal!$B$7:$L$84,11))</f>
        <v/>
      </c>
      <c r="I1466" s="84" t="str">
        <f>IF(B1466="","",VLOOKUP(A1466,Journal!$B$7:$M$84,12))</f>
        <v/>
      </c>
      <c r="J1466" s="105">
        <f>IF(B1466="Total",SUM(J$8:J1465)+0.0001,IF(OR(B1466="",I$2=I1466),0,VLOOKUP(A1466,Journal!$B$7:M$84,8)))</f>
        <v>0</v>
      </c>
      <c r="K1466" s="102">
        <f>IF(B1466="Total",SUM(K$8:K1465)+0.0001,IF(OR(B1466="",J1466&lt;&gt;0),0,VLOOKUP(A1466,Journal!$B$7:M$84,8)))</f>
        <v>0</v>
      </c>
      <c r="L1466" s="87">
        <f t="shared" si="168"/>
        <v>0</v>
      </c>
      <c r="P1466">
        <f t="shared" si="169"/>
        <v>1.0000000000000001E-5</v>
      </c>
      <c r="R1466" s="15">
        <f t="shared" si="170"/>
        <v>1459</v>
      </c>
      <c r="S1466" s="126">
        <f>IF(VLOOKUP(A1466,Journal!$A$7:$E$70,5)=0,S1465+1,VLOOKUP(A1466,Journal!$A$7:$E$70,5))</f>
        <v>47116</v>
      </c>
      <c r="T1466" s="125">
        <f>IF(H$2=VLOOKUP(A1466,Journal!$A$7:$F$70,6),VLOOKUP(A1466,Journal!$A$7:M$70,9),0)</f>
        <v>0</v>
      </c>
      <c r="U1466" s="125">
        <f>IF(H$2=VLOOKUP(A1466,Journal!$A$7:$G$70,7),VLOOKUP(A1466,Journal!$A$7:M$70,9),0)</f>
        <v>0</v>
      </c>
      <c r="V1466" s="125">
        <f t="shared" si="166"/>
        <v>40</v>
      </c>
      <c r="X1466">
        <f t="shared" si="171"/>
        <v>0</v>
      </c>
      <c r="Y1466" s="143">
        <f t="shared" si="165"/>
        <v>-961.68421052637677</v>
      </c>
    </row>
    <row r="1467" spans="1:25" x14ac:dyDescent="0.25">
      <c r="A1467">
        <f t="shared" si="167"/>
        <v>1460</v>
      </c>
      <c r="B1467" s="88" t="str">
        <f>IF(OR(B1466="Total",B1466=""),"",IF(VLOOKUP(A1467,Journal!$B$7:$E$84,4)=0,"Total",VLOOKUP(A1467,Journal!$B$7:$D$84,3)))</f>
        <v/>
      </c>
      <c r="C1467" s="86" t="str">
        <f>IF(B1467="","",VLOOKUP(A1467,Journal!$B$7:$E$84,4))</f>
        <v/>
      </c>
      <c r="D1467" s="114" t="str">
        <f>IF(B1467="","",VLOOKUP(A1467,Journal!$B$7:$J$84,9))</f>
        <v/>
      </c>
      <c r="E1467" s="116"/>
      <c r="F1467" s="116"/>
      <c r="G1467" s="115"/>
      <c r="H1467" s="84" t="str">
        <f>IF(B1467="","",VLOOKUP(A1467,Journal!$B$7:$L$84,11))</f>
        <v/>
      </c>
      <c r="I1467" s="84" t="str">
        <f>IF(B1467="","",VLOOKUP(A1467,Journal!$B$7:$M$84,12))</f>
        <v/>
      </c>
      <c r="J1467" s="105">
        <f>IF(B1467="Total",SUM(J$8:J1466)+0.0001,IF(OR(B1467="",I$2=I1467),0,VLOOKUP(A1467,Journal!$B$7:M$84,8)))</f>
        <v>0</v>
      </c>
      <c r="K1467" s="102">
        <f>IF(B1467="Total",SUM(K$8:K1466)+0.0001,IF(OR(B1467="",J1467&lt;&gt;0),0,VLOOKUP(A1467,Journal!$B$7:M$84,8)))</f>
        <v>0</v>
      </c>
      <c r="L1467" s="87">
        <f t="shared" si="168"/>
        <v>0</v>
      </c>
      <c r="P1467">
        <f t="shared" si="169"/>
        <v>1.0000000000000001E-5</v>
      </c>
      <c r="R1467" s="15">
        <f t="shared" si="170"/>
        <v>1460</v>
      </c>
      <c r="S1467" s="126">
        <f>IF(VLOOKUP(A1467,Journal!$A$7:$E$70,5)=0,S1466+1,VLOOKUP(A1467,Journal!$A$7:$E$70,5))</f>
        <v>47117</v>
      </c>
      <c r="T1467" s="125">
        <f>IF(H$2=VLOOKUP(A1467,Journal!$A$7:$F$70,6),VLOOKUP(A1467,Journal!$A$7:M$70,9),0)</f>
        <v>0</v>
      </c>
      <c r="U1467" s="125">
        <f>IF(H$2=VLOOKUP(A1467,Journal!$A$7:$G$70,7),VLOOKUP(A1467,Journal!$A$7:M$70,9),0)</f>
        <v>0</v>
      </c>
      <c r="V1467" s="125">
        <f t="shared" si="166"/>
        <v>40</v>
      </c>
      <c r="X1467">
        <f t="shared" si="171"/>
        <v>0</v>
      </c>
      <c r="Y1467" s="143">
        <f t="shared" si="165"/>
        <v>-961.65789473690313</v>
      </c>
    </row>
    <row r="1468" spans="1:25" x14ac:dyDescent="0.25">
      <c r="A1468">
        <f t="shared" si="167"/>
        <v>1461</v>
      </c>
      <c r="B1468" s="88" t="str">
        <f>IF(OR(B1467="Total",B1467=""),"",IF(VLOOKUP(A1468,Journal!$B$7:$E$84,4)=0,"Total",VLOOKUP(A1468,Journal!$B$7:$D$84,3)))</f>
        <v/>
      </c>
      <c r="C1468" s="86" t="str">
        <f>IF(B1468="","",VLOOKUP(A1468,Journal!$B$7:$E$84,4))</f>
        <v/>
      </c>
      <c r="D1468" s="114" t="str">
        <f>IF(B1468="","",VLOOKUP(A1468,Journal!$B$7:$J$84,9))</f>
        <v/>
      </c>
      <c r="E1468" s="116"/>
      <c r="F1468" s="116"/>
      <c r="G1468" s="115"/>
      <c r="H1468" s="84" t="str">
        <f>IF(B1468="","",VLOOKUP(A1468,Journal!$B$7:$L$84,11))</f>
        <v/>
      </c>
      <c r="I1468" s="84" t="str">
        <f>IF(B1468="","",VLOOKUP(A1468,Journal!$B$7:$M$84,12))</f>
        <v/>
      </c>
      <c r="J1468" s="105">
        <f>IF(B1468="Total",SUM(J$8:J1467)+0.0001,IF(OR(B1468="",I$2=I1468),0,VLOOKUP(A1468,Journal!$B$7:M$84,8)))</f>
        <v>0</v>
      </c>
      <c r="K1468" s="102">
        <f>IF(B1468="Total",SUM(K$8:K1467)+0.0001,IF(OR(B1468="",J1468&lt;&gt;0),0,VLOOKUP(A1468,Journal!$B$7:M$84,8)))</f>
        <v>0</v>
      </c>
      <c r="L1468" s="87">
        <f t="shared" si="168"/>
        <v>0</v>
      </c>
      <c r="P1468">
        <f t="shared" si="169"/>
        <v>1.0000000000000001E-5</v>
      </c>
      <c r="R1468" s="15">
        <f t="shared" si="170"/>
        <v>1461</v>
      </c>
      <c r="S1468" s="126">
        <f>IF(VLOOKUP(A1468,Journal!$A$7:$E$70,5)=0,S1467+1,VLOOKUP(A1468,Journal!$A$7:$E$70,5))</f>
        <v>47118</v>
      </c>
      <c r="T1468" s="125">
        <f>IF(H$2=VLOOKUP(A1468,Journal!$A$7:$F$70,6),VLOOKUP(A1468,Journal!$A$7:M$70,9),0)</f>
        <v>0</v>
      </c>
      <c r="U1468" s="125">
        <f>IF(H$2=VLOOKUP(A1468,Journal!$A$7:$G$70,7),VLOOKUP(A1468,Journal!$A$7:M$70,9),0)</f>
        <v>0</v>
      </c>
      <c r="V1468" s="125">
        <f t="shared" si="166"/>
        <v>40</v>
      </c>
      <c r="X1468">
        <f t="shared" si="171"/>
        <v>0</v>
      </c>
      <c r="Y1468" s="143">
        <f t="shared" si="165"/>
        <v>-961.63157894742949</v>
      </c>
    </row>
    <row r="1469" spans="1:25" x14ac:dyDescent="0.25">
      <c r="A1469">
        <f t="shared" si="167"/>
        <v>1462</v>
      </c>
      <c r="B1469" s="88" t="str">
        <f>IF(OR(B1468="Total",B1468=""),"",IF(VLOOKUP(A1469,Journal!$B$7:$E$84,4)=0,"Total",VLOOKUP(A1469,Journal!$B$7:$D$84,3)))</f>
        <v/>
      </c>
      <c r="C1469" s="86" t="str">
        <f>IF(B1469="","",VLOOKUP(A1469,Journal!$B$7:$E$84,4))</f>
        <v/>
      </c>
      <c r="D1469" s="114" t="str">
        <f>IF(B1469="","",VLOOKUP(A1469,Journal!$B$7:$J$84,9))</f>
        <v/>
      </c>
      <c r="E1469" s="116"/>
      <c r="F1469" s="116"/>
      <c r="G1469" s="115"/>
      <c r="H1469" s="84" t="str">
        <f>IF(B1469="","",VLOOKUP(A1469,Journal!$B$7:$L$84,11))</f>
        <v/>
      </c>
      <c r="I1469" s="84" t="str">
        <f>IF(B1469="","",VLOOKUP(A1469,Journal!$B$7:$M$84,12))</f>
        <v/>
      </c>
      <c r="J1469" s="105">
        <f>IF(B1469="Total",SUM(J$8:J1468)+0.0001,IF(OR(B1469="",I$2=I1469),0,VLOOKUP(A1469,Journal!$B$7:M$84,8)))</f>
        <v>0</v>
      </c>
      <c r="K1469" s="102">
        <f>IF(B1469="Total",SUM(K$8:K1468)+0.0001,IF(OR(B1469="",J1469&lt;&gt;0),0,VLOOKUP(A1469,Journal!$B$7:M$84,8)))</f>
        <v>0</v>
      </c>
      <c r="L1469" s="87">
        <f t="shared" si="168"/>
        <v>0</v>
      </c>
      <c r="P1469">
        <f t="shared" si="169"/>
        <v>1.0000000000000001E-5</v>
      </c>
      <c r="R1469" s="15">
        <f t="shared" si="170"/>
        <v>1462</v>
      </c>
      <c r="S1469" s="126">
        <f>IF(VLOOKUP(A1469,Journal!$A$7:$E$70,5)=0,S1468+1,VLOOKUP(A1469,Journal!$A$7:$E$70,5))</f>
        <v>47119</v>
      </c>
      <c r="T1469" s="125">
        <f>IF(H$2=VLOOKUP(A1469,Journal!$A$7:$F$70,6),VLOOKUP(A1469,Journal!$A$7:M$70,9),0)</f>
        <v>0</v>
      </c>
      <c r="U1469" s="125">
        <f>IF(H$2=VLOOKUP(A1469,Journal!$A$7:$G$70,7),VLOOKUP(A1469,Journal!$A$7:M$70,9),0)</f>
        <v>0</v>
      </c>
      <c r="V1469" s="125">
        <f t="shared" si="166"/>
        <v>40</v>
      </c>
      <c r="X1469">
        <f t="shared" si="171"/>
        <v>0</v>
      </c>
      <c r="Y1469" s="143">
        <f t="shared" si="165"/>
        <v>-961.60526315795585</v>
      </c>
    </row>
    <row r="1470" spans="1:25" x14ac:dyDescent="0.25">
      <c r="A1470">
        <f t="shared" si="167"/>
        <v>1463</v>
      </c>
      <c r="B1470" s="88" t="str">
        <f>IF(OR(B1469="Total",B1469=""),"",IF(VLOOKUP(A1470,Journal!$B$7:$E$84,4)=0,"Total",VLOOKUP(A1470,Journal!$B$7:$D$84,3)))</f>
        <v/>
      </c>
      <c r="C1470" s="86" t="str">
        <f>IF(B1470="","",VLOOKUP(A1470,Journal!$B$7:$E$84,4))</f>
        <v/>
      </c>
      <c r="D1470" s="114" t="str">
        <f>IF(B1470="","",VLOOKUP(A1470,Journal!$B$7:$J$84,9))</f>
        <v/>
      </c>
      <c r="E1470" s="116"/>
      <c r="F1470" s="116"/>
      <c r="G1470" s="115"/>
      <c r="H1470" s="84" t="str">
        <f>IF(B1470="","",VLOOKUP(A1470,Journal!$B$7:$L$84,11))</f>
        <v/>
      </c>
      <c r="I1470" s="84" t="str">
        <f>IF(B1470="","",VLOOKUP(A1470,Journal!$B$7:$M$84,12))</f>
        <v/>
      </c>
      <c r="J1470" s="105">
        <f>IF(B1470="Total",SUM(J$8:J1469)+0.0001,IF(OR(B1470="",I$2=I1470),0,VLOOKUP(A1470,Journal!$B$7:M$84,8)))</f>
        <v>0</v>
      </c>
      <c r="K1470" s="102">
        <f>IF(B1470="Total",SUM(K$8:K1469)+0.0001,IF(OR(B1470="",J1470&lt;&gt;0),0,VLOOKUP(A1470,Journal!$B$7:M$84,8)))</f>
        <v>0</v>
      </c>
      <c r="L1470" s="87">
        <f t="shared" si="168"/>
        <v>0</v>
      </c>
      <c r="P1470">
        <f t="shared" si="169"/>
        <v>1.0000000000000001E-5</v>
      </c>
      <c r="R1470" s="15">
        <f t="shared" si="170"/>
        <v>1463</v>
      </c>
      <c r="S1470" s="126">
        <f>IF(VLOOKUP(A1470,Journal!$A$7:$E$70,5)=0,S1469+1,VLOOKUP(A1470,Journal!$A$7:$E$70,5))</f>
        <v>47120</v>
      </c>
      <c r="T1470" s="125">
        <f>IF(H$2=VLOOKUP(A1470,Journal!$A$7:$F$70,6),VLOOKUP(A1470,Journal!$A$7:M$70,9),0)</f>
        <v>0</v>
      </c>
      <c r="U1470" s="125">
        <f>IF(H$2=VLOOKUP(A1470,Journal!$A$7:$G$70,7),VLOOKUP(A1470,Journal!$A$7:M$70,9),0)</f>
        <v>0</v>
      </c>
      <c r="V1470" s="125">
        <f t="shared" si="166"/>
        <v>40</v>
      </c>
      <c r="X1470">
        <f t="shared" si="171"/>
        <v>0</v>
      </c>
      <c r="Y1470" s="143">
        <f t="shared" si="165"/>
        <v>-961.5789473684822</v>
      </c>
    </row>
    <row r="1471" spans="1:25" x14ac:dyDescent="0.25">
      <c r="A1471">
        <f t="shared" si="167"/>
        <v>1464</v>
      </c>
      <c r="B1471" s="88" t="str">
        <f>IF(OR(B1470="Total",B1470=""),"",IF(VLOOKUP(A1471,Journal!$B$7:$E$84,4)=0,"Total",VLOOKUP(A1471,Journal!$B$7:$D$84,3)))</f>
        <v/>
      </c>
      <c r="C1471" s="86" t="str">
        <f>IF(B1471="","",VLOOKUP(A1471,Journal!$B$7:$E$84,4))</f>
        <v/>
      </c>
      <c r="D1471" s="114" t="str">
        <f>IF(B1471="","",VLOOKUP(A1471,Journal!$B$7:$J$84,9))</f>
        <v/>
      </c>
      <c r="E1471" s="116"/>
      <c r="F1471" s="116"/>
      <c r="G1471" s="115"/>
      <c r="H1471" s="84" t="str">
        <f>IF(B1471="","",VLOOKUP(A1471,Journal!$B$7:$L$84,11))</f>
        <v/>
      </c>
      <c r="I1471" s="84" t="str">
        <f>IF(B1471="","",VLOOKUP(A1471,Journal!$B$7:$M$84,12))</f>
        <v/>
      </c>
      <c r="J1471" s="105">
        <f>IF(B1471="Total",SUM(J$8:J1470)+0.0001,IF(OR(B1471="",I$2=I1471),0,VLOOKUP(A1471,Journal!$B$7:M$84,8)))</f>
        <v>0</v>
      </c>
      <c r="K1471" s="102">
        <f>IF(B1471="Total",SUM(K$8:K1470)+0.0001,IF(OR(B1471="",J1471&lt;&gt;0),0,VLOOKUP(A1471,Journal!$B$7:M$84,8)))</f>
        <v>0</v>
      </c>
      <c r="L1471" s="87">
        <f t="shared" si="168"/>
        <v>0</v>
      </c>
      <c r="P1471">
        <f t="shared" si="169"/>
        <v>1.0000000000000001E-5</v>
      </c>
      <c r="R1471" s="15">
        <f t="shared" si="170"/>
        <v>1464</v>
      </c>
      <c r="S1471" s="126">
        <f>IF(VLOOKUP(A1471,Journal!$A$7:$E$70,5)=0,S1470+1,VLOOKUP(A1471,Journal!$A$7:$E$70,5))</f>
        <v>47121</v>
      </c>
      <c r="T1471" s="125">
        <f>IF(H$2=VLOOKUP(A1471,Journal!$A$7:$F$70,6),VLOOKUP(A1471,Journal!$A$7:M$70,9),0)</f>
        <v>0</v>
      </c>
      <c r="U1471" s="125">
        <f>IF(H$2=VLOOKUP(A1471,Journal!$A$7:$G$70,7),VLOOKUP(A1471,Journal!$A$7:M$70,9),0)</f>
        <v>0</v>
      </c>
      <c r="V1471" s="125">
        <f t="shared" si="166"/>
        <v>40</v>
      </c>
      <c r="X1471">
        <f t="shared" si="171"/>
        <v>0</v>
      </c>
      <c r="Y1471" s="143">
        <f t="shared" si="165"/>
        <v>-961.55263157900856</v>
      </c>
    </row>
    <row r="1472" spans="1:25" x14ac:dyDescent="0.25">
      <c r="A1472">
        <f t="shared" si="167"/>
        <v>1465</v>
      </c>
      <c r="B1472" s="88" t="str">
        <f>IF(OR(B1471="Total",B1471=""),"",IF(VLOOKUP(A1472,Journal!$B$7:$E$84,4)=0,"Total",VLOOKUP(A1472,Journal!$B$7:$D$84,3)))</f>
        <v/>
      </c>
      <c r="C1472" s="86" t="str">
        <f>IF(B1472="","",VLOOKUP(A1472,Journal!$B$7:$E$84,4))</f>
        <v/>
      </c>
      <c r="D1472" s="114" t="str">
        <f>IF(B1472="","",VLOOKUP(A1472,Journal!$B$7:$J$84,9))</f>
        <v/>
      </c>
      <c r="E1472" s="116"/>
      <c r="F1472" s="116"/>
      <c r="G1472" s="115"/>
      <c r="H1472" s="84" t="str">
        <f>IF(B1472="","",VLOOKUP(A1472,Journal!$B$7:$L$84,11))</f>
        <v/>
      </c>
      <c r="I1472" s="84" t="str">
        <f>IF(B1472="","",VLOOKUP(A1472,Journal!$B$7:$M$84,12))</f>
        <v/>
      </c>
      <c r="J1472" s="105">
        <f>IF(B1472="Total",SUM(J$8:J1471)+0.0001,IF(OR(B1472="",I$2=I1472),0,VLOOKUP(A1472,Journal!$B$7:M$84,8)))</f>
        <v>0</v>
      </c>
      <c r="K1472" s="102">
        <f>IF(B1472="Total",SUM(K$8:K1471)+0.0001,IF(OR(B1472="",J1472&lt;&gt;0),0,VLOOKUP(A1472,Journal!$B$7:M$84,8)))</f>
        <v>0</v>
      </c>
      <c r="L1472" s="87">
        <f t="shared" si="168"/>
        <v>0</v>
      </c>
      <c r="P1472">
        <f t="shared" si="169"/>
        <v>1.0000000000000001E-5</v>
      </c>
      <c r="R1472" s="15">
        <f t="shared" si="170"/>
        <v>1465</v>
      </c>
      <c r="S1472" s="126">
        <f>IF(VLOOKUP(A1472,Journal!$A$7:$E$70,5)=0,S1471+1,VLOOKUP(A1472,Journal!$A$7:$E$70,5))</f>
        <v>47122</v>
      </c>
      <c r="T1472" s="125">
        <f>IF(H$2=VLOOKUP(A1472,Journal!$A$7:$F$70,6),VLOOKUP(A1472,Journal!$A$7:M$70,9),0)</f>
        <v>0</v>
      </c>
      <c r="U1472" s="125">
        <f>IF(H$2=VLOOKUP(A1472,Journal!$A$7:$G$70,7),VLOOKUP(A1472,Journal!$A$7:M$70,9),0)</f>
        <v>0</v>
      </c>
      <c r="V1472" s="125">
        <f t="shared" si="166"/>
        <v>40</v>
      </c>
      <c r="X1472">
        <f t="shared" si="171"/>
        <v>0</v>
      </c>
      <c r="Y1472" s="143">
        <f t="shared" si="165"/>
        <v>-961.52631578953492</v>
      </c>
    </row>
    <row r="1473" spans="1:25" x14ac:dyDescent="0.25">
      <c r="A1473">
        <f t="shared" si="167"/>
        <v>1466</v>
      </c>
      <c r="B1473" s="88" t="str">
        <f>IF(OR(B1472="Total",B1472=""),"",IF(VLOOKUP(A1473,Journal!$B$7:$E$84,4)=0,"Total",VLOOKUP(A1473,Journal!$B$7:$D$84,3)))</f>
        <v/>
      </c>
      <c r="C1473" s="86" t="str">
        <f>IF(B1473="","",VLOOKUP(A1473,Journal!$B$7:$E$84,4))</f>
        <v/>
      </c>
      <c r="D1473" s="114" t="str">
        <f>IF(B1473="","",VLOOKUP(A1473,Journal!$B$7:$J$84,9))</f>
        <v/>
      </c>
      <c r="E1473" s="116"/>
      <c r="F1473" s="116"/>
      <c r="G1473" s="115"/>
      <c r="H1473" s="84" t="str">
        <f>IF(B1473="","",VLOOKUP(A1473,Journal!$B$7:$L$84,11))</f>
        <v/>
      </c>
      <c r="I1473" s="84" t="str">
        <f>IF(B1473="","",VLOOKUP(A1473,Journal!$B$7:$M$84,12))</f>
        <v/>
      </c>
      <c r="J1473" s="105">
        <f>IF(B1473="Total",SUM(J$8:J1472)+0.0001,IF(OR(B1473="",I$2=I1473),0,VLOOKUP(A1473,Journal!$B$7:M$84,8)))</f>
        <v>0</v>
      </c>
      <c r="K1473" s="102">
        <f>IF(B1473="Total",SUM(K$8:K1472)+0.0001,IF(OR(B1473="",J1473&lt;&gt;0),0,VLOOKUP(A1473,Journal!$B$7:M$84,8)))</f>
        <v>0</v>
      </c>
      <c r="L1473" s="87">
        <f t="shared" si="168"/>
        <v>0</v>
      </c>
      <c r="P1473">
        <f t="shared" si="169"/>
        <v>1.0000000000000001E-5</v>
      </c>
      <c r="R1473" s="15">
        <f t="shared" si="170"/>
        <v>1466</v>
      </c>
      <c r="S1473" s="126">
        <f>IF(VLOOKUP(A1473,Journal!$A$7:$E$70,5)=0,S1472+1,VLOOKUP(A1473,Journal!$A$7:$E$70,5))</f>
        <v>47123</v>
      </c>
      <c r="T1473" s="125">
        <f>IF(H$2=VLOOKUP(A1473,Journal!$A$7:$F$70,6),VLOOKUP(A1473,Journal!$A$7:M$70,9),0)</f>
        <v>0</v>
      </c>
      <c r="U1473" s="125">
        <f>IF(H$2=VLOOKUP(A1473,Journal!$A$7:$G$70,7),VLOOKUP(A1473,Journal!$A$7:M$70,9),0)</f>
        <v>0</v>
      </c>
      <c r="V1473" s="125">
        <f t="shared" si="166"/>
        <v>40</v>
      </c>
      <c r="X1473">
        <f t="shared" si="171"/>
        <v>0</v>
      </c>
      <c r="Y1473" s="143">
        <f t="shared" si="165"/>
        <v>-961.50000000006128</v>
      </c>
    </row>
    <row r="1474" spans="1:25" x14ac:dyDescent="0.25">
      <c r="A1474">
        <f t="shared" si="167"/>
        <v>1467</v>
      </c>
      <c r="B1474" s="88" t="str">
        <f>IF(OR(B1473="Total",B1473=""),"",IF(VLOOKUP(A1474,Journal!$B$7:$E$84,4)=0,"Total",VLOOKUP(A1474,Journal!$B$7:$D$84,3)))</f>
        <v/>
      </c>
      <c r="C1474" s="86" t="str">
        <f>IF(B1474="","",VLOOKUP(A1474,Journal!$B$7:$E$84,4))</f>
        <v/>
      </c>
      <c r="D1474" s="114" t="str">
        <f>IF(B1474="","",VLOOKUP(A1474,Journal!$B$7:$J$84,9))</f>
        <v/>
      </c>
      <c r="E1474" s="116"/>
      <c r="F1474" s="116"/>
      <c r="G1474" s="115"/>
      <c r="H1474" s="84" t="str">
        <f>IF(B1474="","",VLOOKUP(A1474,Journal!$B$7:$L$84,11))</f>
        <v/>
      </c>
      <c r="I1474" s="84" t="str">
        <f>IF(B1474="","",VLOOKUP(A1474,Journal!$B$7:$M$84,12))</f>
        <v/>
      </c>
      <c r="J1474" s="105">
        <f>IF(B1474="Total",SUM(J$8:J1473)+0.0001,IF(OR(B1474="",I$2=I1474),0,VLOOKUP(A1474,Journal!$B$7:M$84,8)))</f>
        <v>0</v>
      </c>
      <c r="K1474" s="102">
        <f>IF(B1474="Total",SUM(K$8:K1473)+0.0001,IF(OR(B1474="",J1474&lt;&gt;0),0,VLOOKUP(A1474,Journal!$B$7:M$84,8)))</f>
        <v>0</v>
      </c>
      <c r="L1474" s="87">
        <f t="shared" si="168"/>
        <v>0</v>
      </c>
      <c r="P1474">
        <f t="shared" si="169"/>
        <v>1.0000000000000001E-5</v>
      </c>
      <c r="R1474" s="15">
        <f t="shared" si="170"/>
        <v>1467</v>
      </c>
      <c r="S1474" s="126">
        <f>IF(VLOOKUP(A1474,Journal!$A$7:$E$70,5)=0,S1473+1,VLOOKUP(A1474,Journal!$A$7:$E$70,5))</f>
        <v>47124</v>
      </c>
      <c r="T1474" s="125">
        <f>IF(H$2=VLOOKUP(A1474,Journal!$A$7:$F$70,6),VLOOKUP(A1474,Journal!$A$7:M$70,9),0)</f>
        <v>0</v>
      </c>
      <c r="U1474" s="125">
        <f>IF(H$2=VLOOKUP(A1474,Journal!$A$7:$G$70,7),VLOOKUP(A1474,Journal!$A$7:M$70,9),0)</f>
        <v>0</v>
      </c>
      <c r="V1474" s="125">
        <f t="shared" si="166"/>
        <v>40</v>
      </c>
      <c r="X1474">
        <f t="shared" si="171"/>
        <v>0</v>
      </c>
      <c r="Y1474" s="143">
        <f t="shared" si="165"/>
        <v>-961.47368421058763</v>
      </c>
    </row>
    <row r="1475" spans="1:25" x14ac:dyDescent="0.25">
      <c r="A1475">
        <f t="shared" si="167"/>
        <v>1468</v>
      </c>
      <c r="B1475" s="88" t="str">
        <f>IF(OR(B1474="Total",B1474=""),"",IF(VLOOKUP(A1475,Journal!$B$7:$E$84,4)=0,"Total",VLOOKUP(A1475,Journal!$B$7:$D$84,3)))</f>
        <v/>
      </c>
      <c r="C1475" s="86" t="str">
        <f>IF(B1475="","",VLOOKUP(A1475,Journal!$B$7:$E$84,4))</f>
        <v/>
      </c>
      <c r="D1475" s="114" t="str">
        <f>IF(B1475="","",VLOOKUP(A1475,Journal!$B$7:$J$84,9))</f>
        <v/>
      </c>
      <c r="E1475" s="116"/>
      <c r="F1475" s="116"/>
      <c r="G1475" s="115"/>
      <c r="H1475" s="84" t="str">
        <f>IF(B1475="","",VLOOKUP(A1475,Journal!$B$7:$L$84,11))</f>
        <v/>
      </c>
      <c r="I1475" s="84" t="str">
        <f>IF(B1475="","",VLOOKUP(A1475,Journal!$B$7:$M$84,12))</f>
        <v/>
      </c>
      <c r="J1475" s="105">
        <f>IF(B1475="Total",SUM(J$8:J1474)+0.0001,IF(OR(B1475="",I$2=I1475),0,VLOOKUP(A1475,Journal!$B$7:M$84,8)))</f>
        <v>0</v>
      </c>
      <c r="K1475" s="102">
        <f>IF(B1475="Total",SUM(K$8:K1474)+0.0001,IF(OR(B1475="",J1475&lt;&gt;0),0,VLOOKUP(A1475,Journal!$B$7:M$84,8)))</f>
        <v>0</v>
      </c>
      <c r="L1475" s="87">
        <f t="shared" si="168"/>
        <v>0</v>
      </c>
      <c r="P1475">
        <f t="shared" si="169"/>
        <v>1.0000000000000001E-5</v>
      </c>
      <c r="R1475" s="15">
        <f t="shared" si="170"/>
        <v>1468</v>
      </c>
      <c r="S1475" s="126">
        <f>IF(VLOOKUP(A1475,Journal!$A$7:$E$70,5)=0,S1474+1,VLOOKUP(A1475,Journal!$A$7:$E$70,5))</f>
        <v>47125</v>
      </c>
      <c r="T1475" s="125">
        <f>IF(H$2=VLOOKUP(A1475,Journal!$A$7:$F$70,6),VLOOKUP(A1475,Journal!$A$7:M$70,9),0)</f>
        <v>0</v>
      </c>
      <c r="U1475" s="125">
        <f>IF(H$2=VLOOKUP(A1475,Journal!$A$7:$G$70,7),VLOOKUP(A1475,Journal!$A$7:M$70,9),0)</f>
        <v>0</v>
      </c>
      <c r="V1475" s="125">
        <f t="shared" si="166"/>
        <v>40</v>
      </c>
      <c r="X1475">
        <f t="shared" si="171"/>
        <v>0</v>
      </c>
      <c r="Y1475" s="143">
        <f t="shared" si="165"/>
        <v>-961.44736842111399</v>
      </c>
    </row>
    <row r="1476" spans="1:25" x14ac:dyDescent="0.25">
      <c r="A1476">
        <f t="shared" si="167"/>
        <v>1469</v>
      </c>
      <c r="B1476" s="88" t="str">
        <f>IF(OR(B1475="Total",B1475=""),"",IF(VLOOKUP(A1476,Journal!$B$7:$E$84,4)=0,"Total",VLOOKUP(A1476,Journal!$B$7:$D$84,3)))</f>
        <v/>
      </c>
      <c r="C1476" s="86" t="str">
        <f>IF(B1476="","",VLOOKUP(A1476,Journal!$B$7:$E$84,4))</f>
        <v/>
      </c>
      <c r="D1476" s="114" t="str">
        <f>IF(B1476="","",VLOOKUP(A1476,Journal!$B$7:$J$84,9))</f>
        <v/>
      </c>
      <c r="E1476" s="116"/>
      <c r="F1476" s="116"/>
      <c r="G1476" s="115"/>
      <c r="H1476" s="84" t="str">
        <f>IF(B1476="","",VLOOKUP(A1476,Journal!$B$7:$L$84,11))</f>
        <v/>
      </c>
      <c r="I1476" s="84" t="str">
        <f>IF(B1476="","",VLOOKUP(A1476,Journal!$B$7:$M$84,12))</f>
        <v/>
      </c>
      <c r="J1476" s="105">
        <f>IF(B1476="Total",SUM(J$8:J1475)+0.0001,IF(OR(B1476="",I$2=I1476),0,VLOOKUP(A1476,Journal!$B$7:M$84,8)))</f>
        <v>0</v>
      </c>
      <c r="K1476" s="102">
        <f>IF(B1476="Total",SUM(K$8:K1475)+0.0001,IF(OR(B1476="",J1476&lt;&gt;0),0,VLOOKUP(A1476,Journal!$B$7:M$84,8)))</f>
        <v>0</v>
      </c>
      <c r="L1476" s="87">
        <f t="shared" si="168"/>
        <v>0</v>
      </c>
      <c r="P1476">
        <f t="shared" si="169"/>
        <v>1.0000000000000001E-5</v>
      </c>
      <c r="R1476" s="15">
        <f t="shared" si="170"/>
        <v>1469</v>
      </c>
      <c r="S1476" s="126">
        <f>IF(VLOOKUP(A1476,Journal!$A$7:$E$70,5)=0,S1475+1,VLOOKUP(A1476,Journal!$A$7:$E$70,5))</f>
        <v>47126</v>
      </c>
      <c r="T1476" s="125">
        <f>IF(H$2=VLOOKUP(A1476,Journal!$A$7:$F$70,6),VLOOKUP(A1476,Journal!$A$7:M$70,9),0)</f>
        <v>0</v>
      </c>
      <c r="U1476" s="125">
        <f>IF(H$2=VLOOKUP(A1476,Journal!$A$7:$G$70,7),VLOOKUP(A1476,Journal!$A$7:M$70,9),0)</f>
        <v>0</v>
      </c>
      <c r="V1476" s="125">
        <f t="shared" si="166"/>
        <v>40</v>
      </c>
      <c r="X1476">
        <f t="shared" si="171"/>
        <v>0</v>
      </c>
      <c r="Y1476" s="143">
        <f t="shared" si="165"/>
        <v>-961.42105263164035</v>
      </c>
    </row>
    <row r="1477" spans="1:25" x14ac:dyDescent="0.25">
      <c r="A1477">
        <f t="shared" si="167"/>
        <v>1470</v>
      </c>
      <c r="B1477" s="88" t="str">
        <f>IF(OR(B1476="Total",B1476=""),"",IF(VLOOKUP(A1477,Journal!$B$7:$E$84,4)=0,"Total",VLOOKUP(A1477,Journal!$B$7:$D$84,3)))</f>
        <v/>
      </c>
      <c r="C1477" s="86" t="str">
        <f>IF(B1477="","",VLOOKUP(A1477,Journal!$B$7:$E$84,4))</f>
        <v/>
      </c>
      <c r="D1477" s="114" t="str">
        <f>IF(B1477="","",VLOOKUP(A1477,Journal!$B$7:$J$84,9))</f>
        <v/>
      </c>
      <c r="E1477" s="116"/>
      <c r="F1477" s="116"/>
      <c r="G1477" s="115"/>
      <c r="H1477" s="84" t="str">
        <f>IF(B1477="","",VLOOKUP(A1477,Journal!$B$7:$L$84,11))</f>
        <v/>
      </c>
      <c r="I1477" s="84" t="str">
        <f>IF(B1477="","",VLOOKUP(A1477,Journal!$B$7:$M$84,12))</f>
        <v/>
      </c>
      <c r="J1477" s="105">
        <f>IF(B1477="Total",SUM(J$8:J1476)+0.0001,IF(OR(B1477="",I$2=I1477),0,VLOOKUP(A1477,Journal!$B$7:M$84,8)))</f>
        <v>0</v>
      </c>
      <c r="K1477" s="102">
        <f>IF(B1477="Total",SUM(K$8:K1476)+0.0001,IF(OR(B1477="",J1477&lt;&gt;0),0,VLOOKUP(A1477,Journal!$B$7:M$84,8)))</f>
        <v>0</v>
      </c>
      <c r="L1477" s="87">
        <f t="shared" si="168"/>
        <v>0</v>
      </c>
      <c r="P1477">
        <f t="shared" si="169"/>
        <v>1.0000000000000001E-5</v>
      </c>
      <c r="R1477" s="15">
        <f t="shared" si="170"/>
        <v>1470</v>
      </c>
      <c r="S1477" s="126">
        <f>IF(VLOOKUP(A1477,Journal!$A$7:$E$70,5)=0,S1476+1,VLOOKUP(A1477,Journal!$A$7:$E$70,5))</f>
        <v>47127</v>
      </c>
      <c r="T1477" s="125">
        <f>IF(H$2=VLOOKUP(A1477,Journal!$A$7:$F$70,6),VLOOKUP(A1477,Journal!$A$7:M$70,9),0)</f>
        <v>0</v>
      </c>
      <c r="U1477" s="125">
        <f>IF(H$2=VLOOKUP(A1477,Journal!$A$7:$G$70,7),VLOOKUP(A1477,Journal!$A$7:M$70,9),0)</f>
        <v>0</v>
      </c>
      <c r="V1477" s="125">
        <f t="shared" si="166"/>
        <v>40</v>
      </c>
      <c r="X1477">
        <f t="shared" si="171"/>
        <v>0</v>
      </c>
      <c r="Y1477" s="143">
        <f t="shared" si="165"/>
        <v>-961.39473684216671</v>
      </c>
    </row>
    <row r="1478" spans="1:25" x14ac:dyDescent="0.25">
      <c r="A1478">
        <f t="shared" si="167"/>
        <v>1471</v>
      </c>
      <c r="B1478" s="88" t="str">
        <f>IF(OR(B1477="Total",B1477=""),"",IF(VLOOKUP(A1478,Journal!$B$7:$E$84,4)=0,"Total",VLOOKUP(A1478,Journal!$B$7:$D$84,3)))</f>
        <v/>
      </c>
      <c r="C1478" s="86" t="str">
        <f>IF(B1478="","",VLOOKUP(A1478,Journal!$B$7:$E$84,4))</f>
        <v/>
      </c>
      <c r="D1478" s="114" t="str">
        <f>IF(B1478="","",VLOOKUP(A1478,Journal!$B$7:$J$84,9))</f>
        <v/>
      </c>
      <c r="E1478" s="116"/>
      <c r="F1478" s="116"/>
      <c r="G1478" s="115"/>
      <c r="H1478" s="84" t="str">
        <f>IF(B1478="","",VLOOKUP(A1478,Journal!$B$7:$L$84,11))</f>
        <v/>
      </c>
      <c r="I1478" s="84" t="str">
        <f>IF(B1478="","",VLOOKUP(A1478,Journal!$B$7:$M$84,12))</f>
        <v/>
      </c>
      <c r="J1478" s="105">
        <f>IF(B1478="Total",SUM(J$8:J1477)+0.0001,IF(OR(B1478="",I$2=I1478),0,VLOOKUP(A1478,Journal!$B$7:M$84,8)))</f>
        <v>0</v>
      </c>
      <c r="K1478" s="102">
        <f>IF(B1478="Total",SUM(K$8:K1477)+0.0001,IF(OR(B1478="",J1478&lt;&gt;0),0,VLOOKUP(A1478,Journal!$B$7:M$84,8)))</f>
        <v>0</v>
      </c>
      <c r="L1478" s="87">
        <f t="shared" si="168"/>
        <v>0</v>
      </c>
      <c r="P1478">
        <f t="shared" si="169"/>
        <v>1.0000000000000001E-5</v>
      </c>
      <c r="R1478" s="15">
        <f t="shared" si="170"/>
        <v>1471</v>
      </c>
      <c r="S1478" s="126">
        <f>IF(VLOOKUP(A1478,Journal!$A$7:$E$70,5)=0,S1477+1,VLOOKUP(A1478,Journal!$A$7:$E$70,5))</f>
        <v>47128</v>
      </c>
      <c r="T1478" s="125">
        <f>IF(H$2=VLOOKUP(A1478,Journal!$A$7:$F$70,6),VLOOKUP(A1478,Journal!$A$7:M$70,9),0)</f>
        <v>0</v>
      </c>
      <c r="U1478" s="125">
        <f>IF(H$2=VLOOKUP(A1478,Journal!$A$7:$G$70,7),VLOOKUP(A1478,Journal!$A$7:M$70,9),0)</f>
        <v>0</v>
      </c>
      <c r="V1478" s="125">
        <f t="shared" si="166"/>
        <v>40</v>
      </c>
      <c r="X1478">
        <f t="shared" si="171"/>
        <v>0</v>
      </c>
      <c r="Y1478" s="143">
        <f t="shared" si="165"/>
        <v>-961.36842105269307</v>
      </c>
    </row>
    <row r="1479" spans="1:25" x14ac:dyDescent="0.25">
      <c r="A1479">
        <f t="shared" si="167"/>
        <v>1472</v>
      </c>
      <c r="B1479" s="88" t="str">
        <f>IF(OR(B1478="Total",B1478=""),"",IF(VLOOKUP(A1479,Journal!$B$7:$E$84,4)=0,"Total",VLOOKUP(A1479,Journal!$B$7:$D$84,3)))</f>
        <v/>
      </c>
      <c r="C1479" s="86" t="str">
        <f>IF(B1479="","",VLOOKUP(A1479,Journal!$B$7:$E$84,4))</f>
        <v/>
      </c>
      <c r="D1479" s="114" t="str">
        <f>IF(B1479="","",VLOOKUP(A1479,Journal!$B$7:$J$84,9))</f>
        <v/>
      </c>
      <c r="E1479" s="116"/>
      <c r="F1479" s="116"/>
      <c r="G1479" s="115"/>
      <c r="H1479" s="84" t="str">
        <f>IF(B1479="","",VLOOKUP(A1479,Journal!$B$7:$L$84,11))</f>
        <v/>
      </c>
      <c r="I1479" s="84" t="str">
        <f>IF(B1479="","",VLOOKUP(A1479,Journal!$B$7:$M$84,12))</f>
        <v/>
      </c>
      <c r="J1479" s="105">
        <f>IF(B1479="Total",SUM(J$8:J1478)+0.0001,IF(OR(B1479="",I$2=I1479),0,VLOOKUP(A1479,Journal!$B$7:M$84,8)))</f>
        <v>0</v>
      </c>
      <c r="K1479" s="102">
        <f>IF(B1479="Total",SUM(K$8:K1478)+0.0001,IF(OR(B1479="",J1479&lt;&gt;0),0,VLOOKUP(A1479,Journal!$B$7:M$84,8)))</f>
        <v>0</v>
      </c>
      <c r="L1479" s="87">
        <f t="shared" si="168"/>
        <v>0</v>
      </c>
      <c r="P1479">
        <f t="shared" si="169"/>
        <v>1.0000000000000001E-5</v>
      </c>
      <c r="R1479" s="15">
        <f t="shared" si="170"/>
        <v>1472</v>
      </c>
      <c r="S1479" s="126">
        <f>IF(VLOOKUP(A1479,Journal!$A$7:$E$70,5)=0,S1478+1,VLOOKUP(A1479,Journal!$A$7:$E$70,5))</f>
        <v>47129</v>
      </c>
      <c r="T1479" s="125">
        <f>IF(H$2=VLOOKUP(A1479,Journal!$A$7:$F$70,6),VLOOKUP(A1479,Journal!$A$7:M$70,9),0)</f>
        <v>0</v>
      </c>
      <c r="U1479" s="125">
        <f>IF(H$2=VLOOKUP(A1479,Journal!$A$7:$G$70,7),VLOOKUP(A1479,Journal!$A$7:M$70,9),0)</f>
        <v>0</v>
      </c>
      <c r="V1479" s="125">
        <f t="shared" si="166"/>
        <v>40</v>
      </c>
      <c r="X1479">
        <f t="shared" si="171"/>
        <v>0</v>
      </c>
      <c r="Y1479" s="143">
        <f t="shared" si="165"/>
        <v>-961.34210526321942</v>
      </c>
    </row>
    <row r="1480" spans="1:25" x14ac:dyDescent="0.25">
      <c r="A1480">
        <f t="shared" si="167"/>
        <v>1473</v>
      </c>
      <c r="B1480" s="88" t="str">
        <f>IF(OR(B1479="Total",B1479=""),"",IF(VLOOKUP(A1480,Journal!$B$7:$E$84,4)=0,"Total",VLOOKUP(A1480,Journal!$B$7:$D$84,3)))</f>
        <v/>
      </c>
      <c r="C1480" s="86" t="str">
        <f>IF(B1480="","",VLOOKUP(A1480,Journal!$B$7:$E$84,4))</f>
        <v/>
      </c>
      <c r="D1480" s="114" t="str">
        <f>IF(B1480="","",VLOOKUP(A1480,Journal!$B$7:$J$84,9))</f>
        <v/>
      </c>
      <c r="E1480" s="116"/>
      <c r="F1480" s="116"/>
      <c r="G1480" s="115"/>
      <c r="H1480" s="84" t="str">
        <f>IF(B1480="","",VLOOKUP(A1480,Journal!$B$7:$L$84,11))</f>
        <v/>
      </c>
      <c r="I1480" s="84" t="str">
        <f>IF(B1480="","",VLOOKUP(A1480,Journal!$B$7:$M$84,12))</f>
        <v/>
      </c>
      <c r="J1480" s="105">
        <f>IF(B1480="Total",SUM(J$8:J1479)+0.0001,IF(OR(B1480="",I$2=I1480),0,VLOOKUP(A1480,Journal!$B$7:M$84,8)))</f>
        <v>0</v>
      </c>
      <c r="K1480" s="102">
        <f>IF(B1480="Total",SUM(K$8:K1479)+0.0001,IF(OR(B1480="",J1480&lt;&gt;0),0,VLOOKUP(A1480,Journal!$B$7:M$84,8)))</f>
        <v>0</v>
      </c>
      <c r="L1480" s="87">
        <f t="shared" si="168"/>
        <v>0</v>
      </c>
      <c r="P1480">
        <f t="shared" si="169"/>
        <v>1.0000000000000001E-5</v>
      </c>
      <c r="R1480" s="15">
        <f t="shared" si="170"/>
        <v>1473</v>
      </c>
      <c r="S1480" s="126">
        <f>IF(VLOOKUP(A1480,Journal!$A$7:$E$70,5)=0,S1479+1,VLOOKUP(A1480,Journal!$A$7:$E$70,5))</f>
        <v>47130</v>
      </c>
      <c r="T1480" s="125">
        <f>IF(H$2=VLOOKUP(A1480,Journal!$A$7:$F$70,6),VLOOKUP(A1480,Journal!$A$7:M$70,9),0)</f>
        <v>0</v>
      </c>
      <c r="U1480" s="125">
        <f>IF(H$2=VLOOKUP(A1480,Journal!$A$7:$G$70,7),VLOOKUP(A1480,Journal!$A$7:M$70,9),0)</f>
        <v>0</v>
      </c>
      <c r="V1480" s="125">
        <f t="shared" si="166"/>
        <v>40</v>
      </c>
      <c r="X1480">
        <f t="shared" si="171"/>
        <v>0</v>
      </c>
      <c r="Y1480" s="143">
        <f t="shared" ref="Y1480:Y1543" si="172">IF(B1479="Total",-1000,Y1479+Y$4)</f>
        <v>-961.31578947374578</v>
      </c>
    </row>
    <row r="1481" spans="1:25" x14ac:dyDescent="0.25">
      <c r="A1481">
        <f t="shared" si="167"/>
        <v>1474</v>
      </c>
      <c r="B1481" s="88" t="str">
        <f>IF(OR(B1480="Total",B1480=""),"",IF(VLOOKUP(A1481,Journal!$B$7:$E$84,4)=0,"Total",VLOOKUP(A1481,Journal!$B$7:$D$84,3)))</f>
        <v/>
      </c>
      <c r="C1481" s="86" t="str">
        <f>IF(B1481="","",VLOOKUP(A1481,Journal!$B$7:$E$84,4))</f>
        <v/>
      </c>
      <c r="D1481" s="114" t="str">
        <f>IF(B1481="","",VLOOKUP(A1481,Journal!$B$7:$J$84,9))</f>
        <v/>
      </c>
      <c r="E1481" s="116"/>
      <c r="F1481" s="116"/>
      <c r="G1481" s="115"/>
      <c r="H1481" s="84" t="str">
        <f>IF(B1481="","",VLOOKUP(A1481,Journal!$B$7:$L$84,11))</f>
        <v/>
      </c>
      <c r="I1481" s="84" t="str">
        <f>IF(B1481="","",VLOOKUP(A1481,Journal!$B$7:$M$84,12))</f>
        <v/>
      </c>
      <c r="J1481" s="105">
        <f>IF(B1481="Total",SUM(J$8:J1480)+0.0001,IF(OR(B1481="",I$2=I1481),0,VLOOKUP(A1481,Journal!$B$7:M$84,8)))</f>
        <v>0</v>
      </c>
      <c r="K1481" s="102">
        <f>IF(B1481="Total",SUM(K$8:K1480)+0.0001,IF(OR(B1481="",J1481&lt;&gt;0),0,VLOOKUP(A1481,Journal!$B$7:M$84,8)))</f>
        <v>0</v>
      </c>
      <c r="L1481" s="87">
        <f t="shared" si="168"/>
        <v>0</v>
      </c>
      <c r="P1481">
        <f t="shared" si="169"/>
        <v>1.0000000000000001E-5</v>
      </c>
      <c r="R1481" s="15">
        <f t="shared" si="170"/>
        <v>1474</v>
      </c>
      <c r="S1481" s="126">
        <f>IF(VLOOKUP(A1481,Journal!$A$7:$E$70,5)=0,S1480+1,VLOOKUP(A1481,Journal!$A$7:$E$70,5))</f>
        <v>47131</v>
      </c>
      <c r="T1481" s="125">
        <f>IF(H$2=VLOOKUP(A1481,Journal!$A$7:$F$70,6),VLOOKUP(A1481,Journal!$A$7:M$70,9),0)</f>
        <v>0</v>
      </c>
      <c r="U1481" s="125">
        <f>IF(H$2=VLOOKUP(A1481,Journal!$A$7:$G$70,7),VLOOKUP(A1481,Journal!$A$7:M$70,9),0)</f>
        <v>0</v>
      </c>
      <c r="V1481" s="125">
        <f t="shared" si="166"/>
        <v>40</v>
      </c>
      <c r="X1481">
        <f t="shared" si="171"/>
        <v>0</v>
      </c>
      <c r="Y1481" s="143">
        <f t="shared" si="172"/>
        <v>-961.28947368427214</v>
      </c>
    </row>
    <row r="1482" spans="1:25" x14ac:dyDescent="0.25">
      <c r="A1482">
        <f t="shared" si="167"/>
        <v>1475</v>
      </c>
      <c r="B1482" s="88" t="str">
        <f>IF(OR(B1481="Total",B1481=""),"",IF(VLOOKUP(A1482,Journal!$B$7:$E$84,4)=0,"Total",VLOOKUP(A1482,Journal!$B$7:$D$84,3)))</f>
        <v/>
      </c>
      <c r="C1482" s="86" t="str">
        <f>IF(B1482="","",VLOOKUP(A1482,Journal!$B$7:$E$84,4))</f>
        <v/>
      </c>
      <c r="D1482" s="114" t="str">
        <f>IF(B1482="","",VLOOKUP(A1482,Journal!$B$7:$J$84,9))</f>
        <v/>
      </c>
      <c r="E1482" s="116"/>
      <c r="F1482" s="116"/>
      <c r="G1482" s="115"/>
      <c r="H1482" s="84" t="str">
        <f>IF(B1482="","",VLOOKUP(A1482,Journal!$B$7:$L$84,11))</f>
        <v/>
      </c>
      <c r="I1482" s="84" t="str">
        <f>IF(B1482="","",VLOOKUP(A1482,Journal!$B$7:$M$84,12))</f>
        <v/>
      </c>
      <c r="J1482" s="105">
        <f>IF(B1482="Total",SUM(J$8:J1481)+0.0001,IF(OR(B1482="",I$2=I1482),0,VLOOKUP(A1482,Journal!$B$7:M$84,8)))</f>
        <v>0</v>
      </c>
      <c r="K1482" s="102">
        <f>IF(B1482="Total",SUM(K$8:K1481)+0.0001,IF(OR(B1482="",J1482&lt;&gt;0),0,VLOOKUP(A1482,Journal!$B$7:M$84,8)))</f>
        <v>0</v>
      </c>
      <c r="L1482" s="87">
        <f t="shared" si="168"/>
        <v>0</v>
      </c>
      <c r="P1482">
        <f t="shared" si="169"/>
        <v>1.0000000000000001E-5</v>
      </c>
      <c r="R1482" s="15">
        <f t="shared" si="170"/>
        <v>1475</v>
      </c>
      <c r="S1482" s="126">
        <f>IF(VLOOKUP(A1482,Journal!$A$7:$E$70,5)=0,S1481+1,VLOOKUP(A1482,Journal!$A$7:$E$70,5))</f>
        <v>47132</v>
      </c>
      <c r="T1482" s="125">
        <f>IF(H$2=VLOOKUP(A1482,Journal!$A$7:$F$70,6),VLOOKUP(A1482,Journal!$A$7:M$70,9),0)</f>
        <v>0</v>
      </c>
      <c r="U1482" s="125">
        <f>IF(H$2=VLOOKUP(A1482,Journal!$A$7:$G$70,7),VLOOKUP(A1482,Journal!$A$7:M$70,9),0)</f>
        <v>0</v>
      </c>
      <c r="V1482" s="125">
        <f t="shared" ref="V1482:V1545" si="173">IF($M$1=1,V1481+T1482-U1482,V1481-T1482+U1482)</f>
        <v>40</v>
      </c>
      <c r="X1482">
        <f t="shared" si="171"/>
        <v>0</v>
      </c>
      <c r="Y1482" s="143">
        <f t="shared" si="172"/>
        <v>-961.2631578947985</v>
      </c>
    </row>
    <row r="1483" spans="1:25" x14ac:dyDescent="0.25">
      <c r="A1483">
        <f t="shared" si="167"/>
        <v>1476</v>
      </c>
      <c r="B1483" s="88" t="str">
        <f>IF(OR(B1482="Total",B1482=""),"",IF(VLOOKUP(A1483,Journal!$B$7:$E$84,4)=0,"Total",VLOOKUP(A1483,Journal!$B$7:$D$84,3)))</f>
        <v/>
      </c>
      <c r="C1483" s="86" t="str">
        <f>IF(B1483="","",VLOOKUP(A1483,Journal!$B$7:$E$84,4))</f>
        <v/>
      </c>
      <c r="D1483" s="114" t="str">
        <f>IF(B1483="","",VLOOKUP(A1483,Journal!$B$7:$J$84,9))</f>
        <v/>
      </c>
      <c r="E1483" s="116"/>
      <c r="F1483" s="116"/>
      <c r="G1483" s="115"/>
      <c r="H1483" s="84" t="str">
        <f>IF(B1483="","",VLOOKUP(A1483,Journal!$B$7:$L$84,11))</f>
        <v/>
      </c>
      <c r="I1483" s="84" t="str">
        <f>IF(B1483="","",VLOOKUP(A1483,Journal!$B$7:$M$84,12))</f>
        <v/>
      </c>
      <c r="J1483" s="105">
        <f>IF(B1483="Total",SUM(J$8:J1482)+0.0001,IF(OR(B1483="",I$2=I1483),0,VLOOKUP(A1483,Journal!$B$7:M$84,8)))</f>
        <v>0</v>
      </c>
      <c r="K1483" s="102">
        <f>IF(B1483="Total",SUM(K$8:K1482)+0.0001,IF(OR(B1483="",J1483&lt;&gt;0),0,VLOOKUP(A1483,Journal!$B$7:M$84,8)))</f>
        <v>0</v>
      </c>
      <c r="L1483" s="87">
        <f t="shared" si="168"/>
        <v>0</v>
      </c>
      <c r="P1483">
        <f t="shared" si="169"/>
        <v>1.0000000000000001E-5</v>
      </c>
      <c r="R1483" s="15">
        <f t="shared" si="170"/>
        <v>1476</v>
      </c>
      <c r="S1483" s="126">
        <f>IF(VLOOKUP(A1483,Journal!$A$7:$E$70,5)=0,S1482+1,VLOOKUP(A1483,Journal!$A$7:$E$70,5))</f>
        <v>47133</v>
      </c>
      <c r="T1483" s="125">
        <f>IF(H$2=VLOOKUP(A1483,Journal!$A$7:$F$70,6),VLOOKUP(A1483,Journal!$A$7:M$70,9),0)</f>
        <v>0</v>
      </c>
      <c r="U1483" s="125">
        <f>IF(H$2=VLOOKUP(A1483,Journal!$A$7:$G$70,7),VLOOKUP(A1483,Journal!$A$7:M$70,9),0)</f>
        <v>0</v>
      </c>
      <c r="V1483" s="125">
        <f t="shared" si="173"/>
        <v>40</v>
      </c>
      <c r="X1483">
        <f t="shared" si="171"/>
        <v>0</v>
      </c>
      <c r="Y1483" s="143">
        <f t="shared" si="172"/>
        <v>-961.23684210532485</v>
      </c>
    </row>
    <row r="1484" spans="1:25" x14ac:dyDescent="0.25">
      <c r="A1484">
        <f t="shared" si="167"/>
        <v>1477</v>
      </c>
      <c r="B1484" s="88" t="str">
        <f>IF(OR(B1483="Total",B1483=""),"",IF(VLOOKUP(A1484,Journal!$B$7:$E$84,4)=0,"Total",VLOOKUP(A1484,Journal!$B$7:$D$84,3)))</f>
        <v/>
      </c>
      <c r="C1484" s="86" t="str">
        <f>IF(B1484="","",VLOOKUP(A1484,Journal!$B$7:$E$84,4))</f>
        <v/>
      </c>
      <c r="D1484" s="114" t="str">
        <f>IF(B1484="","",VLOOKUP(A1484,Journal!$B$7:$J$84,9))</f>
        <v/>
      </c>
      <c r="E1484" s="116"/>
      <c r="F1484" s="116"/>
      <c r="G1484" s="115"/>
      <c r="H1484" s="84" t="str">
        <f>IF(B1484="","",VLOOKUP(A1484,Journal!$B$7:$L$84,11))</f>
        <v/>
      </c>
      <c r="I1484" s="84" t="str">
        <f>IF(B1484="","",VLOOKUP(A1484,Journal!$B$7:$M$84,12))</f>
        <v/>
      </c>
      <c r="J1484" s="105">
        <f>IF(B1484="Total",SUM(J$8:J1483)+0.0001,IF(OR(B1484="",I$2=I1484),0,VLOOKUP(A1484,Journal!$B$7:M$84,8)))</f>
        <v>0</v>
      </c>
      <c r="K1484" s="102">
        <f>IF(B1484="Total",SUM(K$8:K1483)+0.0001,IF(OR(B1484="",J1484&lt;&gt;0),0,VLOOKUP(A1484,Journal!$B$7:M$84,8)))</f>
        <v>0</v>
      </c>
      <c r="L1484" s="87">
        <f t="shared" si="168"/>
        <v>0</v>
      </c>
      <c r="P1484">
        <f t="shared" si="169"/>
        <v>1.0000000000000001E-5</v>
      </c>
      <c r="R1484" s="15">
        <f t="shared" si="170"/>
        <v>1477</v>
      </c>
      <c r="S1484" s="126">
        <f>IF(VLOOKUP(A1484,Journal!$A$7:$E$70,5)=0,S1483+1,VLOOKUP(A1484,Journal!$A$7:$E$70,5))</f>
        <v>47134</v>
      </c>
      <c r="T1484" s="125">
        <f>IF(H$2=VLOOKUP(A1484,Journal!$A$7:$F$70,6),VLOOKUP(A1484,Journal!$A$7:M$70,9),0)</f>
        <v>0</v>
      </c>
      <c r="U1484" s="125">
        <f>IF(H$2=VLOOKUP(A1484,Journal!$A$7:$G$70,7),VLOOKUP(A1484,Journal!$A$7:M$70,9),0)</f>
        <v>0</v>
      </c>
      <c r="V1484" s="125">
        <f t="shared" si="173"/>
        <v>40</v>
      </c>
      <c r="X1484">
        <f t="shared" si="171"/>
        <v>0</v>
      </c>
      <c r="Y1484" s="143">
        <f t="shared" si="172"/>
        <v>-961.21052631585121</v>
      </c>
    </row>
    <row r="1485" spans="1:25" x14ac:dyDescent="0.25">
      <c r="A1485">
        <f t="shared" si="167"/>
        <v>1478</v>
      </c>
      <c r="B1485" s="88" t="str">
        <f>IF(OR(B1484="Total",B1484=""),"",IF(VLOOKUP(A1485,Journal!$B$7:$E$84,4)=0,"Total",VLOOKUP(A1485,Journal!$B$7:$D$84,3)))</f>
        <v/>
      </c>
      <c r="C1485" s="86" t="str">
        <f>IF(B1485="","",VLOOKUP(A1485,Journal!$B$7:$E$84,4))</f>
        <v/>
      </c>
      <c r="D1485" s="114" t="str">
        <f>IF(B1485="","",VLOOKUP(A1485,Journal!$B$7:$J$84,9))</f>
        <v/>
      </c>
      <c r="E1485" s="116"/>
      <c r="F1485" s="116"/>
      <c r="G1485" s="115"/>
      <c r="H1485" s="84" t="str">
        <f>IF(B1485="","",VLOOKUP(A1485,Journal!$B$7:$L$84,11))</f>
        <v/>
      </c>
      <c r="I1485" s="84" t="str">
        <f>IF(B1485="","",VLOOKUP(A1485,Journal!$B$7:$M$84,12))</f>
        <v/>
      </c>
      <c r="J1485" s="105">
        <f>IF(B1485="Total",SUM(J$8:J1484)+0.0001,IF(OR(B1485="",I$2=I1485),0,VLOOKUP(A1485,Journal!$B$7:M$84,8)))</f>
        <v>0</v>
      </c>
      <c r="K1485" s="102">
        <f>IF(B1485="Total",SUM(K$8:K1484)+0.0001,IF(OR(B1485="",J1485&lt;&gt;0),0,VLOOKUP(A1485,Journal!$B$7:M$84,8)))</f>
        <v>0</v>
      </c>
      <c r="L1485" s="87">
        <f t="shared" si="168"/>
        <v>0</v>
      </c>
      <c r="P1485">
        <f t="shared" si="169"/>
        <v>1.0000000000000001E-5</v>
      </c>
      <c r="R1485" s="15">
        <f t="shared" si="170"/>
        <v>1478</v>
      </c>
      <c r="S1485" s="126">
        <f>IF(VLOOKUP(A1485,Journal!$A$7:$E$70,5)=0,S1484+1,VLOOKUP(A1485,Journal!$A$7:$E$70,5))</f>
        <v>47135</v>
      </c>
      <c r="T1485" s="125">
        <f>IF(H$2=VLOOKUP(A1485,Journal!$A$7:$F$70,6),VLOOKUP(A1485,Journal!$A$7:M$70,9),0)</f>
        <v>0</v>
      </c>
      <c r="U1485" s="125">
        <f>IF(H$2=VLOOKUP(A1485,Journal!$A$7:$G$70,7),VLOOKUP(A1485,Journal!$A$7:M$70,9),0)</f>
        <v>0</v>
      </c>
      <c r="V1485" s="125">
        <f t="shared" si="173"/>
        <v>40</v>
      </c>
      <c r="X1485">
        <f t="shared" si="171"/>
        <v>0</v>
      </c>
      <c r="Y1485" s="143">
        <f t="shared" si="172"/>
        <v>-961.18421052637757</v>
      </c>
    </row>
    <row r="1486" spans="1:25" x14ac:dyDescent="0.25">
      <c r="A1486">
        <f t="shared" si="167"/>
        <v>1479</v>
      </c>
      <c r="B1486" s="88" t="str">
        <f>IF(OR(B1485="Total",B1485=""),"",IF(VLOOKUP(A1486,Journal!$B$7:$E$84,4)=0,"Total",VLOOKUP(A1486,Journal!$B$7:$D$84,3)))</f>
        <v/>
      </c>
      <c r="C1486" s="86" t="str">
        <f>IF(B1486="","",VLOOKUP(A1486,Journal!$B$7:$E$84,4))</f>
        <v/>
      </c>
      <c r="D1486" s="114" t="str">
        <f>IF(B1486="","",VLOOKUP(A1486,Journal!$B$7:$J$84,9))</f>
        <v/>
      </c>
      <c r="E1486" s="116"/>
      <c r="F1486" s="116"/>
      <c r="G1486" s="115"/>
      <c r="H1486" s="84" t="str">
        <f>IF(B1486="","",VLOOKUP(A1486,Journal!$B$7:$L$84,11))</f>
        <v/>
      </c>
      <c r="I1486" s="84" t="str">
        <f>IF(B1486="","",VLOOKUP(A1486,Journal!$B$7:$M$84,12))</f>
        <v/>
      </c>
      <c r="J1486" s="105">
        <f>IF(B1486="Total",SUM(J$8:J1485)+0.0001,IF(OR(B1486="",I$2=I1486),0,VLOOKUP(A1486,Journal!$B$7:M$84,8)))</f>
        <v>0</v>
      </c>
      <c r="K1486" s="102">
        <f>IF(B1486="Total",SUM(K$8:K1485)+0.0001,IF(OR(B1486="",J1486&lt;&gt;0),0,VLOOKUP(A1486,Journal!$B$7:M$84,8)))</f>
        <v>0</v>
      </c>
      <c r="L1486" s="87">
        <f t="shared" si="168"/>
        <v>0</v>
      </c>
      <c r="P1486">
        <f t="shared" si="169"/>
        <v>1.0000000000000001E-5</v>
      </c>
      <c r="R1486" s="15">
        <f t="shared" si="170"/>
        <v>1479</v>
      </c>
      <c r="S1486" s="126">
        <f>IF(VLOOKUP(A1486,Journal!$A$7:$E$70,5)=0,S1485+1,VLOOKUP(A1486,Journal!$A$7:$E$70,5))</f>
        <v>47136</v>
      </c>
      <c r="T1486" s="125">
        <f>IF(H$2=VLOOKUP(A1486,Journal!$A$7:$F$70,6),VLOOKUP(A1486,Journal!$A$7:M$70,9),0)</f>
        <v>0</v>
      </c>
      <c r="U1486" s="125">
        <f>IF(H$2=VLOOKUP(A1486,Journal!$A$7:$G$70,7),VLOOKUP(A1486,Journal!$A$7:M$70,9),0)</f>
        <v>0</v>
      </c>
      <c r="V1486" s="125">
        <f t="shared" si="173"/>
        <v>40</v>
      </c>
      <c r="X1486">
        <f t="shared" si="171"/>
        <v>0</v>
      </c>
      <c r="Y1486" s="143">
        <f t="shared" si="172"/>
        <v>-961.15789473690393</v>
      </c>
    </row>
    <row r="1487" spans="1:25" x14ac:dyDescent="0.25">
      <c r="A1487">
        <f t="shared" si="167"/>
        <v>1480</v>
      </c>
      <c r="B1487" s="88" t="str">
        <f>IF(OR(B1486="Total",B1486=""),"",IF(VLOOKUP(A1487,Journal!$B$7:$E$84,4)=0,"Total",VLOOKUP(A1487,Journal!$B$7:$D$84,3)))</f>
        <v/>
      </c>
      <c r="C1487" s="86" t="str">
        <f>IF(B1487="","",VLOOKUP(A1487,Journal!$B$7:$E$84,4))</f>
        <v/>
      </c>
      <c r="D1487" s="114" t="str">
        <f>IF(B1487="","",VLOOKUP(A1487,Journal!$B$7:$J$84,9))</f>
        <v/>
      </c>
      <c r="E1487" s="116"/>
      <c r="F1487" s="116"/>
      <c r="G1487" s="115"/>
      <c r="H1487" s="84" t="str">
        <f>IF(B1487="","",VLOOKUP(A1487,Journal!$B$7:$L$84,11))</f>
        <v/>
      </c>
      <c r="I1487" s="84" t="str">
        <f>IF(B1487="","",VLOOKUP(A1487,Journal!$B$7:$M$84,12))</f>
        <v/>
      </c>
      <c r="J1487" s="105">
        <f>IF(B1487="Total",SUM(J$8:J1486)+0.0001,IF(OR(B1487="",I$2=I1487),0,VLOOKUP(A1487,Journal!$B$7:M$84,8)))</f>
        <v>0</v>
      </c>
      <c r="K1487" s="102">
        <f>IF(B1487="Total",SUM(K$8:K1486)+0.0001,IF(OR(B1487="",J1487&lt;&gt;0),0,VLOOKUP(A1487,Journal!$B$7:M$84,8)))</f>
        <v>0</v>
      </c>
      <c r="L1487" s="87">
        <f t="shared" si="168"/>
        <v>0</v>
      </c>
      <c r="P1487">
        <f t="shared" si="169"/>
        <v>1.0000000000000001E-5</v>
      </c>
      <c r="R1487" s="15">
        <f t="shared" si="170"/>
        <v>1480</v>
      </c>
      <c r="S1487" s="126">
        <f>IF(VLOOKUP(A1487,Journal!$A$7:$E$70,5)=0,S1486+1,VLOOKUP(A1487,Journal!$A$7:$E$70,5))</f>
        <v>47137</v>
      </c>
      <c r="T1487" s="125">
        <f>IF(H$2=VLOOKUP(A1487,Journal!$A$7:$F$70,6),VLOOKUP(A1487,Journal!$A$7:M$70,9),0)</f>
        <v>0</v>
      </c>
      <c r="U1487" s="125">
        <f>IF(H$2=VLOOKUP(A1487,Journal!$A$7:$G$70,7),VLOOKUP(A1487,Journal!$A$7:M$70,9),0)</f>
        <v>0</v>
      </c>
      <c r="V1487" s="125">
        <f t="shared" si="173"/>
        <v>40</v>
      </c>
      <c r="X1487">
        <f t="shared" si="171"/>
        <v>0</v>
      </c>
      <c r="Y1487" s="143">
        <f t="shared" si="172"/>
        <v>-961.13157894743028</v>
      </c>
    </row>
    <row r="1488" spans="1:25" x14ac:dyDescent="0.25">
      <c r="A1488">
        <f t="shared" si="167"/>
        <v>1481</v>
      </c>
      <c r="B1488" s="88" t="str">
        <f>IF(OR(B1487="Total",B1487=""),"",IF(VLOOKUP(A1488,Journal!$B$7:$E$84,4)=0,"Total",VLOOKUP(A1488,Journal!$B$7:$D$84,3)))</f>
        <v/>
      </c>
      <c r="C1488" s="86" t="str">
        <f>IF(B1488="","",VLOOKUP(A1488,Journal!$B$7:$E$84,4))</f>
        <v/>
      </c>
      <c r="D1488" s="114" t="str">
        <f>IF(B1488="","",VLOOKUP(A1488,Journal!$B$7:$J$84,9))</f>
        <v/>
      </c>
      <c r="E1488" s="116"/>
      <c r="F1488" s="116"/>
      <c r="G1488" s="115"/>
      <c r="H1488" s="84" t="str">
        <f>IF(B1488="","",VLOOKUP(A1488,Journal!$B$7:$L$84,11))</f>
        <v/>
      </c>
      <c r="I1488" s="84" t="str">
        <f>IF(B1488="","",VLOOKUP(A1488,Journal!$B$7:$M$84,12))</f>
        <v/>
      </c>
      <c r="J1488" s="105">
        <f>IF(B1488="Total",SUM(J$8:J1487)+0.0001,IF(OR(B1488="",I$2=I1488),0,VLOOKUP(A1488,Journal!$B$7:M$84,8)))</f>
        <v>0</v>
      </c>
      <c r="K1488" s="102">
        <f>IF(B1488="Total",SUM(K$8:K1487)+0.0001,IF(OR(B1488="",J1488&lt;&gt;0),0,VLOOKUP(A1488,Journal!$B$7:M$84,8)))</f>
        <v>0</v>
      </c>
      <c r="L1488" s="87">
        <f t="shared" si="168"/>
        <v>0</v>
      </c>
      <c r="P1488">
        <f t="shared" si="169"/>
        <v>1.0000000000000001E-5</v>
      </c>
      <c r="R1488" s="15">
        <f t="shared" si="170"/>
        <v>1481</v>
      </c>
      <c r="S1488" s="126">
        <f>IF(VLOOKUP(A1488,Journal!$A$7:$E$70,5)=0,S1487+1,VLOOKUP(A1488,Journal!$A$7:$E$70,5))</f>
        <v>47138</v>
      </c>
      <c r="T1488" s="125">
        <f>IF(H$2=VLOOKUP(A1488,Journal!$A$7:$F$70,6),VLOOKUP(A1488,Journal!$A$7:M$70,9),0)</f>
        <v>0</v>
      </c>
      <c r="U1488" s="125">
        <f>IF(H$2=VLOOKUP(A1488,Journal!$A$7:$G$70,7),VLOOKUP(A1488,Journal!$A$7:M$70,9),0)</f>
        <v>0</v>
      </c>
      <c r="V1488" s="125">
        <f t="shared" si="173"/>
        <v>40</v>
      </c>
      <c r="X1488">
        <f t="shared" si="171"/>
        <v>0</v>
      </c>
      <c r="Y1488" s="143">
        <f t="shared" si="172"/>
        <v>-961.10526315795664</v>
      </c>
    </row>
    <row r="1489" spans="1:25" x14ac:dyDescent="0.25">
      <c r="A1489">
        <f t="shared" si="167"/>
        <v>1482</v>
      </c>
      <c r="B1489" s="88" t="str">
        <f>IF(OR(B1488="Total",B1488=""),"",IF(VLOOKUP(A1489,Journal!$B$7:$E$84,4)=0,"Total",VLOOKUP(A1489,Journal!$B$7:$D$84,3)))</f>
        <v/>
      </c>
      <c r="C1489" s="86" t="str">
        <f>IF(B1489="","",VLOOKUP(A1489,Journal!$B$7:$E$84,4))</f>
        <v/>
      </c>
      <c r="D1489" s="114" t="str">
        <f>IF(B1489="","",VLOOKUP(A1489,Journal!$B$7:$J$84,9))</f>
        <v/>
      </c>
      <c r="E1489" s="116"/>
      <c r="F1489" s="116"/>
      <c r="G1489" s="115"/>
      <c r="H1489" s="84" t="str">
        <f>IF(B1489="","",VLOOKUP(A1489,Journal!$B$7:$L$84,11))</f>
        <v/>
      </c>
      <c r="I1489" s="84" t="str">
        <f>IF(B1489="","",VLOOKUP(A1489,Journal!$B$7:$M$84,12))</f>
        <v/>
      </c>
      <c r="J1489" s="105">
        <f>IF(B1489="Total",SUM(J$8:J1488)+0.0001,IF(OR(B1489="",I$2=I1489),0,VLOOKUP(A1489,Journal!$B$7:M$84,8)))</f>
        <v>0</v>
      </c>
      <c r="K1489" s="102">
        <f>IF(B1489="Total",SUM(K$8:K1488)+0.0001,IF(OR(B1489="",J1489&lt;&gt;0),0,VLOOKUP(A1489,Journal!$B$7:M$84,8)))</f>
        <v>0</v>
      </c>
      <c r="L1489" s="87">
        <f t="shared" si="168"/>
        <v>0</v>
      </c>
      <c r="P1489">
        <f t="shared" si="169"/>
        <v>1.0000000000000001E-5</v>
      </c>
      <c r="R1489" s="15">
        <f t="shared" si="170"/>
        <v>1482</v>
      </c>
      <c r="S1489" s="126">
        <f>IF(VLOOKUP(A1489,Journal!$A$7:$E$70,5)=0,S1488+1,VLOOKUP(A1489,Journal!$A$7:$E$70,5))</f>
        <v>47139</v>
      </c>
      <c r="T1489" s="125">
        <f>IF(H$2=VLOOKUP(A1489,Journal!$A$7:$F$70,6),VLOOKUP(A1489,Journal!$A$7:M$70,9),0)</f>
        <v>0</v>
      </c>
      <c r="U1489" s="125">
        <f>IF(H$2=VLOOKUP(A1489,Journal!$A$7:$G$70,7),VLOOKUP(A1489,Journal!$A$7:M$70,9),0)</f>
        <v>0</v>
      </c>
      <c r="V1489" s="125">
        <f t="shared" si="173"/>
        <v>40</v>
      </c>
      <c r="X1489">
        <f t="shared" si="171"/>
        <v>0</v>
      </c>
      <c r="Y1489" s="143">
        <f t="shared" si="172"/>
        <v>-961.078947368483</v>
      </c>
    </row>
    <row r="1490" spans="1:25" x14ac:dyDescent="0.25">
      <c r="A1490">
        <f t="shared" ref="A1490:A1553" si="174">A1489+1</f>
        <v>1483</v>
      </c>
      <c r="B1490" s="88" t="str">
        <f>IF(OR(B1489="Total",B1489=""),"",IF(VLOOKUP(A1490,Journal!$B$7:$E$84,4)=0,"Total",VLOOKUP(A1490,Journal!$B$7:$D$84,3)))</f>
        <v/>
      </c>
      <c r="C1490" s="86" t="str">
        <f>IF(B1490="","",VLOOKUP(A1490,Journal!$B$7:$E$84,4))</f>
        <v/>
      </c>
      <c r="D1490" s="114" t="str">
        <f>IF(B1490="","",VLOOKUP(A1490,Journal!$B$7:$J$84,9))</f>
        <v/>
      </c>
      <c r="E1490" s="116"/>
      <c r="F1490" s="116"/>
      <c r="G1490" s="115"/>
      <c r="H1490" s="84" t="str">
        <f>IF(B1490="","",VLOOKUP(A1490,Journal!$B$7:$L$84,11))</f>
        <v/>
      </c>
      <c r="I1490" s="84" t="str">
        <f>IF(B1490="","",VLOOKUP(A1490,Journal!$B$7:$M$84,12))</f>
        <v/>
      </c>
      <c r="J1490" s="105">
        <f>IF(B1490="Total",SUM(J$8:J1489)+0.0001,IF(OR(B1490="",I$2=I1490),0,VLOOKUP(A1490,Journal!$B$7:M$84,8)))</f>
        <v>0</v>
      </c>
      <c r="K1490" s="102">
        <f>IF(B1490="Total",SUM(K$8:K1489)+0.0001,IF(OR(B1490="",J1490&lt;&gt;0),0,VLOOKUP(A1490,Journal!$B$7:M$84,8)))</f>
        <v>0</v>
      </c>
      <c r="L1490" s="87">
        <f t="shared" ref="L1490:L1553" si="175">IF(B1490="Total",L1489,IF(B1490="",0,IF($M$1=1,L1489+J1490-K1490,L1489-J1490+K1490)))</f>
        <v>0</v>
      </c>
      <c r="P1490">
        <f t="shared" ref="P1490:P1553" si="176">IF(L1489=L1490,L1489+0.00001,L1490)</f>
        <v>1.0000000000000001E-5</v>
      </c>
      <c r="R1490" s="15">
        <f t="shared" ref="R1490:R1553" si="177">R1489+1</f>
        <v>1483</v>
      </c>
      <c r="S1490" s="126">
        <f>IF(VLOOKUP(A1490,Journal!$A$7:$E$70,5)=0,S1489+1,VLOOKUP(A1490,Journal!$A$7:$E$70,5))</f>
        <v>47140</v>
      </c>
      <c r="T1490" s="125">
        <f>IF(H$2=VLOOKUP(A1490,Journal!$A$7:$F$70,6),VLOOKUP(A1490,Journal!$A$7:M$70,9),0)</f>
        <v>0</v>
      </c>
      <c r="U1490" s="125">
        <f>IF(H$2=VLOOKUP(A1490,Journal!$A$7:$G$70,7),VLOOKUP(A1490,Journal!$A$7:M$70,9),0)</f>
        <v>0</v>
      </c>
      <c r="V1490" s="125">
        <f t="shared" si="173"/>
        <v>40</v>
      </c>
      <c r="X1490">
        <f t="shared" ref="X1490:X1553" si="178">IF(J$2&gt;S1490,1,0)</f>
        <v>0</v>
      </c>
      <c r="Y1490" s="143">
        <f t="shared" si="172"/>
        <v>-961.05263157900936</v>
      </c>
    </row>
    <row r="1491" spans="1:25" x14ac:dyDescent="0.25">
      <c r="A1491">
        <f t="shared" si="174"/>
        <v>1484</v>
      </c>
      <c r="B1491" s="88" t="str">
        <f>IF(OR(B1490="Total",B1490=""),"",IF(VLOOKUP(A1491,Journal!$B$7:$E$84,4)=0,"Total",VLOOKUP(A1491,Journal!$B$7:$D$84,3)))</f>
        <v/>
      </c>
      <c r="C1491" s="86" t="str">
        <f>IF(B1491="","",VLOOKUP(A1491,Journal!$B$7:$E$84,4))</f>
        <v/>
      </c>
      <c r="D1491" s="114" t="str">
        <f>IF(B1491="","",VLOOKUP(A1491,Journal!$B$7:$J$84,9))</f>
        <v/>
      </c>
      <c r="E1491" s="116"/>
      <c r="F1491" s="116"/>
      <c r="G1491" s="115"/>
      <c r="H1491" s="84" t="str">
        <f>IF(B1491="","",VLOOKUP(A1491,Journal!$B$7:$L$84,11))</f>
        <v/>
      </c>
      <c r="I1491" s="84" t="str">
        <f>IF(B1491="","",VLOOKUP(A1491,Journal!$B$7:$M$84,12))</f>
        <v/>
      </c>
      <c r="J1491" s="105">
        <f>IF(B1491="Total",SUM(J$8:J1490)+0.0001,IF(OR(B1491="",I$2=I1491),0,VLOOKUP(A1491,Journal!$B$7:M$84,8)))</f>
        <v>0</v>
      </c>
      <c r="K1491" s="102">
        <f>IF(B1491="Total",SUM(K$8:K1490)+0.0001,IF(OR(B1491="",J1491&lt;&gt;0),0,VLOOKUP(A1491,Journal!$B$7:M$84,8)))</f>
        <v>0</v>
      </c>
      <c r="L1491" s="87">
        <f t="shared" si="175"/>
        <v>0</v>
      </c>
      <c r="P1491">
        <f t="shared" si="176"/>
        <v>1.0000000000000001E-5</v>
      </c>
      <c r="R1491" s="15">
        <f t="shared" si="177"/>
        <v>1484</v>
      </c>
      <c r="S1491" s="126">
        <f>IF(VLOOKUP(A1491,Journal!$A$7:$E$70,5)=0,S1490+1,VLOOKUP(A1491,Journal!$A$7:$E$70,5))</f>
        <v>47141</v>
      </c>
      <c r="T1491" s="125">
        <f>IF(H$2=VLOOKUP(A1491,Journal!$A$7:$F$70,6),VLOOKUP(A1491,Journal!$A$7:M$70,9),0)</f>
        <v>0</v>
      </c>
      <c r="U1491" s="125">
        <f>IF(H$2=VLOOKUP(A1491,Journal!$A$7:$G$70,7),VLOOKUP(A1491,Journal!$A$7:M$70,9),0)</f>
        <v>0</v>
      </c>
      <c r="V1491" s="125">
        <f t="shared" si="173"/>
        <v>40</v>
      </c>
      <c r="X1491">
        <f t="shared" si="178"/>
        <v>0</v>
      </c>
      <c r="Y1491" s="143">
        <f t="shared" si="172"/>
        <v>-961.02631578953572</v>
      </c>
    </row>
    <row r="1492" spans="1:25" x14ac:dyDescent="0.25">
      <c r="A1492">
        <f t="shared" si="174"/>
        <v>1485</v>
      </c>
      <c r="B1492" s="88" t="str">
        <f>IF(OR(B1491="Total",B1491=""),"",IF(VLOOKUP(A1492,Journal!$B$7:$E$84,4)=0,"Total",VLOOKUP(A1492,Journal!$B$7:$D$84,3)))</f>
        <v/>
      </c>
      <c r="C1492" s="86" t="str">
        <f>IF(B1492="","",VLOOKUP(A1492,Journal!$B$7:$E$84,4))</f>
        <v/>
      </c>
      <c r="D1492" s="114" t="str">
        <f>IF(B1492="","",VLOOKUP(A1492,Journal!$B$7:$J$84,9))</f>
        <v/>
      </c>
      <c r="E1492" s="116"/>
      <c r="F1492" s="116"/>
      <c r="G1492" s="115"/>
      <c r="H1492" s="84" t="str">
        <f>IF(B1492="","",VLOOKUP(A1492,Journal!$B$7:$L$84,11))</f>
        <v/>
      </c>
      <c r="I1492" s="84" t="str">
        <f>IF(B1492="","",VLOOKUP(A1492,Journal!$B$7:$M$84,12))</f>
        <v/>
      </c>
      <c r="J1492" s="105">
        <f>IF(B1492="Total",SUM(J$8:J1491)+0.0001,IF(OR(B1492="",I$2=I1492),0,VLOOKUP(A1492,Journal!$B$7:M$84,8)))</f>
        <v>0</v>
      </c>
      <c r="K1492" s="102">
        <f>IF(B1492="Total",SUM(K$8:K1491)+0.0001,IF(OR(B1492="",J1492&lt;&gt;0),0,VLOOKUP(A1492,Journal!$B$7:M$84,8)))</f>
        <v>0</v>
      </c>
      <c r="L1492" s="87">
        <f t="shared" si="175"/>
        <v>0</v>
      </c>
      <c r="P1492">
        <f t="shared" si="176"/>
        <v>1.0000000000000001E-5</v>
      </c>
      <c r="R1492" s="15">
        <f t="shared" si="177"/>
        <v>1485</v>
      </c>
      <c r="S1492" s="126">
        <f>IF(VLOOKUP(A1492,Journal!$A$7:$E$70,5)=0,S1491+1,VLOOKUP(A1492,Journal!$A$7:$E$70,5))</f>
        <v>47142</v>
      </c>
      <c r="T1492" s="125">
        <f>IF(H$2=VLOOKUP(A1492,Journal!$A$7:$F$70,6),VLOOKUP(A1492,Journal!$A$7:M$70,9),0)</f>
        <v>0</v>
      </c>
      <c r="U1492" s="125">
        <f>IF(H$2=VLOOKUP(A1492,Journal!$A$7:$G$70,7),VLOOKUP(A1492,Journal!$A$7:M$70,9),0)</f>
        <v>0</v>
      </c>
      <c r="V1492" s="125">
        <f t="shared" si="173"/>
        <v>40</v>
      </c>
      <c r="X1492">
        <f t="shared" si="178"/>
        <v>0</v>
      </c>
      <c r="Y1492" s="143">
        <f t="shared" si="172"/>
        <v>-961.00000000006207</v>
      </c>
    </row>
    <row r="1493" spans="1:25" x14ac:dyDescent="0.25">
      <c r="A1493">
        <f t="shared" si="174"/>
        <v>1486</v>
      </c>
      <c r="B1493" s="88" t="str">
        <f>IF(OR(B1492="Total",B1492=""),"",IF(VLOOKUP(A1493,Journal!$B$7:$E$84,4)=0,"Total",VLOOKUP(A1493,Journal!$B$7:$D$84,3)))</f>
        <v/>
      </c>
      <c r="C1493" s="86" t="str">
        <f>IF(B1493="","",VLOOKUP(A1493,Journal!$B$7:$E$84,4))</f>
        <v/>
      </c>
      <c r="D1493" s="114" t="str">
        <f>IF(B1493="","",VLOOKUP(A1493,Journal!$B$7:$J$84,9))</f>
        <v/>
      </c>
      <c r="E1493" s="116"/>
      <c r="F1493" s="116"/>
      <c r="G1493" s="115"/>
      <c r="H1493" s="84" t="str">
        <f>IF(B1493="","",VLOOKUP(A1493,Journal!$B$7:$L$84,11))</f>
        <v/>
      </c>
      <c r="I1493" s="84" t="str">
        <f>IF(B1493="","",VLOOKUP(A1493,Journal!$B$7:$M$84,12))</f>
        <v/>
      </c>
      <c r="J1493" s="105">
        <f>IF(B1493="Total",SUM(J$8:J1492)+0.0001,IF(OR(B1493="",I$2=I1493),0,VLOOKUP(A1493,Journal!$B$7:M$84,8)))</f>
        <v>0</v>
      </c>
      <c r="K1493" s="102">
        <f>IF(B1493="Total",SUM(K$8:K1492)+0.0001,IF(OR(B1493="",J1493&lt;&gt;0),0,VLOOKUP(A1493,Journal!$B$7:M$84,8)))</f>
        <v>0</v>
      </c>
      <c r="L1493" s="87">
        <f t="shared" si="175"/>
        <v>0</v>
      </c>
      <c r="P1493">
        <f t="shared" si="176"/>
        <v>1.0000000000000001E-5</v>
      </c>
      <c r="R1493" s="15">
        <f t="shared" si="177"/>
        <v>1486</v>
      </c>
      <c r="S1493" s="126">
        <f>IF(VLOOKUP(A1493,Journal!$A$7:$E$70,5)=0,S1492+1,VLOOKUP(A1493,Journal!$A$7:$E$70,5))</f>
        <v>47143</v>
      </c>
      <c r="T1493" s="125">
        <f>IF(H$2=VLOOKUP(A1493,Journal!$A$7:$F$70,6),VLOOKUP(A1493,Journal!$A$7:M$70,9),0)</f>
        <v>0</v>
      </c>
      <c r="U1493" s="125">
        <f>IF(H$2=VLOOKUP(A1493,Journal!$A$7:$G$70,7),VLOOKUP(A1493,Journal!$A$7:M$70,9),0)</f>
        <v>0</v>
      </c>
      <c r="V1493" s="125">
        <f t="shared" si="173"/>
        <v>40</v>
      </c>
      <c r="X1493">
        <f t="shared" si="178"/>
        <v>0</v>
      </c>
      <c r="Y1493" s="143">
        <f t="shared" si="172"/>
        <v>-960.97368421058843</v>
      </c>
    </row>
    <row r="1494" spans="1:25" x14ac:dyDescent="0.25">
      <c r="A1494">
        <f t="shared" si="174"/>
        <v>1487</v>
      </c>
      <c r="B1494" s="88" t="str">
        <f>IF(OR(B1493="Total",B1493=""),"",IF(VLOOKUP(A1494,Journal!$B$7:$E$84,4)=0,"Total",VLOOKUP(A1494,Journal!$B$7:$D$84,3)))</f>
        <v/>
      </c>
      <c r="C1494" s="86" t="str">
        <f>IF(B1494="","",VLOOKUP(A1494,Journal!$B$7:$E$84,4))</f>
        <v/>
      </c>
      <c r="D1494" s="114" t="str">
        <f>IF(B1494="","",VLOOKUP(A1494,Journal!$B$7:$J$84,9))</f>
        <v/>
      </c>
      <c r="E1494" s="116"/>
      <c r="F1494" s="116"/>
      <c r="G1494" s="115"/>
      <c r="H1494" s="84" t="str">
        <f>IF(B1494="","",VLOOKUP(A1494,Journal!$B$7:$L$84,11))</f>
        <v/>
      </c>
      <c r="I1494" s="84" t="str">
        <f>IF(B1494="","",VLOOKUP(A1494,Journal!$B$7:$M$84,12))</f>
        <v/>
      </c>
      <c r="J1494" s="105">
        <f>IF(B1494="Total",SUM(J$8:J1493)+0.0001,IF(OR(B1494="",I$2=I1494),0,VLOOKUP(A1494,Journal!$B$7:M$84,8)))</f>
        <v>0</v>
      </c>
      <c r="K1494" s="102">
        <f>IF(B1494="Total",SUM(K$8:K1493)+0.0001,IF(OR(B1494="",J1494&lt;&gt;0),0,VLOOKUP(A1494,Journal!$B$7:M$84,8)))</f>
        <v>0</v>
      </c>
      <c r="L1494" s="87">
        <f t="shared" si="175"/>
        <v>0</v>
      </c>
      <c r="P1494">
        <f t="shared" si="176"/>
        <v>1.0000000000000001E-5</v>
      </c>
      <c r="R1494" s="15">
        <f t="shared" si="177"/>
        <v>1487</v>
      </c>
      <c r="S1494" s="126">
        <f>IF(VLOOKUP(A1494,Journal!$A$7:$E$70,5)=0,S1493+1,VLOOKUP(A1494,Journal!$A$7:$E$70,5))</f>
        <v>47144</v>
      </c>
      <c r="T1494" s="125">
        <f>IF(H$2=VLOOKUP(A1494,Journal!$A$7:$F$70,6),VLOOKUP(A1494,Journal!$A$7:M$70,9),0)</f>
        <v>0</v>
      </c>
      <c r="U1494" s="125">
        <f>IF(H$2=VLOOKUP(A1494,Journal!$A$7:$G$70,7),VLOOKUP(A1494,Journal!$A$7:M$70,9),0)</f>
        <v>0</v>
      </c>
      <c r="V1494" s="125">
        <f t="shared" si="173"/>
        <v>40</v>
      </c>
      <c r="X1494">
        <f t="shared" si="178"/>
        <v>0</v>
      </c>
      <c r="Y1494" s="143">
        <f t="shared" si="172"/>
        <v>-960.94736842111479</v>
      </c>
    </row>
    <row r="1495" spans="1:25" x14ac:dyDescent="0.25">
      <c r="A1495">
        <f t="shared" si="174"/>
        <v>1488</v>
      </c>
      <c r="B1495" s="88" t="str">
        <f>IF(OR(B1494="Total",B1494=""),"",IF(VLOOKUP(A1495,Journal!$B$7:$E$84,4)=0,"Total",VLOOKUP(A1495,Journal!$B$7:$D$84,3)))</f>
        <v/>
      </c>
      <c r="C1495" s="86" t="str">
        <f>IF(B1495="","",VLOOKUP(A1495,Journal!$B$7:$E$84,4))</f>
        <v/>
      </c>
      <c r="D1495" s="114" t="str">
        <f>IF(B1495="","",VLOOKUP(A1495,Journal!$B$7:$J$84,9))</f>
        <v/>
      </c>
      <c r="E1495" s="116"/>
      <c r="F1495" s="116"/>
      <c r="G1495" s="115"/>
      <c r="H1495" s="84" t="str">
        <f>IF(B1495="","",VLOOKUP(A1495,Journal!$B$7:$L$84,11))</f>
        <v/>
      </c>
      <c r="I1495" s="84" t="str">
        <f>IF(B1495="","",VLOOKUP(A1495,Journal!$B$7:$M$84,12))</f>
        <v/>
      </c>
      <c r="J1495" s="105">
        <f>IF(B1495="Total",SUM(J$8:J1494)+0.0001,IF(OR(B1495="",I$2=I1495),0,VLOOKUP(A1495,Journal!$B$7:M$84,8)))</f>
        <v>0</v>
      </c>
      <c r="K1495" s="102">
        <f>IF(B1495="Total",SUM(K$8:K1494)+0.0001,IF(OR(B1495="",J1495&lt;&gt;0),0,VLOOKUP(A1495,Journal!$B$7:M$84,8)))</f>
        <v>0</v>
      </c>
      <c r="L1495" s="87">
        <f t="shared" si="175"/>
        <v>0</v>
      </c>
      <c r="P1495">
        <f t="shared" si="176"/>
        <v>1.0000000000000001E-5</v>
      </c>
      <c r="R1495" s="15">
        <f t="shared" si="177"/>
        <v>1488</v>
      </c>
      <c r="S1495" s="126">
        <f>IF(VLOOKUP(A1495,Journal!$A$7:$E$70,5)=0,S1494+1,VLOOKUP(A1495,Journal!$A$7:$E$70,5))</f>
        <v>47145</v>
      </c>
      <c r="T1495" s="125">
        <f>IF(H$2=VLOOKUP(A1495,Journal!$A$7:$F$70,6),VLOOKUP(A1495,Journal!$A$7:M$70,9),0)</f>
        <v>0</v>
      </c>
      <c r="U1495" s="125">
        <f>IF(H$2=VLOOKUP(A1495,Journal!$A$7:$G$70,7),VLOOKUP(A1495,Journal!$A$7:M$70,9),0)</f>
        <v>0</v>
      </c>
      <c r="V1495" s="125">
        <f t="shared" si="173"/>
        <v>40</v>
      </c>
      <c r="X1495">
        <f t="shared" si="178"/>
        <v>0</v>
      </c>
      <c r="Y1495" s="143">
        <f t="shared" si="172"/>
        <v>-960.92105263164115</v>
      </c>
    </row>
    <row r="1496" spans="1:25" x14ac:dyDescent="0.25">
      <c r="A1496">
        <f t="shared" si="174"/>
        <v>1489</v>
      </c>
      <c r="B1496" s="88" t="str">
        <f>IF(OR(B1495="Total",B1495=""),"",IF(VLOOKUP(A1496,Journal!$B$7:$E$84,4)=0,"Total",VLOOKUP(A1496,Journal!$B$7:$D$84,3)))</f>
        <v/>
      </c>
      <c r="C1496" s="86" t="str">
        <f>IF(B1496="","",VLOOKUP(A1496,Journal!$B$7:$E$84,4))</f>
        <v/>
      </c>
      <c r="D1496" s="114" t="str">
        <f>IF(B1496="","",VLOOKUP(A1496,Journal!$B$7:$J$84,9))</f>
        <v/>
      </c>
      <c r="E1496" s="116"/>
      <c r="F1496" s="116"/>
      <c r="G1496" s="115"/>
      <c r="H1496" s="84" t="str">
        <f>IF(B1496="","",VLOOKUP(A1496,Journal!$B$7:$L$84,11))</f>
        <v/>
      </c>
      <c r="I1496" s="84" t="str">
        <f>IF(B1496="","",VLOOKUP(A1496,Journal!$B$7:$M$84,12))</f>
        <v/>
      </c>
      <c r="J1496" s="105">
        <f>IF(B1496="Total",SUM(J$8:J1495)+0.0001,IF(OR(B1496="",I$2=I1496),0,VLOOKUP(A1496,Journal!$B$7:M$84,8)))</f>
        <v>0</v>
      </c>
      <c r="K1496" s="102">
        <f>IF(B1496="Total",SUM(K$8:K1495)+0.0001,IF(OR(B1496="",J1496&lt;&gt;0),0,VLOOKUP(A1496,Journal!$B$7:M$84,8)))</f>
        <v>0</v>
      </c>
      <c r="L1496" s="87">
        <f t="shared" si="175"/>
        <v>0</v>
      </c>
      <c r="P1496">
        <f t="shared" si="176"/>
        <v>1.0000000000000001E-5</v>
      </c>
      <c r="R1496" s="15">
        <f t="shared" si="177"/>
        <v>1489</v>
      </c>
      <c r="S1496" s="126">
        <f>IF(VLOOKUP(A1496,Journal!$A$7:$E$70,5)=0,S1495+1,VLOOKUP(A1496,Journal!$A$7:$E$70,5))</f>
        <v>47146</v>
      </c>
      <c r="T1496" s="125">
        <f>IF(H$2=VLOOKUP(A1496,Journal!$A$7:$F$70,6),VLOOKUP(A1496,Journal!$A$7:M$70,9),0)</f>
        <v>0</v>
      </c>
      <c r="U1496" s="125">
        <f>IF(H$2=VLOOKUP(A1496,Journal!$A$7:$G$70,7),VLOOKUP(A1496,Journal!$A$7:M$70,9),0)</f>
        <v>0</v>
      </c>
      <c r="V1496" s="125">
        <f t="shared" si="173"/>
        <v>40</v>
      </c>
      <c r="X1496">
        <f t="shared" si="178"/>
        <v>0</v>
      </c>
      <c r="Y1496" s="143">
        <f t="shared" si="172"/>
        <v>-960.8947368421675</v>
      </c>
    </row>
    <row r="1497" spans="1:25" x14ac:dyDescent="0.25">
      <c r="A1497">
        <f t="shared" si="174"/>
        <v>1490</v>
      </c>
      <c r="B1497" s="88" t="str">
        <f>IF(OR(B1496="Total",B1496=""),"",IF(VLOOKUP(A1497,Journal!$B$7:$E$84,4)=0,"Total",VLOOKUP(A1497,Journal!$B$7:$D$84,3)))</f>
        <v/>
      </c>
      <c r="C1497" s="86" t="str">
        <f>IF(B1497="","",VLOOKUP(A1497,Journal!$B$7:$E$84,4))</f>
        <v/>
      </c>
      <c r="D1497" s="114" t="str">
        <f>IF(B1497="","",VLOOKUP(A1497,Journal!$B$7:$J$84,9))</f>
        <v/>
      </c>
      <c r="E1497" s="116"/>
      <c r="F1497" s="116"/>
      <c r="G1497" s="115"/>
      <c r="H1497" s="84" t="str">
        <f>IF(B1497="","",VLOOKUP(A1497,Journal!$B$7:$L$84,11))</f>
        <v/>
      </c>
      <c r="I1497" s="84" t="str">
        <f>IF(B1497="","",VLOOKUP(A1497,Journal!$B$7:$M$84,12))</f>
        <v/>
      </c>
      <c r="J1497" s="105">
        <f>IF(B1497="Total",SUM(J$8:J1496)+0.0001,IF(OR(B1497="",I$2=I1497),0,VLOOKUP(A1497,Journal!$B$7:M$84,8)))</f>
        <v>0</v>
      </c>
      <c r="K1497" s="102">
        <f>IF(B1497="Total",SUM(K$8:K1496)+0.0001,IF(OR(B1497="",J1497&lt;&gt;0),0,VLOOKUP(A1497,Journal!$B$7:M$84,8)))</f>
        <v>0</v>
      </c>
      <c r="L1497" s="87">
        <f t="shared" si="175"/>
        <v>0</v>
      </c>
      <c r="P1497">
        <f t="shared" si="176"/>
        <v>1.0000000000000001E-5</v>
      </c>
      <c r="R1497" s="15">
        <f t="shared" si="177"/>
        <v>1490</v>
      </c>
      <c r="S1497" s="126">
        <f>IF(VLOOKUP(A1497,Journal!$A$7:$E$70,5)=0,S1496+1,VLOOKUP(A1497,Journal!$A$7:$E$70,5))</f>
        <v>47147</v>
      </c>
      <c r="T1497" s="125">
        <f>IF(H$2=VLOOKUP(A1497,Journal!$A$7:$F$70,6),VLOOKUP(A1497,Journal!$A$7:M$70,9),0)</f>
        <v>0</v>
      </c>
      <c r="U1497" s="125">
        <f>IF(H$2=VLOOKUP(A1497,Journal!$A$7:$G$70,7),VLOOKUP(A1497,Journal!$A$7:M$70,9),0)</f>
        <v>0</v>
      </c>
      <c r="V1497" s="125">
        <f t="shared" si="173"/>
        <v>40</v>
      </c>
      <c r="X1497">
        <f t="shared" si="178"/>
        <v>0</v>
      </c>
      <c r="Y1497" s="143">
        <f t="shared" si="172"/>
        <v>-960.86842105269386</v>
      </c>
    </row>
    <row r="1498" spans="1:25" x14ac:dyDescent="0.25">
      <c r="A1498">
        <f t="shared" si="174"/>
        <v>1491</v>
      </c>
      <c r="B1498" s="88" t="str">
        <f>IF(OR(B1497="Total",B1497=""),"",IF(VLOOKUP(A1498,Journal!$B$7:$E$84,4)=0,"Total",VLOOKUP(A1498,Journal!$B$7:$D$84,3)))</f>
        <v/>
      </c>
      <c r="C1498" s="86" t="str">
        <f>IF(B1498="","",VLOOKUP(A1498,Journal!$B$7:$E$84,4))</f>
        <v/>
      </c>
      <c r="D1498" s="114" t="str">
        <f>IF(B1498="","",VLOOKUP(A1498,Journal!$B$7:$J$84,9))</f>
        <v/>
      </c>
      <c r="E1498" s="116"/>
      <c r="F1498" s="116"/>
      <c r="G1498" s="115"/>
      <c r="H1498" s="84" t="str">
        <f>IF(B1498="","",VLOOKUP(A1498,Journal!$B$7:$L$84,11))</f>
        <v/>
      </c>
      <c r="I1498" s="84" t="str">
        <f>IF(B1498="","",VLOOKUP(A1498,Journal!$B$7:$M$84,12))</f>
        <v/>
      </c>
      <c r="J1498" s="105">
        <f>IF(B1498="Total",SUM(J$8:J1497)+0.0001,IF(OR(B1498="",I$2=I1498),0,VLOOKUP(A1498,Journal!$B$7:M$84,8)))</f>
        <v>0</v>
      </c>
      <c r="K1498" s="102">
        <f>IF(B1498="Total",SUM(K$8:K1497)+0.0001,IF(OR(B1498="",J1498&lt;&gt;0),0,VLOOKUP(A1498,Journal!$B$7:M$84,8)))</f>
        <v>0</v>
      </c>
      <c r="L1498" s="87">
        <f t="shared" si="175"/>
        <v>0</v>
      </c>
      <c r="P1498">
        <f t="shared" si="176"/>
        <v>1.0000000000000001E-5</v>
      </c>
      <c r="R1498" s="15">
        <f t="shared" si="177"/>
        <v>1491</v>
      </c>
      <c r="S1498" s="126">
        <f>IF(VLOOKUP(A1498,Journal!$A$7:$E$70,5)=0,S1497+1,VLOOKUP(A1498,Journal!$A$7:$E$70,5))</f>
        <v>47148</v>
      </c>
      <c r="T1498" s="125">
        <f>IF(H$2=VLOOKUP(A1498,Journal!$A$7:$F$70,6),VLOOKUP(A1498,Journal!$A$7:M$70,9),0)</f>
        <v>0</v>
      </c>
      <c r="U1498" s="125">
        <f>IF(H$2=VLOOKUP(A1498,Journal!$A$7:$G$70,7),VLOOKUP(A1498,Journal!$A$7:M$70,9),0)</f>
        <v>0</v>
      </c>
      <c r="V1498" s="125">
        <f t="shared" si="173"/>
        <v>40</v>
      </c>
      <c r="X1498">
        <f t="shared" si="178"/>
        <v>0</v>
      </c>
      <c r="Y1498" s="143">
        <f t="shared" si="172"/>
        <v>-960.84210526322022</v>
      </c>
    </row>
    <row r="1499" spans="1:25" x14ac:dyDescent="0.25">
      <c r="A1499">
        <f t="shared" si="174"/>
        <v>1492</v>
      </c>
      <c r="B1499" s="88" t="str">
        <f>IF(OR(B1498="Total",B1498=""),"",IF(VLOOKUP(A1499,Journal!$B$7:$E$84,4)=0,"Total",VLOOKUP(A1499,Journal!$B$7:$D$84,3)))</f>
        <v/>
      </c>
      <c r="C1499" s="86" t="str">
        <f>IF(B1499="","",VLOOKUP(A1499,Journal!$B$7:$E$84,4))</f>
        <v/>
      </c>
      <c r="D1499" s="114" t="str">
        <f>IF(B1499="","",VLOOKUP(A1499,Journal!$B$7:$J$84,9))</f>
        <v/>
      </c>
      <c r="E1499" s="116"/>
      <c r="F1499" s="116"/>
      <c r="G1499" s="115"/>
      <c r="H1499" s="84" t="str">
        <f>IF(B1499="","",VLOOKUP(A1499,Journal!$B$7:$L$84,11))</f>
        <v/>
      </c>
      <c r="I1499" s="84" t="str">
        <f>IF(B1499="","",VLOOKUP(A1499,Journal!$B$7:$M$84,12))</f>
        <v/>
      </c>
      <c r="J1499" s="105">
        <f>IF(B1499="Total",SUM(J$8:J1498)+0.0001,IF(OR(B1499="",I$2=I1499),0,VLOOKUP(A1499,Journal!$B$7:M$84,8)))</f>
        <v>0</v>
      </c>
      <c r="K1499" s="102">
        <f>IF(B1499="Total",SUM(K$8:K1498)+0.0001,IF(OR(B1499="",J1499&lt;&gt;0),0,VLOOKUP(A1499,Journal!$B$7:M$84,8)))</f>
        <v>0</v>
      </c>
      <c r="L1499" s="87">
        <f t="shared" si="175"/>
        <v>0</v>
      </c>
      <c r="P1499">
        <f t="shared" si="176"/>
        <v>1.0000000000000001E-5</v>
      </c>
      <c r="R1499" s="15">
        <f t="shared" si="177"/>
        <v>1492</v>
      </c>
      <c r="S1499" s="126">
        <f>IF(VLOOKUP(A1499,Journal!$A$7:$E$70,5)=0,S1498+1,VLOOKUP(A1499,Journal!$A$7:$E$70,5))</f>
        <v>47149</v>
      </c>
      <c r="T1499" s="125">
        <f>IF(H$2=VLOOKUP(A1499,Journal!$A$7:$F$70,6),VLOOKUP(A1499,Journal!$A$7:M$70,9),0)</f>
        <v>0</v>
      </c>
      <c r="U1499" s="125">
        <f>IF(H$2=VLOOKUP(A1499,Journal!$A$7:$G$70,7),VLOOKUP(A1499,Journal!$A$7:M$70,9),0)</f>
        <v>0</v>
      </c>
      <c r="V1499" s="125">
        <f t="shared" si="173"/>
        <v>40</v>
      </c>
      <c r="X1499">
        <f t="shared" si="178"/>
        <v>0</v>
      </c>
      <c r="Y1499" s="143">
        <f t="shared" si="172"/>
        <v>-960.81578947374658</v>
      </c>
    </row>
    <row r="1500" spans="1:25" x14ac:dyDescent="0.25">
      <c r="A1500">
        <f t="shared" si="174"/>
        <v>1493</v>
      </c>
      <c r="B1500" s="88" t="str">
        <f>IF(OR(B1499="Total",B1499=""),"",IF(VLOOKUP(A1500,Journal!$B$7:$E$84,4)=0,"Total",VLOOKUP(A1500,Journal!$B$7:$D$84,3)))</f>
        <v/>
      </c>
      <c r="C1500" s="86" t="str">
        <f>IF(B1500="","",VLOOKUP(A1500,Journal!$B$7:$E$84,4))</f>
        <v/>
      </c>
      <c r="D1500" s="114" t="str">
        <f>IF(B1500="","",VLOOKUP(A1500,Journal!$B$7:$J$84,9))</f>
        <v/>
      </c>
      <c r="E1500" s="116"/>
      <c r="F1500" s="116"/>
      <c r="G1500" s="115"/>
      <c r="H1500" s="84" t="str">
        <f>IF(B1500="","",VLOOKUP(A1500,Journal!$B$7:$L$84,11))</f>
        <v/>
      </c>
      <c r="I1500" s="84" t="str">
        <f>IF(B1500="","",VLOOKUP(A1500,Journal!$B$7:$M$84,12))</f>
        <v/>
      </c>
      <c r="J1500" s="105">
        <f>IF(B1500="Total",SUM(J$8:J1499)+0.0001,IF(OR(B1500="",I$2=I1500),0,VLOOKUP(A1500,Journal!$B$7:M$84,8)))</f>
        <v>0</v>
      </c>
      <c r="K1500" s="102">
        <f>IF(B1500="Total",SUM(K$8:K1499)+0.0001,IF(OR(B1500="",J1500&lt;&gt;0),0,VLOOKUP(A1500,Journal!$B$7:M$84,8)))</f>
        <v>0</v>
      </c>
      <c r="L1500" s="87">
        <f t="shared" si="175"/>
        <v>0</v>
      </c>
      <c r="P1500">
        <f t="shared" si="176"/>
        <v>1.0000000000000001E-5</v>
      </c>
      <c r="R1500" s="15">
        <f t="shared" si="177"/>
        <v>1493</v>
      </c>
      <c r="S1500" s="126">
        <f>IF(VLOOKUP(A1500,Journal!$A$7:$E$70,5)=0,S1499+1,VLOOKUP(A1500,Journal!$A$7:$E$70,5))</f>
        <v>47150</v>
      </c>
      <c r="T1500" s="125">
        <f>IF(H$2=VLOOKUP(A1500,Journal!$A$7:$F$70,6),VLOOKUP(A1500,Journal!$A$7:M$70,9),0)</f>
        <v>0</v>
      </c>
      <c r="U1500" s="125">
        <f>IF(H$2=VLOOKUP(A1500,Journal!$A$7:$G$70,7),VLOOKUP(A1500,Journal!$A$7:M$70,9),0)</f>
        <v>0</v>
      </c>
      <c r="V1500" s="125">
        <f t="shared" si="173"/>
        <v>40</v>
      </c>
      <c r="X1500">
        <f t="shared" si="178"/>
        <v>0</v>
      </c>
      <c r="Y1500" s="143">
        <f t="shared" si="172"/>
        <v>-960.78947368427293</v>
      </c>
    </row>
    <row r="1501" spans="1:25" x14ac:dyDescent="0.25">
      <c r="A1501">
        <f t="shared" si="174"/>
        <v>1494</v>
      </c>
      <c r="B1501" s="88" t="str">
        <f>IF(OR(B1500="Total",B1500=""),"",IF(VLOOKUP(A1501,Journal!$B$7:$E$84,4)=0,"Total",VLOOKUP(A1501,Journal!$B$7:$D$84,3)))</f>
        <v/>
      </c>
      <c r="C1501" s="86" t="str">
        <f>IF(B1501="","",VLOOKUP(A1501,Journal!$B$7:$E$84,4))</f>
        <v/>
      </c>
      <c r="D1501" s="114" t="str">
        <f>IF(B1501="","",VLOOKUP(A1501,Journal!$B$7:$J$84,9))</f>
        <v/>
      </c>
      <c r="E1501" s="116"/>
      <c r="F1501" s="116"/>
      <c r="G1501" s="115"/>
      <c r="H1501" s="84" t="str">
        <f>IF(B1501="","",VLOOKUP(A1501,Journal!$B$7:$L$84,11))</f>
        <v/>
      </c>
      <c r="I1501" s="84" t="str">
        <f>IF(B1501="","",VLOOKUP(A1501,Journal!$B$7:$M$84,12))</f>
        <v/>
      </c>
      <c r="J1501" s="105">
        <f>IF(B1501="Total",SUM(J$8:J1500)+0.0001,IF(OR(B1501="",I$2=I1501),0,VLOOKUP(A1501,Journal!$B$7:M$84,8)))</f>
        <v>0</v>
      </c>
      <c r="K1501" s="102">
        <f>IF(B1501="Total",SUM(K$8:K1500)+0.0001,IF(OR(B1501="",J1501&lt;&gt;0),0,VLOOKUP(A1501,Journal!$B$7:M$84,8)))</f>
        <v>0</v>
      </c>
      <c r="L1501" s="87">
        <f t="shared" si="175"/>
        <v>0</v>
      </c>
      <c r="P1501">
        <f t="shared" si="176"/>
        <v>1.0000000000000001E-5</v>
      </c>
      <c r="R1501" s="15">
        <f t="shared" si="177"/>
        <v>1494</v>
      </c>
      <c r="S1501" s="126">
        <f>IF(VLOOKUP(A1501,Journal!$A$7:$E$70,5)=0,S1500+1,VLOOKUP(A1501,Journal!$A$7:$E$70,5))</f>
        <v>47151</v>
      </c>
      <c r="T1501" s="125">
        <f>IF(H$2=VLOOKUP(A1501,Journal!$A$7:$F$70,6),VLOOKUP(A1501,Journal!$A$7:M$70,9),0)</f>
        <v>0</v>
      </c>
      <c r="U1501" s="125">
        <f>IF(H$2=VLOOKUP(A1501,Journal!$A$7:$G$70,7),VLOOKUP(A1501,Journal!$A$7:M$70,9),0)</f>
        <v>0</v>
      </c>
      <c r="V1501" s="125">
        <f t="shared" si="173"/>
        <v>40</v>
      </c>
      <c r="X1501">
        <f t="shared" si="178"/>
        <v>0</v>
      </c>
      <c r="Y1501" s="143">
        <f t="shared" si="172"/>
        <v>-960.76315789479929</v>
      </c>
    </row>
    <row r="1502" spans="1:25" x14ac:dyDescent="0.25">
      <c r="A1502">
        <f t="shared" si="174"/>
        <v>1495</v>
      </c>
      <c r="B1502" s="88" t="str">
        <f>IF(OR(B1501="Total",B1501=""),"",IF(VLOOKUP(A1502,Journal!$B$7:$E$84,4)=0,"Total",VLOOKUP(A1502,Journal!$B$7:$D$84,3)))</f>
        <v/>
      </c>
      <c r="C1502" s="86" t="str">
        <f>IF(B1502="","",VLOOKUP(A1502,Journal!$B$7:$E$84,4))</f>
        <v/>
      </c>
      <c r="D1502" s="114" t="str">
        <f>IF(B1502="","",VLOOKUP(A1502,Journal!$B$7:$J$84,9))</f>
        <v/>
      </c>
      <c r="E1502" s="116"/>
      <c r="F1502" s="116"/>
      <c r="G1502" s="115"/>
      <c r="H1502" s="84" t="str">
        <f>IF(B1502="","",VLOOKUP(A1502,Journal!$B$7:$L$84,11))</f>
        <v/>
      </c>
      <c r="I1502" s="84" t="str">
        <f>IF(B1502="","",VLOOKUP(A1502,Journal!$B$7:$M$84,12))</f>
        <v/>
      </c>
      <c r="J1502" s="105">
        <f>IF(B1502="Total",SUM(J$8:J1501)+0.0001,IF(OR(B1502="",I$2=I1502),0,VLOOKUP(A1502,Journal!$B$7:M$84,8)))</f>
        <v>0</v>
      </c>
      <c r="K1502" s="102">
        <f>IF(B1502="Total",SUM(K$8:K1501)+0.0001,IF(OR(B1502="",J1502&lt;&gt;0),0,VLOOKUP(A1502,Journal!$B$7:M$84,8)))</f>
        <v>0</v>
      </c>
      <c r="L1502" s="87">
        <f t="shared" si="175"/>
        <v>0</v>
      </c>
      <c r="P1502">
        <f t="shared" si="176"/>
        <v>1.0000000000000001E-5</v>
      </c>
      <c r="R1502" s="15">
        <f t="shared" si="177"/>
        <v>1495</v>
      </c>
      <c r="S1502" s="126">
        <f>IF(VLOOKUP(A1502,Journal!$A$7:$E$70,5)=0,S1501+1,VLOOKUP(A1502,Journal!$A$7:$E$70,5))</f>
        <v>47152</v>
      </c>
      <c r="T1502" s="125">
        <f>IF(H$2=VLOOKUP(A1502,Journal!$A$7:$F$70,6),VLOOKUP(A1502,Journal!$A$7:M$70,9),0)</f>
        <v>0</v>
      </c>
      <c r="U1502" s="125">
        <f>IF(H$2=VLOOKUP(A1502,Journal!$A$7:$G$70,7),VLOOKUP(A1502,Journal!$A$7:M$70,9),0)</f>
        <v>0</v>
      </c>
      <c r="V1502" s="125">
        <f t="shared" si="173"/>
        <v>40</v>
      </c>
      <c r="X1502">
        <f t="shared" si="178"/>
        <v>0</v>
      </c>
      <c r="Y1502" s="143">
        <f t="shared" si="172"/>
        <v>-960.73684210532565</v>
      </c>
    </row>
    <row r="1503" spans="1:25" x14ac:dyDescent="0.25">
      <c r="A1503">
        <f t="shared" si="174"/>
        <v>1496</v>
      </c>
      <c r="B1503" s="88" t="str">
        <f>IF(OR(B1502="Total",B1502=""),"",IF(VLOOKUP(A1503,Journal!$B$7:$E$84,4)=0,"Total",VLOOKUP(A1503,Journal!$B$7:$D$84,3)))</f>
        <v/>
      </c>
      <c r="C1503" s="86" t="str">
        <f>IF(B1503="","",VLOOKUP(A1503,Journal!$B$7:$E$84,4))</f>
        <v/>
      </c>
      <c r="D1503" s="114" t="str">
        <f>IF(B1503="","",VLOOKUP(A1503,Journal!$B$7:$J$84,9))</f>
        <v/>
      </c>
      <c r="E1503" s="116"/>
      <c r="F1503" s="116"/>
      <c r="G1503" s="115"/>
      <c r="H1503" s="84" t="str">
        <f>IF(B1503="","",VLOOKUP(A1503,Journal!$B$7:$L$84,11))</f>
        <v/>
      </c>
      <c r="I1503" s="84" t="str">
        <f>IF(B1503="","",VLOOKUP(A1503,Journal!$B$7:$M$84,12))</f>
        <v/>
      </c>
      <c r="J1503" s="105">
        <f>IF(B1503="Total",SUM(J$8:J1502)+0.0001,IF(OR(B1503="",I$2=I1503),0,VLOOKUP(A1503,Journal!$B$7:M$84,8)))</f>
        <v>0</v>
      </c>
      <c r="K1503" s="102">
        <f>IF(B1503="Total",SUM(K$8:K1502)+0.0001,IF(OR(B1503="",J1503&lt;&gt;0),0,VLOOKUP(A1503,Journal!$B$7:M$84,8)))</f>
        <v>0</v>
      </c>
      <c r="L1503" s="87">
        <f t="shared" si="175"/>
        <v>0</v>
      </c>
      <c r="P1503">
        <f t="shared" si="176"/>
        <v>1.0000000000000001E-5</v>
      </c>
      <c r="R1503" s="15">
        <f t="shared" si="177"/>
        <v>1496</v>
      </c>
      <c r="S1503" s="126">
        <f>IF(VLOOKUP(A1503,Journal!$A$7:$E$70,5)=0,S1502+1,VLOOKUP(A1503,Journal!$A$7:$E$70,5))</f>
        <v>47153</v>
      </c>
      <c r="T1503" s="125">
        <f>IF(H$2=VLOOKUP(A1503,Journal!$A$7:$F$70,6),VLOOKUP(A1503,Journal!$A$7:M$70,9),0)</f>
        <v>0</v>
      </c>
      <c r="U1503" s="125">
        <f>IF(H$2=VLOOKUP(A1503,Journal!$A$7:$G$70,7),VLOOKUP(A1503,Journal!$A$7:M$70,9),0)</f>
        <v>0</v>
      </c>
      <c r="V1503" s="125">
        <f t="shared" si="173"/>
        <v>40</v>
      </c>
      <c r="X1503">
        <f t="shared" si="178"/>
        <v>0</v>
      </c>
      <c r="Y1503" s="143">
        <f t="shared" si="172"/>
        <v>-960.71052631585201</v>
      </c>
    </row>
    <row r="1504" spans="1:25" x14ac:dyDescent="0.25">
      <c r="A1504">
        <f t="shared" si="174"/>
        <v>1497</v>
      </c>
      <c r="B1504" s="88" t="str">
        <f>IF(OR(B1503="Total",B1503=""),"",IF(VLOOKUP(A1504,Journal!$B$7:$E$84,4)=0,"Total",VLOOKUP(A1504,Journal!$B$7:$D$84,3)))</f>
        <v/>
      </c>
      <c r="C1504" s="86" t="str">
        <f>IF(B1504="","",VLOOKUP(A1504,Journal!$B$7:$E$84,4))</f>
        <v/>
      </c>
      <c r="D1504" s="114" t="str">
        <f>IF(B1504="","",VLOOKUP(A1504,Journal!$B$7:$J$84,9))</f>
        <v/>
      </c>
      <c r="E1504" s="116"/>
      <c r="F1504" s="116"/>
      <c r="G1504" s="115"/>
      <c r="H1504" s="84" t="str">
        <f>IF(B1504="","",VLOOKUP(A1504,Journal!$B$7:$L$84,11))</f>
        <v/>
      </c>
      <c r="I1504" s="84" t="str">
        <f>IF(B1504="","",VLOOKUP(A1504,Journal!$B$7:$M$84,12))</f>
        <v/>
      </c>
      <c r="J1504" s="105">
        <f>IF(B1504="Total",SUM(J$8:J1503)+0.0001,IF(OR(B1504="",I$2=I1504),0,VLOOKUP(A1504,Journal!$B$7:M$84,8)))</f>
        <v>0</v>
      </c>
      <c r="K1504" s="102">
        <f>IF(B1504="Total",SUM(K$8:K1503)+0.0001,IF(OR(B1504="",J1504&lt;&gt;0),0,VLOOKUP(A1504,Journal!$B$7:M$84,8)))</f>
        <v>0</v>
      </c>
      <c r="L1504" s="87">
        <f t="shared" si="175"/>
        <v>0</v>
      </c>
      <c r="P1504">
        <f t="shared" si="176"/>
        <v>1.0000000000000001E-5</v>
      </c>
      <c r="R1504" s="15">
        <f t="shared" si="177"/>
        <v>1497</v>
      </c>
      <c r="S1504" s="126">
        <f>IF(VLOOKUP(A1504,Journal!$A$7:$E$70,5)=0,S1503+1,VLOOKUP(A1504,Journal!$A$7:$E$70,5))</f>
        <v>47154</v>
      </c>
      <c r="T1504" s="125">
        <f>IF(H$2=VLOOKUP(A1504,Journal!$A$7:$F$70,6),VLOOKUP(A1504,Journal!$A$7:M$70,9),0)</f>
        <v>0</v>
      </c>
      <c r="U1504" s="125">
        <f>IF(H$2=VLOOKUP(A1504,Journal!$A$7:$G$70,7),VLOOKUP(A1504,Journal!$A$7:M$70,9),0)</f>
        <v>0</v>
      </c>
      <c r="V1504" s="125">
        <f t="shared" si="173"/>
        <v>40</v>
      </c>
      <c r="X1504">
        <f t="shared" si="178"/>
        <v>0</v>
      </c>
      <c r="Y1504" s="143">
        <f t="shared" si="172"/>
        <v>-960.68421052637837</v>
      </c>
    </row>
    <row r="1505" spans="1:25" x14ac:dyDescent="0.25">
      <c r="A1505">
        <f t="shared" si="174"/>
        <v>1498</v>
      </c>
      <c r="B1505" s="88" t="str">
        <f>IF(OR(B1504="Total",B1504=""),"",IF(VLOOKUP(A1505,Journal!$B$7:$E$84,4)=0,"Total",VLOOKUP(A1505,Journal!$B$7:$D$84,3)))</f>
        <v/>
      </c>
      <c r="C1505" s="86" t="str">
        <f>IF(B1505="","",VLOOKUP(A1505,Journal!$B$7:$E$84,4))</f>
        <v/>
      </c>
      <c r="D1505" s="114" t="str">
        <f>IF(B1505="","",VLOOKUP(A1505,Journal!$B$7:$J$84,9))</f>
        <v/>
      </c>
      <c r="E1505" s="116"/>
      <c r="F1505" s="116"/>
      <c r="G1505" s="115"/>
      <c r="H1505" s="84" t="str">
        <f>IF(B1505="","",VLOOKUP(A1505,Journal!$B$7:$L$84,11))</f>
        <v/>
      </c>
      <c r="I1505" s="84" t="str">
        <f>IF(B1505="","",VLOOKUP(A1505,Journal!$B$7:$M$84,12))</f>
        <v/>
      </c>
      <c r="J1505" s="105">
        <f>IF(B1505="Total",SUM(J$8:J1504)+0.0001,IF(OR(B1505="",I$2=I1505),0,VLOOKUP(A1505,Journal!$B$7:M$84,8)))</f>
        <v>0</v>
      </c>
      <c r="K1505" s="102">
        <f>IF(B1505="Total",SUM(K$8:K1504)+0.0001,IF(OR(B1505="",J1505&lt;&gt;0),0,VLOOKUP(A1505,Journal!$B$7:M$84,8)))</f>
        <v>0</v>
      </c>
      <c r="L1505" s="87">
        <f t="shared" si="175"/>
        <v>0</v>
      </c>
      <c r="P1505">
        <f t="shared" si="176"/>
        <v>1.0000000000000001E-5</v>
      </c>
      <c r="R1505" s="15">
        <f t="shared" si="177"/>
        <v>1498</v>
      </c>
      <c r="S1505" s="126">
        <f>IF(VLOOKUP(A1505,Journal!$A$7:$E$70,5)=0,S1504+1,VLOOKUP(A1505,Journal!$A$7:$E$70,5))</f>
        <v>47155</v>
      </c>
      <c r="T1505" s="125">
        <f>IF(H$2=VLOOKUP(A1505,Journal!$A$7:$F$70,6),VLOOKUP(A1505,Journal!$A$7:M$70,9),0)</f>
        <v>0</v>
      </c>
      <c r="U1505" s="125">
        <f>IF(H$2=VLOOKUP(A1505,Journal!$A$7:$G$70,7),VLOOKUP(A1505,Journal!$A$7:M$70,9),0)</f>
        <v>0</v>
      </c>
      <c r="V1505" s="125">
        <f t="shared" si="173"/>
        <v>40</v>
      </c>
      <c r="X1505">
        <f t="shared" si="178"/>
        <v>0</v>
      </c>
      <c r="Y1505" s="143">
        <f t="shared" si="172"/>
        <v>-960.65789473690472</v>
      </c>
    </row>
    <row r="1506" spans="1:25" x14ac:dyDescent="0.25">
      <c r="A1506">
        <f t="shared" si="174"/>
        <v>1499</v>
      </c>
      <c r="B1506" s="88" t="str">
        <f>IF(OR(B1505="Total",B1505=""),"",IF(VLOOKUP(A1506,Journal!$B$7:$E$84,4)=0,"Total",VLOOKUP(A1506,Journal!$B$7:$D$84,3)))</f>
        <v/>
      </c>
      <c r="C1506" s="86" t="str">
        <f>IF(B1506="","",VLOOKUP(A1506,Journal!$B$7:$E$84,4))</f>
        <v/>
      </c>
      <c r="D1506" s="114" t="str">
        <f>IF(B1506="","",VLOOKUP(A1506,Journal!$B$7:$J$84,9))</f>
        <v/>
      </c>
      <c r="E1506" s="116"/>
      <c r="F1506" s="116"/>
      <c r="G1506" s="115"/>
      <c r="H1506" s="84" t="str">
        <f>IF(B1506="","",VLOOKUP(A1506,Journal!$B$7:$L$84,11))</f>
        <v/>
      </c>
      <c r="I1506" s="84" t="str">
        <f>IF(B1506="","",VLOOKUP(A1506,Journal!$B$7:$M$84,12))</f>
        <v/>
      </c>
      <c r="J1506" s="105">
        <f>IF(B1506="Total",SUM(J$8:J1505)+0.0001,IF(OR(B1506="",I$2=I1506),0,VLOOKUP(A1506,Journal!$B$7:M$84,8)))</f>
        <v>0</v>
      </c>
      <c r="K1506" s="102">
        <f>IF(B1506="Total",SUM(K$8:K1505)+0.0001,IF(OR(B1506="",J1506&lt;&gt;0),0,VLOOKUP(A1506,Journal!$B$7:M$84,8)))</f>
        <v>0</v>
      </c>
      <c r="L1506" s="87">
        <f t="shared" si="175"/>
        <v>0</v>
      </c>
      <c r="P1506">
        <f t="shared" si="176"/>
        <v>1.0000000000000001E-5</v>
      </c>
      <c r="R1506" s="15">
        <f t="shared" si="177"/>
        <v>1499</v>
      </c>
      <c r="S1506" s="126">
        <f>IF(VLOOKUP(A1506,Journal!$A$7:$E$70,5)=0,S1505+1,VLOOKUP(A1506,Journal!$A$7:$E$70,5))</f>
        <v>47156</v>
      </c>
      <c r="T1506" s="125">
        <f>IF(H$2=VLOOKUP(A1506,Journal!$A$7:$F$70,6),VLOOKUP(A1506,Journal!$A$7:M$70,9),0)</f>
        <v>0</v>
      </c>
      <c r="U1506" s="125">
        <f>IF(H$2=VLOOKUP(A1506,Journal!$A$7:$G$70,7),VLOOKUP(A1506,Journal!$A$7:M$70,9),0)</f>
        <v>0</v>
      </c>
      <c r="V1506" s="125">
        <f t="shared" si="173"/>
        <v>40</v>
      </c>
      <c r="X1506">
        <f t="shared" si="178"/>
        <v>0</v>
      </c>
      <c r="Y1506" s="143">
        <f t="shared" si="172"/>
        <v>-960.63157894743108</v>
      </c>
    </row>
    <row r="1507" spans="1:25" x14ac:dyDescent="0.25">
      <c r="A1507">
        <f t="shared" si="174"/>
        <v>1500</v>
      </c>
      <c r="B1507" s="88" t="str">
        <f>IF(OR(B1506="Total",B1506=""),"",IF(VLOOKUP(A1507,Journal!$B$7:$E$84,4)=0,"Total",VLOOKUP(A1507,Journal!$B$7:$D$84,3)))</f>
        <v/>
      </c>
      <c r="C1507" s="86" t="str">
        <f>IF(B1507="","",VLOOKUP(A1507,Journal!$B$7:$E$84,4))</f>
        <v/>
      </c>
      <c r="D1507" s="114" t="str">
        <f>IF(B1507="","",VLOOKUP(A1507,Journal!$B$7:$J$84,9))</f>
        <v/>
      </c>
      <c r="E1507" s="116"/>
      <c r="F1507" s="116"/>
      <c r="G1507" s="115"/>
      <c r="H1507" s="84" t="str">
        <f>IF(B1507="","",VLOOKUP(A1507,Journal!$B$7:$L$84,11))</f>
        <v/>
      </c>
      <c r="I1507" s="84" t="str">
        <f>IF(B1507="","",VLOOKUP(A1507,Journal!$B$7:$M$84,12))</f>
        <v/>
      </c>
      <c r="J1507" s="105">
        <f>IF(B1507="Total",SUM(J$8:J1506)+0.0001,IF(OR(B1507="",I$2=I1507),0,VLOOKUP(A1507,Journal!$B$7:M$84,8)))</f>
        <v>0</v>
      </c>
      <c r="K1507" s="102">
        <f>IF(B1507="Total",SUM(K$8:K1506)+0.0001,IF(OR(B1507="",J1507&lt;&gt;0),0,VLOOKUP(A1507,Journal!$B$7:M$84,8)))</f>
        <v>0</v>
      </c>
      <c r="L1507" s="87">
        <f t="shared" si="175"/>
        <v>0</v>
      </c>
      <c r="P1507">
        <f t="shared" si="176"/>
        <v>1.0000000000000001E-5</v>
      </c>
      <c r="R1507" s="15">
        <f t="shared" si="177"/>
        <v>1500</v>
      </c>
      <c r="S1507" s="126">
        <f>IF(VLOOKUP(A1507,Journal!$A$7:$E$70,5)=0,S1506+1,VLOOKUP(A1507,Journal!$A$7:$E$70,5))</f>
        <v>47157</v>
      </c>
      <c r="T1507" s="125">
        <f>IF(H$2=VLOOKUP(A1507,Journal!$A$7:$F$70,6),VLOOKUP(A1507,Journal!$A$7:M$70,9),0)</f>
        <v>0</v>
      </c>
      <c r="U1507" s="125">
        <f>IF(H$2=VLOOKUP(A1507,Journal!$A$7:$G$70,7),VLOOKUP(A1507,Journal!$A$7:M$70,9),0)</f>
        <v>0</v>
      </c>
      <c r="V1507" s="125">
        <f t="shared" si="173"/>
        <v>40</v>
      </c>
      <c r="X1507">
        <f t="shared" si="178"/>
        <v>0</v>
      </c>
      <c r="Y1507" s="143">
        <f t="shared" si="172"/>
        <v>-960.60526315795744</v>
      </c>
    </row>
    <row r="1508" spans="1:25" x14ac:dyDescent="0.25">
      <c r="A1508">
        <f t="shared" si="174"/>
        <v>1501</v>
      </c>
      <c r="B1508" s="88" t="str">
        <f>IF(OR(B1507="Total",B1507=""),"",IF(VLOOKUP(A1508,Journal!$B$7:$E$84,4)=0,"Total",VLOOKUP(A1508,Journal!$B$7:$D$84,3)))</f>
        <v/>
      </c>
      <c r="C1508" s="86" t="str">
        <f>IF(B1508="","",VLOOKUP(A1508,Journal!$B$7:$E$84,4))</f>
        <v/>
      </c>
      <c r="D1508" s="114" t="str">
        <f>IF(B1508="","",VLOOKUP(A1508,Journal!$B$7:$J$84,9))</f>
        <v/>
      </c>
      <c r="E1508" s="116"/>
      <c r="F1508" s="116"/>
      <c r="G1508" s="115"/>
      <c r="H1508" s="84" t="str">
        <f>IF(B1508="","",VLOOKUP(A1508,Journal!$B$7:$L$84,11))</f>
        <v/>
      </c>
      <c r="I1508" s="84" t="str">
        <f>IF(B1508="","",VLOOKUP(A1508,Journal!$B$7:$M$84,12))</f>
        <v/>
      </c>
      <c r="J1508" s="105">
        <f>IF(B1508="Total",SUM(J$8:J1507)+0.0001,IF(OR(B1508="",I$2=I1508),0,VLOOKUP(A1508,Journal!$B$7:M$84,8)))</f>
        <v>0</v>
      </c>
      <c r="K1508" s="102">
        <f>IF(B1508="Total",SUM(K$8:K1507)+0.0001,IF(OR(B1508="",J1508&lt;&gt;0),0,VLOOKUP(A1508,Journal!$B$7:M$84,8)))</f>
        <v>0</v>
      </c>
      <c r="L1508" s="87">
        <f t="shared" si="175"/>
        <v>0</v>
      </c>
      <c r="P1508">
        <f t="shared" si="176"/>
        <v>1.0000000000000001E-5</v>
      </c>
      <c r="R1508" s="15">
        <f t="shared" si="177"/>
        <v>1501</v>
      </c>
      <c r="S1508" s="126">
        <f>IF(VLOOKUP(A1508,Journal!$A$7:$E$70,5)=0,S1507+1,VLOOKUP(A1508,Journal!$A$7:$E$70,5))</f>
        <v>47158</v>
      </c>
      <c r="T1508" s="125">
        <f>IF(H$2=VLOOKUP(A1508,Journal!$A$7:$F$70,6),VLOOKUP(A1508,Journal!$A$7:M$70,9),0)</f>
        <v>0</v>
      </c>
      <c r="U1508" s="125">
        <f>IF(H$2=VLOOKUP(A1508,Journal!$A$7:$G$70,7),VLOOKUP(A1508,Journal!$A$7:M$70,9),0)</f>
        <v>0</v>
      </c>
      <c r="V1508" s="125">
        <f t="shared" si="173"/>
        <v>40</v>
      </c>
      <c r="X1508">
        <f t="shared" si="178"/>
        <v>0</v>
      </c>
      <c r="Y1508" s="143">
        <f t="shared" si="172"/>
        <v>-960.5789473684838</v>
      </c>
    </row>
    <row r="1509" spans="1:25" x14ac:dyDescent="0.25">
      <c r="A1509">
        <f t="shared" si="174"/>
        <v>1502</v>
      </c>
      <c r="B1509" s="88" t="str">
        <f>IF(OR(B1508="Total",B1508=""),"",IF(VLOOKUP(A1509,Journal!$B$7:$E$84,4)=0,"Total",VLOOKUP(A1509,Journal!$B$7:$D$84,3)))</f>
        <v/>
      </c>
      <c r="C1509" s="86" t="str">
        <f>IF(B1509="","",VLOOKUP(A1509,Journal!$B$7:$E$84,4))</f>
        <v/>
      </c>
      <c r="D1509" s="114" t="str">
        <f>IF(B1509="","",VLOOKUP(A1509,Journal!$B$7:$J$84,9))</f>
        <v/>
      </c>
      <c r="E1509" s="116"/>
      <c r="F1509" s="116"/>
      <c r="G1509" s="115"/>
      <c r="H1509" s="84" t="str">
        <f>IF(B1509="","",VLOOKUP(A1509,Journal!$B$7:$L$84,11))</f>
        <v/>
      </c>
      <c r="I1509" s="84" t="str">
        <f>IF(B1509="","",VLOOKUP(A1509,Journal!$B$7:$M$84,12))</f>
        <v/>
      </c>
      <c r="J1509" s="105">
        <f>IF(B1509="Total",SUM(J$8:J1508)+0.0001,IF(OR(B1509="",I$2=I1509),0,VLOOKUP(A1509,Journal!$B$7:M$84,8)))</f>
        <v>0</v>
      </c>
      <c r="K1509" s="102">
        <f>IF(B1509="Total",SUM(K$8:K1508)+0.0001,IF(OR(B1509="",J1509&lt;&gt;0),0,VLOOKUP(A1509,Journal!$B$7:M$84,8)))</f>
        <v>0</v>
      </c>
      <c r="L1509" s="87">
        <f t="shared" si="175"/>
        <v>0</v>
      </c>
      <c r="P1509">
        <f t="shared" si="176"/>
        <v>1.0000000000000001E-5</v>
      </c>
      <c r="R1509" s="15">
        <f t="shared" si="177"/>
        <v>1502</v>
      </c>
      <c r="S1509" s="126">
        <f>IF(VLOOKUP(A1509,Journal!$A$7:$E$70,5)=0,S1508+1,VLOOKUP(A1509,Journal!$A$7:$E$70,5))</f>
        <v>47159</v>
      </c>
      <c r="T1509" s="125">
        <f>IF(H$2=VLOOKUP(A1509,Journal!$A$7:$F$70,6),VLOOKUP(A1509,Journal!$A$7:M$70,9),0)</f>
        <v>0</v>
      </c>
      <c r="U1509" s="125">
        <f>IF(H$2=VLOOKUP(A1509,Journal!$A$7:$G$70,7),VLOOKUP(A1509,Journal!$A$7:M$70,9),0)</f>
        <v>0</v>
      </c>
      <c r="V1509" s="125">
        <f t="shared" si="173"/>
        <v>40</v>
      </c>
      <c r="X1509">
        <f t="shared" si="178"/>
        <v>0</v>
      </c>
      <c r="Y1509" s="143">
        <f t="shared" si="172"/>
        <v>-960.55263157901015</v>
      </c>
    </row>
    <row r="1510" spans="1:25" x14ac:dyDescent="0.25">
      <c r="A1510">
        <f t="shared" si="174"/>
        <v>1503</v>
      </c>
      <c r="B1510" s="88" t="str">
        <f>IF(OR(B1509="Total",B1509=""),"",IF(VLOOKUP(A1510,Journal!$B$7:$E$84,4)=0,"Total",VLOOKUP(A1510,Journal!$B$7:$D$84,3)))</f>
        <v/>
      </c>
      <c r="C1510" s="86" t="str">
        <f>IF(B1510="","",VLOOKUP(A1510,Journal!$B$7:$E$84,4))</f>
        <v/>
      </c>
      <c r="D1510" s="114" t="str">
        <f>IF(B1510="","",VLOOKUP(A1510,Journal!$B$7:$J$84,9))</f>
        <v/>
      </c>
      <c r="E1510" s="116"/>
      <c r="F1510" s="116"/>
      <c r="G1510" s="115"/>
      <c r="H1510" s="84" t="str">
        <f>IF(B1510="","",VLOOKUP(A1510,Journal!$B$7:$L$84,11))</f>
        <v/>
      </c>
      <c r="I1510" s="84" t="str">
        <f>IF(B1510="","",VLOOKUP(A1510,Journal!$B$7:$M$84,12))</f>
        <v/>
      </c>
      <c r="J1510" s="105">
        <f>IF(B1510="Total",SUM(J$8:J1509)+0.0001,IF(OR(B1510="",I$2=I1510),0,VLOOKUP(A1510,Journal!$B$7:M$84,8)))</f>
        <v>0</v>
      </c>
      <c r="K1510" s="102">
        <f>IF(B1510="Total",SUM(K$8:K1509)+0.0001,IF(OR(B1510="",J1510&lt;&gt;0),0,VLOOKUP(A1510,Journal!$B$7:M$84,8)))</f>
        <v>0</v>
      </c>
      <c r="L1510" s="87">
        <f t="shared" si="175"/>
        <v>0</v>
      </c>
      <c r="P1510">
        <f t="shared" si="176"/>
        <v>1.0000000000000001E-5</v>
      </c>
      <c r="R1510" s="15">
        <f t="shared" si="177"/>
        <v>1503</v>
      </c>
      <c r="S1510" s="126">
        <f>IF(VLOOKUP(A1510,Journal!$A$7:$E$70,5)=0,S1509+1,VLOOKUP(A1510,Journal!$A$7:$E$70,5))</f>
        <v>47160</v>
      </c>
      <c r="T1510" s="125">
        <f>IF(H$2=VLOOKUP(A1510,Journal!$A$7:$F$70,6),VLOOKUP(A1510,Journal!$A$7:M$70,9),0)</f>
        <v>0</v>
      </c>
      <c r="U1510" s="125">
        <f>IF(H$2=VLOOKUP(A1510,Journal!$A$7:$G$70,7),VLOOKUP(A1510,Journal!$A$7:M$70,9),0)</f>
        <v>0</v>
      </c>
      <c r="V1510" s="125">
        <f t="shared" si="173"/>
        <v>40</v>
      </c>
      <c r="X1510">
        <f t="shared" si="178"/>
        <v>0</v>
      </c>
      <c r="Y1510" s="143">
        <f t="shared" si="172"/>
        <v>-960.52631578953651</v>
      </c>
    </row>
    <row r="1511" spans="1:25" x14ac:dyDescent="0.25">
      <c r="A1511">
        <f t="shared" si="174"/>
        <v>1504</v>
      </c>
      <c r="B1511" s="88" t="str">
        <f>IF(OR(B1510="Total",B1510=""),"",IF(VLOOKUP(A1511,Journal!$B$7:$E$84,4)=0,"Total",VLOOKUP(A1511,Journal!$B$7:$D$84,3)))</f>
        <v/>
      </c>
      <c r="C1511" s="86" t="str">
        <f>IF(B1511="","",VLOOKUP(A1511,Journal!$B$7:$E$84,4))</f>
        <v/>
      </c>
      <c r="D1511" s="114" t="str">
        <f>IF(B1511="","",VLOOKUP(A1511,Journal!$B$7:$J$84,9))</f>
        <v/>
      </c>
      <c r="E1511" s="116"/>
      <c r="F1511" s="116"/>
      <c r="G1511" s="115"/>
      <c r="H1511" s="84" t="str">
        <f>IF(B1511="","",VLOOKUP(A1511,Journal!$B$7:$L$84,11))</f>
        <v/>
      </c>
      <c r="I1511" s="84" t="str">
        <f>IF(B1511="","",VLOOKUP(A1511,Journal!$B$7:$M$84,12))</f>
        <v/>
      </c>
      <c r="J1511" s="105">
        <f>IF(B1511="Total",SUM(J$8:J1510)+0.0001,IF(OR(B1511="",I$2=I1511),0,VLOOKUP(A1511,Journal!$B$7:M$84,8)))</f>
        <v>0</v>
      </c>
      <c r="K1511" s="102">
        <f>IF(B1511="Total",SUM(K$8:K1510)+0.0001,IF(OR(B1511="",J1511&lt;&gt;0),0,VLOOKUP(A1511,Journal!$B$7:M$84,8)))</f>
        <v>0</v>
      </c>
      <c r="L1511" s="87">
        <f t="shared" si="175"/>
        <v>0</v>
      </c>
      <c r="P1511">
        <f t="shared" si="176"/>
        <v>1.0000000000000001E-5</v>
      </c>
      <c r="R1511" s="15">
        <f t="shared" si="177"/>
        <v>1504</v>
      </c>
      <c r="S1511" s="126">
        <f>IF(VLOOKUP(A1511,Journal!$A$7:$E$70,5)=0,S1510+1,VLOOKUP(A1511,Journal!$A$7:$E$70,5))</f>
        <v>47161</v>
      </c>
      <c r="T1511" s="125">
        <f>IF(H$2=VLOOKUP(A1511,Journal!$A$7:$F$70,6),VLOOKUP(A1511,Journal!$A$7:M$70,9),0)</f>
        <v>0</v>
      </c>
      <c r="U1511" s="125">
        <f>IF(H$2=VLOOKUP(A1511,Journal!$A$7:$G$70,7),VLOOKUP(A1511,Journal!$A$7:M$70,9),0)</f>
        <v>0</v>
      </c>
      <c r="V1511" s="125">
        <f t="shared" si="173"/>
        <v>40</v>
      </c>
      <c r="X1511">
        <f t="shared" si="178"/>
        <v>0</v>
      </c>
      <c r="Y1511" s="143">
        <f t="shared" si="172"/>
        <v>-960.50000000006287</v>
      </c>
    </row>
    <row r="1512" spans="1:25" x14ac:dyDescent="0.25">
      <c r="A1512">
        <f t="shared" si="174"/>
        <v>1505</v>
      </c>
      <c r="B1512" s="88" t="str">
        <f>IF(OR(B1511="Total",B1511=""),"",IF(VLOOKUP(A1512,Journal!$B$7:$E$84,4)=0,"Total",VLOOKUP(A1512,Journal!$B$7:$D$84,3)))</f>
        <v/>
      </c>
      <c r="C1512" s="86" t="str">
        <f>IF(B1512="","",VLOOKUP(A1512,Journal!$B$7:$E$84,4))</f>
        <v/>
      </c>
      <c r="D1512" s="114" t="str">
        <f>IF(B1512="","",VLOOKUP(A1512,Journal!$B$7:$J$84,9))</f>
        <v/>
      </c>
      <c r="E1512" s="116"/>
      <c r="F1512" s="116"/>
      <c r="G1512" s="115"/>
      <c r="H1512" s="84" t="str">
        <f>IF(B1512="","",VLOOKUP(A1512,Journal!$B$7:$L$84,11))</f>
        <v/>
      </c>
      <c r="I1512" s="84" t="str">
        <f>IF(B1512="","",VLOOKUP(A1512,Journal!$B$7:$M$84,12))</f>
        <v/>
      </c>
      <c r="J1512" s="105">
        <f>IF(B1512="Total",SUM(J$8:J1511)+0.0001,IF(OR(B1512="",I$2=I1512),0,VLOOKUP(A1512,Journal!$B$7:M$84,8)))</f>
        <v>0</v>
      </c>
      <c r="K1512" s="102">
        <f>IF(B1512="Total",SUM(K$8:K1511)+0.0001,IF(OR(B1512="",J1512&lt;&gt;0),0,VLOOKUP(A1512,Journal!$B$7:M$84,8)))</f>
        <v>0</v>
      </c>
      <c r="L1512" s="87">
        <f t="shared" si="175"/>
        <v>0</v>
      </c>
      <c r="P1512">
        <f t="shared" si="176"/>
        <v>1.0000000000000001E-5</v>
      </c>
      <c r="R1512" s="15">
        <f t="shared" si="177"/>
        <v>1505</v>
      </c>
      <c r="S1512" s="126">
        <f>IF(VLOOKUP(A1512,Journal!$A$7:$E$70,5)=0,S1511+1,VLOOKUP(A1512,Journal!$A$7:$E$70,5))</f>
        <v>47162</v>
      </c>
      <c r="T1512" s="125">
        <f>IF(H$2=VLOOKUP(A1512,Journal!$A$7:$F$70,6),VLOOKUP(A1512,Journal!$A$7:M$70,9),0)</f>
        <v>0</v>
      </c>
      <c r="U1512" s="125">
        <f>IF(H$2=VLOOKUP(A1512,Journal!$A$7:$G$70,7),VLOOKUP(A1512,Journal!$A$7:M$70,9),0)</f>
        <v>0</v>
      </c>
      <c r="V1512" s="125">
        <f t="shared" si="173"/>
        <v>40</v>
      </c>
      <c r="X1512">
        <f t="shared" si="178"/>
        <v>0</v>
      </c>
      <c r="Y1512" s="143">
        <f t="shared" si="172"/>
        <v>-960.47368421058923</v>
      </c>
    </row>
    <row r="1513" spans="1:25" x14ac:dyDescent="0.25">
      <c r="A1513">
        <f t="shared" si="174"/>
        <v>1506</v>
      </c>
      <c r="B1513" s="88" t="str">
        <f>IF(OR(B1512="Total",B1512=""),"",IF(VLOOKUP(A1513,Journal!$B$7:$E$84,4)=0,"Total",VLOOKUP(A1513,Journal!$B$7:$D$84,3)))</f>
        <v/>
      </c>
      <c r="C1513" s="86" t="str">
        <f>IF(B1513="","",VLOOKUP(A1513,Journal!$B$7:$E$84,4))</f>
        <v/>
      </c>
      <c r="D1513" s="114" t="str">
        <f>IF(B1513="","",VLOOKUP(A1513,Journal!$B$7:$J$84,9))</f>
        <v/>
      </c>
      <c r="E1513" s="116"/>
      <c r="F1513" s="116"/>
      <c r="G1513" s="115"/>
      <c r="H1513" s="84" t="str">
        <f>IF(B1513="","",VLOOKUP(A1513,Journal!$B$7:$L$84,11))</f>
        <v/>
      </c>
      <c r="I1513" s="84" t="str">
        <f>IF(B1513="","",VLOOKUP(A1513,Journal!$B$7:$M$84,12))</f>
        <v/>
      </c>
      <c r="J1513" s="105">
        <f>IF(B1513="Total",SUM(J$8:J1512)+0.0001,IF(OR(B1513="",I$2=I1513),0,VLOOKUP(A1513,Journal!$B$7:M$84,8)))</f>
        <v>0</v>
      </c>
      <c r="K1513" s="102">
        <f>IF(B1513="Total",SUM(K$8:K1512)+0.0001,IF(OR(B1513="",J1513&lt;&gt;0),0,VLOOKUP(A1513,Journal!$B$7:M$84,8)))</f>
        <v>0</v>
      </c>
      <c r="L1513" s="87">
        <f t="shared" si="175"/>
        <v>0</v>
      </c>
      <c r="P1513">
        <f t="shared" si="176"/>
        <v>1.0000000000000001E-5</v>
      </c>
      <c r="R1513" s="15">
        <f t="shared" si="177"/>
        <v>1506</v>
      </c>
      <c r="S1513" s="126">
        <f>IF(VLOOKUP(A1513,Journal!$A$7:$E$70,5)=0,S1512+1,VLOOKUP(A1513,Journal!$A$7:$E$70,5))</f>
        <v>47163</v>
      </c>
      <c r="T1513" s="125">
        <f>IF(H$2=VLOOKUP(A1513,Journal!$A$7:$F$70,6),VLOOKUP(A1513,Journal!$A$7:M$70,9),0)</f>
        <v>0</v>
      </c>
      <c r="U1513" s="125">
        <f>IF(H$2=VLOOKUP(A1513,Journal!$A$7:$G$70,7),VLOOKUP(A1513,Journal!$A$7:M$70,9),0)</f>
        <v>0</v>
      </c>
      <c r="V1513" s="125">
        <f t="shared" si="173"/>
        <v>40</v>
      </c>
      <c r="X1513">
        <f t="shared" si="178"/>
        <v>0</v>
      </c>
      <c r="Y1513" s="143">
        <f t="shared" si="172"/>
        <v>-960.44736842111558</v>
      </c>
    </row>
    <row r="1514" spans="1:25" x14ac:dyDescent="0.25">
      <c r="A1514">
        <f t="shared" si="174"/>
        <v>1507</v>
      </c>
      <c r="B1514" s="88" t="str">
        <f>IF(OR(B1513="Total",B1513=""),"",IF(VLOOKUP(A1514,Journal!$B$7:$E$84,4)=0,"Total",VLOOKUP(A1514,Journal!$B$7:$D$84,3)))</f>
        <v/>
      </c>
      <c r="C1514" s="86" t="str">
        <f>IF(B1514="","",VLOOKUP(A1514,Journal!$B$7:$E$84,4))</f>
        <v/>
      </c>
      <c r="D1514" s="114" t="str">
        <f>IF(B1514="","",VLOOKUP(A1514,Journal!$B$7:$J$84,9))</f>
        <v/>
      </c>
      <c r="E1514" s="116"/>
      <c r="F1514" s="116"/>
      <c r="G1514" s="115"/>
      <c r="H1514" s="84" t="str">
        <f>IF(B1514="","",VLOOKUP(A1514,Journal!$B$7:$L$84,11))</f>
        <v/>
      </c>
      <c r="I1514" s="84" t="str">
        <f>IF(B1514="","",VLOOKUP(A1514,Journal!$B$7:$M$84,12))</f>
        <v/>
      </c>
      <c r="J1514" s="105">
        <f>IF(B1514="Total",SUM(J$8:J1513)+0.0001,IF(OR(B1514="",I$2=I1514),0,VLOOKUP(A1514,Journal!$B$7:M$84,8)))</f>
        <v>0</v>
      </c>
      <c r="K1514" s="102">
        <f>IF(B1514="Total",SUM(K$8:K1513)+0.0001,IF(OR(B1514="",J1514&lt;&gt;0),0,VLOOKUP(A1514,Journal!$B$7:M$84,8)))</f>
        <v>0</v>
      </c>
      <c r="L1514" s="87">
        <f t="shared" si="175"/>
        <v>0</v>
      </c>
      <c r="P1514">
        <f t="shared" si="176"/>
        <v>1.0000000000000001E-5</v>
      </c>
      <c r="R1514" s="15">
        <f t="shared" si="177"/>
        <v>1507</v>
      </c>
      <c r="S1514" s="126">
        <f>IF(VLOOKUP(A1514,Journal!$A$7:$E$70,5)=0,S1513+1,VLOOKUP(A1514,Journal!$A$7:$E$70,5))</f>
        <v>47164</v>
      </c>
      <c r="T1514" s="125">
        <f>IF(H$2=VLOOKUP(A1514,Journal!$A$7:$F$70,6),VLOOKUP(A1514,Journal!$A$7:M$70,9),0)</f>
        <v>0</v>
      </c>
      <c r="U1514" s="125">
        <f>IF(H$2=VLOOKUP(A1514,Journal!$A$7:$G$70,7),VLOOKUP(A1514,Journal!$A$7:M$70,9),0)</f>
        <v>0</v>
      </c>
      <c r="V1514" s="125">
        <f t="shared" si="173"/>
        <v>40</v>
      </c>
      <c r="X1514">
        <f t="shared" si="178"/>
        <v>0</v>
      </c>
      <c r="Y1514" s="143">
        <f t="shared" si="172"/>
        <v>-960.42105263164194</v>
      </c>
    </row>
    <row r="1515" spans="1:25" x14ac:dyDescent="0.25">
      <c r="A1515">
        <f t="shared" si="174"/>
        <v>1508</v>
      </c>
      <c r="B1515" s="88" t="str">
        <f>IF(OR(B1514="Total",B1514=""),"",IF(VLOOKUP(A1515,Journal!$B$7:$E$84,4)=0,"Total",VLOOKUP(A1515,Journal!$B$7:$D$84,3)))</f>
        <v/>
      </c>
      <c r="C1515" s="86" t="str">
        <f>IF(B1515="","",VLOOKUP(A1515,Journal!$B$7:$E$84,4))</f>
        <v/>
      </c>
      <c r="D1515" s="114" t="str">
        <f>IF(B1515="","",VLOOKUP(A1515,Journal!$B$7:$J$84,9))</f>
        <v/>
      </c>
      <c r="E1515" s="116"/>
      <c r="F1515" s="116"/>
      <c r="G1515" s="115"/>
      <c r="H1515" s="84" t="str">
        <f>IF(B1515="","",VLOOKUP(A1515,Journal!$B$7:$L$84,11))</f>
        <v/>
      </c>
      <c r="I1515" s="84" t="str">
        <f>IF(B1515="","",VLOOKUP(A1515,Journal!$B$7:$M$84,12))</f>
        <v/>
      </c>
      <c r="J1515" s="105">
        <f>IF(B1515="Total",SUM(J$8:J1514)+0.0001,IF(OR(B1515="",I$2=I1515),0,VLOOKUP(A1515,Journal!$B$7:M$84,8)))</f>
        <v>0</v>
      </c>
      <c r="K1515" s="102">
        <f>IF(B1515="Total",SUM(K$8:K1514)+0.0001,IF(OR(B1515="",J1515&lt;&gt;0),0,VLOOKUP(A1515,Journal!$B$7:M$84,8)))</f>
        <v>0</v>
      </c>
      <c r="L1515" s="87">
        <f t="shared" si="175"/>
        <v>0</v>
      </c>
      <c r="P1515">
        <f t="shared" si="176"/>
        <v>1.0000000000000001E-5</v>
      </c>
      <c r="R1515" s="15">
        <f t="shared" si="177"/>
        <v>1508</v>
      </c>
      <c r="S1515" s="126">
        <f>IF(VLOOKUP(A1515,Journal!$A$7:$E$70,5)=0,S1514+1,VLOOKUP(A1515,Journal!$A$7:$E$70,5))</f>
        <v>47165</v>
      </c>
      <c r="T1515" s="125">
        <f>IF(H$2=VLOOKUP(A1515,Journal!$A$7:$F$70,6),VLOOKUP(A1515,Journal!$A$7:M$70,9),0)</f>
        <v>0</v>
      </c>
      <c r="U1515" s="125">
        <f>IF(H$2=VLOOKUP(A1515,Journal!$A$7:$G$70,7),VLOOKUP(A1515,Journal!$A$7:M$70,9),0)</f>
        <v>0</v>
      </c>
      <c r="V1515" s="125">
        <f t="shared" si="173"/>
        <v>40</v>
      </c>
      <c r="X1515">
        <f t="shared" si="178"/>
        <v>0</v>
      </c>
      <c r="Y1515" s="143">
        <f t="shared" si="172"/>
        <v>-960.3947368421683</v>
      </c>
    </row>
    <row r="1516" spans="1:25" x14ac:dyDescent="0.25">
      <c r="A1516">
        <f t="shared" si="174"/>
        <v>1509</v>
      </c>
      <c r="B1516" s="88" t="str">
        <f>IF(OR(B1515="Total",B1515=""),"",IF(VLOOKUP(A1516,Journal!$B$7:$E$84,4)=0,"Total",VLOOKUP(A1516,Journal!$B$7:$D$84,3)))</f>
        <v/>
      </c>
      <c r="C1516" s="86" t="str">
        <f>IF(B1516="","",VLOOKUP(A1516,Journal!$B$7:$E$84,4))</f>
        <v/>
      </c>
      <c r="D1516" s="114" t="str">
        <f>IF(B1516="","",VLOOKUP(A1516,Journal!$B$7:$J$84,9))</f>
        <v/>
      </c>
      <c r="E1516" s="116"/>
      <c r="F1516" s="116"/>
      <c r="G1516" s="115"/>
      <c r="H1516" s="84" t="str">
        <f>IF(B1516="","",VLOOKUP(A1516,Journal!$B$7:$L$84,11))</f>
        <v/>
      </c>
      <c r="I1516" s="84" t="str">
        <f>IF(B1516="","",VLOOKUP(A1516,Journal!$B$7:$M$84,12))</f>
        <v/>
      </c>
      <c r="J1516" s="105">
        <f>IF(B1516="Total",SUM(J$8:J1515)+0.0001,IF(OR(B1516="",I$2=I1516),0,VLOOKUP(A1516,Journal!$B$7:M$84,8)))</f>
        <v>0</v>
      </c>
      <c r="K1516" s="102">
        <f>IF(B1516="Total",SUM(K$8:K1515)+0.0001,IF(OR(B1516="",J1516&lt;&gt;0),0,VLOOKUP(A1516,Journal!$B$7:M$84,8)))</f>
        <v>0</v>
      </c>
      <c r="L1516" s="87">
        <f t="shared" si="175"/>
        <v>0</v>
      </c>
      <c r="P1516">
        <f t="shared" si="176"/>
        <v>1.0000000000000001E-5</v>
      </c>
      <c r="R1516" s="15">
        <f t="shared" si="177"/>
        <v>1509</v>
      </c>
      <c r="S1516" s="126">
        <f>IF(VLOOKUP(A1516,Journal!$A$7:$E$70,5)=0,S1515+1,VLOOKUP(A1516,Journal!$A$7:$E$70,5))</f>
        <v>47166</v>
      </c>
      <c r="T1516" s="125">
        <f>IF(H$2=VLOOKUP(A1516,Journal!$A$7:$F$70,6),VLOOKUP(A1516,Journal!$A$7:M$70,9),0)</f>
        <v>0</v>
      </c>
      <c r="U1516" s="125">
        <f>IF(H$2=VLOOKUP(A1516,Journal!$A$7:$G$70,7),VLOOKUP(A1516,Journal!$A$7:M$70,9),0)</f>
        <v>0</v>
      </c>
      <c r="V1516" s="125">
        <f t="shared" si="173"/>
        <v>40</v>
      </c>
      <c r="X1516">
        <f t="shared" si="178"/>
        <v>0</v>
      </c>
      <c r="Y1516" s="143">
        <f t="shared" si="172"/>
        <v>-960.36842105269466</v>
      </c>
    </row>
    <row r="1517" spans="1:25" x14ac:dyDescent="0.25">
      <c r="A1517">
        <f t="shared" si="174"/>
        <v>1510</v>
      </c>
      <c r="B1517" s="88" t="str">
        <f>IF(OR(B1516="Total",B1516=""),"",IF(VLOOKUP(A1517,Journal!$B$7:$E$84,4)=0,"Total",VLOOKUP(A1517,Journal!$B$7:$D$84,3)))</f>
        <v/>
      </c>
      <c r="C1517" s="86" t="str">
        <f>IF(B1517="","",VLOOKUP(A1517,Journal!$B$7:$E$84,4))</f>
        <v/>
      </c>
      <c r="D1517" s="114" t="str">
        <f>IF(B1517="","",VLOOKUP(A1517,Journal!$B$7:$J$84,9))</f>
        <v/>
      </c>
      <c r="E1517" s="116"/>
      <c r="F1517" s="116"/>
      <c r="G1517" s="115"/>
      <c r="H1517" s="84" t="str">
        <f>IF(B1517="","",VLOOKUP(A1517,Journal!$B$7:$L$84,11))</f>
        <v/>
      </c>
      <c r="I1517" s="84" t="str">
        <f>IF(B1517="","",VLOOKUP(A1517,Journal!$B$7:$M$84,12))</f>
        <v/>
      </c>
      <c r="J1517" s="105">
        <f>IF(B1517="Total",SUM(J$8:J1516)+0.0001,IF(OR(B1517="",I$2=I1517),0,VLOOKUP(A1517,Journal!$B$7:M$84,8)))</f>
        <v>0</v>
      </c>
      <c r="K1517" s="102">
        <f>IF(B1517="Total",SUM(K$8:K1516)+0.0001,IF(OR(B1517="",J1517&lt;&gt;0),0,VLOOKUP(A1517,Journal!$B$7:M$84,8)))</f>
        <v>0</v>
      </c>
      <c r="L1517" s="87">
        <f t="shared" si="175"/>
        <v>0</v>
      </c>
      <c r="P1517">
        <f t="shared" si="176"/>
        <v>1.0000000000000001E-5</v>
      </c>
      <c r="R1517" s="15">
        <f t="shared" si="177"/>
        <v>1510</v>
      </c>
      <c r="S1517" s="126">
        <f>IF(VLOOKUP(A1517,Journal!$A$7:$E$70,5)=0,S1516+1,VLOOKUP(A1517,Journal!$A$7:$E$70,5))</f>
        <v>47167</v>
      </c>
      <c r="T1517" s="125">
        <f>IF(H$2=VLOOKUP(A1517,Journal!$A$7:$F$70,6),VLOOKUP(A1517,Journal!$A$7:M$70,9),0)</f>
        <v>0</v>
      </c>
      <c r="U1517" s="125">
        <f>IF(H$2=VLOOKUP(A1517,Journal!$A$7:$G$70,7),VLOOKUP(A1517,Journal!$A$7:M$70,9),0)</f>
        <v>0</v>
      </c>
      <c r="V1517" s="125">
        <f t="shared" si="173"/>
        <v>40</v>
      </c>
      <c r="X1517">
        <f t="shared" si="178"/>
        <v>0</v>
      </c>
      <c r="Y1517" s="143">
        <f t="shared" si="172"/>
        <v>-960.34210526322101</v>
      </c>
    </row>
    <row r="1518" spans="1:25" x14ac:dyDescent="0.25">
      <c r="A1518">
        <f t="shared" si="174"/>
        <v>1511</v>
      </c>
      <c r="B1518" s="88" t="str">
        <f>IF(OR(B1517="Total",B1517=""),"",IF(VLOOKUP(A1518,Journal!$B$7:$E$84,4)=0,"Total",VLOOKUP(A1518,Journal!$B$7:$D$84,3)))</f>
        <v/>
      </c>
      <c r="C1518" s="86" t="str">
        <f>IF(B1518="","",VLOOKUP(A1518,Journal!$B$7:$E$84,4))</f>
        <v/>
      </c>
      <c r="D1518" s="114" t="str">
        <f>IF(B1518="","",VLOOKUP(A1518,Journal!$B$7:$J$84,9))</f>
        <v/>
      </c>
      <c r="E1518" s="116"/>
      <c r="F1518" s="116"/>
      <c r="G1518" s="115"/>
      <c r="H1518" s="84" t="str">
        <f>IF(B1518="","",VLOOKUP(A1518,Journal!$B$7:$L$84,11))</f>
        <v/>
      </c>
      <c r="I1518" s="84" t="str">
        <f>IF(B1518="","",VLOOKUP(A1518,Journal!$B$7:$M$84,12))</f>
        <v/>
      </c>
      <c r="J1518" s="105">
        <f>IF(B1518="Total",SUM(J$8:J1517)+0.0001,IF(OR(B1518="",I$2=I1518),0,VLOOKUP(A1518,Journal!$B$7:M$84,8)))</f>
        <v>0</v>
      </c>
      <c r="K1518" s="102">
        <f>IF(B1518="Total",SUM(K$8:K1517)+0.0001,IF(OR(B1518="",J1518&lt;&gt;0),0,VLOOKUP(A1518,Journal!$B$7:M$84,8)))</f>
        <v>0</v>
      </c>
      <c r="L1518" s="87">
        <f t="shared" si="175"/>
        <v>0</v>
      </c>
      <c r="P1518">
        <f t="shared" si="176"/>
        <v>1.0000000000000001E-5</v>
      </c>
      <c r="R1518" s="15">
        <f t="shared" si="177"/>
        <v>1511</v>
      </c>
      <c r="S1518" s="126">
        <f>IF(VLOOKUP(A1518,Journal!$A$7:$E$70,5)=0,S1517+1,VLOOKUP(A1518,Journal!$A$7:$E$70,5))</f>
        <v>47168</v>
      </c>
      <c r="T1518" s="125">
        <f>IF(H$2=VLOOKUP(A1518,Journal!$A$7:$F$70,6),VLOOKUP(A1518,Journal!$A$7:M$70,9),0)</f>
        <v>0</v>
      </c>
      <c r="U1518" s="125">
        <f>IF(H$2=VLOOKUP(A1518,Journal!$A$7:$G$70,7),VLOOKUP(A1518,Journal!$A$7:M$70,9),0)</f>
        <v>0</v>
      </c>
      <c r="V1518" s="125">
        <f t="shared" si="173"/>
        <v>40</v>
      </c>
      <c r="X1518">
        <f t="shared" si="178"/>
        <v>0</v>
      </c>
      <c r="Y1518" s="143">
        <f t="shared" si="172"/>
        <v>-960.31578947374737</v>
      </c>
    </row>
    <row r="1519" spans="1:25" x14ac:dyDescent="0.25">
      <c r="A1519">
        <f t="shared" si="174"/>
        <v>1512</v>
      </c>
      <c r="B1519" s="88" t="str">
        <f>IF(OR(B1518="Total",B1518=""),"",IF(VLOOKUP(A1519,Journal!$B$7:$E$84,4)=0,"Total",VLOOKUP(A1519,Journal!$B$7:$D$84,3)))</f>
        <v/>
      </c>
      <c r="C1519" s="86" t="str">
        <f>IF(B1519="","",VLOOKUP(A1519,Journal!$B$7:$E$84,4))</f>
        <v/>
      </c>
      <c r="D1519" s="114" t="str">
        <f>IF(B1519="","",VLOOKUP(A1519,Journal!$B$7:$J$84,9))</f>
        <v/>
      </c>
      <c r="E1519" s="116"/>
      <c r="F1519" s="116"/>
      <c r="G1519" s="115"/>
      <c r="H1519" s="84" t="str">
        <f>IF(B1519="","",VLOOKUP(A1519,Journal!$B$7:$L$84,11))</f>
        <v/>
      </c>
      <c r="I1519" s="84" t="str">
        <f>IF(B1519="","",VLOOKUP(A1519,Journal!$B$7:$M$84,12))</f>
        <v/>
      </c>
      <c r="J1519" s="105">
        <f>IF(B1519="Total",SUM(J$8:J1518)+0.0001,IF(OR(B1519="",I$2=I1519),0,VLOOKUP(A1519,Journal!$B$7:M$84,8)))</f>
        <v>0</v>
      </c>
      <c r="K1519" s="102">
        <f>IF(B1519="Total",SUM(K$8:K1518)+0.0001,IF(OR(B1519="",J1519&lt;&gt;0),0,VLOOKUP(A1519,Journal!$B$7:M$84,8)))</f>
        <v>0</v>
      </c>
      <c r="L1519" s="87">
        <f t="shared" si="175"/>
        <v>0</v>
      </c>
      <c r="P1519">
        <f t="shared" si="176"/>
        <v>1.0000000000000001E-5</v>
      </c>
      <c r="R1519" s="15">
        <f t="shared" si="177"/>
        <v>1512</v>
      </c>
      <c r="S1519" s="126">
        <f>IF(VLOOKUP(A1519,Journal!$A$7:$E$70,5)=0,S1518+1,VLOOKUP(A1519,Journal!$A$7:$E$70,5))</f>
        <v>47169</v>
      </c>
      <c r="T1519" s="125">
        <f>IF(H$2=VLOOKUP(A1519,Journal!$A$7:$F$70,6),VLOOKUP(A1519,Journal!$A$7:M$70,9),0)</f>
        <v>0</v>
      </c>
      <c r="U1519" s="125">
        <f>IF(H$2=VLOOKUP(A1519,Journal!$A$7:$G$70,7),VLOOKUP(A1519,Journal!$A$7:M$70,9),0)</f>
        <v>0</v>
      </c>
      <c r="V1519" s="125">
        <f t="shared" si="173"/>
        <v>40</v>
      </c>
      <c r="X1519">
        <f t="shared" si="178"/>
        <v>0</v>
      </c>
      <c r="Y1519" s="143">
        <f t="shared" si="172"/>
        <v>-960.28947368427373</v>
      </c>
    </row>
    <row r="1520" spans="1:25" x14ac:dyDescent="0.25">
      <c r="A1520">
        <f t="shared" si="174"/>
        <v>1513</v>
      </c>
      <c r="B1520" s="88" t="str">
        <f>IF(OR(B1519="Total",B1519=""),"",IF(VLOOKUP(A1520,Journal!$B$7:$E$84,4)=0,"Total",VLOOKUP(A1520,Journal!$B$7:$D$84,3)))</f>
        <v/>
      </c>
      <c r="C1520" s="86" t="str">
        <f>IF(B1520="","",VLOOKUP(A1520,Journal!$B$7:$E$84,4))</f>
        <v/>
      </c>
      <c r="D1520" s="114" t="str">
        <f>IF(B1520="","",VLOOKUP(A1520,Journal!$B$7:$J$84,9))</f>
        <v/>
      </c>
      <c r="E1520" s="116"/>
      <c r="F1520" s="116"/>
      <c r="G1520" s="115"/>
      <c r="H1520" s="84" t="str">
        <f>IF(B1520="","",VLOOKUP(A1520,Journal!$B$7:$L$84,11))</f>
        <v/>
      </c>
      <c r="I1520" s="84" t="str">
        <f>IF(B1520="","",VLOOKUP(A1520,Journal!$B$7:$M$84,12))</f>
        <v/>
      </c>
      <c r="J1520" s="105">
        <f>IF(B1520="Total",SUM(J$8:J1519)+0.0001,IF(OR(B1520="",I$2=I1520),0,VLOOKUP(A1520,Journal!$B$7:M$84,8)))</f>
        <v>0</v>
      </c>
      <c r="K1520" s="102">
        <f>IF(B1520="Total",SUM(K$8:K1519)+0.0001,IF(OR(B1520="",J1520&lt;&gt;0),0,VLOOKUP(A1520,Journal!$B$7:M$84,8)))</f>
        <v>0</v>
      </c>
      <c r="L1520" s="87">
        <f t="shared" si="175"/>
        <v>0</v>
      </c>
      <c r="P1520">
        <f t="shared" si="176"/>
        <v>1.0000000000000001E-5</v>
      </c>
      <c r="R1520" s="15">
        <f t="shared" si="177"/>
        <v>1513</v>
      </c>
      <c r="S1520" s="126">
        <f>IF(VLOOKUP(A1520,Journal!$A$7:$E$70,5)=0,S1519+1,VLOOKUP(A1520,Journal!$A$7:$E$70,5))</f>
        <v>47170</v>
      </c>
      <c r="T1520" s="125">
        <f>IF(H$2=VLOOKUP(A1520,Journal!$A$7:$F$70,6),VLOOKUP(A1520,Journal!$A$7:M$70,9),0)</f>
        <v>0</v>
      </c>
      <c r="U1520" s="125">
        <f>IF(H$2=VLOOKUP(A1520,Journal!$A$7:$G$70,7),VLOOKUP(A1520,Journal!$A$7:M$70,9),0)</f>
        <v>0</v>
      </c>
      <c r="V1520" s="125">
        <f t="shared" si="173"/>
        <v>40</v>
      </c>
      <c r="X1520">
        <f t="shared" si="178"/>
        <v>0</v>
      </c>
      <c r="Y1520" s="143">
        <f t="shared" si="172"/>
        <v>-960.26315789480009</v>
      </c>
    </row>
    <row r="1521" spans="1:25" x14ac:dyDescent="0.25">
      <c r="A1521">
        <f t="shared" si="174"/>
        <v>1514</v>
      </c>
      <c r="B1521" s="88" t="str">
        <f>IF(OR(B1520="Total",B1520=""),"",IF(VLOOKUP(A1521,Journal!$B$7:$E$84,4)=0,"Total",VLOOKUP(A1521,Journal!$B$7:$D$84,3)))</f>
        <v/>
      </c>
      <c r="C1521" s="86" t="str">
        <f>IF(B1521="","",VLOOKUP(A1521,Journal!$B$7:$E$84,4))</f>
        <v/>
      </c>
      <c r="D1521" s="114" t="str">
        <f>IF(B1521="","",VLOOKUP(A1521,Journal!$B$7:$J$84,9))</f>
        <v/>
      </c>
      <c r="E1521" s="116"/>
      <c r="F1521" s="116"/>
      <c r="G1521" s="115"/>
      <c r="H1521" s="84" t="str">
        <f>IF(B1521="","",VLOOKUP(A1521,Journal!$B$7:$L$84,11))</f>
        <v/>
      </c>
      <c r="I1521" s="84" t="str">
        <f>IF(B1521="","",VLOOKUP(A1521,Journal!$B$7:$M$84,12))</f>
        <v/>
      </c>
      <c r="J1521" s="105">
        <f>IF(B1521="Total",SUM(J$8:J1520)+0.0001,IF(OR(B1521="",I$2=I1521),0,VLOOKUP(A1521,Journal!$B$7:M$84,8)))</f>
        <v>0</v>
      </c>
      <c r="K1521" s="102">
        <f>IF(B1521="Total",SUM(K$8:K1520)+0.0001,IF(OR(B1521="",J1521&lt;&gt;0),0,VLOOKUP(A1521,Journal!$B$7:M$84,8)))</f>
        <v>0</v>
      </c>
      <c r="L1521" s="87">
        <f t="shared" si="175"/>
        <v>0</v>
      </c>
      <c r="P1521">
        <f t="shared" si="176"/>
        <v>1.0000000000000001E-5</v>
      </c>
      <c r="R1521" s="15">
        <f t="shared" si="177"/>
        <v>1514</v>
      </c>
      <c r="S1521" s="126">
        <f>IF(VLOOKUP(A1521,Journal!$A$7:$E$70,5)=0,S1520+1,VLOOKUP(A1521,Journal!$A$7:$E$70,5))</f>
        <v>47171</v>
      </c>
      <c r="T1521" s="125">
        <f>IF(H$2=VLOOKUP(A1521,Journal!$A$7:$F$70,6),VLOOKUP(A1521,Journal!$A$7:M$70,9),0)</f>
        <v>0</v>
      </c>
      <c r="U1521" s="125">
        <f>IF(H$2=VLOOKUP(A1521,Journal!$A$7:$G$70,7),VLOOKUP(A1521,Journal!$A$7:M$70,9),0)</f>
        <v>0</v>
      </c>
      <c r="V1521" s="125">
        <f t="shared" si="173"/>
        <v>40</v>
      </c>
      <c r="X1521">
        <f t="shared" si="178"/>
        <v>0</v>
      </c>
      <c r="Y1521" s="143">
        <f t="shared" si="172"/>
        <v>-960.23684210532645</v>
      </c>
    </row>
    <row r="1522" spans="1:25" x14ac:dyDescent="0.25">
      <c r="A1522">
        <f t="shared" si="174"/>
        <v>1515</v>
      </c>
      <c r="B1522" s="88" t="str">
        <f>IF(OR(B1521="Total",B1521=""),"",IF(VLOOKUP(A1522,Journal!$B$7:$E$84,4)=0,"Total",VLOOKUP(A1522,Journal!$B$7:$D$84,3)))</f>
        <v/>
      </c>
      <c r="C1522" s="86" t="str">
        <f>IF(B1522="","",VLOOKUP(A1522,Journal!$B$7:$E$84,4))</f>
        <v/>
      </c>
      <c r="D1522" s="114" t="str">
        <f>IF(B1522="","",VLOOKUP(A1522,Journal!$B$7:$J$84,9))</f>
        <v/>
      </c>
      <c r="E1522" s="116"/>
      <c r="F1522" s="116"/>
      <c r="G1522" s="115"/>
      <c r="H1522" s="84" t="str">
        <f>IF(B1522="","",VLOOKUP(A1522,Journal!$B$7:$L$84,11))</f>
        <v/>
      </c>
      <c r="I1522" s="84" t="str">
        <f>IF(B1522="","",VLOOKUP(A1522,Journal!$B$7:$M$84,12))</f>
        <v/>
      </c>
      <c r="J1522" s="105">
        <f>IF(B1522="Total",SUM(J$8:J1521)+0.0001,IF(OR(B1522="",I$2=I1522),0,VLOOKUP(A1522,Journal!$B$7:M$84,8)))</f>
        <v>0</v>
      </c>
      <c r="K1522" s="102">
        <f>IF(B1522="Total",SUM(K$8:K1521)+0.0001,IF(OR(B1522="",J1522&lt;&gt;0),0,VLOOKUP(A1522,Journal!$B$7:M$84,8)))</f>
        <v>0</v>
      </c>
      <c r="L1522" s="87">
        <f t="shared" si="175"/>
        <v>0</v>
      </c>
      <c r="P1522">
        <f t="shared" si="176"/>
        <v>1.0000000000000001E-5</v>
      </c>
      <c r="R1522" s="15">
        <f t="shared" si="177"/>
        <v>1515</v>
      </c>
      <c r="S1522" s="126">
        <f>IF(VLOOKUP(A1522,Journal!$A$7:$E$70,5)=0,S1521+1,VLOOKUP(A1522,Journal!$A$7:$E$70,5))</f>
        <v>47172</v>
      </c>
      <c r="T1522" s="125">
        <f>IF(H$2=VLOOKUP(A1522,Journal!$A$7:$F$70,6),VLOOKUP(A1522,Journal!$A$7:M$70,9),0)</f>
        <v>0</v>
      </c>
      <c r="U1522" s="125">
        <f>IF(H$2=VLOOKUP(A1522,Journal!$A$7:$G$70,7),VLOOKUP(A1522,Journal!$A$7:M$70,9),0)</f>
        <v>0</v>
      </c>
      <c r="V1522" s="125">
        <f t="shared" si="173"/>
        <v>40</v>
      </c>
      <c r="X1522">
        <f t="shared" si="178"/>
        <v>0</v>
      </c>
      <c r="Y1522" s="143">
        <f t="shared" si="172"/>
        <v>-960.2105263158528</v>
      </c>
    </row>
    <row r="1523" spans="1:25" x14ac:dyDescent="0.25">
      <c r="A1523">
        <f t="shared" si="174"/>
        <v>1516</v>
      </c>
      <c r="B1523" s="88" t="str">
        <f>IF(OR(B1522="Total",B1522=""),"",IF(VLOOKUP(A1523,Journal!$B$7:$E$84,4)=0,"Total",VLOOKUP(A1523,Journal!$B$7:$D$84,3)))</f>
        <v/>
      </c>
      <c r="C1523" s="86" t="str">
        <f>IF(B1523="","",VLOOKUP(A1523,Journal!$B$7:$E$84,4))</f>
        <v/>
      </c>
      <c r="D1523" s="114" t="str">
        <f>IF(B1523="","",VLOOKUP(A1523,Journal!$B$7:$J$84,9))</f>
        <v/>
      </c>
      <c r="E1523" s="116"/>
      <c r="F1523" s="116"/>
      <c r="G1523" s="115"/>
      <c r="H1523" s="84" t="str">
        <f>IF(B1523="","",VLOOKUP(A1523,Journal!$B$7:$L$84,11))</f>
        <v/>
      </c>
      <c r="I1523" s="84" t="str">
        <f>IF(B1523="","",VLOOKUP(A1523,Journal!$B$7:$M$84,12))</f>
        <v/>
      </c>
      <c r="J1523" s="105">
        <f>IF(B1523="Total",SUM(J$8:J1522)+0.0001,IF(OR(B1523="",I$2=I1523),0,VLOOKUP(A1523,Journal!$B$7:M$84,8)))</f>
        <v>0</v>
      </c>
      <c r="K1523" s="102">
        <f>IF(B1523="Total",SUM(K$8:K1522)+0.0001,IF(OR(B1523="",J1523&lt;&gt;0),0,VLOOKUP(A1523,Journal!$B$7:M$84,8)))</f>
        <v>0</v>
      </c>
      <c r="L1523" s="87">
        <f t="shared" si="175"/>
        <v>0</v>
      </c>
      <c r="P1523">
        <f t="shared" si="176"/>
        <v>1.0000000000000001E-5</v>
      </c>
      <c r="R1523" s="15">
        <f t="shared" si="177"/>
        <v>1516</v>
      </c>
      <c r="S1523" s="126">
        <f>IF(VLOOKUP(A1523,Journal!$A$7:$E$70,5)=0,S1522+1,VLOOKUP(A1523,Journal!$A$7:$E$70,5))</f>
        <v>47173</v>
      </c>
      <c r="T1523" s="125">
        <f>IF(H$2=VLOOKUP(A1523,Journal!$A$7:$F$70,6),VLOOKUP(A1523,Journal!$A$7:M$70,9),0)</f>
        <v>0</v>
      </c>
      <c r="U1523" s="125">
        <f>IF(H$2=VLOOKUP(A1523,Journal!$A$7:$G$70,7),VLOOKUP(A1523,Journal!$A$7:M$70,9),0)</f>
        <v>0</v>
      </c>
      <c r="V1523" s="125">
        <f t="shared" si="173"/>
        <v>40</v>
      </c>
      <c r="X1523">
        <f t="shared" si="178"/>
        <v>0</v>
      </c>
      <c r="Y1523" s="143">
        <f t="shared" si="172"/>
        <v>-960.18421052637916</v>
      </c>
    </row>
    <row r="1524" spans="1:25" x14ac:dyDescent="0.25">
      <c r="A1524">
        <f t="shared" si="174"/>
        <v>1517</v>
      </c>
      <c r="B1524" s="88" t="str">
        <f>IF(OR(B1523="Total",B1523=""),"",IF(VLOOKUP(A1524,Journal!$B$7:$E$84,4)=0,"Total",VLOOKUP(A1524,Journal!$B$7:$D$84,3)))</f>
        <v/>
      </c>
      <c r="C1524" s="86" t="str">
        <f>IF(B1524="","",VLOOKUP(A1524,Journal!$B$7:$E$84,4))</f>
        <v/>
      </c>
      <c r="D1524" s="114" t="str">
        <f>IF(B1524="","",VLOOKUP(A1524,Journal!$B$7:$J$84,9))</f>
        <v/>
      </c>
      <c r="E1524" s="116"/>
      <c r="F1524" s="116"/>
      <c r="G1524" s="115"/>
      <c r="H1524" s="84" t="str">
        <f>IF(B1524="","",VLOOKUP(A1524,Journal!$B$7:$L$84,11))</f>
        <v/>
      </c>
      <c r="I1524" s="84" t="str">
        <f>IF(B1524="","",VLOOKUP(A1524,Journal!$B$7:$M$84,12))</f>
        <v/>
      </c>
      <c r="J1524" s="105">
        <f>IF(B1524="Total",SUM(J$8:J1523)+0.0001,IF(OR(B1524="",I$2=I1524),0,VLOOKUP(A1524,Journal!$B$7:M$84,8)))</f>
        <v>0</v>
      </c>
      <c r="K1524" s="102">
        <f>IF(B1524="Total",SUM(K$8:K1523)+0.0001,IF(OR(B1524="",J1524&lt;&gt;0),0,VLOOKUP(A1524,Journal!$B$7:M$84,8)))</f>
        <v>0</v>
      </c>
      <c r="L1524" s="87">
        <f t="shared" si="175"/>
        <v>0</v>
      </c>
      <c r="P1524">
        <f t="shared" si="176"/>
        <v>1.0000000000000001E-5</v>
      </c>
      <c r="R1524" s="15">
        <f t="shared" si="177"/>
        <v>1517</v>
      </c>
      <c r="S1524" s="126">
        <f>IF(VLOOKUP(A1524,Journal!$A$7:$E$70,5)=0,S1523+1,VLOOKUP(A1524,Journal!$A$7:$E$70,5))</f>
        <v>47174</v>
      </c>
      <c r="T1524" s="125">
        <f>IF(H$2=VLOOKUP(A1524,Journal!$A$7:$F$70,6),VLOOKUP(A1524,Journal!$A$7:M$70,9),0)</f>
        <v>0</v>
      </c>
      <c r="U1524" s="125">
        <f>IF(H$2=VLOOKUP(A1524,Journal!$A$7:$G$70,7),VLOOKUP(A1524,Journal!$A$7:M$70,9),0)</f>
        <v>0</v>
      </c>
      <c r="V1524" s="125">
        <f t="shared" si="173"/>
        <v>40</v>
      </c>
      <c r="X1524">
        <f t="shared" si="178"/>
        <v>0</v>
      </c>
      <c r="Y1524" s="143">
        <f t="shared" si="172"/>
        <v>-960.15789473690552</v>
      </c>
    </row>
    <row r="1525" spans="1:25" x14ac:dyDescent="0.25">
      <c r="A1525">
        <f t="shared" si="174"/>
        <v>1518</v>
      </c>
      <c r="B1525" s="88" t="str">
        <f>IF(OR(B1524="Total",B1524=""),"",IF(VLOOKUP(A1525,Journal!$B$7:$E$84,4)=0,"Total",VLOOKUP(A1525,Journal!$B$7:$D$84,3)))</f>
        <v/>
      </c>
      <c r="C1525" s="86" t="str">
        <f>IF(B1525="","",VLOOKUP(A1525,Journal!$B$7:$E$84,4))</f>
        <v/>
      </c>
      <c r="D1525" s="114" t="str">
        <f>IF(B1525="","",VLOOKUP(A1525,Journal!$B$7:$J$84,9))</f>
        <v/>
      </c>
      <c r="E1525" s="116"/>
      <c r="F1525" s="116"/>
      <c r="G1525" s="115"/>
      <c r="H1525" s="84" t="str">
        <f>IF(B1525="","",VLOOKUP(A1525,Journal!$B$7:$L$84,11))</f>
        <v/>
      </c>
      <c r="I1525" s="84" t="str">
        <f>IF(B1525="","",VLOOKUP(A1525,Journal!$B$7:$M$84,12))</f>
        <v/>
      </c>
      <c r="J1525" s="105">
        <f>IF(B1525="Total",SUM(J$8:J1524)+0.0001,IF(OR(B1525="",I$2=I1525),0,VLOOKUP(A1525,Journal!$B$7:M$84,8)))</f>
        <v>0</v>
      </c>
      <c r="K1525" s="102">
        <f>IF(B1525="Total",SUM(K$8:K1524)+0.0001,IF(OR(B1525="",J1525&lt;&gt;0),0,VLOOKUP(A1525,Journal!$B$7:M$84,8)))</f>
        <v>0</v>
      </c>
      <c r="L1525" s="87">
        <f t="shared" si="175"/>
        <v>0</v>
      </c>
      <c r="P1525">
        <f t="shared" si="176"/>
        <v>1.0000000000000001E-5</v>
      </c>
      <c r="R1525" s="15">
        <f t="shared" si="177"/>
        <v>1518</v>
      </c>
      <c r="S1525" s="126">
        <f>IF(VLOOKUP(A1525,Journal!$A$7:$E$70,5)=0,S1524+1,VLOOKUP(A1525,Journal!$A$7:$E$70,5))</f>
        <v>47175</v>
      </c>
      <c r="T1525" s="125">
        <f>IF(H$2=VLOOKUP(A1525,Journal!$A$7:$F$70,6),VLOOKUP(A1525,Journal!$A$7:M$70,9),0)</f>
        <v>0</v>
      </c>
      <c r="U1525" s="125">
        <f>IF(H$2=VLOOKUP(A1525,Journal!$A$7:$G$70,7),VLOOKUP(A1525,Journal!$A$7:M$70,9),0)</f>
        <v>0</v>
      </c>
      <c r="V1525" s="125">
        <f t="shared" si="173"/>
        <v>40</v>
      </c>
      <c r="X1525">
        <f t="shared" si="178"/>
        <v>0</v>
      </c>
      <c r="Y1525" s="143">
        <f t="shared" si="172"/>
        <v>-960.13157894743188</v>
      </c>
    </row>
    <row r="1526" spans="1:25" x14ac:dyDescent="0.25">
      <c r="A1526">
        <f t="shared" si="174"/>
        <v>1519</v>
      </c>
      <c r="B1526" s="88" t="str">
        <f>IF(OR(B1525="Total",B1525=""),"",IF(VLOOKUP(A1526,Journal!$B$7:$E$84,4)=0,"Total",VLOOKUP(A1526,Journal!$B$7:$D$84,3)))</f>
        <v/>
      </c>
      <c r="C1526" s="86" t="str">
        <f>IF(B1526="","",VLOOKUP(A1526,Journal!$B$7:$E$84,4))</f>
        <v/>
      </c>
      <c r="D1526" s="114" t="str">
        <f>IF(B1526="","",VLOOKUP(A1526,Journal!$B$7:$J$84,9))</f>
        <v/>
      </c>
      <c r="E1526" s="116"/>
      <c r="F1526" s="116"/>
      <c r="G1526" s="115"/>
      <c r="H1526" s="84" t="str">
        <f>IF(B1526="","",VLOOKUP(A1526,Journal!$B$7:$L$84,11))</f>
        <v/>
      </c>
      <c r="I1526" s="84" t="str">
        <f>IF(B1526="","",VLOOKUP(A1526,Journal!$B$7:$M$84,12))</f>
        <v/>
      </c>
      <c r="J1526" s="105">
        <f>IF(B1526="Total",SUM(J$8:J1525)+0.0001,IF(OR(B1526="",I$2=I1526),0,VLOOKUP(A1526,Journal!$B$7:M$84,8)))</f>
        <v>0</v>
      </c>
      <c r="K1526" s="102">
        <f>IF(B1526="Total",SUM(K$8:K1525)+0.0001,IF(OR(B1526="",J1526&lt;&gt;0),0,VLOOKUP(A1526,Journal!$B$7:M$84,8)))</f>
        <v>0</v>
      </c>
      <c r="L1526" s="87">
        <f t="shared" si="175"/>
        <v>0</v>
      </c>
      <c r="P1526">
        <f t="shared" si="176"/>
        <v>1.0000000000000001E-5</v>
      </c>
      <c r="R1526" s="15">
        <f t="shared" si="177"/>
        <v>1519</v>
      </c>
      <c r="S1526" s="126">
        <f>IF(VLOOKUP(A1526,Journal!$A$7:$E$70,5)=0,S1525+1,VLOOKUP(A1526,Journal!$A$7:$E$70,5))</f>
        <v>47176</v>
      </c>
      <c r="T1526" s="125">
        <f>IF(H$2=VLOOKUP(A1526,Journal!$A$7:$F$70,6),VLOOKUP(A1526,Journal!$A$7:M$70,9),0)</f>
        <v>0</v>
      </c>
      <c r="U1526" s="125">
        <f>IF(H$2=VLOOKUP(A1526,Journal!$A$7:$G$70,7),VLOOKUP(A1526,Journal!$A$7:M$70,9),0)</f>
        <v>0</v>
      </c>
      <c r="V1526" s="125">
        <f t="shared" si="173"/>
        <v>40</v>
      </c>
      <c r="X1526">
        <f t="shared" si="178"/>
        <v>0</v>
      </c>
      <c r="Y1526" s="143">
        <f t="shared" si="172"/>
        <v>-960.10526315795823</v>
      </c>
    </row>
    <row r="1527" spans="1:25" x14ac:dyDescent="0.25">
      <c r="A1527">
        <f t="shared" si="174"/>
        <v>1520</v>
      </c>
      <c r="B1527" s="88" t="str">
        <f>IF(OR(B1526="Total",B1526=""),"",IF(VLOOKUP(A1527,Journal!$B$7:$E$84,4)=0,"Total",VLOOKUP(A1527,Journal!$B$7:$D$84,3)))</f>
        <v/>
      </c>
      <c r="C1527" s="86" t="str">
        <f>IF(B1527="","",VLOOKUP(A1527,Journal!$B$7:$E$84,4))</f>
        <v/>
      </c>
      <c r="D1527" s="114" t="str">
        <f>IF(B1527="","",VLOOKUP(A1527,Journal!$B$7:$J$84,9))</f>
        <v/>
      </c>
      <c r="E1527" s="116"/>
      <c r="F1527" s="116"/>
      <c r="G1527" s="115"/>
      <c r="H1527" s="84" t="str">
        <f>IF(B1527="","",VLOOKUP(A1527,Journal!$B$7:$L$84,11))</f>
        <v/>
      </c>
      <c r="I1527" s="84" t="str">
        <f>IF(B1527="","",VLOOKUP(A1527,Journal!$B$7:$M$84,12))</f>
        <v/>
      </c>
      <c r="J1527" s="105">
        <f>IF(B1527="Total",SUM(J$8:J1526)+0.0001,IF(OR(B1527="",I$2=I1527),0,VLOOKUP(A1527,Journal!$B$7:M$84,8)))</f>
        <v>0</v>
      </c>
      <c r="K1527" s="102">
        <f>IF(B1527="Total",SUM(K$8:K1526)+0.0001,IF(OR(B1527="",J1527&lt;&gt;0),0,VLOOKUP(A1527,Journal!$B$7:M$84,8)))</f>
        <v>0</v>
      </c>
      <c r="L1527" s="87">
        <f t="shared" si="175"/>
        <v>0</v>
      </c>
      <c r="P1527">
        <f t="shared" si="176"/>
        <v>1.0000000000000001E-5</v>
      </c>
      <c r="R1527" s="15">
        <f t="shared" si="177"/>
        <v>1520</v>
      </c>
      <c r="S1527" s="126">
        <f>IF(VLOOKUP(A1527,Journal!$A$7:$E$70,5)=0,S1526+1,VLOOKUP(A1527,Journal!$A$7:$E$70,5))</f>
        <v>47177</v>
      </c>
      <c r="T1527" s="125">
        <f>IF(H$2=VLOOKUP(A1527,Journal!$A$7:$F$70,6),VLOOKUP(A1527,Journal!$A$7:M$70,9),0)</f>
        <v>0</v>
      </c>
      <c r="U1527" s="125">
        <f>IF(H$2=VLOOKUP(A1527,Journal!$A$7:$G$70,7),VLOOKUP(A1527,Journal!$A$7:M$70,9),0)</f>
        <v>0</v>
      </c>
      <c r="V1527" s="125">
        <f t="shared" si="173"/>
        <v>40</v>
      </c>
      <c r="X1527">
        <f t="shared" si="178"/>
        <v>0</v>
      </c>
      <c r="Y1527" s="143">
        <f t="shared" si="172"/>
        <v>-960.07894736848459</v>
      </c>
    </row>
    <row r="1528" spans="1:25" x14ac:dyDescent="0.25">
      <c r="A1528">
        <f t="shared" si="174"/>
        <v>1521</v>
      </c>
      <c r="B1528" s="88" t="str">
        <f>IF(OR(B1527="Total",B1527=""),"",IF(VLOOKUP(A1528,Journal!$B$7:$E$84,4)=0,"Total",VLOOKUP(A1528,Journal!$B$7:$D$84,3)))</f>
        <v/>
      </c>
      <c r="C1528" s="86" t="str">
        <f>IF(B1528="","",VLOOKUP(A1528,Journal!$B$7:$E$84,4))</f>
        <v/>
      </c>
      <c r="D1528" s="114" t="str">
        <f>IF(B1528="","",VLOOKUP(A1528,Journal!$B$7:$J$84,9))</f>
        <v/>
      </c>
      <c r="E1528" s="116"/>
      <c r="F1528" s="116"/>
      <c r="G1528" s="115"/>
      <c r="H1528" s="84" t="str">
        <f>IF(B1528="","",VLOOKUP(A1528,Journal!$B$7:$L$84,11))</f>
        <v/>
      </c>
      <c r="I1528" s="84" t="str">
        <f>IF(B1528="","",VLOOKUP(A1528,Journal!$B$7:$M$84,12))</f>
        <v/>
      </c>
      <c r="J1528" s="105">
        <f>IF(B1528="Total",SUM(J$8:J1527)+0.0001,IF(OR(B1528="",I$2=I1528),0,VLOOKUP(A1528,Journal!$B$7:M$84,8)))</f>
        <v>0</v>
      </c>
      <c r="K1528" s="102">
        <f>IF(B1528="Total",SUM(K$8:K1527)+0.0001,IF(OR(B1528="",J1528&lt;&gt;0),0,VLOOKUP(A1528,Journal!$B$7:M$84,8)))</f>
        <v>0</v>
      </c>
      <c r="L1528" s="87">
        <f t="shared" si="175"/>
        <v>0</v>
      </c>
      <c r="P1528">
        <f t="shared" si="176"/>
        <v>1.0000000000000001E-5</v>
      </c>
      <c r="R1528" s="15">
        <f t="shared" si="177"/>
        <v>1521</v>
      </c>
      <c r="S1528" s="126">
        <f>IF(VLOOKUP(A1528,Journal!$A$7:$E$70,5)=0,S1527+1,VLOOKUP(A1528,Journal!$A$7:$E$70,5))</f>
        <v>47178</v>
      </c>
      <c r="T1528" s="125">
        <f>IF(H$2=VLOOKUP(A1528,Journal!$A$7:$F$70,6),VLOOKUP(A1528,Journal!$A$7:M$70,9),0)</f>
        <v>0</v>
      </c>
      <c r="U1528" s="125">
        <f>IF(H$2=VLOOKUP(A1528,Journal!$A$7:$G$70,7),VLOOKUP(A1528,Journal!$A$7:M$70,9),0)</f>
        <v>0</v>
      </c>
      <c r="V1528" s="125">
        <f t="shared" si="173"/>
        <v>40</v>
      </c>
      <c r="X1528">
        <f t="shared" si="178"/>
        <v>0</v>
      </c>
      <c r="Y1528" s="143">
        <f t="shared" si="172"/>
        <v>-960.05263157901095</v>
      </c>
    </row>
    <row r="1529" spans="1:25" x14ac:dyDescent="0.25">
      <c r="A1529">
        <f t="shared" si="174"/>
        <v>1522</v>
      </c>
      <c r="B1529" s="88" t="str">
        <f>IF(OR(B1528="Total",B1528=""),"",IF(VLOOKUP(A1529,Journal!$B$7:$E$84,4)=0,"Total",VLOOKUP(A1529,Journal!$B$7:$D$84,3)))</f>
        <v/>
      </c>
      <c r="C1529" s="86" t="str">
        <f>IF(B1529="","",VLOOKUP(A1529,Journal!$B$7:$E$84,4))</f>
        <v/>
      </c>
      <c r="D1529" s="114" t="str">
        <f>IF(B1529="","",VLOOKUP(A1529,Journal!$B$7:$J$84,9))</f>
        <v/>
      </c>
      <c r="E1529" s="116"/>
      <c r="F1529" s="116"/>
      <c r="G1529" s="115"/>
      <c r="H1529" s="84" t="str">
        <f>IF(B1529="","",VLOOKUP(A1529,Journal!$B$7:$L$84,11))</f>
        <v/>
      </c>
      <c r="I1529" s="84" t="str">
        <f>IF(B1529="","",VLOOKUP(A1529,Journal!$B$7:$M$84,12))</f>
        <v/>
      </c>
      <c r="J1529" s="105">
        <f>IF(B1529="Total",SUM(J$8:J1528)+0.0001,IF(OR(B1529="",I$2=I1529),0,VLOOKUP(A1529,Journal!$B$7:M$84,8)))</f>
        <v>0</v>
      </c>
      <c r="K1529" s="102">
        <f>IF(B1529="Total",SUM(K$8:K1528)+0.0001,IF(OR(B1529="",J1529&lt;&gt;0),0,VLOOKUP(A1529,Journal!$B$7:M$84,8)))</f>
        <v>0</v>
      </c>
      <c r="L1529" s="87">
        <f t="shared" si="175"/>
        <v>0</v>
      </c>
      <c r="P1529">
        <f t="shared" si="176"/>
        <v>1.0000000000000001E-5</v>
      </c>
      <c r="R1529" s="15">
        <f t="shared" si="177"/>
        <v>1522</v>
      </c>
      <c r="S1529" s="126">
        <f>IF(VLOOKUP(A1529,Journal!$A$7:$E$70,5)=0,S1528+1,VLOOKUP(A1529,Journal!$A$7:$E$70,5))</f>
        <v>47179</v>
      </c>
      <c r="T1529" s="125">
        <f>IF(H$2=VLOOKUP(A1529,Journal!$A$7:$F$70,6),VLOOKUP(A1529,Journal!$A$7:M$70,9),0)</f>
        <v>0</v>
      </c>
      <c r="U1529" s="125">
        <f>IF(H$2=VLOOKUP(A1529,Journal!$A$7:$G$70,7),VLOOKUP(A1529,Journal!$A$7:M$70,9),0)</f>
        <v>0</v>
      </c>
      <c r="V1529" s="125">
        <f t="shared" si="173"/>
        <v>40</v>
      </c>
      <c r="X1529">
        <f t="shared" si="178"/>
        <v>0</v>
      </c>
      <c r="Y1529" s="143">
        <f t="shared" si="172"/>
        <v>-960.02631578953731</v>
      </c>
    </row>
    <row r="1530" spans="1:25" x14ac:dyDescent="0.25">
      <c r="A1530">
        <f t="shared" si="174"/>
        <v>1523</v>
      </c>
      <c r="B1530" s="88" t="str">
        <f>IF(OR(B1529="Total",B1529=""),"",IF(VLOOKUP(A1530,Journal!$B$7:$E$84,4)=0,"Total",VLOOKUP(A1530,Journal!$B$7:$D$84,3)))</f>
        <v/>
      </c>
      <c r="C1530" s="86" t="str">
        <f>IF(B1530="","",VLOOKUP(A1530,Journal!$B$7:$E$84,4))</f>
        <v/>
      </c>
      <c r="D1530" s="114" t="str">
        <f>IF(B1530="","",VLOOKUP(A1530,Journal!$B$7:$J$84,9))</f>
        <v/>
      </c>
      <c r="E1530" s="116"/>
      <c r="F1530" s="116"/>
      <c r="G1530" s="115"/>
      <c r="H1530" s="84" t="str">
        <f>IF(B1530="","",VLOOKUP(A1530,Journal!$B$7:$L$84,11))</f>
        <v/>
      </c>
      <c r="I1530" s="84" t="str">
        <f>IF(B1530="","",VLOOKUP(A1530,Journal!$B$7:$M$84,12))</f>
        <v/>
      </c>
      <c r="J1530" s="105">
        <f>IF(B1530="Total",SUM(J$8:J1529)+0.0001,IF(OR(B1530="",I$2=I1530),0,VLOOKUP(A1530,Journal!$B$7:M$84,8)))</f>
        <v>0</v>
      </c>
      <c r="K1530" s="102">
        <f>IF(B1530="Total",SUM(K$8:K1529)+0.0001,IF(OR(B1530="",J1530&lt;&gt;0),0,VLOOKUP(A1530,Journal!$B$7:M$84,8)))</f>
        <v>0</v>
      </c>
      <c r="L1530" s="87">
        <f t="shared" si="175"/>
        <v>0</v>
      </c>
      <c r="P1530">
        <f t="shared" si="176"/>
        <v>1.0000000000000001E-5</v>
      </c>
      <c r="R1530" s="15">
        <f t="shared" si="177"/>
        <v>1523</v>
      </c>
      <c r="S1530" s="126">
        <f>IF(VLOOKUP(A1530,Journal!$A$7:$E$70,5)=0,S1529+1,VLOOKUP(A1530,Journal!$A$7:$E$70,5))</f>
        <v>47180</v>
      </c>
      <c r="T1530" s="125">
        <f>IF(H$2=VLOOKUP(A1530,Journal!$A$7:$F$70,6),VLOOKUP(A1530,Journal!$A$7:M$70,9),0)</f>
        <v>0</v>
      </c>
      <c r="U1530" s="125">
        <f>IF(H$2=VLOOKUP(A1530,Journal!$A$7:$G$70,7),VLOOKUP(A1530,Journal!$A$7:M$70,9),0)</f>
        <v>0</v>
      </c>
      <c r="V1530" s="125">
        <f t="shared" si="173"/>
        <v>40</v>
      </c>
      <c r="X1530">
        <f t="shared" si="178"/>
        <v>0</v>
      </c>
      <c r="Y1530" s="143">
        <f t="shared" si="172"/>
        <v>-960.00000000006366</v>
      </c>
    </row>
    <row r="1531" spans="1:25" x14ac:dyDescent="0.25">
      <c r="A1531">
        <f t="shared" si="174"/>
        <v>1524</v>
      </c>
      <c r="B1531" s="88" t="str">
        <f>IF(OR(B1530="Total",B1530=""),"",IF(VLOOKUP(A1531,Journal!$B$7:$E$84,4)=0,"Total",VLOOKUP(A1531,Journal!$B$7:$D$84,3)))</f>
        <v/>
      </c>
      <c r="C1531" s="86" t="str">
        <f>IF(B1531="","",VLOOKUP(A1531,Journal!$B$7:$E$84,4))</f>
        <v/>
      </c>
      <c r="D1531" s="114" t="str">
        <f>IF(B1531="","",VLOOKUP(A1531,Journal!$B$7:$J$84,9))</f>
        <v/>
      </c>
      <c r="E1531" s="116"/>
      <c r="F1531" s="116"/>
      <c r="G1531" s="115"/>
      <c r="H1531" s="84" t="str">
        <f>IF(B1531="","",VLOOKUP(A1531,Journal!$B$7:$L$84,11))</f>
        <v/>
      </c>
      <c r="I1531" s="84" t="str">
        <f>IF(B1531="","",VLOOKUP(A1531,Journal!$B$7:$M$84,12))</f>
        <v/>
      </c>
      <c r="J1531" s="105">
        <f>IF(B1531="Total",SUM(J$8:J1530)+0.0001,IF(OR(B1531="",I$2=I1531),0,VLOOKUP(A1531,Journal!$B$7:M$84,8)))</f>
        <v>0</v>
      </c>
      <c r="K1531" s="102">
        <f>IF(B1531="Total",SUM(K$8:K1530)+0.0001,IF(OR(B1531="",J1531&lt;&gt;0),0,VLOOKUP(A1531,Journal!$B$7:M$84,8)))</f>
        <v>0</v>
      </c>
      <c r="L1531" s="87">
        <f t="shared" si="175"/>
        <v>0</v>
      </c>
      <c r="P1531">
        <f t="shared" si="176"/>
        <v>1.0000000000000001E-5</v>
      </c>
      <c r="R1531" s="15">
        <f t="shared" si="177"/>
        <v>1524</v>
      </c>
      <c r="S1531" s="126">
        <f>IF(VLOOKUP(A1531,Journal!$A$7:$E$70,5)=0,S1530+1,VLOOKUP(A1531,Journal!$A$7:$E$70,5))</f>
        <v>47181</v>
      </c>
      <c r="T1531" s="125">
        <f>IF(H$2=VLOOKUP(A1531,Journal!$A$7:$F$70,6),VLOOKUP(A1531,Journal!$A$7:M$70,9),0)</f>
        <v>0</v>
      </c>
      <c r="U1531" s="125">
        <f>IF(H$2=VLOOKUP(A1531,Journal!$A$7:$G$70,7),VLOOKUP(A1531,Journal!$A$7:M$70,9),0)</f>
        <v>0</v>
      </c>
      <c r="V1531" s="125">
        <f t="shared" si="173"/>
        <v>40</v>
      </c>
      <c r="X1531">
        <f t="shared" si="178"/>
        <v>0</v>
      </c>
      <c r="Y1531" s="143">
        <f t="shared" si="172"/>
        <v>-959.97368421059002</v>
      </c>
    </row>
    <row r="1532" spans="1:25" x14ac:dyDescent="0.25">
      <c r="A1532">
        <f t="shared" si="174"/>
        <v>1525</v>
      </c>
      <c r="B1532" s="88" t="str">
        <f>IF(OR(B1531="Total",B1531=""),"",IF(VLOOKUP(A1532,Journal!$B$7:$E$84,4)=0,"Total",VLOOKUP(A1532,Journal!$B$7:$D$84,3)))</f>
        <v/>
      </c>
      <c r="C1532" s="86" t="str">
        <f>IF(B1532="","",VLOOKUP(A1532,Journal!$B$7:$E$84,4))</f>
        <v/>
      </c>
      <c r="D1532" s="114" t="str">
        <f>IF(B1532="","",VLOOKUP(A1532,Journal!$B$7:$J$84,9))</f>
        <v/>
      </c>
      <c r="E1532" s="116"/>
      <c r="F1532" s="116"/>
      <c r="G1532" s="115"/>
      <c r="H1532" s="84" t="str">
        <f>IF(B1532="","",VLOOKUP(A1532,Journal!$B$7:$L$84,11))</f>
        <v/>
      </c>
      <c r="I1532" s="84" t="str">
        <f>IF(B1532="","",VLOOKUP(A1532,Journal!$B$7:$M$84,12))</f>
        <v/>
      </c>
      <c r="J1532" s="105">
        <f>IF(B1532="Total",SUM(J$8:J1531)+0.0001,IF(OR(B1532="",I$2=I1532),0,VLOOKUP(A1532,Journal!$B$7:M$84,8)))</f>
        <v>0</v>
      </c>
      <c r="K1532" s="102">
        <f>IF(B1532="Total",SUM(K$8:K1531)+0.0001,IF(OR(B1532="",J1532&lt;&gt;0),0,VLOOKUP(A1532,Journal!$B$7:M$84,8)))</f>
        <v>0</v>
      </c>
      <c r="L1532" s="87">
        <f t="shared" si="175"/>
        <v>0</v>
      </c>
      <c r="P1532">
        <f t="shared" si="176"/>
        <v>1.0000000000000001E-5</v>
      </c>
      <c r="R1532" s="15">
        <f t="shared" si="177"/>
        <v>1525</v>
      </c>
      <c r="S1532" s="126">
        <f>IF(VLOOKUP(A1532,Journal!$A$7:$E$70,5)=0,S1531+1,VLOOKUP(A1532,Journal!$A$7:$E$70,5))</f>
        <v>47182</v>
      </c>
      <c r="T1532" s="125">
        <f>IF(H$2=VLOOKUP(A1532,Journal!$A$7:$F$70,6),VLOOKUP(A1532,Journal!$A$7:M$70,9),0)</f>
        <v>0</v>
      </c>
      <c r="U1532" s="125">
        <f>IF(H$2=VLOOKUP(A1532,Journal!$A$7:$G$70,7),VLOOKUP(A1532,Journal!$A$7:M$70,9),0)</f>
        <v>0</v>
      </c>
      <c r="V1532" s="125">
        <f t="shared" si="173"/>
        <v>40</v>
      </c>
      <c r="X1532">
        <f t="shared" si="178"/>
        <v>0</v>
      </c>
      <c r="Y1532" s="143">
        <f t="shared" si="172"/>
        <v>-959.94736842111638</v>
      </c>
    </row>
    <row r="1533" spans="1:25" x14ac:dyDescent="0.25">
      <c r="A1533">
        <f t="shared" si="174"/>
        <v>1526</v>
      </c>
      <c r="B1533" s="88" t="str">
        <f>IF(OR(B1532="Total",B1532=""),"",IF(VLOOKUP(A1533,Journal!$B$7:$E$84,4)=0,"Total",VLOOKUP(A1533,Journal!$B$7:$D$84,3)))</f>
        <v/>
      </c>
      <c r="C1533" s="86" t="str">
        <f>IF(B1533="","",VLOOKUP(A1533,Journal!$B$7:$E$84,4))</f>
        <v/>
      </c>
      <c r="D1533" s="114" t="str">
        <f>IF(B1533="","",VLOOKUP(A1533,Journal!$B$7:$J$84,9))</f>
        <v/>
      </c>
      <c r="E1533" s="116"/>
      <c r="F1533" s="116"/>
      <c r="G1533" s="115"/>
      <c r="H1533" s="84" t="str">
        <f>IF(B1533="","",VLOOKUP(A1533,Journal!$B$7:$L$84,11))</f>
        <v/>
      </c>
      <c r="I1533" s="84" t="str">
        <f>IF(B1533="","",VLOOKUP(A1533,Journal!$B$7:$M$84,12))</f>
        <v/>
      </c>
      <c r="J1533" s="105">
        <f>IF(B1533="Total",SUM(J$8:J1532)+0.0001,IF(OR(B1533="",I$2=I1533),0,VLOOKUP(A1533,Journal!$B$7:M$84,8)))</f>
        <v>0</v>
      </c>
      <c r="K1533" s="102">
        <f>IF(B1533="Total",SUM(K$8:K1532)+0.0001,IF(OR(B1533="",J1533&lt;&gt;0),0,VLOOKUP(A1533,Journal!$B$7:M$84,8)))</f>
        <v>0</v>
      </c>
      <c r="L1533" s="87">
        <f t="shared" si="175"/>
        <v>0</v>
      </c>
      <c r="P1533">
        <f t="shared" si="176"/>
        <v>1.0000000000000001E-5</v>
      </c>
      <c r="R1533" s="15">
        <f t="shared" si="177"/>
        <v>1526</v>
      </c>
      <c r="S1533" s="126">
        <f>IF(VLOOKUP(A1533,Journal!$A$7:$E$70,5)=0,S1532+1,VLOOKUP(A1533,Journal!$A$7:$E$70,5))</f>
        <v>47183</v>
      </c>
      <c r="T1533" s="125">
        <f>IF(H$2=VLOOKUP(A1533,Journal!$A$7:$F$70,6),VLOOKUP(A1533,Journal!$A$7:M$70,9),0)</f>
        <v>0</v>
      </c>
      <c r="U1533" s="125">
        <f>IF(H$2=VLOOKUP(A1533,Journal!$A$7:$G$70,7),VLOOKUP(A1533,Journal!$A$7:M$70,9),0)</f>
        <v>0</v>
      </c>
      <c r="V1533" s="125">
        <f t="shared" si="173"/>
        <v>40</v>
      </c>
      <c r="X1533">
        <f t="shared" si="178"/>
        <v>0</v>
      </c>
      <c r="Y1533" s="143">
        <f t="shared" si="172"/>
        <v>-959.92105263164274</v>
      </c>
    </row>
    <row r="1534" spans="1:25" x14ac:dyDescent="0.25">
      <c r="A1534">
        <f t="shared" si="174"/>
        <v>1527</v>
      </c>
      <c r="B1534" s="88" t="str">
        <f>IF(OR(B1533="Total",B1533=""),"",IF(VLOOKUP(A1534,Journal!$B$7:$E$84,4)=0,"Total",VLOOKUP(A1534,Journal!$B$7:$D$84,3)))</f>
        <v/>
      </c>
      <c r="C1534" s="86" t="str">
        <f>IF(B1534="","",VLOOKUP(A1534,Journal!$B$7:$E$84,4))</f>
        <v/>
      </c>
      <c r="D1534" s="114" t="str">
        <f>IF(B1534="","",VLOOKUP(A1534,Journal!$B$7:$J$84,9))</f>
        <v/>
      </c>
      <c r="E1534" s="116"/>
      <c r="F1534" s="116"/>
      <c r="G1534" s="115"/>
      <c r="H1534" s="84" t="str">
        <f>IF(B1534="","",VLOOKUP(A1534,Journal!$B$7:$L$84,11))</f>
        <v/>
      </c>
      <c r="I1534" s="84" t="str">
        <f>IF(B1534="","",VLOOKUP(A1534,Journal!$B$7:$M$84,12))</f>
        <v/>
      </c>
      <c r="J1534" s="105">
        <f>IF(B1534="Total",SUM(J$8:J1533)+0.0001,IF(OR(B1534="",I$2=I1534),0,VLOOKUP(A1534,Journal!$B$7:M$84,8)))</f>
        <v>0</v>
      </c>
      <c r="K1534" s="102">
        <f>IF(B1534="Total",SUM(K$8:K1533)+0.0001,IF(OR(B1534="",J1534&lt;&gt;0),0,VLOOKUP(A1534,Journal!$B$7:M$84,8)))</f>
        <v>0</v>
      </c>
      <c r="L1534" s="87">
        <f t="shared" si="175"/>
        <v>0</v>
      </c>
      <c r="P1534">
        <f t="shared" si="176"/>
        <v>1.0000000000000001E-5</v>
      </c>
      <c r="R1534" s="15">
        <f t="shared" si="177"/>
        <v>1527</v>
      </c>
      <c r="S1534" s="126">
        <f>IF(VLOOKUP(A1534,Journal!$A$7:$E$70,5)=0,S1533+1,VLOOKUP(A1534,Journal!$A$7:$E$70,5))</f>
        <v>47184</v>
      </c>
      <c r="T1534" s="125">
        <f>IF(H$2=VLOOKUP(A1534,Journal!$A$7:$F$70,6),VLOOKUP(A1534,Journal!$A$7:M$70,9),0)</f>
        <v>0</v>
      </c>
      <c r="U1534" s="125">
        <f>IF(H$2=VLOOKUP(A1534,Journal!$A$7:$G$70,7),VLOOKUP(A1534,Journal!$A$7:M$70,9),0)</f>
        <v>0</v>
      </c>
      <c r="V1534" s="125">
        <f t="shared" si="173"/>
        <v>40</v>
      </c>
      <c r="X1534">
        <f t="shared" si="178"/>
        <v>0</v>
      </c>
      <c r="Y1534" s="143">
        <f t="shared" si="172"/>
        <v>-959.8947368421691</v>
      </c>
    </row>
    <row r="1535" spans="1:25" x14ac:dyDescent="0.25">
      <c r="A1535">
        <f t="shared" si="174"/>
        <v>1528</v>
      </c>
      <c r="B1535" s="88" t="str">
        <f>IF(OR(B1534="Total",B1534=""),"",IF(VLOOKUP(A1535,Journal!$B$7:$E$84,4)=0,"Total",VLOOKUP(A1535,Journal!$B$7:$D$84,3)))</f>
        <v/>
      </c>
      <c r="C1535" s="86" t="str">
        <f>IF(B1535="","",VLOOKUP(A1535,Journal!$B$7:$E$84,4))</f>
        <v/>
      </c>
      <c r="D1535" s="114" t="str">
        <f>IF(B1535="","",VLOOKUP(A1535,Journal!$B$7:$J$84,9))</f>
        <v/>
      </c>
      <c r="E1535" s="116"/>
      <c r="F1535" s="116"/>
      <c r="G1535" s="115"/>
      <c r="H1535" s="84" t="str">
        <f>IF(B1535="","",VLOOKUP(A1535,Journal!$B$7:$L$84,11))</f>
        <v/>
      </c>
      <c r="I1535" s="84" t="str">
        <f>IF(B1535="","",VLOOKUP(A1535,Journal!$B$7:$M$84,12))</f>
        <v/>
      </c>
      <c r="J1535" s="105">
        <f>IF(B1535="Total",SUM(J$8:J1534)+0.0001,IF(OR(B1535="",I$2=I1535),0,VLOOKUP(A1535,Journal!$B$7:M$84,8)))</f>
        <v>0</v>
      </c>
      <c r="K1535" s="102">
        <f>IF(B1535="Total",SUM(K$8:K1534)+0.0001,IF(OR(B1535="",J1535&lt;&gt;0),0,VLOOKUP(A1535,Journal!$B$7:M$84,8)))</f>
        <v>0</v>
      </c>
      <c r="L1535" s="87">
        <f t="shared" si="175"/>
        <v>0</v>
      </c>
      <c r="P1535">
        <f t="shared" si="176"/>
        <v>1.0000000000000001E-5</v>
      </c>
      <c r="R1535" s="15">
        <f t="shared" si="177"/>
        <v>1528</v>
      </c>
      <c r="S1535" s="126">
        <f>IF(VLOOKUP(A1535,Journal!$A$7:$E$70,5)=0,S1534+1,VLOOKUP(A1535,Journal!$A$7:$E$70,5))</f>
        <v>47185</v>
      </c>
      <c r="T1535" s="125">
        <f>IF(H$2=VLOOKUP(A1535,Journal!$A$7:$F$70,6),VLOOKUP(A1535,Journal!$A$7:M$70,9),0)</f>
        <v>0</v>
      </c>
      <c r="U1535" s="125">
        <f>IF(H$2=VLOOKUP(A1535,Journal!$A$7:$G$70,7),VLOOKUP(A1535,Journal!$A$7:M$70,9),0)</f>
        <v>0</v>
      </c>
      <c r="V1535" s="125">
        <f t="shared" si="173"/>
        <v>40</v>
      </c>
      <c r="X1535">
        <f t="shared" si="178"/>
        <v>0</v>
      </c>
      <c r="Y1535" s="143">
        <f t="shared" si="172"/>
        <v>-959.86842105269545</v>
      </c>
    </row>
    <row r="1536" spans="1:25" x14ac:dyDescent="0.25">
      <c r="A1536">
        <f t="shared" si="174"/>
        <v>1529</v>
      </c>
      <c r="B1536" s="88" t="str">
        <f>IF(OR(B1535="Total",B1535=""),"",IF(VLOOKUP(A1536,Journal!$B$7:$E$84,4)=0,"Total",VLOOKUP(A1536,Journal!$B$7:$D$84,3)))</f>
        <v/>
      </c>
      <c r="C1536" s="86" t="str">
        <f>IF(B1536="","",VLOOKUP(A1536,Journal!$B$7:$E$84,4))</f>
        <v/>
      </c>
      <c r="D1536" s="114" t="str">
        <f>IF(B1536="","",VLOOKUP(A1536,Journal!$B$7:$J$84,9))</f>
        <v/>
      </c>
      <c r="E1536" s="116"/>
      <c r="F1536" s="116"/>
      <c r="G1536" s="115"/>
      <c r="H1536" s="84" t="str">
        <f>IF(B1536="","",VLOOKUP(A1536,Journal!$B$7:$L$84,11))</f>
        <v/>
      </c>
      <c r="I1536" s="84" t="str">
        <f>IF(B1536="","",VLOOKUP(A1536,Journal!$B$7:$M$84,12))</f>
        <v/>
      </c>
      <c r="J1536" s="105">
        <f>IF(B1536="Total",SUM(J$8:J1535)+0.0001,IF(OR(B1536="",I$2=I1536),0,VLOOKUP(A1536,Journal!$B$7:M$84,8)))</f>
        <v>0</v>
      </c>
      <c r="K1536" s="102">
        <f>IF(B1536="Total",SUM(K$8:K1535)+0.0001,IF(OR(B1536="",J1536&lt;&gt;0),0,VLOOKUP(A1536,Journal!$B$7:M$84,8)))</f>
        <v>0</v>
      </c>
      <c r="L1536" s="87">
        <f t="shared" si="175"/>
        <v>0</v>
      </c>
      <c r="P1536">
        <f t="shared" si="176"/>
        <v>1.0000000000000001E-5</v>
      </c>
      <c r="R1536" s="15">
        <f t="shared" si="177"/>
        <v>1529</v>
      </c>
      <c r="S1536" s="126">
        <f>IF(VLOOKUP(A1536,Journal!$A$7:$E$70,5)=0,S1535+1,VLOOKUP(A1536,Journal!$A$7:$E$70,5))</f>
        <v>47186</v>
      </c>
      <c r="T1536" s="125">
        <f>IF(H$2=VLOOKUP(A1536,Journal!$A$7:$F$70,6),VLOOKUP(A1536,Journal!$A$7:M$70,9),0)</f>
        <v>0</v>
      </c>
      <c r="U1536" s="125">
        <f>IF(H$2=VLOOKUP(A1536,Journal!$A$7:$G$70,7),VLOOKUP(A1536,Journal!$A$7:M$70,9),0)</f>
        <v>0</v>
      </c>
      <c r="V1536" s="125">
        <f t="shared" si="173"/>
        <v>40</v>
      </c>
      <c r="X1536">
        <f t="shared" si="178"/>
        <v>0</v>
      </c>
      <c r="Y1536" s="143">
        <f t="shared" si="172"/>
        <v>-959.84210526322181</v>
      </c>
    </row>
    <row r="1537" spans="1:25" x14ac:dyDescent="0.25">
      <c r="A1537">
        <f t="shared" si="174"/>
        <v>1530</v>
      </c>
      <c r="B1537" s="88" t="str">
        <f>IF(OR(B1536="Total",B1536=""),"",IF(VLOOKUP(A1537,Journal!$B$7:$E$84,4)=0,"Total",VLOOKUP(A1537,Journal!$B$7:$D$84,3)))</f>
        <v/>
      </c>
      <c r="C1537" s="86" t="str">
        <f>IF(B1537="","",VLOOKUP(A1537,Journal!$B$7:$E$84,4))</f>
        <v/>
      </c>
      <c r="D1537" s="114" t="str">
        <f>IF(B1537="","",VLOOKUP(A1537,Journal!$B$7:$J$84,9))</f>
        <v/>
      </c>
      <c r="E1537" s="116"/>
      <c r="F1537" s="116"/>
      <c r="G1537" s="115"/>
      <c r="H1537" s="84" t="str">
        <f>IF(B1537="","",VLOOKUP(A1537,Journal!$B$7:$L$84,11))</f>
        <v/>
      </c>
      <c r="I1537" s="84" t="str">
        <f>IF(B1537="","",VLOOKUP(A1537,Journal!$B$7:$M$84,12))</f>
        <v/>
      </c>
      <c r="J1537" s="105">
        <f>IF(B1537="Total",SUM(J$8:J1536)+0.0001,IF(OR(B1537="",I$2=I1537),0,VLOOKUP(A1537,Journal!$B$7:M$84,8)))</f>
        <v>0</v>
      </c>
      <c r="K1537" s="102">
        <f>IF(B1537="Total",SUM(K$8:K1536)+0.0001,IF(OR(B1537="",J1537&lt;&gt;0),0,VLOOKUP(A1537,Journal!$B$7:M$84,8)))</f>
        <v>0</v>
      </c>
      <c r="L1537" s="87">
        <f t="shared" si="175"/>
        <v>0</v>
      </c>
      <c r="P1537">
        <f t="shared" si="176"/>
        <v>1.0000000000000001E-5</v>
      </c>
      <c r="R1537" s="15">
        <f t="shared" si="177"/>
        <v>1530</v>
      </c>
      <c r="S1537" s="126">
        <f>IF(VLOOKUP(A1537,Journal!$A$7:$E$70,5)=0,S1536+1,VLOOKUP(A1537,Journal!$A$7:$E$70,5))</f>
        <v>47187</v>
      </c>
      <c r="T1537" s="125">
        <f>IF(H$2=VLOOKUP(A1537,Journal!$A$7:$F$70,6),VLOOKUP(A1537,Journal!$A$7:M$70,9),0)</f>
        <v>0</v>
      </c>
      <c r="U1537" s="125">
        <f>IF(H$2=VLOOKUP(A1537,Journal!$A$7:$G$70,7),VLOOKUP(A1537,Journal!$A$7:M$70,9),0)</f>
        <v>0</v>
      </c>
      <c r="V1537" s="125">
        <f t="shared" si="173"/>
        <v>40</v>
      </c>
      <c r="X1537">
        <f t="shared" si="178"/>
        <v>0</v>
      </c>
      <c r="Y1537" s="143">
        <f t="shared" si="172"/>
        <v>-959.81578947374817</v>
      </c>
    </row>
    <row r="1538" spans="1:25" x14ac:dyDescent="0.25">
      <c r="A1538">
        <f t="shared" si="174"/>
        <v>1531</v>
      </c>
      <c r="B1538" s="88" t="str">
        <f>IF(OR(B1537="Total",B1537=""),"",IF(VLOOKUP(A1538,Journal!$B$7:$E$84,4)=0,"Total",VLOOKUP(A1538,Journal!$B$7:$D$84,3)))</f>
        <v/>
      </c>
      <c r="C1538" s="86" t="str">
        <f>IF(B1538="","",VLOOKUP(A1538,Journal!$B$7:$E$84,4))</f>
        <v/>
      </c>
      <c r="D1538" s="114" t="str">
        <f>IF(B1538="","",VLOOKUP(A1538,Journal!$B$7:$J$84,9))</f>
        <v/>
      </c>
      <c r="E1538" s="116"/>
      <c r="F1538" s="116"/>
      <c r="G1538" s="115"/>
      <c r="H1538" s="84" t="str">
        <f>IF(B1538="","",VLOOKUP(A1538,Journal!$B$7:$L$84,11))</f>
        <v/>
      </c>
      <c r="I1538" s="84" t="str">
        <f>IF(B1538="","",VLOOKUP(A1538,Journal!$B$7:$M$84,12))</f>
        <v/>
      </c>
      <c r="J1538" s="105">
        <f>IF(B1538="Total",SUM(J$8:J1537)+0.0001,IF(OR(B1538="",I$2=I1538),0,VLOOKUP(A1538,Journal!$B$7:M$84,8)))</f>
        <v>0</v>
      </c>
      <c r="K1538" s="102">
        <f>IF(B1538="Total",SUM(K$8:K1537)+0.0001,IF(OR(B1538="",J1538&lt;&gt;0),0,VLOOKUP(A1538,Journal!$B$7:M$84,8)))</f>
        <v>0</v>
      </c>
      <c r="L1538" s="87">
        <f t="shared" si="175"/>
        <v>0</v>
      </c>
      <c r="P1538">
        <f t="shared" si="176"/>
        <v>1.0000000000000001E-5</v>
      </c>
      <c r="R1538" s="15">
        <f t="shared" si="177"/>
        <v>1531</v>
      </c>
      <c r="S1538" s="126">
        <f>IF(VLOOKUP(A1538,Journal!$A$7:$E$70,5)=0,S1537+1,VLOOKUP(A1538,Journal!$A$7:$E$70,5))</f>
        <v>47188</v>
      </c>
      <c r="T1538" s="125">
        <f>IF(H$2=VLOOKUP(A1538,Journal!$A$7:$F$70,6),VLOOKUP(A1538,Journal!$A$7:M$70,9),0)</f>
        <v>0</v>
      </c>
      <c r="U1538" s="125">
        <f>IF(H$2=VLOOKUP(A1538,Journal!$A$7:$G$70,7),VLOOKUP(A1538,Journal!$A$7:M$70,9),0)</f>
        <v>0</v>
      </c>
      <c r="V1538" s="125">
        <f t="shared" si="173"/>
        <v>40</v>
      </c>
      <c r="X1538">
        <f t="shared" si="178"/>
        <v>0</v>
      </c>
      <c r="Y1538" s="143">
        <f t="shared" si="172"/>
        <v>-959.78947368427453</v>
      </c>
    </row>
    <row r="1539" spans="1:25" x14ac:dyDescent="0.25">
      <c r="A1539">
        <f t="shared" si="174"/>
        <v>1532</v>
      </c>
      <c r="B1539" s="88" t="str">
        <f>IF(OR(B1538="Total",B1538=""),"",IF(VLOOKUP(A1539,Journal!$B$7:$E$84,4)=0,"Total",VLOOKUP(A1539,Journal!$B$7:$D$84,3)))</f>
        <v/>
      </c>
      <c r="C1539" s="86" t="str">
        <f>IF(B1539="","",VLOOKUP(A1539,Journal!$B$7:$E$84,4))</f>
        <v/>
      </c>
      <c r="D1539" s="114" t="str">
        <f>IF(B1539="","",VLOOKUP(A1539,Journal!$B$7:$J$84,9))</f>
        <v/>
      </c>
      <c r="E1539" s="116"/>
      <c r="F1539" s="116"/>
      <c r="G1539" s="115"/>
      <c r="H1539" s="84" t="str">
        <f>IF(B1539="","",VLOOKUP(A1539,Journal!$B$7:$L$84,11))</f>
        <v/>
      </c>
      <c r="I1539" s="84" t="str">
        <f>IF(B1539="","",VLOOKUP(A1539,Journal!$B$7:$M$84,12))</f>
        <v/>
      </c>
      <c r="J1539" s="105">
        <f>IF(B1539="Total",SUM(J$8:J1538)+0.0001,IF(OR(B1539="",I$2=I1539),0,VLOOKUP(A1539,Journal!$B$7:M$84,8)))</f>
        <v>0</v>
      </c>
      <c r="K1539" s="102">
        <f>IF(B1539="Total",SUM(K$8:K1538)+0.0001,IF(OR(B1539="",J1539&lt;&gt;0),0,VLOOKUP(A1539,Journal!$B$7:M$84,8)))</f>
        <v>0</v>
      </c>
      <c r="L1539" s="87">
        <f t="shared" si="175"/>
        <v>0</v>
      </c>
      <c r="P1539">
        <f t="shared" si="176"/>
        <v>1.0000000000000001E-5</v>
      </c>
      <c r="R1539" s="15">
        <f t="shared" si="177"/>
        <v>1532</v>
      </c>
      <c r="S1539" s="126">
        <f>IF(VLOOKUP(A1539,Journal!$A$7:$E$70,5)=0,S1538+1,VLOOKUP(A1539,Journal!$A$7:$E$70,5))</f>
        <v>47189</v>
      </c>
      <c r="T1539" s="125">
        <f>IF(H$2=VLOOKUP(A1539,Journal!$A$7:$F$70,6),VLOOKUP(A1539,Journal!$A$7:M$70,9),0)</f>
        <v>0</v>
      </c>
      <c r="U1539" s="125">
        <f>IF(H$2=VLOOKUP(A1539,Journal!$A$7:$G$70,7),VLOOKUP(A1539,Journal!$A$7:M$70,9),0)</f>
        <v>0</v>
      </c>
      <c r="V1539" s="125">
        <f t="shared" si="173"/>
        <v>40</v>
      </c>
      <c r="X1539">
        <f t="shared" si="178"/>
        <v>0</v>
      </c>
      <c r="Y1539" s="143">
        <f t="shared" si="172"/>
        <v>-959.76315789480088</v>
      </c>
    </row>
    <row r="1540" spans="1:25" x14ac:dyDescent="0.25">
      <c r="A1540">
        <f t="shared" si="174"/>
        <v>1533</v>
      </c>
      <c r="B1540" s="88" t="str">
        <f>IF(OR(B1539="Total",B1539=""),"",IF(VLOOKUP(A1540,Journal!$B$7:$E$84,4)=0,"Total",VLOOKUP(A1540,Journal!$B$7:$D$84,3)))</f>
        <v/>
      </c>
      <c r="C1540" s="86" t="str">
        <f>IF(B1540="","",VLOOKUP(A1540,Journal!$B$7:$E$84,4))</f>
        <v/>
      </c>
      <c r="D1540" s="114" t="str">
        <f>IF(B1540="","",VLOOKUP(A1540,Journal!$B$7:$J$84,9))</f>
        <v/>
      </c>
      <c r="E1540" s="116"/>
      <c r="F1540" s="116"/>
      <c r="G1540" s="115"/>
      <c r="H1540" s="84" t="str">
        <f>IF(B1540="","",VLOOKUP(A1540,Journal!$B$7:$L$84,11))</f>
        <v/>
      </c>
      <c r="I1540" s="84" t="str">
        <f>IF(B1540="","",VLOOKUP(A1540,Journal!$B$7:$M$84,12))</f>
        <v/>
      </c>
      <c r="J1540" s="105">
        <f>IF(B1540="Total",SUM(J$8:J1539)+0.0001,IF(OR(B1540="",I$2=I1540),0,VLOOKUP(A1540,Journal!$B$7:M$84,8)))</f>
        <v>0</v>
      </c>
      <c r="K1540" s="102">
        <f>IF(B1540="Total",SUM(K$8:K1539)+0.0001,IF(OR(B1540="",J1540&lt;&gt;0),0,VLOOKUP(A1540,Journal!$B$7:M$84,8)))</f>
        <v>0</v>
      </c>
      <c r="L1540" s="87">
        <f t="shared" si="175"/>
        <v>0</v>
      </c>
      <c r="P1540">
        <f t="shared" si="176"/>
        <v>1.0000000000000001E-5</v>
      </c>
      <c r="R1540" s="15">
        <f t="shared" si="177"/>
        <v>1533</v>
      </c>
      <c r="S1540" s="126">
        <f>IF(VLOOKUP(A1540,Journal!$A$7:$E$70,5)=0,S1539+1,VLOOKUP(A1540,Journal!$A$7:$E$70,5))</f>
        <v>47190</v>
      </c>
      <c r="T1540" s="125">
        <f>IF(H$2=VLOOKUP(A1540,Journal!$A$7:$F$70,6),VLOOKUP(A1540,Journal!$A$7:M$70,9),0)</f>
        <v>0</v>
      </c>
      <c r="U1540" s="125">
        <f>IF(H$2=VLOOKUP(A1540,Journal!$A$7:$G$70,7),VLOOKUP(A1540,Journal!$A$7:M$70,9),0)</f>
        <v>0</v>
      </c>
      <c r="V1540" s="125">
        <f t="shared" si="173"/>
        <v>40</v>
      </c>
      <c r="X1540">
        <f t="shared" si="178"/>
        <v>0</v>
      </c>
      <c r="Y1540" s="143">
        <f t="shared" si="172"/>
        <v>-959.73684210532724</v>
      </c>
    </row>
    <row r="1541" spans="1:25" x14ac:dyDescent="0.25">
      <c r="A1541">
        <f t="shared" si="174"/>
        <v>1534</v>
      </c>
      <c r="B1541" s="88" t="str">
        <f>IF(OR(B1540="Total",B1540=""),"",IF(VLOOKUP(A1541,Journal!$B$7:$E$84,4)=0,"Total",VLOOKUP(A1541,Journal!$B$7:$D$84,3)))</f>
        <v/>
      </c>
      <c r="C1541" s="86" t="str">
        <f>IF(B1541="","",VLOOKUP(A1541,Journal!$B$7:$E$84,4))</f>
        <v/>
      </c>
      <c r="D1541" s="114" t="str">
        <f>IF(B1541="","",VLOOKUP(A1541,Journal!$B$7:$J$84,9))</f>
        <v/>
      </c>
      <c r="E1541" s="116"/>
      <c r="F1541" s="116"/>
      <c r="G1541" s="115"/>
      <c r="H1541" s="84" t="str">
        <f>IF(B1541="","",VLOOKUP(A1541,Journal!$B$7:$L$84,11))</f>
        <v/>
      </c>
      <c r="I1541" s="84" t="str">
        <f>IF(B1541="","",VLOOKUP(A1541,Journal!$B$7:$M$84,12))</f>
        <v/>
      </c>
      <c r="J1541" s="105">
        <f>IF(B1541="Total",SUM(J$8:J1540)+0.0001,IF(OR(B1541="",I$2=I1541),0,VLOOKUP(A1541,Journal!$B$7:M$84,8)))</f>
        <v>0</v>
      </c>
      <c r="K1541" s="102">
        <f>IF(B1541="Total",SUM(K$8:K1540)+0.0001,IF(OR(B1541="",J1541&lt;&gt;0),0,VLOOKUP(A1541,Journal!$B$7:M$84,8)))</f>
        <v>0</v>
      </c>
      <c r="L1541" s="87">
        <f t="shared" si="175"/>
        <v>0</v>
      </c>
      <c r="P1541">
        <f t="shared" si="176"/>
        <v>1.0000000000000001E-5</v>
      </c>
      <c r="R1541" s="15">
        <f t="shared" si="177"/>
        <v>1534</v>
      </c>
      <c r="S1541" s="126">
        <f>IF(VLOOKUP(A1541,Journal!$A$7:$E$70,5)=0,S1540+1,VLOOKUP(A1541,Journal!$A$7:$E$70,5))</f>
        <v>47191</v>
      </c>
      <c r="T1541" s="125">
        <f>IF(H$2=VLOOKUP(A1541,Journal!$A$7:$F$70,6),VLOOKUP(A1541,Journal!$A$7:M$70,9),0)</f>
        <v>0</v>
      </c>
      <c r="U1541" s="125">
        <f>IF(H$2=VLOOKUP(A1541,Journal!$A$7:$G$70,7),VLOOKUP(A1541,Journal!$A$7:M$70,9),0)</f>
        <v>0</v>
      </c>
      <c r="V1541" s="125">
        <f t="shared" si="173"/>
        <v>40</v>
      </c>
      <c r="X1541">
        <f t="shared" si="178"/>
        <v>0</v>
      </c>
      <c r="Y1541" s="143">
        <f t="shared" si="172"/>
        <v>-959.7105263158536</v>
      </c>
    </row>
    <row r="1542" spans="1:25" x14ac:dyDescent="0.25">
      <c r="A1542">
        <f t="shared" si="174"/>
        <v>1535</v>
      </c>
      <c r="B1542" s="88" t="str">
        <f>IF(OR(B1541="Total",B1541=""),"",IF(VLOOKUP(A1542,Journal!$B$7:$E$84,4)=0,"Total",VLOOKUP(A1542,Journal!$B$7:$D$84,3)))</f>
        <v/>
      </c>
      <c r="C1542" s="86" t="str">
        <f>IF(B1542="","",VLOOKUP(A1542,Journal!$B$7:$E$84,4))</f>
        <v/>
      </c>
      <c r="D1542" s="114" t="str">
        <f>IF(B1542="","",VLOOKUP(A1542,Journal!$B$7:$J$84,9))</f>
        <v/>
      </c>
      <c r="E1542" s="116"/>
      <c r="F1542" s="116"/>
      <c r="G1542" s="115"/>
      <c r="H1542" s="84" t="str">
        <f>IF(B1542="","",VLOOKUP(A1542,Journal!$B$7:$L$84,11))</f>
        <v/>
      </c>
      <c r="I1542" s="84" t="str">
        <f>IF(B1542="","",VLOOKUP(A1542,Journal!$B$7:$M$84,12))</f>
        <v/>
      </c>
      <c r="J1542" s="105">
        <f>IF(B1542="Total",SUM(J$8:J1541)+0.0001,IF(OR(B1542="",I$2=I1542),0,VLOOKUP(A1542,Journal!$B$7:M$84,8)))</f>
        <v>0</v>
      </c>
      <c r="K1542" s="102">
        <f>IF(B1542="Total",SUM(K$8:K1541)+0.0001,IF(OR(B1542="",J1542&lt;&gt;0),0,VLOOKUP(A1542,Journal!$B$7:M$84,8)))</f>
        <v>0</v>
      </c>
      <c r="L1542" s="87">
        <f t="shared" si="175"/>
        <v>0</v>
      </c>
      <c r="P1542">
        <f t="shared" si="176"/>
        <v>1.0000000000000001E-5</v>
      </c>
      <c r="R1542" s="15">
        <f t="shared" si="177"/>
        <v>1535</v>
      </c>
      <c r="S1542" s="126">
        <f>IF(VLOOKUP(A1542,Journal!$A$7:$E$70,5)=0,S1541+1,VLOOKUP(A1542,Journal!$A$7:$E$70,5))</f>
        <v>47192</v>
      </c>
      <c r="T1542" s="125">
        <f>IF(H$2=VLOOKUP(A1542,Journal!$A$7:$F$70,6),VLOOKUP(A1542,Journal!$A$7:M$70,9),0)</f>
        <v>0</v>
      </c>
      <c r="U1542" s="125">
        <f>IF(H$2=VLOOKUP(A1542,Journal!$A$7:$G$70,7),VLOOKUP(A1542,Journal!$A$7:M$70,9),0)</f>
        <v>0</v>
      </c>
      <c r="V1542" s="125">
        <f t="shared" si="173"/>
        <v>40</v>
      </c>
      <c r="X1542">
        <f t="shared" si="178"/>
        <v>0</v>
      </c>
      <c r="Y1542" s="143">
        <f t="shared" si="172"/>
        <v>-959.68421052637996</v>
      </c>
    </row>
    <row r="1543" spans="1:25" x14ac:dyDescent="0.25">
      <c r="A1543">
        <f t="shared" si="174"/>
        <v>1536</v>
      </c>
      <c r="B1543" s="88" t="str">
        <f>IF(OR(B1542="Total",B1542=""),"",IF(VLOOKUP(A1543,Journal!$B$7:$E$84,4)=0,"Total",VLOOKUP(A1543,Journal!$B$7:$D$84,3)))</f>
        <v/>
      </c>
      <c r="C1543" s="86" t="str">
        <f>IF(B1543="","",VLOOKUP(A1543,Journal!$B$7:$E$84,4))</f>
        <v/>
      </c>
      <c r="D1543" s="114" t="str">
        <f>IF(B1543="","",VLOOKUP(A1543,Journal!$B$7:$J$84,9))</f>
        <v/>
      </c>
      <c r="E1543" s="116"/>
      <c r="F1543" s="116"/>
      <c r="G1543" s="115"/>
      <c r="H1543" s="84" t="str">
        <f>IF(B1543="","",VLOOKUP(A1543,Journal!$B$7:$L$84,11))</f>
        <v/>
      </c>
      <c r="I1543" s="84" t="str">
        <f>IF(B1543="","",VLOOKUP(A1543,Journal!$B$7:$M$84,12))</f>
        <v/>
      </c>
      <c r="J1543" s="105">
        <f>IF(B1543="Total",SUM(J$8:J1542)+0.0001,IF(OR(B1543="",I$2=I1543),0,VLOOKUP(A1543,Journal!$B$7:M$84,8)))</f>
        <v>0</v>
      </c>
      <c r="K1543" s="102">
        <f>IF(B1543="Total",SUM(K$8:K1542)+0.0001,IF(OR(B1543="",J1543&lt;&gt;0),0,VLOOKUP(A1543,Journal!$B$7:M$84,8)))</f>
        <v>0</v>
      </c>
      <c r="L1543" s="87">
        <f t="shared" si="175"/>
        <v>0</v>
      </c>
      <c r="P1543">
        <f t="shared" si="176"/>
        <v>1.0000000000000001E-5</v>
      </c>
      <c r="R1543" s="15">
        <f t="shared" si="177"/>
        <v>1536</v>
      </c>
      <c r="S1543" s="126">
        <f>IF(VLOOKUP(A1543,Journal!$A$7:$E$70,5)=0,S1542+1,VLOOKUP(A1543,Journal!$A$7:$E$70,5))</f>
        <v>47193</v>
      </c>
      <c r="T1543" s="125">
        <f>IF(H$2=VLOOKUP(A1543,Journal!$A$7:$F$70,6),VLOOKUP(A1543,Journal!$A$7:M$70,9),0)</f>
        <v>0</v>
      </c>
      <c r="U1543" s="125">
        <f>IF(H$2=VLOOKUP(A1543,Journal!$A$7:$G$70,7),VLOOKUP(A1543,Journal!$A$7:M$70,9),0)</f>
        <v>0</v>
      </c>
      <c r="V1543" s="125">
        <f t="shared" si="173"/>
        <v>40</v>
      </c>
      <c r="X1543">
        <f t="shared" si="178"/>
        <v>0</v>
      </c>
      <c r="Y1543" s="143">
        <f t="shared" si="172"/>
        <v>-959.65789473690631</v>
      </c>
    </row>
    <row r="1544" spans="1:25" x14ac:dyDescent="0.25">
      <c r="A1544">
        <f t="shared" si="174"/>
        <v>1537</v>
      </c>
      <c r="B1544" s="88" t="str">
        <f>IF(OR(B1543="Total",B1543=""),"",IF(VLOOKUP(A1544,Journal!$B$7:$E$84,4)=0,"Total",VLOOKUP(A1544,Journal!$B$7:$D$84,3)))</f>
        <v/>
      </c>
      <c r="C1544" s="86" t="str">
        <f>IF(B1544="","",VLOOKUP(A1544,Journal!$B$7:$E$84,4))</f>
        <v/>
      </c>
      <c r="D1544" s="114" t="str">
        <f>IF(B1544="","",VLOOKUP(A1544,Journal!$B$7:$J$84,9))</f>
        <v/>
      </c>
      <c r="E1544" s="116"/>
      <c r="F1544" s="116"/>
      <c r="G1544" s="115"/>
      <c r="H1544" s="84" t="str">
        <f>IF(B1544="","",VLOOKUP(A1544,Journal!$B$7:$L$84,11))</f>
        <v/>
      </c>
      <c r="I1544" s="84" t="str">
        <f>IF(B1544="","",VLOOKUP(A1544,Journal!$B$7:$M$84,12))</f>
        <v/>
      </c>
      <c r="J1544" s="105">
        <f>IF(B1544="Total",SUM(J$8:J1543)+0.0001,IF(OR(B1544="",I$2=I1544),0,VLOOKUP(A1544,Journal!$B$7:M$84,8)))</f>
        <v>0</v>
      </c>
      <c r="K1544" s="102">
        <f>IF(B1544="Total",SUM(K$8:K1543)+0.0001,IF(OR(B1544="",J1544&lt;&gt;0),0,VLOOKUP(A1544,Journal!$B$7:M$84,8)))</f>
        <v>0</v>
      </c>
      <c r="L1544" s="87">
        <f t="shared" si="175"/>
        <v>0</v>
      </c>
      <c r="P1544">
        <f t="shared" si="176"/>
        <v>1.0000000000000001E-5</v>
      </c>
      <c r="R1544" s="15">
        <f t="shared" si="177"/>
        <v>1537</v>
      </c>
      <c r="S1544" s="126">
        <f>IF(VLOOKUP(A1544,Journal!$A$7:$E$70,5)=0,S1543+1,VLOOKUP(A1544,Journal!$A$7:$E$70,5))</f>
        <v>47194</v>
      </c>
      <c r="T1544" s="125">
        <f>IF(H$2=VLOOKUP(A1544,Journal!$A$7:$F$70,6),VLOOKUP(A1544,Journal!$A$7:M$70,9),0)</f>
        <v>0</v>
      </c>
      <c r="U1544" s="125">
        <f>IF(H$2=VLOOKUP(A1544,Journal!$A$7:$G$70,7),VLOOKUP(A1544,Journal!$A$7:M$70,9),0)</f>
        <v>0</v>
      </c>
      <c r="V1544" s="125">
        <f t="shared" si="173"/>
        <v>40</v>
      </c>
      <c r="X1544">
        <f t="shared" si="178"/>
        <v>0</v>
      </c>
      <c r="Y1544" s="143">
        <f t="shared" ref="Y1544:Y1607" si="179">IF(B1543="Total",-1000,Y1543+Y$4)</f>
        <v>-959.63157894743267</v>
      </c>
    </row>
    <row r="1545" spans="1:25" x14ac:dyDescent="0.25">
      <c r="A1545">
        <f t="shared" si="174"/>
        <v>1538</v>
      </c>
      <c r="B1545" s="88" t="str">
        <f>IF(OR(B1544="Total",B1544=""),"",IF(VLOOKUP(A1545,Journal!$B$7:$E$84,4)=0,"Total",VLOOKUP(A1545,Journal!$B$7:$D$84,3)))</f>
        <v/>
      </c>
      <c r="C1545" s="86" t="str">
        <f>IF(B1545="","",VLOOKUP(A1545,Journal!$B$7:$E$84,4))</f>
        <v/>
      </c>
      <c r="D1545" s="114" t="str">
        <f>IF(B1545="","",VLOOKUP(A1545,Journal!$B$7:$J$84,9))</f>
        <v/>
      </c>
      <c r="E1545" s="116"/>
      <c r="F1545" s="116"/>
      <c r="G1545" s="115"/>
      <c r="H1545" s="84" t="str">
        <f>IF(B1545="","",VLOOKUP(A1545,Journal!$B$7:$L$84,11))</f>
        <v/>
      </c>
      <c r="I1545" s="84" t="str">
        <f>IF(B1545="","",VLOOKUP(A1545,Journal!$B$7:$M$84,12))</f>
        <v/>
      </c>
      <c r="J1545" s="105">
        <f>IF(B1545="Total",SUM(J$8:J1544)+0.0001,IF(OR(B1545="",I$2=I1545),0,VLOOKUP(A1545,Journal!$B$7:M$84,8)))</f>
        <v>0</v>
      </c>
      <c r="K1545" s="102">
        <f>IF(B1545="Total",SUM(K$8:K1544)+0.0001,IF(OR(B1545="",J1545&lt;&gt;0),0,VLOOKUP(A1545,Journal!$B$7:M$84,8)))</f>
        <v>0</v>
      </c>
      <c r="L1545" s="87">
        <f t="shared" si="175"/>
        <v>0</v>
      </c>
      <c r="P1545">
        <f t="shared" si="176"/>
        <v>1.0000000000000001E-5</v>
      </c>
      <c r="R1545" s="15">
        <f t="shared" si="177"/>
        <v>1538</v>
      </c>
      <c r="S1545" s="126">
        <f>IF(VLOOKUP(A1545,Journal!$A$7:$E$70,5)=0,S1544+1,VLOOKUP(A1545,Journal!$A$7:$E$70,5))</f>
        <v>47195</v>
      </c>
      <c r="T1545" s="125">
        <f>IF(H$2=VLOOKUP(A1545,Journal!$A$7:$F$70,6),VLOOKUP(A1545,Journal!$A$7:M$70,9),0)</f>
        <v>0</v>
      </c>
      <c r="U1545" s="125">
        <f>IF(H$2=VLOOKUP(A1545,Journal!$A$7:$G$70,7),VLOOKUP(A1545,Journal!$A$7:M$70,9),0)</f>
        <v>0</v>
      </c>
      <c r="V1545" s="125">
        <f t="shared" si="173"/>
        <v>40</v>
      </c>
      <c r="X1545">
        <f t="shared" si="178"/>
        <v>0</v>
      </c>
      <c r="Y1545" s="143">
        <f t="shared" si="179"/>
        <v>-959.60526315795903</v>
      </c>
    </row>
    <row r="1546" spans="1:25" x14ac:dyDescent="0.25">
      <c r="A1546">
        <f t="shared" si="174"/>
        <v>1539</v>
      </c>
      <c r="B1546" s="88" t="str">
        <f>IF(OR(B1545="Total",B1545=""),"",IF(VLOOKUP(A1546,Journal!$B$7:$E$84,4)=0,"Total",VLOOKUP(A1546,Journal!$B$7:$D$84,3)))</f>
        <v/>
      </c>
      <c r="C1546" s="86" t="str">
        <f>IF(B1546="","",VLOOKUP(A1546,Journal!$B$7:$E$84,4))</f>
        <v/>
      </c>
      <c r="D1546" s="114" t="str">
        <f>IF(B1546="","",VLOOKUP(A1546,Journal!$B$7:$J$84,9))</f>
        <v/>
      </c>
      <c r="E1546" s="116"/>
      <c r="F1546" s="116"/>
      <c r="G1546" s="115"/>
      <c r="H1546" s="84" t="str">
        <f>IF(B1546="","",VLOOKUP(A1546,Journal!$B$7:$L$84,11))</f>
        <v/>
      </c>
      <c r="I1546" s="84" t="str">
        <f>IF(B1546="","",VLOOKUP(A1546,Journal!$B$7:$M$84,12))</f>
        <v/>
      </c>
      <c r="J1546" s="105">
        <f>IF(B1546="Total",SUM(J$8:J1545)+0.0001,IF(OR(B1546="",I$2=I1546),0,VLOOKUP(A1546,Journal!$B$7:M$84,8)))</f>
        <v>0</v>
      </c>
      <c r="K1546" s="102">
        <f>IF(B1546="Total",SUM(K$8:K1545)+0.0001,IF(OR(B1546="",J1546&lt;&gt;0),0,VLOOKUP(A1546,Journal!$B$7:M$84,8)))</f>
        <v>0</v>
      </c>
      <c r="L1546" s="87">
        <f t="shared" si="175"/>
        <v>0</v>
      </c>
      <c r="P1546">
        <f t="shared" si="176"/>
        <v>1.0000000000000001E-5</v>
      </c>
      <c r="R1546" s="15">
        <f t="shared" si="177"/>
        <v>1539</v>
      </c>
      <c r="S1546" s="126">
        <f>IF(VLOOKUP(A1546,Journal!$A$7:$E$70,5)=0,S1545+1,VLOOKUP(A1546,Journal!$A$7:$E$70,5))</f>
        <v>47196</v>
      </c>
      <c r="T1546" s="125">
        <f>IF(H$2=VLOOKUP(A1546,Journal!$A$7:$F$70,6),VLOOKUP(A1546,Journal!$A$7:M$70,9),0)</f>
        <v>0</v>
      </c>
      <c r="U1546" s="125">
        <f>IF(H$2=VLOOKUP(A1546,Journal!$A$7:$G$70,7),VLOOKUP(A1546,Journal!$A$7:M$70,9),0)</f>
        <v>0</v>
      </c>
      <c r="V1546" s="125">
        <f t="shared" ref="V1546:V1609" si="180">IF($M$1=1,V1545+T1546-U1546,V1545-T1546+U1546)</f>
        <v>40</v>
      </c>
      <c r="X1546">
        <f t="shared" si="178"/>
        <v>0</v>
      </c>
      <c r="Y1546" s="143">
        <f t="shared" si="179"/>
        <v>-959.57894736848539</v>
      </c>
    </row>
    <row r="1547" spans="1:25" x14ac:dyDescent="0.25">
      <c r="A1547">
        <f t="shared" si="174"/>
        <v>1540</v>
      </c>
      <c r="B1547" s="88" t="str">
        <f>IF(OR(B1546="Total",B1546=""),"",IF(VLOOKUP(A1547,Journal!$B$7:$E$84,4)=0,"Total",VLOOKUP(A1547,Journal!$B$7:$D$84,3)))</f>
        <v/>
      </c>
      <c r="C1547" s="86" t="str">
        <f>IF(B1547="","",VLOOKUP(A1547,Journal!$B$7:$E$84,4))</f>
        <v/>
      </c>
      <c r="D1547" s="114" t="str">
        <f>IF(B1547="","",VLOOKUP(A1547,Journal!$B$7:$J$84,9))</f>
        <v/>
      </c>
      <c r="E1547" s="116"/>
      <c r="F1547" s="116"/>
      <c r="G1547" s="115"/>
      <c r="H1547" s="84" t="str">
        <f>IF(B1547="","",VLOOKUP(A1547,Journal!$B$7:$L$84,11))</f>
        <v/>
      </c>
      <c r="I1547" s="84" t="str">
        <f>IF(B1547="","",VLOOKUP(A1547,Journal!$B$7:$M$84,12))</f>
        <v/>
      </c>
      <c r="J1547" s="105">
        <f>IF(B1547="Total",SUM(J$8:J1546)+0.0001,IF(OR(B1547="",I$2=I1547),0,VLOOKUP(A1547,Journal!$B$7:M$84,8)))</f>
        <v>0</v>
      </c>
      <c r="K1547" s="102">
        <f>IF(B1547="Total",SUM(K$8:K1546)+0.0001,IF(OR(B1547="",J1547&lt;&gt;0),0,VLOOKUP(A1547,Journal!$B$7:M$84,8)))</f>
        <v>0</v>
      </c>
      <c r="L1547" s="87">
        <f t="shared" si="175"/>
        <v>0</v>
      </c>
      <c r="P1547">
        <f t="shared" si="176"/>
        <v>1.0000000000000001E-5</v>
      </c>
      <c r="R1547" s="15">
        <f t="shared" si="177"/>
        <v>1540</v>
      </c>
      <c r="S1547" s="126">
        <f>IF(VLOOKUP(A1547,Journal!$A$7:$E$70,5)=0,S1546+1,VLOOKUP(A1547,Journal!$A$7:$E$70,5))</f>
        <v>47197</v>
      </c>
      <c r="T1547" s="125">
        <f>IF(H$2=VLOOKUP(A1547,Journal!$A$7:$F$70,6),VLOOKUP(A1547,Journal!$A$7:M$70,9),0)</f>
        <v>0</v>
      </c>
      <c r="U1547" s="125">
        <f>IF(H$2=VLOOKUP(A1547,Journal!$A$7:$G$70,7),VLOOKUP(A1547,Journal!$A$7:M$70,9),0)</f>
        <v>0</v>
      </c>
      <c r="V1547" s="125">
        <f t="shared" si="180"/>
        <v>40</v>
      </c>
      <c r="X1547">
        <f t="shared" si="178"/>
        <v>0</v>
      </c>
      <c r="Y1547" s="143">
        <f t="shared" si="179"/>
        <v>-959.55263157901175</v>
      </c>
    </row>
    <row r="1548" spans="1:25" x14ac:dyDescent="0.25">
      <c r="A1548">
        <f t="shared" si="174"/>
        <v>1541</v>
      </c>
      <c r="B1548" s="88" t="str">
        <f>IF(OR(B1547="Total",B1547=""),"",IF(VLOOKUP(A1548,Journal!$B$7:$E$84,4)=0,"Total",VLOOKUP(A1548,Journal!$B$7:$D$84,3)))</f>
        <v/>
      </c>
      <c r="C1548" s="86" t="str">
        <f>IF(B1548="","",VLOOKUP(A1548,Journal!$B$7:$E$84,4))</f>
        <v/>
      </c>
      <c r="D1548" s="114" t="str">
        <f>IF(B1548="","",VLOOKUP(A1548,Journal!$B$7:$J$84,9))</f>
        <v/>
      </c>
      <c r="E1548" s="116"/>
      <c r="F1548" s="116"/>
      <c r="G1548" s="115"/>
      <c r="H1548" s="84" t="str">
        <f>IF(B1548="","",VLOOKUP(A1548,Journal!$B$7:$L$84,11))</f>
        <v/>
      </c>
      <c r="I1548" s="84" t="str">
        <f>IF(B1548="","",VLOOKUP(A1548,Journal!$B$7:$M$84,12))</f>
        <v/>
      </c>
      <c r="J1548" s="105">
        <f>IF(B1548="Total",SUM(J$8:J1547)+0.0001,IF(OR(B1548="",I$2=I1548),0,VLOOKUP(A1548,Journal!$B$7:M$84,8)))</f>
        <v>0</v>
      </c>
      <c r="K1548" s="102">
        <f>IF(B1548="Total",SUM(K$8:K1547)+0.0001,IF(OR(B1548="",J1548&lt;&gt;0),0,VLOOKUP(A1548,Journal!$B$7:M$84,8)))</f>
        <v>0</v>
      </c>
      <c r="L1548" s="87">
        <f t="shared" si="175"/>
        <v>0</v>
      </c>
      <c r="P1548">
        <f t="shared" si="176"/>
        <v>1.0000000000000001E-5</v>
      </c>
      <c r="R1548" s="15">
        <f t="shared" si="177"/>
        <v>1541</v>
      </c>
      <c r="S1548" s="126">
        <f>IF(VLOOKUP(A1548,Journal!$A$7:$E$70,5)=0,S1547+1,VLOOKUP(A1548,Journal!$A$7:$E$70,5))</f>
        <v>47198</v>
      </c>
      <c r="T1548" s="125">
        <f>IF(H$2=VLOOKUP(A1548,Journal!$A$7:$F$70,6),VLOOKUP(A1548,Journal!$A$7:M$70,9),0)</f>
        <v>0</v>
      </c>
      <c r="U1548" s="125">
        <f>IF(H$2=VLOOKUP(A1548,Journal!$A$7:$G$70,7),VLOOKUP(A1548,Journal!$A$7:M$70,9),0)</f>
        <v>0</v>
      </c>
      <c r="V1548" s="125">
        <f t="shared" si="180"/>
        <v>40</v>
      </c>
      <c r="X1548">
        <f t="shared" si="178"/>
        <v>0</v>
      </c>
      <c r="Y1548" s="143">
        <f t="shared" si="179"/>
        <v>-959.5263157895381</v>
      </c>
    </row>
    <row r="1549" spans="1:25" x14ac:dyDescent="0.25">
      <c r="A1549">
        <f t="shared" si="174"/>
        <v>1542</v>
      </c>
      <c r="B1549" s="88" t="str">
        <f>IF(OR(B1548="Total",B1548=""),"",IF(VLOOKUP(A1549,Journal!$B$7:$E$84,4)=0,"Total",VLOOKUP(A1549,Journal!$B$7:$D$84,3)))</f>
        <v/>
      </c>
      <c r="C1549" s="86" t="str">
        <f>IF(B1549="","",VLOOKUP(A1549,Journal!$B$7:$E$84,4))</f>
        <v/>
      </c>
      <c r="D1549" s="114" t="str">
        <f>IF(B1549="","",VLOOKUP(A1549,Journal!$B$7:$J$84,9))</f>
        <v/>
      </c>
      <c r="E1549" s="116"/>
      <c r="F1549" s="116"/>
      <c r="G1549" s="115"/>
      <c r="H1549" s="84" t="str">
        <f>IF(B1549="","",VLOOKUP(A1549,Journal!$B$7:$L$84,11))</f>
        <v/>
      </c>
      <c r="I1549" s="84" t="str">
        <f>IF(B1549="","",VLOOKUP(A1549,Journal!$B$7:$M$84,12))</f>
        <v/>
      </c>
      <c r="J1549" s="105">
        <f>IF(B1549="Total",SUM(J$8:J1548)+0.0001,IF(OR(B1549="",I$2=I1549),0,VLOOKUP(A1549,Journal!$B$7:M$84,8)))</f>
        <v>0</v>
      </c>
      <c r="K1549" s="102">
        <f>IF(B1549="Total",SUM(K$8:K1548)+0.0001,IF(OR(B1549="",J1549&lt;&gt;0),0,VLOOKUP(A1549,Journal!$B$7:M$84,8)))</f>
        <v>0</v>
      </c>
      <c r="L1549" s="87">
        <f t="shared" si="175"/>
        <v>0</v>
      </c>
      <c r="P1549">
        <f t="shared" si="176"/>
        <v>1.0000000000000001E-5</v>
      </c>
      <c r="R1549" s="15">
        <f t="shared" si="177"/>
        <v>1542</v>
      </c>
      <c r="S1549" s="126">
        <f>IF(VLOOKUP(A1549,Journal!$A$7:$E$70,5)=0,S1548+1,VLOOKUP(A1549,Journal!$A$7:$E$70,5))</f>
        <v>47199</v>
      </c>
      <c r="T1549" s="125">
        <f>IF(H$2=VLOOKUP(A1549,Journal!$A$7:$F$70,6),VLOOKUP(A1549,Journal!$A$7:M$70,9),0)</f>
        <v>0</v>
      </c>
      <c r="U1549" s="125">
        <f>IF(H$2=VLOOKUP(A1549,Journal!$A$7:$G$70,7),VLOOKUP(A1549,Journal!$A$7:M$70,9),0)</f>
        <v>0</v>
      </c>
      <c r="V1549" s="125">
        <f t="shared" si="180"/>
        <v>40</v>
      </c>
      <c r="X1549">
        <f t="shared" si="178"/>
        <v>0</v>
      </c>
      <c r="Y1549" s="143">
        <f t="shared" si="179"/>
        <v>-959.50000000006446</v>
      </c>
    </row>
    <row r="1550" spans="1:25" x14ac:dyDescent="0.25">
      <c r="A1550">
        <f t="shared" si="174"/>
        <v>1543</v>
      </c>
      <c r="B1550" s="88" t="str">
        <f>IF(OR(B1549="Total",B1549=""),"",IF(VLOOKUP(A1550,Journal!$B$7:$E$84,4)=0,"Total",VLOOKUP(A1550,Journal!$B$7:$D$84,3)))</f>
        <v/>
      </c>
      <c r="C1550" s="86" t="str">
        <f>IF(B1550="","",VLOOKUP(A1550,Journal!$B$7:$E$84,4))</f>
        <v/>
      </c>
      <c r="D1550" s="114" t="str">
        <f>IF(B1550="","",VLOOKUP(A1550,Journal!$B$7:$J$84,9))</f>
        <v/>
      </c>
      <c r="E1550" s="116"/>
      <c r="F1550" s="116"/>
      <c r="G1550" s="115"/>
      <c r="H1550" s="84" t="str">
        <f>IF(B1550="","",VLOOKUP(A1550,Journal!$B$7:$L$84,11))</f>
        <v/>
      </c>
      <c r="I1550" s="84" t="str">
        <f>IF(B1550="","",VLOOKUP(A1550,Journal!$B$7:$M$84,12))</f>
        <v/>
      </c>
      <c r="J1550" s="105">
        <f>IF(B1550="Total",SUM(J$8:J1549)+0.0001,IF(OR(B1550="",I$2=I1550),0,VLOOKUP(A1550,Journal!$B$7:M$84,8)))</f>
        <v>0</v>
      </c>
      <c r="K1550" s="102">
        <f>IF(B1550="Total",SUM(K$8:K1549)+0.0001,IF(OR(B1550="",J1550&lt;&gt;0),0,VLOOKUP(A1550,Journal!$B$7:M$84,8)))</f>
        <v>0</v>
      </c>
      <c r="L1550" s="87">
        <f t="shared" si="175"/>
        <v>0</v>
      </c>
      <c r="P1550">
        <f t="shared" si="176"/>
        <v>1.0000000000000001E-5</v>
      </c>
      <c r="R1550" s="15">
        <f t="shared" si="177"/>
        <v>1543</v>
      </c>
      <c r="S1550" s="126">
        <f>IF(VLOOKUP(A1550,Journal!$A$7:$E$70,5)=0,S1549+1,VLOOKUP(A1550,Journal!$A$7:$E$70,5))</f>
        <v>47200</v>
      </c>
      <c r="T1550" s="125">
        <f>IF(H$2=VLOOKUP(A1550,Journal!$A$7:$F$70,6),VLOOKUP(A1550,Journal!$A$7:M$70,9),0)</f>
        <v>0</v>
      </c>
      <c r="U1550" s="125">
        <f>IF(H$2=VLOOKUP(A1550,Journal!$A$7:$G$70,7),VLOOKUP(A1550,Journal!$A$7:M$70,9),0)</f>
        <v>0</v>
      </c>
      <c r="V1550" s="125">
        <f t="shared" si="180"/>
        <v>40</v>
      </c>
      <c r="X1550">
        <f t="shared" si="178"/>
        <v>0</v>
      </c>
      <c r="Y1550" s="143">
        <f t="shared" si="179"/>
        <v>-959.47368421059082</v>
      </c>
    </row>
    <row r="1551" spans="1:25" x14ac:dyDescent="0.25">
      <c r="A1551">
        <f t="shared" si="174"/>
        <v>1544</v>
      </c>
      <c r="B1551" s="88" t="str">
        <f>IF(OR(B1550="Total",B1550=""),"",IF(VLOOKUP(A1551,Journal!$B$7:$E$84,4)=0,"Total",VLOOKUP(A1551,Journal!$B$7:$D$84,3)))</f>
        <v/>
      </c>
      <c r="C1551" s="86" t="str">
        <f>IF(B1551="","",VLOOKUP(A1551,Journal!$B$7:$E$84,4))</f>
        <v/>
      </c>
      <c r="D1551" s="114" t="str">
        <f>IF(B1551="","",VLOOKUP(A1551,Journal!$B$7:$J$84,9))</f>
        <v/>
      </c>
      <c r="E1551" s="116"/>
      <c r="F1551" s="116"/>
      <c r="G1551" s="115"/>
      <c r="H1551" s="84" t="str">
        <f>IF(B1551="","",VLOOKUP(A1551,Journal!$B$7:$L$84,11))</f>
        <v/>
      </c>
      <c r="I1551" s="84" t="str">
        <f>IF(B1551="","",VLOOKUP(A1551,Journal!$B$7:$M$84,12))</f>
        <v/>
      </c>
      <c r="J1551" s="105">
        <f>IF(B1551="Total",SUM(J$8:J1550)+0.0001,IF(OR(B1551="",I$2=I1551),0,VLOOKUP(A1551,Journal!$B$7:M$84,8)))</f>
        <v>0</v>
      </c>
      <c r="K1551" s="102">
        <f>IF(B1551="Total",SUM(K$8:K1550)+0.0001,IF(OR(B1551="",J1551&lt;&gt;0),0,VLOOKUP(A1551,Journal!$B$7:M$84,8)))</f>
        <v>0</v>
      </c>
      <c r="L1551" s="87">
        <f t="shared" si="175"/>
        <v>0</v>
      </c>
      <c r="P1551">
        <f t="shared" si="176"/>
        <v>1.0000000000000001E-5</v>
      </c>
      <c r="R1551" s="15">
        <f t="shared" si="177"/>
        <v>1544</v>
      </c>
      <c r="S1551" s="126">
        <f>IF(VLOOKUP(A1551,Journal!$A$7:$E$70,5)=0,S1550+1,VLOOKUP(A1551,Journal!$A$7:$E$70,5))</f>
        <v>47201</v>
      </c>
      <c r="T1551" s="125">
        <f>IF(H$2=VLOOKUP(A1551,Journal!$A$7:$F$70,6),VLOOKUP(A1551,Journal!$A$7:M$70,9),0)</f>
        <v>0</v>
      </c>
      <c r="U1551" s="125">
        <f>IF(H$2=VLOOKUP(A1551,Journal!$A$7:$G$70,7),VLOOKUP(A1551,Journal!$A$7:M$70,9),0)</f>
        <v>0</v>
      </c>
      <c r="V1551" s="125">
        <f t="shared" si="180"/>
        <v>40</v>
      </c>
      <c r="X1551">
        <f t="shared" si="178"/>
        <v>0</v>
      </c>
      <c r="Y1551" s="143">
        <f t="shared" si="179"/>
        <v>-959.44736842111718</v>
      </c>
    </row>
    <row r="1552" spans="1:25" x14ac:dyDescent="0.25">
      <c r="A1552">
        <f t="shared" si="174"/>
        <v>1545</v>
      </c>
      <c r="B1552" s="88" t="str">
        <f>IF(OR(B1551="Total",B1551=""),"",IF(VLOOKUP(A1552,Journal!$B$7:$E$84,4)=0,"Total",VLOOKUP(A1552,Journal!$B$7:$D$84,3)))</f>
        <v/>
      </c>
      <c r="C1552" s="86" t="str">
        <f>IF(B1552="","",VLOOKUP(A1552,Journal!$B$7:$E$84,4))</f>
        <v/>
      </c>
      <c r="D1552" s="114" t="str">
        <f>IF(B1552="","",VLOOKUP(A1552,Journal!$B$7:$J$84,9))</f>
        <v/>
      </c>
      <c r="E1552" s="116"/>
      <c r="F1552" s="116"/>
      <c r="G1552" s="115"/>
      <c r="H1552" s="84" t="str">
        <f>IF(B1552="","",VLOOKUP(A1552,Journal!$B$7:$L$84,11))</f>
        <v/>
      </c>
      <c r="I1552" s="84" t="str">
        <f>IF(B1552="","",VLOOKUP(A1552,Journal!$B$7:$M$84,12))</f>
        <v/>
      </c>
      <c r="J1552" s="105">
        <f>IF(B1552="Total",SUM(J$8:J1551)+0.0001,IF(OR(B1552="",I$2=I1552),0,VLOOKUP(A1552,Journal!$B$7:M$84,8)))</f>
        <v>0</v>
      </c>
      <c r="K1552" s="102">
        <f>IF(B1552="Total",SUM(K$8:K1551)+0.0001,IF(OR(B1552="",J1552&lt;&gt;0),0,VLOOKUP(A1552,Journal!$B$7:M$84,8)))</f>
        <v>0</v>
      </c>
      <c r="L1552" s="87">
        <f t="shared" si="175"/>
        <v>0</v>
      </c>
      <c r="P1552">
        <f t="shared" si="176"/>
        <v>1.0000000000000001E-5</v>
      </c>
      <c r="R1552" s="15">
        <f t="shared" si="177"/>
        <v>1545</v>
      </c>
      <c r="S1552" s="126">
        <f>IF(VLOOKUP(A1552,Journal!$A$7:$E$70,5)=0,S1551+1,VLOOKUP(A1552,Journal!$A$7:$E$70,5))</f>
        <v>47202</v>
      </c>
      <c r="T1552" s="125">
        <f>IF(H$2=VLOOKUP(A1552,Journal!$A$7:$F$70,6),VLOOKUP(A1552,Journal!$A$7:M$70,9),0)</f>
        <v>0</v>
      </c>
      <c r="U1552" s="125">
        <f>IF(H$2=VLOOKUP(A1552,Journal!$A$7:$G$70,7),VLOOKUP(A1552,Journal!$A$7:M$70,9),0)</f>
        <v>0</v>
      </c>
      <c r="V1552" s="125">
        <f t="shared" si="180"/>
        <v>40</v>
      </c>
      <c r="X1552">
        <f t="shared" si="178"/>
        <v>0</v>
      </c>
      <c r="Y1552" s="143">
        <f t="shared" si="179"/>
        <v>-959.42105263164353</v>
      </c>
    </row>
    <row r="1553" spans="1:25" x14ac:dyDescent="0.25">
      <c r="A1553">
        <f t="shared" si="174"/>
        <v>1546</v>
      </c>
      <c r="B1553" s="88" t="str">
        <f>IF(OR(B1552="Total",B1552=""),"",IF(VLOOKUP(A1553,Journal!$B$7:$E$84,4)=0,"Total",VLOOKUP(A1553,Journal!$B$7:$D$84,3)))</f>
        <v/>
      </c>
      <c r="C1553" s="86" t="str">
        <f>IF(B1553="","",VLOOKUP(A1553,Journal!$B$7:$E$84,4))</f>
        <v/>
      </c>
      <c r="D1553" s="114" t="str">
        <f>IF(B1553="","",VLOOKUP(A1553,Journal!$B$7:$J$84,9))</f>
        <v/>
      </c>
      <c r="E1553" s="116"/>
      <c r="F1553" s="116"/>
      <c r="G1553" s="115"/>
      <c r="H1553" s="84" t="str">
        <f>IF(B1553="","",VLOOKUP(A1553,Journal!$B$7:$L$84,11))</f>
        <v/>
      </c>
      <c r="I1553" s="84" t="str">
        <f>IF(B1553="","",VLOOKUP(A1553,Journal!$B$7:$M$84,12))</f>
        <v/>
      </c>
      <c r="J1553" s="105">
        <f>IF(B1553="Total",SUM(J$8:J1552)+0.0001,IF(OR(B1553="",I$2=I1553),0,VLOOKUP(A1553,Journal!$B$7:M$84,8)))</f>
        <v>0</v>
      </c>
      <c r="K1553" s="102">
        <f>IF(B1553="Total",SUM(K$8:K1552)+0.0001,IF(OR(B1553="",J1553&lt;&gt;0),0,VLOOKUP(A1553,Journal!$B$7:M$84,8)))</f>
        <v>0</v>
      </c>
      <c r="L1553" s="87">
        <f t="shared" si="175"/>
        <v>0</v>
      </c>
      <c r="P1553">
        <f t="shared" si="176"/>
        <v>1.0000000000000001E-5</v>
      </c>
      <c r="R1553" s="15">
        <f t="shared" si="177"/>
        <v>1546</v>
      </c>
      <c r="S1553" s="126">
        <f>IF(VLOOKUP(A1553,Journal!$A$7:$E$70,5)=0,S1552+1,VLOOKUP(A1553,Journal!$A$7:$E$70,5))</f>
        <v>47203</v>
      </c>
      <c r="T1553" s="125">
        <f>IF(H$2=VLOOKUP(A1553,Journal!$A$7:$F$70,6),VLOOKUP(A1553,Journal!$A$7:M$70,9),0)</f>
        <v>0</v>
      </c>
      <c r="U1553" s="125">
        <f>IF(H$2=VLOOKUP(A1553,Journal!$A$7:$G$70,7),VLOOKUP(A1553,Journal!$A$7:M$70,9),0)</f>
        <v>0</v>
      </c>
      <c r="V1553" s="125">
        <f t="shared" si="180"/>
        <v>40</v>
      </c>
      <c r="X1553">
        <f t="shared" si="178"/>
        <v>0</v>
      </c>
      <c r="Y1553" s="143">
        <f t="shared" si="179"/>
        <v>-959.39473684216989</v>
      </c>
    </row>
    <row r="1554" spans="1:25" x14ac:dyDescent="0.25">
      <c r="A1554">
        <f t="shared" ref="A1554:A1617" si="181">A1553+1</f>
        <v>1547</v>
      </c>
      <c r="B1554" s="88" t="str">
        <f>IF(OR(B1553="Total",B1553=""),"",IF(VLOOKUP(A1554,Journal!$B$7:$E$84,4)=0,"Total",VLOOKUP(A1554,Journal!$B$7:$D$84,3)))</f>
        <v/>
      </c>
      <c r="C1554" s="86" t="str">
        <f>IF(B1554="","",VLOOKUP(A1554,Journal!$B$7:$E$84,4))</f>
        <v/>
      </c>
      <c r="D1554" s="114" t="str">
        <f>IF(B1554="","",VLOOKUP(A1554,Journal!$B$7:$J$84,9))</f>
        <v/>
      </c>
      <c r="E1554" s="116"/>
      <c r="F1554" s="116"/>
      <c r="G1554" s="115"/>
      <c r="H1554" s="84" t="str">
        <f>IF(B1554="","",VLOOKUP(A1554,Journal!$B$7:$L$84,11))</f>
        <v/>
      </c>
      <c r="I1554" s="84" t="str">
        <f>IF(B1554="","",VLOOKUP(A1554,Journal!$B$7:$M$84,12))</f>
        <v/>
      </c>
      <c r="J1554" s="105">
        <f>IF(B1554="Total",SUM(J$8:J1553)+0.0001,IF(OR(B1554="",I$2=I1554),0,VLOOKUP(A1554,Journal!$B$7:M$84,8)))</f>
        <v>0</v>
      </c>
      <c r="K1554" s="102">
        <f>IF(B1554="Total",SUM(K$8:K1553)+0.0001,IF(OR(B1554="",J1554&lt;&gt;0),0,VLOOKUP(A1554,Journal!$B$7:M$84,8)))</f>
        <v>0</v>
      </c>
      <c r="L1554" s="87">
        <f t="shared" ref="L1554:L1617" si="182">IF(B1554="Total",L1553,IF(B1554="",0,IF($M$1=1,L1553+J1554-K1554,L1553-J1554+K1554)))</f>
        <v>0</v>
      </c>
      <c r="P1554">
        <f t="shared" ref="P1554:P1617" si="183">IF(L1553=L1554,L1553+0.00001,L1554)</f>
        <v>1.0000000000000001E-5</v>
      </c>
      <c r="R1554" s="15">
        <f t="shared" ref="R1554:R1617" si="184">R1553+1</f>
        <v>1547</v>
      </c>
      <c r="S1554" s="126">
        <f>IF(VLOOKUP(A1554,Journal!$A$7:$E$70,5)=0,S1553+1,VLOOKUP(A1554,Journal!$A$7:$E$70,5))</f>
        <v>47204</v>
      </c>
      <c r="T1554" s="125">
        <f>IF(H$2=VLOOKUP(A1554,Journal!$A$7:$F$70,6),VLOOKUP(A1554,Journal!$A$7:M$70,9),0)</f>
        <v>0</v>
      </c>
      <c r="U1554" s="125">
        <f>IF(H$2=VLOOKUP(A1554,Journal!$A$7:$G$70,7),VLOOKUP(A1554,Journal!$A$7:M$70,9),0)</f>
        <v>0</v>
      </c>
      <c r="V1554" s="125">
        <f t="shared" si="180"/>
        <v>40</v>
      </c>
      <c r="X1554">
        <f t="shared" ref="X1554:X1617" si="185">IF(J$2&gt;S1554,1,0)</f>
        <v>0</v>
      </c>
      <c r="Y1554" s="143">
        <f t="shared" si="179"/>
        <v>-959.36842105269625</v>
      </c>
    </row>
    <row r="1555" spans="1:25" x14ac:dyDescent="0.25">
      <c r="A1555">
        <f t="shared" si="181"/>
        <v>1548</v>
      </c>
      <c r="B1555" s="88" t="str">
        <f>IF(OR(B1554="Total",B1554=""),"",IF(VLOOKUP(A1555,Journal!$B$7:$E$84,4)=0,"Total",VLOOKUP(A1555,Journal!$B$7:$D$84,3)))</f>
        <v/>
      </c>
      <c r="C1555" s="86" t="str">
        <f>IF(B1555="","",VLOOKUP(A1555,Journal!$B$7:$E$84,4))</f>
        <v/>
      </c>
      <c r="D1555" s="114" t="str">
        <f>IF(B1555="","",VLOOKUP(A1555,Journal!$B$7:$J$84,9))</f>
        <v/>
      </c>
      <c r="E1555" s="116"/>
      <c r="F1555" s="116"/>
      <c r="G1555" s="115"/>
      <c r="H1555" s="84" t="str">
        <f>IF(B1555="","",VLOOKUP(A1555,Journal!$B$7:$L$84,11))</f>
        <v/>
      </c>
      <c r="I1555" s="84" t="str">
        <f>IF(B1555="","",VLOOKUP(A1555,Journal!$B$7:$M$84,12))</f>
        <v/>
      </c>
      <c r="J1555" s="105">
        <f>IF(B1555="Total",SUM(J$8:J1554)+0.0001,IF(OR(B1555="",I$2=I1555),0,VLOOKUP(A1555,Journal!$B$7:M$84,8)))</f>
        <v>0</v>
      </c>
      <c r="K1555" s="102">
        <f>IF(B1555="Total",SUM(K$8:K1554)+0.0001,IF(OR(B1555="",J1555&lt;&gt;0),0,VLOOKUP(A1555,Journal!$B$7:M$84,8)))</f>
        <v>0</v>
      </c>
      <c r="L1555" s="87">
        <f t="shared" si="182"/>
        <v>0</v>
      </c>
      <c r="P1555">
        <f t="shared" si="183"/>
        <v>1.0000000000000001E-5</v>
      </c>
      <c r="R1555" s="15">
        <f t="shared" si="184"/>
        <v>1548</v>
      </c>
      <c r="S1555" s="126">
        <f>IF(VLOOKUP(A1555,Journal!$A$7:$E$70,5)=0,S1554+1,VLOOKUP(A1555,Journal!$A$7:$E$70,5))</f>
        <v>47205</v>
      </c>
      <c r="T1555" s="125">
        <f>IF(H$2=VLOOKUP(A1555,Journal!$A$7:$F$70,6),VLOOKUP(A1555,Journal!$A$7:M$70,9),0)</f>
        <v>0</v>
      </c>
      <c r="U1555" s="125">
        <f>IF(H$2=VLOOKUP(A1555,Journal!$A$7:$G$70,7),VLOOKUP(A1555,Journal!$A$7:M$70,9),0)</f>
        <v>0</v>
      </c>
      <c r="V1555" s="125">
        <f t="shared" si="180"/>
        <v>40</v>
      </c>
      <c r="X1555">
        <f t="shared" si="185"/>
        <v>0</v>
      </c>
      <c r="Y1555" s="143">
        <f t="shared" si="179"/>
        <v>-959.34210526322261</v>
      </c>
    </row>
    <row r="1556" spans="1:25" x14ac:dyDescent="0.25">
      <c r="A1556">
        <f t="shared" si="181"/>
        <v>1549</v>
      </c>
      <c r="B1556" s="88" t="str">
        <f>IF(OR(B1555="Total",B1555=""),"",IF(VLOOKUP(A1556,Journal!$B$7:$E$84,4)=0,"Total",VLOOKUP(A1556,Journal!$B$7:$D$84,3)))</f>
        <v/>
      </c>
      <c r="C1556" s="86" t="str">
        <f>IF(B1556="","",VLOOKUP(A1556,Journal!$B$7:$E$84,4))</f>
        <v/>
      </c>
      <c r="D1556" s="114" t="str">
        <f>IF(B1556="","",VLOOKUP(A1556,Journal!$B$7:$J$84,9))</f>
        <v/>
      </c>
      <c r="E1556" s="116"/>
      <c r="F1556" s="116"/>
      <c r="G1556" s="115"/>
      <c r="H1556" s="84" t="str">
        <f>IF(B1556="","",VLOOKUP(A1556,Journal!$B$7:$L$84,11))</f>
        <v/>
      </c>
      <c r="I1556" s="84" t="str">
        <f>IF(B1556="","",VLOOKUP(A1556,Journal!$B$7:$M$84,12))</f>
        <v/>
      </c>
      <c r="J1556" s="105">
        <f>IF(B1556="Total",SUM(J$8:J1555)+0.0001,IF(OR(B1556="",I$2=I1556),0,VLOOKUP(A1556,Journal!$B$7:M$84,8)))</f>
        <v>0</v>
      </c>
      <c r="K1556" s="102">
        <f>IF(B1556="Total",SUM(K$8:K1555)+0.0001,IF(OR(B1556="",J1556&lt;&gt;0),0,VLOOKUP(A1556,Journal!$B$7:M$84,8)))</f>
        <v>0</v>
      </c>
      <c r="L1556" s="87">
        <f t="shared" si="182"/>
        <v>0</v>
      </c>
      <c r="P1556">
        <f t="shared" si="183"/>
        <v>1.0000000000000001E-5</v>
      </c>
      <c r="R1556" s="15">
        <f t="shared" si="184"/>
        <v>1549</v>
      </c>
      <c r="S1556" s="126">
        <f>IF(VLOOKUP(A1556,Journal!$A$7:$E$70,5)=0,S1555+1,VLOOKUP(A1556,Journal!$A$7:$E$70,5))</f>
        <v>47206</v>
      </c>
      <c r="T1556" s="125">
        <f>IF(H$2=VLOOKUP(A1556,Journal!$A$7:$F$70,6),VLOOKUP(A1556,Journal!$A$7:M$70,9),0)</f>
        <v>0</v>
      </c>
      <c r="U1556" s="125">
        <f>IF(H$2=VLOOKUP(A1556,Journal!$A$7:$G$70,7),VLOOKUP(A1556,Journal!$A$7:M$70,9),0)</f>
        <v>0</v>
      </c>
      <c r="V1556" s="125">
        <f t="shared" si="180"/>
        <v>40</v>
      </c>
      <c r="X1556">
        <f t="shared" si="185"/>
        <v>0</v>
      </c>
      <c r="Y1556" s="143">
        <f t="shared" si="179"/>
        <v>-959.31578947374896</v>
      </c>
    </row>
    <row r="1557" spans="1:25" x14ac:dyDescent="0.25">
      <c r="A1557">
        <f t="shared" si="181"/>
        <v>1550</v>
      </c>
      <c r="B1557" s="88" t="str">
        <f>IF(OR(B1556="Total",B1556=""),"",IF(VLOOKUP(A1557,Journal!$B$7:$E$84,4)=0,"Total",VLOOKUP(A1557,Journal!$B$7:$D$84,3)))</f>
        <v/>
      </c>
      <c r="C1557" s="86" t="str">
        <f>IF(B1557="","",VLOOKUP(A1557,Journal!$B$7:$E$84,4))</f>
        <v/>
      </c>
      <c r="D1557" s="114" t="str">
        <f>IF(B1557="","",VLOOKUP(A1557,Journal!$B$7:$J$84,9))</f>
        <v/>
      </c>
      <c r="E1557" s="116"/>
      <c r="F1557" s="116"/>
      <c r="G1557" s="115"/>
      <c r="H1557" s="84" t="str">
        <f>IF(B1557="","",VLOOKUP(A1557,Journal!$B$7:$L$84,11))</f>
        <v/>
      </c>
      <c r="I1557" s="84" t="str">
        <f>IF(B1557="","",VLOOKUP(A1557,Journal!$B$7:$M$84,12))</f>
        <v/>
      </c>
      <c r="J1557" s="105">
        <f>IF(B1557="Total",SUM(J$8:J1556)+0.0001,IF(OR(B1557="",I$2=I1557),0,VLOOKUP(A1557,Journal!$B$7:M$84,8)))</f>
        <v>0</v>
      </c>
      <c r="K1557" s="102">
        <f>IF(B1557="Total",SUM(K$8:K1556)+0.0001,IF(OR(B1557="",J1557&lt;&gt;0),0,VLOOKUP(A1557,Journal!$B$7:M$84,8)))</f>
        <v>0</v>
      </c>
      <c r="L1557" s="87">
        <f t="shared" si="182"/>
        <v>0</v>
      </c>
      <c r="P1557">
        <f t="shared" si="183"/>
        <v>1.0000000000000001E-5</v>
      </c>
      <c r="R1557" s="15">
        <f t="shared" si="184"/>
        <v>1550</v>
      </c>
      <c r="S1557" s="126">
        <f>IF(VLOOKUP(A1557,Journal!$A$7:$E$70,5)=0,S1556+1,VLOOKUP(A1557,Journal!$A$7:$E$70,5))</f>
        <v>47207</v>
      </c>
      <c r="T1557" s="125">
        <f>IF(H$2=VLOOKUP(A1557,Journal!$A$7:$F$70,6),VLOOKUP(A1557,Journal!$A$7:M$70,9),0)</f>
        <v>0</v>
      </c>
      <c r="U1557" s="125">
        <f>IF(H$2=VLOOKUP(A1557,Journal!$A$7:$G$70,7),VLOOKUP(A1557,Journal!$A$7:M$70,9),0)</f>
        <v>0</v>
      </c>
      <c r="V1557" s="125">
        <f t="shared" si="180"/>
        <v>40</v>
      </c>
      <c r="X1557">
        <f t="shared" si="185"/>
        <v>0</v>
      </c>
      <c r="Y1557" s="143">
        <f t="shared" si="179"/>
        <v>-959.28947368427532</v>
      </c>
    </row>
    <row r="1558" spans="1:25" x14ac:dyDescent="0.25">
      <c r="A1558">
        <f t="shared" si="181"/>
        <v>1551</v>
      </c>
      <c r="B1558" s="88" t="str">
        <f>IF(OR(B1557="Total",B1557=""),"",IF(VLOOKUP(A1558,Journal!$B$7:$E$84,4)=0,"Total",VLOOKUP(A1558,Journal!$B$7:$D$84,3)))</f>
        <v/>
      </c>
      <c r="C1558" s="86" t="str">
        <f>IF(B1558="","",VLOOKUP(A1558,Journal!$B$7:$E$84,4))</f>
        <v/>
      </c>
      <c r="D1558" s="114" t="str">
        <f>IF(B1558="","",VLOOKUP(A1558,Journal!$B$7:$J$84,9))</f>
        <v/>
      </c>
      <c r="E1558" s="116"/>
      <c r="F1558" s="116"/>
      <c r="G1558" s="115"/>
      <c r="H1558" s="84" t="str">
        <f>IF(B1558="","",VLOOKUP(A1558,Journal!$B$7:$L$84,11))</f>
        <v/>
      </c>
      <c r="I1558" s="84" t="str">
        <f>IF(B1558="","",VLOOKUP(A1558,Journal!$B$7:$M$84,12))</f>
        <v/>
      </c>
      <c r="J1558" s="105">
        <f>IF(B1558="Total",SUM(J$8:J1557)+0.0001,IF(OR(B1558="",I$2=I1558),0,VLOOKUP(A1558,Journal!$B$7:M$84,8)))</f>
        <v>0</v>
      </c>
      <c r="K1558" s="102">
        <f>IF(B1558="Total",SUM(K$8:K1557)+0.0001,IF(OR(B1558="",J1558&lt;&gt;0),0,VLOOKUP(A1558,Journal!$B$7:M$84,8)))</f>
        <v>0</v>
      </c>
      <c r="L1558" s="87">
        <f t="shared" si="182"/>
        <v>0</v>
      </c>
      <c r="P1558">
        <f t="shared" si="183"/>
        <v>1.0000000000000001E-5</v>
      </c>
      <c r="R1558" s="15">
        <f t="shared" si="184"/>
        <v>1551</v>
      </c>
      <c r="S1558" s="126">
        <f>IF(VLOOKUP(A1558,Journal!$A$7:$E$70,5)=0,S1557+1,VLOOKUP(A1558,Journal!$A$7:$E$70,5))</f>
        <v>47208</v>
      </c>
      <c r="T1558" s="125">
        <f>IF(H$2=VLOOKUP(A1558,Journal!$A$7:$F$70,6),VLOOKUP(A1558,Journal!$A$7:M$70,9),0)</f>
        <v>0</v>
      </c>
      <c r="U1558" s="125">
        <f>IF(H$2=VLOOKUP(A1558,Journal!$A$7:$G$70,7),VLOOKUP(A1558,Journal!$A$7:M$70,9),0)</f>
        <v>0</v>
      </c>
      <c r="V1558" s="125">
        <f t="shared" si="180"/>
        <v>40</v>
      </c>
      <c r="X1558">
        <f t="shared" si="185"/>
        <v>0</v>
      </c>
      <c r="Y1558" s="143">
        <f t="shared" si="179"/>
        <v>-959.26315789480168</v>
      </c>
    </row>
    <row r="1559" spans="1:25" x14ac:dyDescent="0.25">
      <c r="A1559">
        <f t="shared" si="181"/>
        <v>1552</v>
      </c>
      <c r="B1559" s="88" t="str">
        <f>IF(OR(B1558="Total",B1558=""),"",IF(VLOOKUP(A1559,Journal!$B$7:$E$84,4)=0,"Total",VLOOKUP(A1559,Journal!$B$7:$D$84,3)))</f>
        <v/>
      </c>
      <c r="C1559" s="86" t="str">
        <f>IF(B1559="","",VLOOKUP(A1559,Journal!$B$7:$E$84,4))</f>
        <v/>
      </c>
      <c r="D1559" s="114" t="str">
        <f>IF(B1559="","",VLOOKUP(A1559,Journal!$B$7:$J$84,9))</f>
        <v/>
      </c>
      <c r="E1559" s="116"/>
      <c r="F1559" s="116"/>
      <c r="G1559" s="115"/>
      <c r="H1559" s="84" t="str">
        <f>IF(B1559="","",VLOOKUP(A1559,Journal!$B$7:$L$84,11))</f>
        <v/>
      </c>
      <c r="I1559" s="84" t="str">
        <f>IF(B1559="","",VLOOKUP(A1559,Journal!$B$7:$M$84,12))</f>
        <v/>
      </c>
      <c r="J1559" s="105">
        <f>IF(B1559="Total",SUM(J$8:J1558)+0.0001,IF(OR(B1559="",I$2=I1559),0,VLOOKUP(A1559,Journal!$B$7:M$84,8)))</f>
        <v>0</v>
      </c>
      <c r="K1559" s="102">
        <f>IF(B1559="Total",SUM(K$8:K1558)+0.0001,IF(OR(B1559="",J1559&lt;&gt;0),0,VLOOKUP(A1559,Journal!$B$7:M$84,8)))</f>
        <v>0</v>
      </c>
      <c r="L1559" s="87">
        <f t="shared" si="182"/>
        <v>0</v>
      </c>
      <c r="P1559">
        <f t="shared" si="183"/>
        <v>1.0000000000000001E-5</v>
      </c>
      <c r="R1559" s="15">
        <f t="shared" si="184"/>
        <v>1552</v>
      </c>
      <c r="S1559" s="126">
        <f>IF(VLOOKUP(A1559,Journal!$A$7:$E$70,5)=0,S1558+1,VLOOKUP(A1559,Journal!$A$7:$E$70,5))</f>
        <v>47209</v>
      </c>
      <c r="T1559" s="125">
        <f>IF(H$2=VLOOKUP(A1559,Journal!$A$7:$F$70,6),VLOOKUP(A1559,Journal!$A$7:M$70,9),0)</f>
        <v>0</v>
      </c>
      <c r="U1559" s="125">
        <f>IF(H$2=VLOOKUP(A1559,Journal!$A$7:$G$70,7),VLOOKUP(A1559,Journal!$A$7:M$70,9),0)</f>
        <v>0</v>
      </c>
      <c r="V1559" s="125">
        <f t="shared" si="180"/>
        <v>40</v>
      </c>
      <c r="X1559">
        <f t="shared" si="185"/>
        <v>0</v>
      </c>
      <c r="Y1559" s="143">
        <f t="shared" si="179"/>
        <v>-959.23684210532804</v>
      </c>
    </row>
    <row r="1560" spans="1:25" x14ac:dyDescent="0.25">
      <c r="A1560">
        <f t="shared" si="181"/>
        <v>1553</v>
      </c>
      <c r="B1560" s="88" t="str">
        <f>IF(OR(B1559="Total",B1559=""),"",IF(VLOOKUP(A1560,Journal!$B$7:$E$84,4)=0,"Total",VLOOKUP(A1560,Journal!$B$7:$D$84,3)))</f>
        <v/>
      </c>
      <c r="C1560" s="86" t="str">
        <f>IF(B1560="","",VLOOKUP(A1560,Journal!$B$7:$E$84,4))</f>
        <v/>
      </c>
      <c r="D1560" s="114" t="str">
        <f>IF(B1560="","",VLOOKUP(A1560,Journal!$B$7:$J$84,9))</f>
        <v/>
      </c>
      <c r="E1560" s="116"/>
      <c r="F1560" s="116"/>
      <c r="G1560" s="115"/>
      <c r="H1560" s="84" t="str">
        <f>IF(B1560="","",VLOOKUP(A1560,Journal!$B$7:$L$84,11))</f>
        <v/>
      </c>
      <c r="I1560" s="84" t="str">
        <f>IF(B1560="","",VLOOKUP(A1560,Journal!$B$7:$M$84,12))</f>
        <v/>
      </c>
      <c r="J1560" s="105">
        <f>IF(B1560="Total",SUM(J$8:J1559)+0.0001,IF(OR(B1560="",I$2=I1560),0,VLOOKUP(A1560,Journal!$B$7:M$84,8)))</f>
        <v>0</v>
      </c>
      <c r="K1560" s="102">
        <f>IF(B1560="Total",SUM(K$8:K1559)+0.0001,IF(OR(B1560="",J1560&lt;&gt;0),0,VLOOKUP(A1560,Journal!$B$7:M$84,8)))</f>
        <v>0</v>
      </c>
      <c r="L1560" s="87">
        <f t="shared" si="182"/>
        <v>0</v>
      </c>
      <c r="P1560">
        <f t="shared" si="183"/>
        <v>1.0000000000000001E-5</v>
      </c>
      <c r="R1560" s="15">
        <f t="shared" si="184"/>
        <v>1553</v>
      </c>
      <c r="S1560" s="126">
        <f>IF(VLOOKUP(A1560,Journal!$A$7:$E$70,5)=0,S1559+1,VLOOKUP(A1560,Journal!$A$7:$E$70,5))</f>
        <v>47210</v>
      </c>
      <c r="T1560" s="125">
        <f>IF(H$2=VLOOKUP(A1560,Journal!$A$7:$F$70,6),VLOOKUP(A1560,Journal!$A$7:M$70,9),0)</f>
        <v>0</v>
      </c>
      <c r="U1560" s="125">
        <f>IF(H$2=VLOOKUP(A1560,Journal!$A$7:$G$70,7),VLOOKUP(A1560,Journal!$A$7:M$70,9),0)</f>
        <v>0</v>
      </c>
      <c r="V1560" s="125">
        <f t="shared" si="180"/>
        <v>40</v>
      </c>
      <c r="X1560">
        <f t="shared" si="185"/>
        <v>0</v>
      </c>
      <c r="Y1560" s="143">
        <f t="shared" si="179"/>
        <v>-959.21052631585439</v>
      </c>
    </row>
    <row r="1561" spans="1:25" x14ac:dyDescent="0.25">
      <c r="A1561">
        <f t="shared" si="181"/>
        <v>1554</v>
      </c>
      <c r="B1561" s="88" t="str">
        <f>IF(OR(B1560="Total",B1560=""),"",IF(VLOOKUP(A1561,Journal!$B$7:$E$84,4)=0,"Total",VLOOKUP(A1561,Journal!$B$7:$D$84,3)))</f>
        <v/>
      </c>
      <c r="C1561" s="86" t="str">
        <f>IF(B1561="","",VLOOKUP(A1561,Journal!$B$7:$E$84,4))</f>
        <v/>
      </c>
      <c r="D1561" s="114" t="str">
        <f>IF(B1561="","",VLOOKUP(A1561,Journal!$B$7:$J$84,9))</f>
        <v/>
      </c>
      <c r="E1561" s="116"/>
      <c r="F1561" s="116"/>
      <c r="G1561" s="115"/>
      <c r="H1561" s="84" t="str">
        <f>IF(B1561="","",VLOOKUP(A1561,Journal!$B$7:$L$84,11))</f>
        <v/>
      </c>
      <c r="I1561" s="84" t="str">
        <f>IF(B1561="","",VLOOKUP(A1561,Journal!$B$7:$M$84,12))</f>
        <v/>
      </c>
      <c r="J1561" s="105">
        <f>IF(B1561="Total",SUM(J$8:J1560)+0.0001,IF(OR(B1561="",I$2=I1561),0,VLOOKUP(A1561,Journal!$B$7:M$84,8)))</f>
        <v>0</v>
      </c>
      <c r="K1561" s="102">
        <f>IF(B1561="Total",SUM(K$8:K1560)+0.0001,IF(OR(B1561="",J1561&lt;&gt;0),0,VLOOKUP(A1561,Journal!$B$7:M$84,8)))</f>
        <v>0</v>
      </c>
      <c r="L1561" s="87">
        <f t="shared" si="182"/>
        <v>0</v>
      </c>
      <c r="P1561">
        <f t="shared" si="183"/>
        <v>1.0000000000000001E-5</v>
      </c>
      <c r="R1561" s="15">
        <f t="shared" si="184"/>
        <v>1554</v>
      </c>
      <c r="S1561" s="126">
        <f>IF(VLOOKUP(A1561,Journal!$A$7:$E$70,5)=0,S1560+1,VLOOKUP(A1561,Journal!$A$7:$E$70,5))</f>
        <v>47211</v>
      </c>
      <c r="T1561" s="125">
        <f>IF(H$2=VLOOKUP(A1561,Journal!$A$7:$F$70,6),VLOOKUP(A1561,Journal!$A$7:M$70,9),0)</f>
        <v>0</v>
      </c>
      <c r="U1561" s="125">
        <f>IF(H$2=VLOOKUP(A1561,Journal!$A$7:$G$70,7),VLOOKUP(A1561,Journal!$A$7:M$70,9),0)</f>
        <v>0</v>
      </c>
      <c r="V1561" s="125">
        <f t="shared" si="180"/>
        <v>40</v>
      </c>
      <c r="X1561">
        <f t="shared" si="185"/>
        <v>0</v>
      </c>
      <c r="Y1561" s="143">
        <f t="shared" si="179"/>
        <v>-959.18421052638075</v>
      </c>
    </row>
    <row r="1562" spans="1:25" x14ac:dyDescent="0.25">
      <c r="A1562">
        <f t="shared" si="181"/>
        <v>1555</v>
      </c>
      <c r="B1562" s="88" t="str">
        <f>IF(OR(B1561="Total",B1561=""),"",IF(VLOOKUP(A1562,Journal!$B$7:$E$84,4)=0,"Total",VLOOKUP(A1562,Journal!$B$7:$D$84,3)))</f>
        <v/>
      </c>
      <c r="C1562" s="86" t="str">
        <f>IF(B1562="","",VLOOKUP(A1562,Journal!$B$7:$E$84,4))</f>
        <v/>
      </c>
      <c r="D1562" s="114" t="str">
        <f>IF(B1562="","",VLOOKUP(A1562,Journal!$B$7:$J$84,9))</f>
        <v/>
      </c>
      <c r="E1562" s="116"/>
      <c r="F1562" s="116"/>
      <c r="G1562" s="115"/>
      <c r="H1562" s="84" t="str">
        <f>IF(B1562="","",VLOOKUP(A1562,Journal!$B$7:$L$84,11))</f>
        <v/>
      </c>
      <c r="I1562" s="84" t="str">
        <f>IF(B1562="","",VLOOKUP(A1562,Journal!$B$7:$M$84,12))</f>
        <v/>
      </c>
      <c r="J1562" s="105">
        <f>IF(B1562="Total",SUM(J$8:J1561)+0.0001,IF(OR(B1562="",I$2=I1562),0,VLOOKUP(A1562,Journal!$B$7:M$84,8)))</f>
        <v>0</v>
      </c>
      <c r="K1562" s="102">
        <f>IF(B1562="Total",SUM(K$8:K1561)+0.0001,IF(OR(B1562="",J1562&lt;&gt;0),0,VLOOKUP(A1562,Journal!$B$7:M$84,8)))</f>
        <v>0</v>
      </c>
      <c r="L1562" s="87">
        <f t="shared" si="182"/>
        <v>0</v>
      </c>
      <c r="P1562">
        <f t="shared" si="183"/>
        <v>1.0000000000000001E-5</v>
      </c>
      <c r="R1562" s="15">
        <f t="shared" si="184"/>
        <v>1555</v>
      </c>
      <c r="S1562" s="126">
        <f>IF(VLOOKUP(A1562,Journal!$A$7:$E$70,5)=0,S1561+1,VLOOKUP(A1562,Journal!$A$7:$E$70,5))</f>
        <v>47212</v>
      </c>
      <c r="T1562" s="125">
        <f>IF(H$2=VLOOKUP(A1562,Journal!$A$7:$F$70,6),VLOOKUP(A1562,Journal!$A$7:M$70,9),0)</f>
        <v>0</v>
      </c>
      <c r="U1562" s="125">
        <f>IF(H$2=VLOOKUP(A1562,Journal!$A$7:$G$70,7),VLOOKUP(A1562,Journal!$A$7:M$70,9),0)</f>
        <v>0</v>
      </c>
      <c r="V1562" s="125">
        <f t="shared" si="180"/>
        <v>40</v>
      </c>
      <c r="X1562">
        <f t="shared" si="185"/>
        <v>0</v>
      </c>
      <c r="Y1562" s="143">
        <f t="shared" si="179"/>
        <v>-959.15789473690711</v>
      </c>
    </row>
    <row r="1563" spans="1:25" x14ac:dyDescent="0.25">
      <c r="A1563">
        <f t="shared" si="181"/>
        <v>1556</v>
      </c>
      <c r="B1563" s="88" t="str">
        <f>IF(OR(B1562="Total",B1562=""),"",IF(VLOOKUP(A1563,Journal!$B$7:$E$84,4)=0,"Total",VLOOKUP(A1563,Journal!$B$7:$D$84,3)))</f>
        <v/>
      </c>
      <c r="C1563" s="86" t="str">
        <f>IF(B1563="","",VLOOKUP(A1563,Journal!$B$7:$E$84,4))</f>
        <v/>
      </c>
      <c r="D1563" s="114" t="str">
        <f>IF(B1563="","",VLOOKUP(A1563,Journal!$B$7:$J$84,9))</f>
        <v/>
      </c>
      <c r="E1563" s="116"/>
      <c r="F1563" s="116"/>
      <c r="G1563" s="115"/>
      <c r="H1563" s="84" t="str">
        <f>IF(B1563="","",VLOOKUP(A1563,Journal!$B$7:$L$84,11))</f>
        <v/>
      </c>
      <c r="I1563" s="84" t="str">
        <f>IF(B1563="","",VLOOKUP(A1563,Journal!$B$7:$M$84,12))</f>
        <v/>
      </c>
      <c r="J1563" s="105">
        <f>IF(B1563="Total",SUM(J$8:J1562)+0.0001,IF(OR(B1563="",I$2=I1563),0,VLOOKUP(A1563,Journal!$B$7:M$84,8)))</f>
        <v>0</v>
      </c>
      <c r="K1563" s="102">
        <f>IF(B1563="Total",SUM(K$8:K1562)+0.0001,IF(OR(B1563="",J1563&lt;&gt;0),0,VLOOKUP(A1563,Journal!$B$7:M$84,8)))</f>
        <v>0</v>
      </c>
      <c r="L1563" s="87">
        <f t="shared" si="182"/>
        <v>0</v>
      </c>
      <c r="P1563">
        <f t="shared" si="183"/>
        <v>1.0000000000000001E-5</v>
      </c>
      <c r="R1563" s="15">
        <f t="shared" si="184"/>
        <v>1556</v>
      </c>
      <c r="S1563" s="126">
        <f>IF(VLOOKUP(A1563,Journal!$A$7:$E$70,5)=0,S1562+1,VLOOKUP(A1563,Journal!$A$7:$E$70,5))</f>
        <v>47213</v>
      </c>
      <c r="T1563" s="125">
        <f>IF(H$2=VLOOKUP(A1563,Journal!$A$7:$F$70,6),VLOOKUP(A1563,Journal!$A$7:M$70,9),0)</f>
        <v>0</v>
      </c>
      <c r="U1563" s="125">
        <f>IF(H$2=VLOOKUP(A1563,Journal!$A$7:$G$70,7),VLOOKUP(A1563,Journal!$A$7:M$70,9),0)</f>
        <v>0</v>
      </c>
      <c r="V1563" s="125">
        <f t="shared" si="180"/>
        <v>40</v>
      </c>
      <c r="X1563">
        <f t="shared" si="185"/>
        <v>0</v>
      </c>
      <c r="Y1563" s="143">
        <f t="shared" si="179"/>
        <v>-959.13157894743347</v>
      </c>
    </row>
    <row r="1564" spans="1:25" x14ac:dyDescent="0.25">
      <c r="A1564">
        <f t="shared" si="181"/>
        <v>1557</v>
      </c>
      <c r="B1564" s="88" t="str">
        <f>IF(OR(B1563="Total",B1563=""),"",IF(VLOOKUP(A1564,Journal!$B$7:$E$84,4)=0,"Total",VLOOKUP(A1564,Journal!$B$7:$D$84,3)))</f>
        <v/>
      </c>
      <c r="C1564" s="86" t="str">
        <f>IF(B1564="","",VLOOKUP(A1564,Journal!$B$7:$E$84,4))</f>
        <v/>
      </c>
      <c r="D1564" s="114" t="str">
        <f>IF(B1564="","",VLOOKUP(A1564,Journal!$B$7:$J$84,9))</f>
        <v/>
      </c>
      <c r="E1564" s="116"/>
      <c r="F1564" s="116"/>
      <c r="G1564" s="115"/>
      <c r="H1564" s="84" t="str">
        <f>IF(B1564="","",VLOOKUP(A1564,Journal!$B$7:$L$84,11))</f>
        <v/>
      </c>
      <c r="I1564" s="84" t="str">
        <f>IF(B1564="","",VLOOKUP(A1564,Journal!$B$7:$M$84,12))</f>
        <v/>
      </c>
      <c r="J1564" s="105">
        <f>IF(B1564="Total",SUM(J$8:J1563)+0.0001,IF(OR(B1564="",I$2=I1564),0,VLOOKUP(A1564,Journal!$B$7:M$84,8)))</f>
        <v>0</v>
      </c>
      <c r="K1564" s="102">
        <f>IF(B1564="Total",SUM(K$8:K1563)+0.0001,IF(OR(B1564="",J1564&lt;&gt;0),0,VLOOKUP(A1564,Journal!$B$7:M$84,8)))</f>
        <v>0</v>
      </c>
      <c r="L1564" s="87">
        <f t="shared" si="182"/>
        <v>0</v>
      </c>
      <c r="P1564">
        <f t="shared" si="183"/>
        <v>1.0000000000000001E-5</v>
      </c>
      <c r="R1564" s="15">
        <f t="shared" si="184"/>
        <v>1557</v>
      </c>
      <c r="S1564" s="126">
        <f>IF(VLOOKUP(A1564,Journal!$A$7:$E$70,5)=0,S1563+1,VLOOKUP(A1564,Journal!$A$7:$E$70,5))</f>
        <v>47214</v>
      </c>
      <c r="T1564" s="125">
        <f>IF(H$2=VLOOKUP(A1564,Journal!$A$7:$F$70,6),VLOOKUP(A1564,Journal!$A$7:M$70,9),0)</f>
        <v>0</v>
      </c>
      <c r="U1564" s="125">
        <f>IF(H$2=VLOOKUP(A1564,Journal!$A$7:$G$70,7),VLOOKUP(A1564,Journal!$A$7:M$70,9),0)</f>
        <v>0</v>
      </c>
      <c r="V1564" s="125">
        <f t="shared" si="180"/>
        <v>40</v>
      </c>
      <c r="X1564">
        <f t="shared" si="185"/>
        <v>0</v>
      </c>
      <c r="Y1564" s="143">
        <f t="shared" si="179"/>
        <v>-959.10526315795983</v>
      </c>
    </row>
    <row r="1565" spans="1:25" x14ac:dyDescent="0.25">
      <c r="A1565">
        <f t="shared" si="181"/>
        <v>1558</v>
      </c>
      <c r="B1565" s="88" t="str">
        <f>IF(OR(B1564="Total",B1564=""),"",IF(VLOOKUP(A1565,Journal!$B$7:$E$84,4)=0,"Total",VLOOKUP(A1565,Journal!$B$7:$D$84,3)))</f>
        <v/>
      </c>
      <c r="C1565" s="86" t="str">
        <f>IF(B1565="","",VLOOKUP(A1565,Journal!$B$7:$E$84,4))</f>
        <v/>
      </c>
      <c r="D1565" s="114" t="str">
        <f>IF(B1565="","",VLOOKUP(A1565,Journal!$B$7:$J$84,9))</f>
        <v/>
      </c>
      <c r="E1565" s="116"/>
      <c r="F1565" s="116"/>
      <c r="G1565" s="115"/>
      <c r="H1565" s="84" t="str">
        <f>IF(B1565="","",VLOOKUP(A1565,Journal!$B$7:$L$84,11))</f>
        <v/>
      </c>
      <c r="I1565" s="84" t="str">
        <f>IF(B1565="","",VLOOKUP(A1565,Journal!$B$7:$M$84,12))</f>
        <v/>
      </c>
      <c r="J1565" s="105">
        <f>IF(B1565="Total",SUM(J$8:J1564)+0.0001,IF(OR(B1565="",I$2=I1565),0,VLOOKUP(A1565,Journal!$B$7:M$84,8)))</f>
        <v>0</v>
      </c>
      <c r="K1565" s="102">
        <f>IF(B1565="Total",SUM(K$8:K1564)+0.0001,IF(OR(B1565="",J1565&lt;&gt;0),0,VLOOKUP(A1565,Journal!$B$7:M$84,8)))</f>
        <v>0</v>
      </c>
      <c r="L1565" s="87">
        <f t="shared" si="182"/>
        <v>0</v>
      </c>
      <c r="P1565">
        <f t="shared" si="183"/>
        <v>1.0000000000000001E-5</v>
      </c>
      <c r="R1565" s="15">
        <f t="shared" si="184"/>
        <v>1558</v>
      </c>
      <c r="S1565" s="126">
        <f>IF(VLOOKUP(A1565,Journal!$A$7:$E$70,5)=0,S1564+1,VLOOKUP(A1565,Journal!$A$7:$E$70,5))</f>
        <v>47215</v>
      </c>
      <c r="T1565" s="125">
        <f>IF(H$2=VLOOKUP(A1565,Journal!$A$7:$F$70,6),VLOOKUP(A1565,Journal!$A$7:M$70,9),0)</f>
        <v>0</v>
      </c>
      <c r="U1565" s="125">
        <f>IF(H$2=VLOOKUP(A1565,Journal!$A$7:$G$70,7),VLOOKUP(A1565,Journal!$A$7:M$70,9),0)</f>
        <v>0</v>
      </c>
      <c r="V1565" s="125">
        <f t="shared" si="180"/>
        <v>40</v>
      </c>
      <c r="X1565">
        <f t="shared" si="185"/>
        <v>0</v>
      </c>
      <c r="Y1565" s="143">
        <f t="shared" si="179"/>
        <v>-959.07894736848618</v>
      </c>
    </row>
    <row r="1566" spans="1:25" x14ac:dyDescent="0.25">
      <c r="A1566">
        <f t="shared" si="181"/>
        <v>1559</v>
      </c>
      <c r="B1566" s="88" t="str">
        <f>IF(OR(B1565="Total",B1565=""),"",IF(VLOOKUP(A1566,Journal!$B$7:$E$84,4)=0,"Total",VLOOKUP(A1566,Journal!$B$7:$D$84,3)))</f>
        <v/>
      </c>
      <c r="C1566" s="86" t="str">
        <f>IF(B1566="","",VLOOKUP(A1566,Journal!$B$7:$E$84,4))</f>
        <v/>
      </c>
      <c r="D1566" s="114" t="str">
        <f>IF(B1566="","",VLOOKUP(A1566,Journal!$B$7:$J$84,9))</f>
        <v/>
      </c>
      <c r="E1566" s="116"/>
      <c r="F1566" s="116"/>
      <c r="G1566" s="115"/>
      <c r="H1566" s="84" t="str">
        <f>IF(B1566="","",VLOOKUP(A1566,Journal!$B$7:$L$84,11))</f>
        <v/>
      </c>
      <c r="I1566" s="84" t="str">
        <f>IF(B1566="","",VLOOKUP(A1566,Journal!$B$7:$M$84,12))</f>
        <v/>
      </c>
      <c r="J1566" s="105">
        <f>IF(B1566="Total",SUM(J$8:J1565)+0.0001,IF(OR(B1566="",I$2=I1566),0,VLOOKUP(A1566,Journal!$B$7:M$84,8)))</f>
        <v>0</v>
      </c>
      <c r="K1566" s="102">
        <f>IF(B1566="Total",SUM(K$8:K1565)+0.0001,IF(OR(B1566="",J1566&lt;&gt;0),0,VLOOKUP(A1566,Journal!$B$7:M$84,8)))</f>
        <v>0</v>
      </c>
      <c r="L1566" s="87">
        <f t="shared" si="182"/>
        <v>0</v>
      </c>
      <c r="P1566">
        <f t="shared" si="183"/>
        <v>1.0000000000000001E-5</v>
      </c>
      <c r="R1566" s="15">
        <f t="shared" si="184"/>
        <v>1559</v>
      </c>
      <c r="S1566" s="126">
        <f>IF(VLOOKUP(A1566,Journal!$A$7:$E$70,5)=0,S1565+1,VLOOKUP(A1566,Journal!$A$7:$E$70,5))</f>
        <v>47216</v>
      </c>
      <c r="T1566" s="125">
        <f>IF(H$2=VLOOKUP(A1566,Journal!$A$7:$F$70,6),VLOOKUP(A1566,Journal!$A$7:M$70,9),0)</f>
        <v>0</v>
      </c>
      <c r="U1566" s="125">
        <f>IF(H$2=VLOOKUP(A1566,Journal!$A$7:$G$70,7),VLOOKUP(A1566,Journal!$A$7:M$70,9),0)</f>
        <v>0</v>
      </c>
      <c r="V1566" s="125">
        <f t="shared" si="180"/>
        <v>40</v>
      </c>
      <c r="X1566">
        <f t="shared" si="185"/>
        <v>0</v>
      </c>
      <c r="Y1566" s="143">
        <f t="shared" si="179"/>
        <v>-959.05263157901254</v>
      </c>
    </row>
    <row r="1567" spans="1:25" x14ac:dyDescent="0.25">
      <c r="A1567">
        <f t="shared" si="181"/>
        <v>1560</v>
      </c>
      <c r="B1567" s="88" t="str">
        <f>IF(OR(B1566="Total",B1566=""),"",IF(VLOOKUP(A1567,Journal!$B$7:$E$84,4)=0,"Total",VLOOKUP(A1567,Journal!$B$7:$D$84,3)))</f>
        <v/>
      </c>
      <c r="C1567" s="86" t="str">
        <f>IF(B1567="","",VLOOKUP(A1567,Journal!$B$7:$E$84,4))</f>
        <v/>
      </c>
      <c r="D1567" s="114" t="str">
        <f>IF(B1567="","",VLOOKUP(A1567,Journal!$B$7:$J$84,9))</f>
        <v/>
      </c>
      <c r="E1567" s="116"/>
      <c r="F1567" s="116"/>
      <c r="G1567" s="115"/>
      <c r="H1567" s="84" t="str">
        <f>IF(B1567="","",VLOOKUP(A1567,Journal!$B$7:$L$84,11))</f>
        <v/>
      </c>
      <c r="I1567" s="84" t="str">
        <f>IF(B1567="","",VLOOKUP(A1567,Journal!$B$7:$M$84,12))</f>
        <v/>
      </c>
      <c r="J1567" s="105">
        <f>IF(B1567="Total",SUM(J$8:J1566)+0.0001,IF(OR(B1567="",I$2=I1567),0,VLOOKUP(A1567,Journal!$B$7:M$84,8)))</f>
        <v>0</v>
      </c>
      <c r="K1567" s="102">
        <f>IF(B1567="Total",SUM(K$8:K1566)+0.0001,IF(OR(B1567="",J1567&lt;&gt;0),0,VLOOKUP(A1567,Journal!$B$7:M$84,8)))</f>
        <v>0</v>
      </c>
      <c r="L1567" s="87">
        <f t="shared" si="182"/>
        <v>0</v>
      </c>
      <c r="P1567">
        <f t="shared" si="183"/>
        <v>1.0000000000000001E-5</v>
      </c>
      <c r="R1567" s="15">
        <f t="shared" si="184"/>
        <v>1560</v>
      </c>
      <c r="S1567" s="126">
        <f>IF(VLOOKUP(A1567,Journal!$A$7:$E$70,5)=0,S1566+1,VLOOKUP(A1567,Journal!$A$7:$E$70,5))</f>
        <v>47217</v>
      </c>
      <c r="T1567" s="125">
        <f>IF(H$2=VLOOKUP(A1567,Journal!$A$7:$F$70,6),VLOOKUP(A1567,Journal!$A$7:M$70,9),0)</f>
        <v>0</v>
      </c>
      <c r="U1567" s="125">
        <f>IF(H$2=VLOOKUP(A1567,Journal!$A$7:$G$70,7),VLOOKUP(A1567,Journal!$A$7:M$70,9),0)</f>
        <v>0</v>
      </c>
      <c r="V1567" s="125">
        <f t="shared" si="180"/>
        <v>40</v>
      </c>
      <c r="X1567">
        <f t="shared" si="185"/>
        <v>0</v>
      </c>
      <c r="Y1567" s="143">
        <f t="shared" si="179"/>
        <v>-959.0263157895389</v>
      </c>
    </row>
    <row r="1568" spans="1:25" x14ac:dyDescent="0.25">
      <c r="A1568">
        <f t="shared" si="181"/>
        <v>1561</v>
      </c>
      <c r="B1568" s="88" t="str">
        <f>IF(OR(B1567="Total",B1567=""),"",IF(VLOOKUP(A1568,Journal!$B$7:$E$84,4)=0,"Total",VLOOKUP(A1568,Journal!$B$7:$D$84,3)))</f>
        <v/>
      </c>
      <c r="C1568" s="86" t="str">
        <f>IF(B1568="","",VLOOKUP(A1568,Journal!$B$7:$E$84,4))</f>
        <v/>
      </c>
      <c r="D1568" s="114" t="str">
        <f>IF(B1568="","",VLOOKUP(A1568,Journal!$B$7:$J$84,9))</f>
        <v/>
      </c>
      <c r="E1568" s="116"/>
      <c r="F1568" s="116"/>
      <c r="G1568" s="115"/>
      <c r="H1568" s="84" t="str">
        <f>IF(B1568="","",VLOOKUP(A1568,Journal!$B$7:$L$84,11))</f>
        <v/>
      </c>
      <c r="I1568" s="84" t="str">
        <f>IF(B1568="","",VLOOKUP(A1568,Journal!$B$7:$M$84,12))</f>
        <v/>
      </c>
      <c r="J1568" s="105">
        <f>IF(B1568="Total",SUM(J$8:J1567)+0.0001,IF(OR(B1568="",I$2=I1568),0,VLOOKUP(A1568,Journal!$B$7:M$84,8)))</f>
        <v>0</v>
      </c>
      <c r="K1568" s="102">
        <f>IF(B1568="Total",SUM(K$8:K1567)+0.0001,IF(OR(B1568="",J1568&lt;&gt;0),0,VLOOKUP(A1568,Journal!$B$7:M$84,8)))</f>
        <v>0</v>
      </c>
      <c r="L1568" s="87">
        <f t="shared" si="182"/>
        <v>0</v>
      </c>
      <c r="P1568">
        <f t="shared" si="183"/>
        <v>1.0000000000000001E-5</v>
      </c>
      <c r="R1568" s="15">
        <f t="shared" si="184"/>
        <v>1561</v>
      </c>
      <c r="S1568" s="126">
        <f>IF(VLOOKUP(A1568,Journal!$A$7:$E$70,5)=0,S1567+1,VLOOKUP(A1568,Journal!$A$7:$E$70,5))</f>
        <v>47218</v>
      </c>
      <c r="T1568" s="125">
        <f>IF(H$2=VLOOKUP(A1568,Journal!$A$7:$F$70,6),VLOOKUP(A1568,Journal!$A$7:M$70,9),0)</f>
        <v>0</v>
      </c>
      <c r="U1568" s="125">
        <f>IF(H$2=VLOOKUP(A1568,Journal!$A$7:$G$70,7),VLOOKUP(A1568,Journal!$A$7:M$70,9),0)</f>
        <v>0</v>
      </c>
      <c r="V1568" s="125">
        <f t="shared" si="180"/>
        <v>40</v>
      </c>
      <c r="X1568">
        <f t="shared" si="185"/>
        <v>0</v>
      </c>
      <c r="Y1568" s="143">
        <f t="shared" si="179"/>
        <v>-959.00000000006526</v>
      </c>
    </row>
    <row r="1569" spans="1:25" x14ac:dyDescent="0.25">
      <c r="A1569">
        <f t="shared" si="181"/>
        <v>1562</v>
      </c>
      <c r="B1569" s="88" t="str">
        <f>IF(OR(B1568="Total",B1568=""),"",IF(VLOOKUP(A1569,Journal!$B$7:$E$84,4)=0,"Total",VLOOKUP(A1569,Journal!$B$7:$D$84,3)))</f>
        <v/>
      </c>
      <c r="C1569" s="86" t="str">
        <f>IF(B1569="","",VLOOKUP(A1569,Journal!$B$7:$E$84,4))</f>
        <v/>
      </c>
      <c r="D1569" s="114" t="str">
        <f>IF(B1569="","",VLOOKUP(A1569,Journal!$B$7:$J$84,9))</f>
        <v/>
      </c>
      <c r="E1569" s="116"/>
      <c r="F1569" s="116"/>
      <c r="G1569" s="115"/>
      <c r="H1569" s="84" t="str">
        <f>IF(B1569="","",VLOOKUP(A1569,Journal!$B$7:$L$84,11))</f>
        <v/>
      </c>
      <c r="I1569" s="84" t="str">
        <f>IF(B1569="","",VLOOKUP(A1569,Journal!$B$7:$M$84,12))</f>
        <v/>
      </c>
      <c r="J1569" s="105">
        <f>IF(B1569="Total",SUM(J$8:J1568)+0.0001,IF(OR(B1569="",I$2=I1569),0,VLOOKUP(A1569,Journal!$B$7:M$84,8)))</f>
        <v>0</v>
      </c>
      <c r="K1569" s="102">
        <f>IF(B1569="Total",SUM(K$8:K1568)+0.0001,IF(OR(B1569="",J1569&lt;&gt;0),0,VLOOKUP(A1569,Journal!$B$7:M$84,8)))</f>
        <v>0</v>
      </c>
      <c r="L1569" s="87">
        <f t="shared" si="182"/>
        <v>0</v>
      </c>
      <c r="P1569">
        <f t="shared" si="183"/>
        <v>1.0000000000000001E-5</v>
      </c>
      <c r="R1569" s="15">
        <f t="shared" si="184"/>
        <v>1562</v>
      </c>
      <c r="S1569" s="126">
        <f>IF(VLOOKUP(A1569,Journal!$A$7:$E$70,5)=0,S1568+1,VLOOKUP(A1569,Journal!$A$7:$E$70,5))</f>
        <v>47219</v>
      </c>
      <c r="T1569" s="125">
        <f>IF(H$2=VLOOKUP(A1569,Journal!$A$7:$F$70,6),VLOOKUP(A1569,Journal!$A$7:M$70,9),0)</f>
        <v>0</v>
      </c>
      <c r="U1569" s="125">
        <f>IF(H$2=VLOOKUP(A1569,Journal!$A$7:$G$70,7),VLOOKUP(A1569,Journal!$A$7:M$70,9),0)</f>
        <v>0</v>
      </c>
      <c r="V1569" s="125">
        <f t="shared" si="180"/>
        <v>40</v>
      </c>
      <c r="X1569">
        <f t="shared" si="185"/>
        <v>0</v>
      </c>
      <c r="Y1569" s="143">
        <f t="shared" si="179"/>
        <v>-958.97368421059161</v>
      </c>
    </row>
    <row r="1570" spans="1:25" x14ac:dyDescent="0.25">
      <c r="A1570">
        <f t="shared" si="181"/>
        <v>1563</v>
      </c>
      <c r="B1570" s="88" t="str">
        <f>IF(OR(B1569="Total",B1569=""),"",IF(VLOOKUP(A1570,Journal!$B$7:$E$84,4)=0,"Total",VLOOKUP(A1570,Journal!$B$7:$D$84,3)))</f>
        <v/>
      </c>
      <c r="C1570" s="86" t="str">
        <f>IF(B1570="","",VLOOKUP(A1570,Journal!$B$7:$E$84,4))</f>
        <v/>
      </c>
      <c r="D1570" s="114" t="str">
        <f>IF(B1570="","",VLOOKUP(A1570,Journal!$B$7:$J$84,9))</f>
        <v/>
      </c>
      <c r="E1570" s="116"/>
      <c r="F1570" s="116"/>
      <c r="G1570" s="115"/>
      <c r="H1570" s="84" t="str">
        <f>IF(B1570="","",VLOOKUP(A1570,Journal!$B$7:$L$84,11))</f>
        <v/>
      </c>
      <c r="I1570" s="84" t="str">
        <f>IF(B1570="","",VLOOKUP(A1570,Journal!$B$7:$M$84,12))</f>
        <v/>
      </c>
      <c r="J1570" s="105">
        <f>IF(B1570="Total",SUM(J$8:J1569)+0.0001,IF(OR(B1570="",I$2=I1570),0,VLOOKUP(A1570,Journal!$B$7:M$84,8)))</f>
        <v>0</v>
      </c>
      <c r="K1570" s="102">
        <f>IF(B1570="Total",SUM(K$8:K1569)+0.0001,IF(OR(B1570="",J1570&lt;&gt;0),0,VLOOKUP(A1570,Journal!$B$7:M$84,8)))</f>
        <v>0</v>
      </c>
      <c r="L1570" s="87">
        <f t="shared" si="182"/>
        <v>0</v>
      </c>
      <c r="P1570">
        <f t="shared" si="183"/>
        <v>1.0000000000000001E-5</v>
      </c>
      <c r="R1570" s="15">
        <f t="shared" si="184"/>
        <v>1563</v>
      </c>
      <c r="S1570" s="126">
        <f>IF(VLOOKUP(A1570,Journal!$A$7:$E$70,5)=0,S1569+1,VLOOKUP(A1570,Journal!$A$7:$E$70,5))</f>
        <v>47220</v>
      </c>
      <c r="T1570" s="125">
        <f>IF(H$2=VLOOKUP(A1570,Journal!$A$7:$F$70,6),VLOOKUP(A1570,Journal!$A$7:M$70,9),0)</f>
        <v>0</v>
      </c>
      <c r="U1570" s="125">
        <f>IF(H$2=VLOOKUP(A1570,Journal!$A$7:$G$70,7),VLOOKUP(A1570,Journal!$A$7:M$70,9),0)</f>
        <v>0</v>
      </c>
      <c r="V1570" s="125">
        <f t="shared" si="180"/>
        <v>40</v>
      </c>
      <c r="X1570">
        <f t="shared" si="185"/>
        <v>0</v>
      </c>
      <c r="Y1570" s="143">
        <f t="shared" si="179"/>
        <v>-958.94736842111797</v>
      </c>
    </row>
    <row r="1571" spans="1:25" x14ac:dyDescent="0.25">
      <c r="A1571">
        <f t="shared" si="181"/>
        <v>1564</v>
      </c>
      <c r="B1571" s="88" t="str">
        <f>IF(OR(B1570="Total",B1570=""),"",IF(VLOOKUP(A1571,Journal!$B$7:$E$84,4)=0,"Total",VLOOKUP(A1571,Journal!$B$7:$D$84,3)))</f>
        <v/>
      </c>
      <c r="C1571" s="86" t="str">
        <f>IF(B1571="","",VLOOKUP(A1571,Journal!$B$7:$E$84,4))</f>
        <v/>
      </c>
      <c r="D1571" s="114" t="str">
        <f>IF(B1571="","",VLOOKUP(A1571,Journal!$B$7:$J$84,9))</f>
        <v/>
      </c>
      <c r="E1571" s="116"/>
      <c r="F1571" s="116"/>
      <c r="G1571" s="115"/>
      <c r="H1571" s="84" t="str">
        <f>IF(B1571="","",VLOOKUP(A1571,Journal!$B$7:$L$84,11))</f>
        <v/>
      </c>
      <c r="I1571" s="84" t="str">
        <f>IF(B1571="","",VLOOKUP(A1571,Journal!$B$7:$M$84,12))</f>
        <v/>
      </c>
      <c r="J1571" s="105">
        <f>IF(B1571="Total",SUM(J$8:J1570)+0.0001,IF(OR(B1571="",I$2=I1571),0,VLOOKUP(A1571,Journal!$B$7:M$84,8)))</f>
        <v>0</v>
      </c>
      <c r="K1571" s="102">
        <f>IF(B1571="Total",SUM(K$8:K1570)+0.0001,IF(OR(B1571="",J1571&lt;&gt;0),0,VLOOKUP(A1571,Journal!$B$7:M$84,8)))</f>
        <v>0</v>
      </c>
      <c r="L1571" s="87">
        <f t="shared" si="182"/>
        <v>0</v>
      </c>
      <c r="P1571">
        <f t="shared" si="183"/>
        <v>1.0000000000000001E-5</v>
      </c>
      <c r="R1571" s="15">
        <f t="shared" si="184"/>
        <v>1564</v>
      </c>
      <c r="S1571" s="126">
        <f>IF(VLOOKUP(A1571,Journal!$A$7:$E$70,5)=0,S1570+1,VLOOKUP(A1571,Journal!$A$7:$E$70,5))</f>
        <v>47221</v>
      </c>
      <c r="T1571" s="125">
        <f>IF(H$2=VLOOKUP(A1571,Journal!$A$7:$F$70,6),VLOOKUP(A1571,Journal!$A$7:M$70,9),0)</f>
        <v>0</v>
      </c>
      <c r="U1571" s="125">
        <f>IF(H$2=VLOOKUP(A1571,Journal!$A$7:$G$70,7),VLOOKUP(A1571,Journal!$A$7:M$70,9),0)</f>
        <v>0</v>
      </c>
      <c r="V1571" s="125">
        <f t="shared" si="180"/>
        <v>40</v>
      </c>
      <c r="X1571">
        <f t="shared" si="185"/>
        <v>0</v>
      </c>
      <c r="Y1571" s="143">
        <f t="shared" si="179"/>
        <v>-958.92105263164433</v>
      </c>
    </row>
    <row r="1572" spans="1:25" x14ac:dyDescent="0.25">
      <c r="A1572">
        <f t="shared" si="181"/>
        <v>1565</v>
      </c>
      <c r="B1572" s="88" t="str">
        <f>IF(OR(B1571="Total",B1571=""),"",IF(VLOOKUP(A1572,Journal!$B$7:$E$84,4)=0,"Total",VLOOKUP(A1572,Journal!$B$7:$D$84,3)))</f>
        <v/>
      </c>
      <c r="C1572" s="86" t="str">
        <f>IF(B1572="","",VLOOKUP(A1572,Journal!$B$7:$E$84,4))</f>
        <v/>
      </c>
      <c r="D1572" s="114" t="str">
        <f>IF(B1572="","",VLOOKUP(A1572,Journal!$B$7:$J$84,9))</f>
        <v/>
      </c>
      <c r="E1572" s="116"/>
      <c r="F1572" s="116"/>
      <c r="G1572" s="115"/>
      <c r="H1572" s="84" t="str">
        <f>IF(B1572="","",VLOOKUP(A1572,Journal!$B$7:$L$84,11))</f>
        <v/>
      </c>
      <c r="I1572" s="84" t="str">
        <f>IF(B1572="","",VLOOKUP(A1572,Journal!$B$7:$M$84,12))</f>
        <v/>
      </c>
      <c r="J1572" s="105">
        <f>IF(B1572="Total",SUM(J$8:J1571)+0.0001,IF(OR(B1572="",I$2=I1572),0,VLOOKUP(A1572,Journal!$B$7:M$84,8)))</f>
        <v>0</v>
      </c>
      <c r="K1572" s="102">
        <f>IF(B1572="Total",SUM(K$8:K1571)+0.0001,IF(OR(B1572="",J1572&lt;&gt;0),0,VLOOKUP(A1572,Journal!$B$7:M$84,8)))</f>
        <v>0</v>
      </c>
      <c r="L1572" s="87">
        <f t="shared" si="182"/>
        <v>0</v>
      </c>
      <c r="P1572">
        <f t="shared" si="183"/>
        <v>1.0000000000000001E-5</v>
      </c>
      <c r="R1572" s="15">
        <f t="shared" si="184"/>
        <v>1565</v>
      </c>
      <c r="S1572" s="126">
        <f>IF(VLOOKUP(A1572,Journal!$A$7:$E$70,5)=0,S1571+1,VLOOKUP(A1572,Journal!$A$7:$E$70,5))</f>
        <v>47222</v>
      </c>
      <c r="T1572" s="125">
        <f>IF(H$2=VLOOKUP(A1572,Journal!$A$7:$F$70,6),VLOOKUP(A1572,Journal!$A$7:M$70,9),0)</f>
        <v>0</v>
      </c>
      <c r="U1572" s="125">
        <f>IF(H$2=VLOOKUP(A1572,Journal!$A$7:$G$70,7),VLOOKUP(A1572,Journal!$A$7:M$70,9),0)</f>
        <v>0</v>
      </c>
      <c r="V1572" s="125">
        <f t="shared" si="180"/>
        <v>40</v>
      </c>
      <c r="X1572">
        <f t="shared" si="185"/>
        <v>0</v>
      </c>
      <c r="Y1572" s="143">
        <f t="shared" si="179"/>
        <v>-958.89473684217069</v>
      </c>
    </row>
    <row r="1573" spans="1:25" x14ac:dyDescent="0.25">
      <c r="A1573">
        <f t="shared" si="181"/>
        <v>1566</v>
      </c>
      <c r="B1573" s="88" t="str">
        <f>IF(OR(B1572="Total",B1572=""),"",IF(VLOOKUP(A1573,Journal!$B$7:$E$84,4)=0,"Total",VLOOKUP(A1573,Journal!$B$7:$D$84,3)))</f>
        <v/>
      </c>
      <c r="C1573" s="86" t="str">
        <f>IF(B1573="","",VLOOKUP(A1573,Journal!$B$7:$E$84,4))</f>
        <v/>
      </c>
      <c r="D1573" s="114" t="str">
        <f>IF(B1573="","",VLOOKUP(A1573,Journal!$B$7:$J$84,9))</f>
        <v/>
      </c>
      <c r="E1573" s="116"/>
      <c r="F1573" s="116"/>
      <c r="G1573" s="115"/>
      <c r="H1573" s="84" t="str">
        <f>IF(B1573="","",VLOOKUP(A1573,Journal!$B$7:$L$84,11))</f>
        <v/>
      </c>
      <c r="I1573" s="84" t="str">
        <f>IF(B1573="","",VLOOKUP(A1573,Journal!$B$7:$M$84,12))</f>
        <v/>
      </c>
      <c r="J1573" s="105">
        <f>IF(B1573="Total",SUM(J$8:J1572)+0.0001,IF(OR(B1573="",I$2=I1573),0,VLOOKUP(A1573,Journal!$B$7:M$84,8)))</f>
        <v>0</v>
      </c>
      <c r="K1573" s="102">
        <f>IF(B1573="Total",SUM(K$8:K1572)+0.0001,IF(OR(B1573="",J1573&lt;&gt;0),0,VLOOKUP(A1573,Journal!$B$7:M$84,8)))</f>
        <v>0</v>
      </c>
      <c r="L1573" s="87">
        <f t="shared" si="182"/>
        <v>0</v>
      </c>
      <c r="P1573">
        <f t="shared" si="183"/>
        <v>1.0000000000000001E-5</v>
      </c>
      <c r="R1573" s="15">
        <f t="shared" si="184"/>
        <v>1566</v>
      </c>
      <c r="S1573" s="126">
        <f>IF(VLOOKUP(A1573,Journal!$A$7:$E$70,5)=0,S1572+1,VLOOKUP(A1573,Journal!$A$7:$E$70,5))</f>
        <v>47223</v>
      </c>
      <c r="T1573" s="125">
        <f>IF(H$2=VLOOKUP(A1573,Journal!$A$7:$F$70,6),VLOOKUP(A1573,Journal!$A$7:M$70,9),0)</f>
        <v>0</v>
      </c>
      <c r="U1573" s="125">
        <f>IF(H$2=VLOOKUP(A1573,Journal!$A$7:$G$70,7),VLOOKUP(A1573,Journal!$A$7:M$70,9),0)</f>
        <v>0</v>
      </c>
      <c r="V1573" s="125">
        <f t="shared" si="180"/>
        <v>40</v>
      </c>
      <c r="X1573">
        <f t="shared" si="185"/>
        <v>0</v>
      </c>
      <c r="Y1573" s="143">
        <f t="shared" si="179"/>
        <v>-958.86842105269704</v>
      </c>
    </row>
    <row r="1574" spans="1:25" x14ac:dyDescent="0.25">
      <c r="A1574">
        <f t="shared" si="181"/>
        <v>1567</v>
      </c>
      <c r="B1574" s="88" t="str">
        <f>IF(OR(B1573="Total",B1573=""),"",IF(VLOOKUP(A1574,Journal!$B$7:$E$84,4)=0,"Total",VLOOKUP(A1574,Journal!$B$7:$D$84,3)))</f>
        <v/>
      </c>
      <c r="C1574" s="86" t="str">
        <f>IF(B1574="","",VLOOKUP(A1574,Journal!$B$7:$E$84,4))</f>
        <v/>
      </c>
      <c r="D1574" s="114" t="str">
        <f>IF(B1574="","",VLOOKUP(A1574,Journal!$B$7:$J$84,9))</f>
        <v/>
      </c>
      <c r="E1574" s="116"/>
      <c r="F1574" s="116"/>
      <c r="G1574" s="115"/>
      <c r="H1574" s="84" t="str">
        <f>IF(B1574="","",VLOOKUP(A1574,Journal!$B$7:$L$84,11))</f>
        <v/>
      </c>
      <c r="I1574" s="84" t="str">
        <f>IF(B1574="","",VLOOKUP(A1574,Journal!$B$7:$M$84,12))</f>
        <v/>
      </c>
      <c r="J1574" s="105">
        <f>IF(B1574="Total",SUM(J$8:J1573)+0.0001,IF(OR(B1574="",I$2=I1574),0,VLOOKUP(A1574,Journal!$B$7:M$84,8)))</f>
        <v>0</v>
      </c>
      <c r="K1574" s="102">
        <f>IF(B1574="Total",SUM(K$8:K1573)+0.0001,IF(OR(B1574="",J1574&lt;&gt;0),0,VLOOKUP(A1574,Journal!$B$7:M$84,8)))</f>
        <v>0</v>
      </c>
      <c r="L1574" s="87">
        <f t="shared" si="182"/>
        <v>0</v>
      </c>
      <c r="P1574">
        <f t="shared" si="183"/>
        <v>1.0000000000000001E-5</v>
      </c>
      <c r="R1574" s="15">
        <f t="shared" si="184"/>
        <v>1567</v>
      </c>
      <c r="S1574" s="126">
        <f>IF(VLOOKUP(A1574,Journal!$A$7:$E$70,5)=0,S1573+1,VLOOKUP(A1574,Journal!$A$7:$E$70,5))</f>
        <v>47224</v>
      </c>
      <c r="T1574" s="125">
        <f>IF(H$2=VLOOKUP(A1574,Journal!$A$7:$F$70,6),VLOOKUP(A1574,Journal!$A$7:M$70,9),0)</f>
        <v>0</v>
      </c>
      <c r="U1574" s="125">
        <f>IF(H$2=VLOOKUP(A1574,Journal!$A$7:$G$70,7),VLOOKUP(A1574,Journal!$A$7:M$70,9),0)</f>
        <v>0</v>
      </c>
      <c r="V1574" s="125">
        <f t="shared" si="180"/>
        <v>40</v>
      </c>
      <c r="X1574">
        <f t="shared" si="185"/>
        <v>0</v>
      </c>
      <c r="Y1574" s="143">
        <f t="shared" si="179"/>
        <v>-958.8421052632234</v>
      </c>
    </row>
    <row r="1575" spans="1:25" x14ac:dyDescent="0.25">
      <c r="A1575">
        <f t="shared" si="181"/>
        <v>1568</v>
      </c>
      <c r="B1575" s="88" t="str">
        <f>IF(OR(B1574="Total",B1574=""),"",IF(VLOOKUP(A1575,Journal!$B$7:$E$84,4)=0,"Total",VLOOKUP(A1575,Journal!$B$7:$D$84,3)))</f>
        <v/>
      </c>
      <c r="C1575" s="86" t="str">
        <f>IF(B1575="","",VLOOKUP(A1575,Journal!$B$7:$E$84,4))</f>
        <v/>
      </c>
      <c r="D1575" s="114" t="str">
        <f>IF(B1575="","",VLOOKUP(A1575,Journal!$B$7:$J$84,9))</f>
        <v/>
      </c>
      <c r="E1575" s="116"/>
      <c r="F1575" s="116"/>
      <c r="G1575" s="115"/>
      <c r="H1575" s="84" t="str">
        <f>IF(B1575="","",VLOOKUP(A1575,Journal!$B$7:$L$84,11))</f>
        <v/>
      </c>
      <c r="I1575" s="84" t="str">
        <f>IF(B1575="","",VLOOKUP(A1575,Journal!$B$7:$M$84,12))</f>
        <v/>
      </c>
      <c r="J1575" s="105">
        <f>IF(B1575="Total",SUM(J$8:J1574)+0.0001,IF(OR(B1575="",I$2=I1575),0,VLOOKUP(A1575,Journal!$B$7:M$84,8)))</f>
        <v>0</v>
      </c>
      <c r="K1575" s="102">
        <f>IF(B1575="Total",SUM(K$8:K1574)+0.0001,IF(OR(B1575="",J1575&lt;&gt;0),0,VLOOKUP(A1575,Journal!$B$7:M$84,8)))</f>
        <v>0</v>
      </c>
      <c r="L1575" s="87">
        <f t="shared" si="182"/>
        <v>0</v>
      </c>
      <c r="P1575">
        <f t="shared" si="183"/>
        <v>1.0000000000000001E-5</v>
      </c>
      <c r="R1575" s="15">
        <f t="shared" si="184"/>
        <v>1568</v>
      </c>
      <c r="S1575" s="126">
        <f>IF(VLOOKUP(A1575,Journal!$A$7:$E$70,5)=0,S1574+1,VLOOKUP(A1575,Journal!$A$7:$E$70,5))</f>
        <v>47225</v>
      </c>
      <c r="T1575" s="125">
        <f>IF(H$2=VLOOKUP(A1575,Journal!$A$7:$F$70,6),VLOOKUP(A1575,Journal!$A$7:M$70,9),0)</f>
        <v>0</v>
      </c>
      <c r="U1575" s="125">
        <f>IF(H$2=VLOOKUP(A1575,Journal!$A$7:$G$70,7),VLOOKUP(A1575,Journal!$A$7:M$70,9),0)</f>
        <v>0</v>
      </c>
      <c r="V1575" s="125">
        <f t="shared" si="180"/>
        <v>40</v>
      </c>
      <c r="X1575">
        <f t="shared" si="185"/>
        <v>0</v>
      </c>
      <c r="Y1575" s="143">
        <f t="shared" si="179"/>
        <v>-958.81578947374976</v>
      </c>
    </row>
    <row r="1576" spans="1:25" x14ac:dyDescent="0.25">
      <c r="A1576">
        <f t="shared" si="181"/>
        <v>1569</v>
      </c>
      <c r="B1576" s="88" t="str">
        <f>IF(OR(B1575="Total",B1575=""),"",IF(VLOOKUP(A1576,Journal!$B$7:$E$84,4)=0,"Total",VLOOKUP(A1576,Journal!$B$7:$D$84,3)))</f>
        <v/>
      </c>
      <c r="C1576" s="86" t="str">
        <f>IF(B1576="","",VLOOKUP(A1576,Journal!$B$7:$E$84,4))</f>
        <v/>
      </c>
      <c r="D1576" s="114" t="str">
        <f>IF(B1576="","",VLOOKUP(A1576,Journal!$B$7:$J$84,9))</f>
        <v/>
      </c>
      <c r="E1576" s="116"/>
      <c r="F1576" s="116"/>
      <c r="G1576" s="115"/>
      <c r="H1576" s="84" t="str">
        <f>IF(B1576="","",VLOOKUP(A1576,Journal!$B$7:$L$84,11))</f>
        <v/>
      </c>
      <c r="I1576" s="84" t="str">
        <f>IF(B1576="","",VLOOKUP(A1576,Journal!$B$7:$M$84,12))</f>
        <v/>
      </c>
      <c r="J1576" s="105">
        <f>IF(B1576="Total",SUM(J$8:J1575)+0.0001,IF(OR(B1576="",I$2=I1576),0,VLOOKUP(A1576,Journal!$B$7:M$84,8)))</f>
        <v>0</v>
      </c>
      <c r="K1576" s="102">
        <f>IF(B1576="Total",SUM(K$8:K1575)+0.0001,IF(OR(B1576="",J1576&lt;&gt;0),0,VLOOKUP(A1576,Journal!$B$7:M$84,8)))</f>
        <v>0</v>
      </c>
      <c r="L1576" s="87">
        <f t="shared" si="182"/>
        <v>0</v>
      </c>
      <c r="P1576">
        <f t="shared" si="183"/>
        <v>1.0000000000000001E-5</v>
      </c>
      <c r="R1576" s="15">
        <f t="shared" si="184"/>
        <v>1569</v>
      </c>
      <c r="S1576" s="126">
        <f>IF(VLOOKUP(A1576,Journal!$A$7:$E$70,5)=0,S1575+1,VLOOKUP(A1576,Journal!$A$7:$E$70,5))</f>
        <v>47226</v>
      </c>
      <c r="T1576" s="125">
        <f>IF(H$2=VLOOKUP(A1576,Journal!$A$7:$F$70,6),VLOOKUP(A1576,Journal!$A$7:M$70,9),0)</f>
        <v>0</v>
      </c>
      <c r="U1576" s="125">
        <f>IF(H$2=VLOOKUP(A1576,Journal!$A$7:$G$70,7),VLOOKUP(A1576,Journal!$A$7:M$70,9),0)</f>
        <v>0</v>
      </c>
      <c r="V1576" s="125">
        <f t="shared" si="180"/>
        <v>40</v>
      </c>
      <c r="X1576">
        <f t="shared" si="185"/>
        <v>0</v>
      </c>
      <c r="Y1576" s="143">
        <f t="shared" si="179"/>
        <v>-958.78947368427612</v>
      </c>
    </row>
    <row r="1577" spans="1:25" x14ac:dyDescent="0.25">
      <c r="A1577">
        <f t="shared" si="181"/>
        <v>1570</v>
      </c>
      <c r="B1577" s="88" t="str">
        <f>IF(OR(B1576="Total",B1576=""),"",IF(VLOOKUP(A1577,Journal!$B$7:$E$84,4)=0,"Total",VLOOKUP(A1577,Journal!$B$7:$D$84,3)))</f>
        <v/>
      </c>
      <c r="C1577" s="86" t="str">
        <f>IF(B1577="","",VLOOKUP(A1577,Journal!$B$7:$E$84,4))</f>
        <v/>
      </c>
      <c r="D1577" s="114" t="str">
        <f>IF(B1577="","",VLOOKUP(A1577,Journal!$B$7:$J$84,9))</f>
        <v/>
      </c>
      <c r="E1577" s="116"/>
      <c r="F1577" s="116"/>
      <c r="G1577" s="115"/>
      <c r="H1577" s="84" t="str">
        <f>IF(B1577="","",VLOOKUP(A1577,Journal!$B$7:$L$84,11))</f>
        <v/>
      </c>
      <c r="I1577" s="84" t="str">
        <f>IF(B1577="","",VLOOKUP(A1577,Journal!$B$7:$M$84,12))</f>
        <v/>
      </c>
      <c r="J1577" s="105">
        <f>IF(B1577="Total",SUM(J$8:J1576)+0.0001,IF(OR(B1577="",I$2=I1577),0,VLOOKUP(A1577,Journal!$B$7:M$84,8)))</f>
        <v>0</v>
      </c>
      <c r="K1577" s="102">
        <f>IF(B1577="Total",SUM(K$8:K1576)+0.0001,IF(OR(B1577="",J1577&lt;&gt;0),0,VLOOKUP(A1577,Journal!$B$7:M$84,8)))</f>
        <v>0</v>
      </c>
      <c r="L1577" s="87">
        <f t="shared" si="182"/>
        <v>0</v>
      </c>
      <c r="P1577">
        <f t="shared" si="183"/>
        <v>1.0000000000000001E-5</v>
      </c>
      <c r="R1577" s="15">
        <f t="shared" si="184"/>
        <v>1570</v>
      </c>
      <c r="S1577" s="126">
        <f>IF(VLOOKUP(A1577,Journal!$A$7:$E$70,5)=0,S1576+1,VLOOKUP(A1577,Journal!$A$7:$E$70,5))</f>
        <v>47227</v>
      </c>
      <c r="T1577" s="125">
        <f>IF(H$2=VLOOKUP(A1577,Journal!$A$7:$F$70,6),VLOOKUP(A1577,Journal!$A$7:M$70,9),0)</f>
        <v>0</v>
      </c>
      <c r="U1577" s="125">
        <f>IF(H$2=VLOOKUP(A1577,Journal!$A$7:$G$70,7),VLOOKUP(A1577,Journal!$A$7:M$70,9),0)</f>
        <v>0</v>
      </c>
      <c r="V1577" s="125">
        <f t="shared" si="180"/>
        <v>40</v>
      </c>
      <c r="X1577">
        <f t="shared" si="185"/>
        <v>0</v>
      </c>
      <c r="Y1577" s="143">
        <f t="shared" si="179"/>
        <v>-958.76315789480248</v>
      </c>
    </row>
    <row r="1578" spans="1:25" x14ac:dyDescent="0.25">
      <c r="A1578">
        <f t="shared" si="181"/>
        <v>1571</v>
      </c>
      <c r="B1578" s="88" t="str">
        <f>IF(OR(B1577="Total",B1577=""),"",IF(VLOOKUP(A1578,Journal!$B$7:$E$84,4)=0,"Total",VLOOKUP(A1578,Journal!$B$7:$D$84,3)))</f>
        <v/>
      </c>
      <c r="C1578" s="86" t="str">
        <f>IF(B1578="","",VLOOKUP(A1578,Journal!$B$7:$E$84,4))</f>
        <v/>
      </c>
      <c r="D1578" s="114" t="str">
        <f>IF(B1578="","",VLOOKUP(A1578,Journal!$B$7:$J$84,9))</f>
        <v/>
      </c>
      <c r="E1578" s="116"/>
      <c r="F1578" s="116"/>
      <c r="G1578" s="115"/>
      <c r="H1578" s="84" t="str">
        <f>IF(B1578="","",VLOOKUP(A1578,Journal!$B$7:$L$84,11))</f>
        <v/>
      </c>
      <c r="I1578" s="84" t="str">
        <f>IF(B1578="","",VLOOKUP(A1578,Journal!$B$7:$M$84,12))</f>
        <v/>
      </c>
      <c r="J1578" s="105">
        <f>IF(B1578="Total",SUM(J$8:J1577)+0.0001,IF(OR(B1578="",I$2=I1578),0,VLOOKUP(A1578,Journal!$B$7:M$84,8)))</f>
        <v>0</v>
      </c>
      <c r="K1578" s="102">
        <f>IF(B1578="Total",SUM(K$8:K1577)+0.0001,IF(OR(B1578="",J1578&lt;&gt;0),0,VLOOKUP(A1578,Journal!$B$7:M$84,8)))</f>
        <v>0</v>
      </c>
      <c r="L1578" s="87">
        <f t="shared" si="182"/>
        <v>0</v>
      </c>
      <c r="P1578">
        <f t="shared" si="183"/>
        <v>1.0000000000000001E-5</v>
      </c>
      <c r="R1578" s="15">
        <f t="shared" si="184"/>
        <v>1571</v>
      </c>
      <c r="S1578" s="126">
        <f>IF(VLOOKUP(A1578,Journal!$A$7:$E$70,5)=0,S1577+1,VLOOKUP(A1578,Journal!$A$7:$E$70,5))</f>
        <v>47228</v>
      </c>
      <c r="T1578" s="125">
        <f>IF(H$2=VLOOKUP(A1578,Journal!$A$7:$F$70,6),VLOOKUP(A1578,Journal!$A$7:M$70,9),0)</f>
        <v>0</v>
      </c>
      <c r="U1578" s="125">
        <f>IF(H$2=VLOOKUP(A1578,Journal!$A$7:$G$70,7),VLOOKUP(A1578,Journal!$A$7:M$70,9),0)</f>
        <v>0</v>
      </c>
      <c r="V1578" s="125">
        <f t="shared" si="180"/>
        <v>40</v>
      </c>
      <c r="X1578">
        <f t="shared" si="185"/>
        <v>0</v>
      </c>
      <c r="Y1578" s="143">
        <f t="shared" si="179"/>
        <v>-958.73684210532883</v>
      </c>
    </row>
    <row r="1579" spans="1:25" x14ac:dyDescent="0.25">
      <c r="A1579">
        <f t="shared" si="181"/>
        <v>1572</v>
      </c>
      <c r="B1579" s="88" t="str">
        <f>IF(OR(B1578="Total",B1578=""),"",IF(VLOOKUP(A1579,Journal!$B$7:$E$84,4)=0,"Total",VLOOKUP(A1579,Journal!$B$7:$D$84,3)))</f>
        <v/>
      </c>
      <c r="C1579" s="86" t="str">
        <f>IF(B1579="","",VLOOKUP(A1579,Journal!$B$7:$E$84,4))</f>
        <v/>
      </c>
      <c r="D1579" s="114" t="str">
        <f>IF(B1579="","",VLOOKUP(A1579,Journal!$B$7:$J$84,9))</f>
        <v/>
      </c>
      <c r="E1579" s="116"/>
      <c r="F1579" s="116"/>
      <c r="G1579" s="115"/>
      <c r="H1579" s="84" t="str">
        <f>IF(B1579="","",VLOOKUP(A1579,Journal!$B$7:$L$84,11))</f>
        <v/>
      </c>
      <c r="I1579" s="84" t="str">
        <f>IF(B1579="","",VLOOKUP(A1579,Journal!$B$7:$M$84,12))</f>
        <v/>
      </c>
      <c r="J1579" s="105">
        <f>IF(B1579="Total",SUM(J$8:J1578)+0.0001,IF(OR(B1579="",I$2=I1579),0,VLOOKUP(A1579,Journal!$B$7:M$84,8)))</f>
        <v>0</v>
      </c>
      <c r="K1579" s="102">
        <f>IF(B1579="Total",SUM(K$8:K1578)+0.0001,IF(OR(B1579="",J1579&lt;&gt;0),0,VLOOKUP(A1579,Journal!$B$7:M$84,8)))</f>
        <v>0</v>
      </c>
      <c r="L1579" s="87">
        <f t="shared" si="182"/>
        <v>0</v>
      </c>
      <c r="P1579">
        <f t="shared" si="183"/>
        <v>1.0000000000000001E-5</v>
      </c>
      <c r="R1579" s="15">
        <f t="shared" si="184"/>
        <v>1572</v>
      </c>
      <c r="S1579" s="126">
        <f>IF(VLOOKUP(A1579,Journal!$A$7:$E$70,5)=0,S1578+1,VLOOKUP(A1579,Journal!$A$7:$E$70,5))</f>
        <v>47229</v>
      </c>
      <c r="T1579" s="125">
        <f>IF(H$2=VLOOKUP(A1579,Journal!$A$7:$F$70,6),VLOOKUP(A1579,Journal!$A$7:M$70,9),0)</f>
        <v>0</v>
      </c>
      <c r="U1579" s="125">
        <f>IF(H$2=VLOOKUP(A1579,Journal!$A$7:$G$70,7),VLOOKUP(A1579,Journal!$A$7:M$70,9),0)</f>
        <v>0</v>
      </c>
      <c r="V1579" s="125">
        <f t="shared" si="180"/>
        <v>40</v>
      </c>
      <c r="X1579">
        <f t="shared" si="185"/>
        <v>0</v>
      </c>
      <c r="Y1579" s="143">
        <f t="shared" si="179"/>
        <v>-958.71052631585519</v>
      </c>
    </row>
    <row r="1580" spans="1:25" x14ac:dyDescent="0.25">
      <c r="A1580">
        <f t="shared" si="181"/>
        <v>1573</v>
      </c>
      <c r="B1580" s="88" t="str">
        <f>IF(OR(B1579="Total",B1579=""),"",IF(VLOOKUP(A1580,Journal!$B$7:$E$84,4)=0,"Total",VLOOKUP(A1580,Journal!$B$7:$D$84,3)))</f>
        <v/>
      </c>
      <c r="C1580" s="86" t="str">
        <f>IF(B1580="","",VLOOKUP(A1580,Journal!$B$7:$E$84,4))</f>
        <v/>
      </c>
      <c r="D1580" s="114" t="str">
        <f>IF(B1580="","",VLOOKUP(A1580,Journal!$B$7:$J$84,9))</f>
        <v/>
      </c>
      <c r="E1580" s="116"/>
      <c r="F1580" s="116"/>
      <c r="G1580" s="115"/>
      <c r="H1580" s="84" t="str">
        <f>IF(B1580="","",VLOOKUP(A1580,Journal!$B$7:$L$84,11))</f>
        <v/>
      </c>
      <c r="I1580" s="84" t="str">
        <f>IF(B1580="","",VLOOKUP(A1580,Journal!$B$7:$M$84,12))</f>
        <v/>
      </c>
      <c r="J1580" s="105">
        <f>IF(B1580="Total",SUM(J$8:J1579)+0.0001,IF(OR(B1580="",I$2=I1580),0,VLOOKUP(A1580,Journal!$B$7:M$84,8)))</f>
        <v>0</v>
      </c>
      <c r="K1580" s="102">
        <f>IF(B1580="Total",SUM(K$8:K1579)+0.0001,IF(OR(B1580="",J1580&lt;&gt;0),0,VLOOKUP(A1580,Journal!$B$7:M$84,8)))</f>
        <v>0</v>
      </c>
      <c r="L1580" s="87">
        <f t="shared" si="182"/>
        <v>0</v>
      </c>
      <c r="P1580">
        <f t="shared" si="183"/>
        <v>1.0000000000000001E-5</v>
      </c>
      <c r="R1580" s="15">
        <f t="shared" si="184"/>
        <v>1573</v>
      </c>
      <c r="S1580" s="126">
        <f>IF(VLOOKUP(A1580,Journal!$A$7:$E$70,5)=0,S1579+1,VLOOKUP(A1580,Journal!$A$7:$E$70,5))</f>
        <v>47230</v>
      </c>
      <c r="T1580" s="125">
        <f>IF(H$2=VLOOKUP(A1580,Journal!$A$7:$F$70,6),VLOOKUP(A1580,Journal!$A$7:M$70,9),0)</f>
        <v>0</v>
      </c>
      <c r="U1580" s="125">
        <f>IF(H$2=VLOOKUP(A1580,Journal!$A$7:$G$70,7),VLOOKUP(A1580,Journal!$A$7:M$70,9),0)</f>
        <v>0</v>
      </c>
      <c r="V1580" s="125">
        <f t="shared" si="180"/>
        <v>40</v>
      </c>
      <c r="X1580">
        <f t="shared" si="185"/>
        <v>0</v>
      </c>
      <c r="Y1580" s="143">
        <f t="shared" si="179"/>
        <v>-958.68421052638155</v>
      </c>
    </row>
    <row r="1581" spans="1:25" x14ac:dyDescent="0.25">
      <c r="A1581">
        <f t="shared" si="181"/>
        <v>1574</v>
      </c>
      <c r="B1581" s="88" t="str">
        <f>IF(OR(B1580="Total",B1580=""),"",IF(VLOOKUP(A1581,Journal!$B$7:$E$84,4)=0,"Total",VLOOKUP(A1581,Journal!$B$7:$D$84,3)))</f>
        <v/>
      </c>
      <c r="C1581" s="86" t="str">
        <f>IF(B1581="","",VLOOKUP(A1581,Journal!$B$7:$E$84,4))</f>
        <v/>
      </c>
      <c r="D1581" s="114" t="str">
        <f>IF(B1581="","",VLOOKUP(A1581,Journal!$B$7:$J$84,9))</f>
        <v/>
      </c>
      <c r="E1581" s="116"/>
      <c r="F1581" s="116"/>
      <c r="G1581" s="115"/>
      <c r="H1581" s="84" t="str">
        <f>IF(B1581="","",VLOOKUP(A1581,Journal!$B$7:$L$84,11))</f>
        <v/>
      </c>
      <c r="I1581" s="84" t="str">
        <f>IF(B1581="","",VLOOKUP(A1581,Journal!$B$7:$M$84,12))</f>
        <v/>
      </c>
      <c r="J1581" s="105">
        <f>IF(B1581="Total",SUM(J$8:J1580)+0.0001,IF(OR(B1581="",I$2=I1581),0,VLOOKUP(A1581,Journal!$B$7:M$84,8)))</f>
        <v>0</v>
      </c>
      <c r="K1581" s="102">
        <f>IF(B1581="Total",SUM(K$8:K1580)+0.0001,IF(OR(B1581="",J1581&lt;&gt;0),0,VLOOKUP(A1581,Journal!$B$7:M$84,8)))</f>
        <v>0</v>
      </c>
      <c r="L1581" s="87">
        <f t="shared" si="182"/>
        <v>0</v>
      </c>
      <c r="P1581">
        <f t="shared" si="183"/>
        <v>1.0000000000000001E-5</v>
      </c>
      <c r="R1581" s="15">
        <f t="shared" si="184"/>
        <v>1574</v>
      </c>
      <c r="S1581" s="126">
        <f>IF(VLOOKUP(A1581,Journal!$A$7:$E$70,5)=0,S1580+1,VLOOKUP(A1581,Journal!$A$7:$E$70,5))</f>
        <v>47231</v>
      </c>
      <c r="T1581" s="125">
        <f>IF(H$2=VLOOKUP(A1581,Journal!$A$7:$F$70,6),VLOOKUP(A1581,Journal!$A$7:M$70,9),0)</f>
        <v>0</v>
      </c>
      <c r="U1581" s="125">
        <f>IF(H$2=VLOOKUP(A1581,Journal!$A$7:$G$70,7),VLOOKUP(A1581,Journal!$A$7:M$70,9),0)</f>
        <v>0</v>
      </c>
      <c r="V1581" s="125">
        <f t="shared" si="180"/>
        <v>40</v>
      </c>
      <c r="X1581">
        <f t="shared" si="185"/>
        <v>0</v>
      </c>
      <c r="Y1581" s="143">
        <f t="shared" si="179"/>
        <v>-958.65789473690791</v>
      </c>
    </row>
    <row r="1582" spans="1:25" x14ac:dyDescent="0.25">
      <c r="A1582">
        <f t="shared" si="181"/>
        <v>1575</v>
      </c>
      <c r="B1582" s="88" t="str">
        <f>IF(OR(B1581="Total",B1581=""),"",IF(VLOOKUP(A1582,Journal!$B$7:$E$84,4)=0,"Total",VLOOKUP(A1582,Journal!$B$7:$D$84,3)))</f>
        <v/>
      </c>
      <c r="C1582" s="86" t="str">
        <f>IF(B1582="","",VLOOKUP(A1582,Journal!$B$7:$E$84,4))</f>
        <v/>
      </c>
      <c r="D1582" s="114" t="str">
        <f>IF(B1582="","",VLOOKUP(A1582,Journal!$B$7:$J$84,9))</f>
        <v/>
      </c>
      <c r="E1582" s="116"/>
      <c r="F1582" s="116"/>
      <c r="G1582" s="115"/>
      <c r="H1582" s="84" t="str">
        <f>IF(B1582="","",VLOOKUP(A1582,Journal!$B$7:$L$84,11))</f>
        <v/>
      </c>
      <c r="I1582" s="84" t="str">
        <f>IF(B1582="","",VLOOKUP(A1582,Journal!$B$7:$M$84,12))</f>
        <v/>
      </c>
      <c r="J1582" s="105">
        <f>IF(B1582="Total",SUM(J$8:J1581)+0.0001,IF(OR(B1582="",I$2=I1582),0,VLOOKUP(A1582,Journal!$B$7:M$84,8)))</f>
        <v>0</v>
      </c>
      <c r="K1582" s="102">
        <f>IF(B1582="Total",SUM(K$8:K1581)+0.0001,IF(OR(B1582="",J1582&lt;&gt;0),0,VLOOKUP(A1582,Journal!$B$7:M$84,8)))</f>
        <v>0</v>
      </c>
      <c r="L1582" s="87">
        <f t="shared" si="182"/>
        <v>0</v>
      </c>
      <c r="P1582">
        <f t="shared" si="183"/>
        <v>1.0000000000000001E-5</v>
      </c>
      <c r="R1582" s="15">
        <f t="shared" si="184"/>
        <v>1575</v>
      </c>
      <c r="S1582" s="126">
        <f>IF(VLOOKUP(A1582,Journal!$A$7:$E$70,5)=0,S1581+1,VLOOKUP(A1582,Journal!$A$7:$E$70,5))</f>
        <v>47232</v>
      </c>
      <c r="T1582" s="125">
        <f>IF(H$2=VLOOKUP(A1582,Journal!$A$7:$F$70,6),VLOOKUP(A1582,Journal!$A$7:M$70,9),0)</f>
        <v>0</v>
      </c>
      <c r="U1582" s="125">
        <f>IF(H$2=VLOOKUP(A1582,Journal!$A$7:$G$70,7),VLOOKUP(A1582,Journal!$A$7:M$70,9),0)</f>
        <v>0</v>
      </c>
      <c r="V1582" s="125">
        <f t="shared" si="180"/>
        <v>40</v>
      </c>
      <c r="X1582">
        <f t="shared" si="185"/>
        <v>0</v>
      </c>
      <c r="Y1582" s="143">
        <f t="shared" si="179"/>
        <v>-958.63157894743426</v>
      </c>
    </row>
    <row r="1583" spans="1:25" x14ac:dyDescent="0.25">
      <c r="A1583">
        <f t="shared" si="181"/>
        <v>1576</v>
      </c>
      <c r="B1583" s="88" t="str">
        <f>IF(OR(B1582="Total",B1582=""),"",IF(VLOOKUP(A1583,Journal!$B$7:$E$84,4)=0,"Total",VLOOKUP(A1583,Journal!$B$7:$D$84,3)))</f>
        <v/>
      </c>
      <c r="C1583" s="86" t="str">
        <f>IF(B1583="","",VLOOKUP(A1583,Journal!$B$7:$E$84,4))</f>
        <v/>
      </c>
      <c r="D1583" s="114" t="str">
        <f>IF(B1583="","",VLOOKUP(A1583,Journal!$B$7:$J$84,9))</f>
        <v/>
      </c>
      <c r="E1583" s="116"/>
      <c r="F1583" s="116"/>
      <c r="G1583" s="115"/>
      <c r="H1583" s="84" t="str">
        <f>IF(B1583="","",VLOOKUP(A1583,Journal!$B$7:$L$84,11))</f>
        <v/>
      </c>
      <c r="I1583" s="84" t="str">
        <f>IF(B1583="","",VLOOKUP(A1583,Journal!$B$7:$M$84,12))</f>
        <v/>
      </c>
      <c r="J1583" s="105">
        <f>IF(B1583="Total",SUM(J$8:J1582)+0.0001,IF(OR(B1583="",I$2=I1583),0,VLOOKUP(A1583,Journal!$B$7:M$84,8)))</f>
        <v>0</v>
      </c>
      <c r="K1583" s="102">
        <f>IF(B1583="Total",SUM(K$8:K1582)+0.0001,IF(OR(B1583="",J1583&lt;&gt;0),0,VLOOKUP(A1583,Journal!$B$7:M$84,8)))</f>
        <v>0</v>
      </c>
      <c r="L1583" s="87">
        <f t="shared" si="182"/>
        <v>0</v>
      </c>
      <c r="P1583">
        <f t="shared" si="183"/>
        <v>1.0000000000000001E-5</v>
      </c>
      <c r="R1583" s="15">
        <f t="shared" si="184"/>
        <v>1576</v>
      </c>
      <c r="S1583" s="126">
        <f>IF(VLOOKUP(A1583,Journal!$A$7:$E$70,5)=0,S1582+1,VLOOKUP(A1583,Journal!$A$7:$E$70,5))</f>
        <v>47233</v>
      </c>
      <c r="T1583" s="125">
        <f>IF(H$2=VLOOKUP(A1583,Journal!$A$7:$F$70,6),VLOOKUP(A1583,Journal!$A$7:M$70,9),0)</f>
        <v>0</v>
      </c>
      <c r="U1583" s="125">
        <f>IF(H$2=VLOOKUP(A1583,Journal!$A$7:$G$70,7),VLOOKUP(A1583,Journal!$A$7:M$70,9),0)</f>
        <v>0</v>
      </c>
      <c r="V1583" s="125">
        <f t="shared" si="180"/>
        <v>40</v>
      </c>
      <c r="X1583">
        <f t="shared" si="185"/>
        <v>0</v>
      </c>
      <c r="Y1583" s="143">
        <f t="shared" si="179"/>
        <v>-958.60526315796062</v>
      </c>
    </row>
    <row r="1584" spans="1:25" x14ac:dyDescent="0.25">
      <c r="A1584">
        <f t="shared" si="181"/>
        <v>1577</v>
      </c>
      <c r="B1584" s="88" t="str">
        <f>IF(OR(B1583="Total",B1583=""),"",IF(VLOOKUP(A1584,Journal!$B$7:$E$84,4)=0,"Total",VLOOKUP(A1584,Journal!$B$7:$D$84,3)))</f>
        <v/>
      </c>
      <c r="C1584" s="86" t="str">
        <f>IF(B1584="","",VLOOKUP(A1584,Journal!$B$7:$E$84,4))</f>
        <v/>
      </c>
      <c r="D1584" s="114" t="str">
        <f>IF(B1584="","",VLOOKUP(A1584,Journal!$B$7:$J$84,9))</f>
        <v/>
      </c>
      <c r="E1584" s="116"/>
      <c r="F1584" s="116"/>
      <c r="G1584" s="115"/>
      <c r="H1584" s="84" t="str">
        <f>IF(B1584="","",VLOOKUP(A1584,Journal!$B$7:$L$84,11))</f>
        <v/>
      </c>
      <c r="I1584" s="84" t="str">
        <f>IF(B1584="","",VLOOKUP(A1584,Journal!$B$7:$M$84,12))</f>
        <v/>
      </c>
      <c r="J1584" s="105">
        <f>IF(B1584="Total",SUM(J$8:J1583)+0.0001,IF(OR(B1584="",I$2=I1584),0,VLOOKUP(A1584,Journal!$B$7:M$84,8)))</f>
        <v>0</v>
      </c>
      <c r="K1584" s="102">
        <f>IF(B1584="Total",SUM(K$8:K1583)+0.0001,IF(OR(B1584="",J1584&lt;&gt;0),0,VLOOKUP(A1584,Journal!$B$7:M$84,8)))</f>
        <v>0</v>
      </c>
      <c r="L1584" s="87">
        <f t="shared" si="182"/>
        <v>0</v>
      </c>
      <c r="P1584">
        <f t="shared" si="183"/>
        <v>1.0000000000000001E-5</v>
      </c>
      <c r="R1584" s="15">
        <f t="shared" si="184"/>
        <v>1577</v>
      </c>
      <c r="S1584" s="126">
        <f>IF(VLOOKUP(A1584,Journal!$A$7:$E$70,5)=0,S1583+1,VLOOKUP(A1584,Journal!$A$7:$E$70,5))</f>
        <v>47234</v>
      </c>
      <c r="T1584" s="125">
        <f>IF(H$2=VLOOKUP(A1584,Journal!$A$7:$F$70,6),VLOOKUP(A1584,Journal!$A$7:M$70,9),0)</f>
        <v>0</v>
      </c>
      <c r="U1584" s="125">
        <f>IF(H$2=VLOOKUP(A1584,Journal!$A$7:$G$70,7),VLOOKUP(A1584,Journal!$A$7:M$70,9),0)</f>
        <v>0</v>
      </c>
      <c r="V1584" s="125">
        <f t="shared" si="180"/>
        <v>40</v>
      </c>
      <c r="X1584">
        <f t="shared" si="185"/>
        <v>0</v>
      </c>
      <c r="Y1584" s="143">
        <f t="shared" si="179"/>
        <v>-958.57894736848698</v>
      </c>
    </row>
    <row r="1585" spans="1:25" x14ac:dyDescent="0.25">
      <c r="A1585">
        <f t="shared" si="181"/>
        <v>1578</v>
      </c>
      <c r="B1585" s="88" t="str">
        <f>IF(OR(B1584="Total",B1584=""),"",IF(VLOOKUP(A1585,Journal!$B$7:$E$84,4)=0,"Total",VLOOKUP(A1585,Journal!$B$7:$D$84,3)))</f>
        <v/>
      </c>
      <c r="C1585" s="86" t="str">
        <f>IF(B1585="","",VLOOKUP(A1585,Journal!$B$7:$E$84,4))</f>
        <v/>
      </c>
      <c r="D1585" s="114" t="str">
        <f>IF(B1585="","",VLOOKUP(A1585,Journal!$B$7:$J$84,9))</f>
        <v/>
      </c>
      <c r="E1585" s="116"/>
      <c r="F1585" s="116"/>
      <c r="G1585" s="115"/>
      <c r="H1585" s="84" t="str">
        <f>IF(B1585="","",VLOOKUP(A1585,Journal!$B$7:$L$84,11))</f>
        <v/>
      </c>
      <c r="I1585" s="84" t="str">
        <f>IF(B1585="","",VLOOKUP(A1585,Journal!$B$7:$M$84,12))</f>
        <v/>
      </c>
      <c r="J1585" s="105">
        <f>IF(B1585="Total",SUM(J$8:J1584)+0.0001,IF(OR(B1585="",I$2=I1585),0,VLOOKUP(A1585,Journal!$B$7:M$84,8)))</f>
        <v>0</v>
      </c>
      <c r="K1585" s="102">
        <f>IF(B1585="Total",SUM(K$8:K1584)+0.0001,IF(OR(B1585="",J1585&lt;&gt;0),0,VLOOKUP(A1585,Journal!$B$7:M$84,8)))</f>
        <v>0</v>
      </c>
      <c r="L1585" s="87">
        <f t="shared" si="182"/>
        <v>0</v>
      </c>
      <c r="P1585">
        <f t="shared" si="183"/>
        <v>1.0000000000000001E-5</v>
      </c>
      <c r="R1585" s="15">
        <f t="shared" si="184"/>
        <v>1578</v>
      </c>
      <c r="S1585" s="126">
        <f>IF(VLOOKUP(A1585,Journal!$A$7:$E$70,5)=0,S1584+1,VLOOKUP(A1585,Journal!$A$7:$E$70,5))</f>
        <v>47235</v>
      </c>
      <c r="T1585" s="125">
        <f>IF(H$2=VLOOKUP(A1585,Journal!$A$7:$F$70,6),VLOOKUP(A1585,Journal!$A$7:M$70,9),0)</f>
        <v>0</v>
      </c>
      <c r="U1585" s="125">
        <f>IF(H$2=VLOOKUP(A1585,Journal!$A$7:$G$70,7),VLOOKUP(A1585,Journal!$A$7:M$70,9),0)</f>
        <v>0</v>
      </c>
      <c r="V1585" s="125">
        <f t="shared" si="180"/>
        <v>40</v>
      </c>
      <c r="X1585">
        <f t="shared" si="185"/>
        <v>0</v>
      </c>
      <c r="Y1585" s="143">
        <f t="shared" si="179"/>
        <v>-958.55263157901334</v>
      </c>
    </row>
    <row r="1586" spans="1:25" x14ac:dyDescent="0.25">
      <c r="A1586">
        <f t="shared" si="181"/>
        <v>1579</v>
      </c>
      <c r="B1586" s="88" t="str">
        <f>IF(OR(B1585="Total",B1585=""),"",IF(VLOOKUP(A1586,Journal!$B$7:$E$84,4)=0,"Total",VLOOKUP(A1586,Journal!$B$7:$D$84,3)))</f>
        <v/>
      </c>
      <c r="C1586" s="86" t="str">
        <f>IF(B1586="","",VLOOKUP(A1586,Journal!$B$7:$E$84,4))</f>
        <v/>
      </c>
      <c r="D1586" s="114" t="str">
        <f>IF(B1586="","",VLOOKUP(A1586,Journal!$B$7:$J$84,9))</f>
        <v/>
      </c>
      <c r="E1586" s="116"/>
      <c r="F1586" s="116"/>
      <c r="G1586" s="115"/>
      <c r="H1586" s="84" t="str">
        <f>IF(B1586="","",VLOOKUP(A1586,Journal!$B$7:$L$84,11))</f>
        <v/>
      </c>
      <c r="I1586" s="84" t="str">
        <f>IF(B1586="","",VLOOKUP(A1586,Journal!$B$7:$M$84,12))</f>
        <v/>
      </c>
      <c r="J1586" s="105">
        <f>IF(B1586="Total",SUM(J$8:J1585)+0.0001,IF(OR(B1586="",I$2=I1586),0,VLOOKUP(A1586,Journal!$B$7:M$84,8)))</f>
        <v>0</v>
      </c>
      <c r="K1586" s="102">
        <f>IF(B1586="Total",SUM(K$8:K1585)+0.0001,IF(OR(B1586="",J1586&lt;&gt;0),0,VLOOKUP(A1586,Journal!$B$7:M$84,8)))</f>
        <v>0</v>
      </c>
      <c r="L1586" s="87">
        <f t="shared" si="182"/>
        <v>0</v>
      </c>
      <c r="P1586">
        <f t="shared" si="183"/>
        <v>1.0000000000000001E-5</v>
      </c>
      <c r="R1586" s="15">
        <f t="shared" si="184"/>
        <v>1579</v>
      </c>
      <c r="S1586" s="126">
        <f>IF(VLOOKUP(A1586,Journal!$A$7:$E$70,5)=0,S1585+1,VLOOKUP(A1586,Journal!$A$7:$E$70,5))</f>
        <v>47236</v>
      </c>
      <c r="T1586" s="125">
        <f>IF(H$2=VLOOKUP(A1586,Journal!$A$7:$F$70,6),VLOOKUP(A1586,Journal!$A$7:M$70,9),0)</f>
        <v>0</v>
      </c>
      <c r="U1586" s="125">
        <f>IF(H$2=VLOOKUP(A1586,Journal!$A$7:$G$70,7),VLOOKUP(A1586,Journal!$A$7:M$70,9),0)</f>
        <v>0</v>
      </c>
      <c r="V1586" s="125">
        <f t="shared" si="180"/>
        <v>40</v>
      </c>
      <c r="X1586">
        <f t="shared" si="185"/>
        <v>0</v>
      </c>
      <c r="Y1586" s="143">
        <f t="shared" si="179"/>
        <v>-958.52631578953969</v>
      </c>
    </row>
    <row r="1587" spans="1:25" x14ac:dyDescent="0.25">
      <c r="A1587">
        <f t="shared" si="181"/>
        <v>1580</v>
      </c>
      <c r="B1587" s="88" t="str">
        <f>IF(OR(B1586="Total",B1586=""),"",IF(VLOOKUP(A1587,Journal!$B$7:$E$84,4)=0,"Total",VLOOKUP(A1587,Journal!$B$7:$D$84,3)))</f>
        <v/>
      </c>
      <c r="C1587" s="86" t="str">
        <f>IF(B1587="","",VLOOKUP(A1587,Journal!$B$7:$E$84,4))</f>
        <v/>
      </c>
      <c r="D1587" s="114" t="str">
        <f>IF(B1587="","",VLOOKUP(A1587,Journal!$B$7:$J$84,9))</f>
        <v/>
      </c>
      <c r="E1587" s="116"/>
      <c r="F1587" s="116"/>
      <c r="G1587" s="115"/>
      <c r="H1587" s="84" t="str">
        <f>IF(B1587="","",VLOOKUP(A1587,Journal!$B$7:$L$84,11))</f>
        <v/>
      </c>
      <c r="I1587" s="84" t="str">
        <f>IF(B1587="","",VLOOKUP(A1587,Journal!$B$7:$M$84,12))</f>
        <v/>
      </c>
      <c r="J1587" s="105">
        <f>IF(B1587="Total",SUM(J$8:J1586)+0.0001,IF(OR(B1587="",I$2=I1587),0,VLOOKUP(A1587,Journal!$B$7:M$84,8)))</f>
        <v>0</v>
      </c>
      <c r="K1587" s="102">
        <f>IF(B1587="Total",SUM(K$8:K1586)+0.0001,IF(OR(B1587="",J1587&lt;&gt;0),0,VLOOKUP(A1587,Journal!$B$7:M$84,8)))</f>
        <v>0</v>
      </c>
      <c r="L1587" s="87">
        <f t="shared" si="182"/>
        <v>0</v>
      </c>
      <c r="P1587">
        <f t="shared" si="183"/>
        <v>1.0000000000000001E-5</v>
      </c>
      <c r="R1587" s="15">
        <f t="shared" si="184"/>
        <v>1580</v>
      </c>
      <c r="S1587" s="126">
        <f>IF(VLOOKUP(A1587,Journal!$A$7:$E$70,5)=0,S1586+1,VLOOKUP(A1587,Journal!$A$7:$E$70,5))</f>
        <v>47237</v>
      </c>
      <c r="T1587" s="125">
        <f>IF(H$2=VLOOKUP(A1587,Journal!$A$7:$F$70,6),VLOOKUP(A1587,Journal!$A$7:M$70,9),0)</f>
        <v>0</v>
      </c>
      <c r="U1587" s="125">
        <f>IF(H$2=VLOOKUP(A1587,Journal!$A$7:$G$70,7),VLOOKUP(A1587,Journal!$A$7:M$70,9),0)</f>
        <v>0</v>
      </c>
      <c r="V1587" s="125">
        <f t="shared" si="180"/>
        <v>40</v>
      </c>
      <c r="X1587">
        <f t="shared" si="185"/>
        <v>0</v>
      </c>
      <c r="Y1587" s="143">
        <f t="shared" si="179"/>
        <v>-958.50000000006605</v>
      </c>
    </row>
    <row r="1588" spans="1:25" x14ac:dyDescent="0.25">
      <c r="A1588">
        <f t="shared" si="181"/>
        <v>1581</v>
      </c>
      <c r="B1588" s="88" t="str">
        <f>IF(OR(B1587="Total",B1587=""),"",IF(VLOOKUP(A1588,Journal!$B$7:$E$84,4)=0,"Total",VLOOKUP(A1588,Journal!$B$7:$D$84,3)))</f>
        <v/>
      </c>
      <c r="C1588" s="86" t="str">
        <f>IF(B1588="","",VLOOKUP(A1588,Journal!$B$7:$E$84,4))</f>
        <v/>
      </c>
      <c r="D1588" s="114" t="str">
        <f>IF(B1588="","",VLOOKUP(A1588,Journal!$B$7:$J$84,9))</f>
        <v/>
      </c>
      <c r="E1588" s="116"/>
      <c r="F1588" s="116"/>
      <c r="G1588" s="115"/>
      <c r="H1588" s="84" t="str">
        <f>IF(B1588="","",VLOOKUP(A1588,Journal!$B$7:$L$84,11))</f>
        <v/>
      </c>
      <c r="I1588" s="84" t="str">
        <f>IF(B1588="","",VLOOKUP(A1588,Journal!$B$7:$M$84,12))</f>
        <v/>
      </c>
      <c r="J1588" s="105">
        <f>IF(B1588="Total",SUM(J$8:J1587)+0.0001,IF(OR(B1588="",I$2=I1588),0,VLOOKUP(A1588,Journal!$B$7:M$84,8)))</f>
        <v>0</v>
      </c>
      <c r="K1588" s="102">
        <f>IF(B1588="Total",SUM(K$8:K1587)+0.0001,IF(OR(B1588="",J1588&lt;&gt;0),0,VLOOKUP(A1588,Journal!$B$7:M$84,8)))</f>
        <v>0</v>
      </c>
      <c r="L1588" s="87">
        <f t="shared" si="182"/>
        <v>0</v>
      </c>
      <c r="P1588">
        <f t="shared" si="183"/>
        <v>1.0000000000000001E-5</v>
      </c>
      <c r="R1588" s="15">
        <f t="shared" si="184"/>
        <v>1581</v>
      </c>
      <c r="S1588" s="126">
        <f>IF(VLOOKUP(A1588,Journal!$A$7:$E$70,5)=0,S1587+1,VLOOKUP(A1588,Journal!$A$7:$E$70,5))</f>
        <v>47238</v>
      </c>
      <c r="T1588" s="125">
        <f>IF(H$2=VLOOKUP(A1588,Journal!$A$7:$F$70,6),VLOOKUP(A1588,Journal!$A$7:M$70,9),0)</f>
        <v>0</v>
      </c>
      <c r="U1588" s="125">
        <f>IF(H$2=VLOOKUP(A1588,Journal!$A$7:$G$70,7),VLOOKUP(A1588,Journal!$A$7:M$70,9),0)</f>
        <v>0</v>
      </c>
      <c r="V1588" s="125">
        <f t="shared" si="180"/>
        <v>40</v>
      </c>
      <c r="X1588">
        <f t="shared" si="185"/>
        <v>0</v>
      </c>
      <c r="Y1588" s="143">
        <f t="shared" si="179"/>
        <v>-958.47368421059241</v>
      </c>
    </row>
    <row r="1589" spans="1:25" x14ac:dyDescent="0.25">
      <c r="A1589">
        <f t="shared" si="181"/>
        <v>1582</v>
      </c>
      <c r="B1589" s="88" t="str">
        <f>IF(OR(B1588="Total",B1588=""),"",IF(VLOOKUP(A1589,Journal!$B$7:$E$84,4)=0,"Total",VLOOKUP(A1589,Journal!$B$7:$D$84,3)))</f>
        <v/>
      </c>
      <c r="C1589" s="86" t="str">
        <f>IF(B1589="","",VLOOKUP(A1589,Journal!$B$7:$E$84,4))</f>
        <v/>
      </c>
      <c r="D1589" s="114" t="str">
        <f>IF(B1589="","",VLOOKUP(A1589,Journal!$B$7:$J$84,9))</f>
        <v/>
      </c>
      <c r="E1589" s="116"/>
      <c r="F1589" s="116"/>
      <c r="G1589" s="115"/>
      <c r="H1589" s="84" t="str">
        <f>IF(B1589="","",VLOOKUP(A1589,Journal!$B$7:$L$84,11))</f>
        <v/>
      </c>
      <c r="I1589" s="84" t="str">
        <f>IF(B1589="","",VLOOKUP(A1589,Journal!$B$7:$M$84,12))</f>
        <v/>
      </c>
      <c r="J1589" s="105">
        <f>IF(B1589="Total",SUM(J$8:J1588)+0.0001,IF(OR(B1589="",I$2=I1589),0,VLOOKUP(A1589,Journal!$B$7:M$84,8)))</f>
        <v>0</v>
      </c>
      <c r="K1589" s="102">
        <f>IF(B1589="Total",SUM(K$8:K1588)+0.0001,IF(OR(B1589="",J1589&lt;&gt;0),0,VLOOKUP(A1589,Journal!$B$7:M$84,8)))</f>
        <v>0</v>
      </c>
      <c r="L1589" s="87">
        <f t="shared" si="182"/>
        <v>0</v>
      </c>
      <c r="P1589">
        <f t="shared" si="183"/>
        <v>1.0000000000000001E-5</v>
      </c>
      <c r="R1589" s="15">
        <f t="shared" si="184"/>
        <v>1582</v>
      </c>
      <c r="S1589" s="126">
        <f>IF(VLOOKUP(A1589,Journal!$A$7:$E$70,5)=0,S1588+1,VLOOKUP(A1589,Journal!$A$7:$E$70,5))</f>
        <v>47239</v>
      </c>
      <c r="T1589" s="125">
        <f>IF(H$2=VLOOKUP(A1589,Journal!$A$7:$F$70,6),VLOOKUP(A1589,Journal!$A$7:M$70,9),0)</f>
        <v>0</v>
      </c>
      <c r="U1589" s="125">
        <f>IF(H$2=VLOOKUP(A1589,Journal!$A$7:$G$70,7),VLOOKUP(A1589,Journal!$A$7:M$70,9),0)</f>
        <v>0</v>
      </c>
      <c r="V1589" s="125">
        <f t="shared" si="180"/>
        <v>40</v>
      </c>
      <c r="X1589">
        <f t="shared" si="185"/>
        <v>0</v>
      </c>
      <c r="Y1589" s="143">
        <f t="shared" si="179"/>
        <v>-958.44736842111877</v>
      </c>
    </row>
    <row r="1590" spans="1:25" x14ac:dyDescent="0.25">
      <c r="A1590">
        <f t="shared" si="181"/>
        <v>1583</v>
      </c>
      <c r="B1590" s="88" t="str">
        <f>IF(OR(B1589="Total",B1589=""),"",IF(VLOOKUP(A1590,Journal!$B$7:$E$84,4)=0,"Total",VLOOKUP(A1590,Journal!$B$7:$D$84,3)))</f>
        <v/>
      </c>
      <c r="C1590" s="86" t="str">
        <f>IF(B1590="","",VLOOKUP(A1590,Journal!$B$7:$E$84,4))</f>
        <v/>
      </c>
      <c r="D1590" s="114" t="str">
        <f>IF(B1590="","",VLOOKUP(A1590,Journal!$B$7:$J$84,9))</f>
        <v/>
      </c>
      <c r="E1590" s="116"/>
      <c r="F1590" s="116"/>
      <c r="G1590" s="115"/>
      <c r="H1590" s="84" t="str">
        <f>IF(B1590="","",VLOOKUP(A1590,Journal!$B$7:$L$84,11))</f>
        <v/>
      </c>
      <c r="I1590" s="84" t="str">
        <f>IF(B1590="","",VLOOKUP(A1590,Journal!$B$7:$M$84,12))</f>
        <v/>
      </c>
      <c r="J1590" s="105">
        <f>IF(B1590="Total",SUM(J$8:J1589)+0.0001,IF(OR(B1590="",I$2=I1590),0,VLOOKUP(A1590,Journal!$B$7:M$84,8)))</f>
        <v>0</v>
      </c>
      <c r="K1590" s="102">
        <f>IF(B1590="Total",SUM(K$8:K1589)+0.0001,IF(OR(B1590="",J1590&lt;&gt;0),0,VLOOKUP(A1590,Journal!$B$7:M$84,8)))</f>
        <v>0</v>
      </c>
      <c r="L1590" s="87">
        <f t="shared" si="182"/>
        <v>0</v>
      </c>
      <c r="P1590">
        <f t="shared" si="183"/>
        <v>1.0000000000000001E-5</v>
      </c>
      <c r="R1590" s="15">
        <f t="shared" si="184"/>
        <v>1583</v>
      </c>
      <c r="S1590" s="126">
        <f>IF(VLOOKUP(A1590,Journal!$A$7:$E$70,5)=0,S1589+1,VLOOKUP(A1590,Journal!$A$7:$E$70,5))</f>
        <v>47240</v>
      </c>
      <c r="T1590" s="125">
        <f>IF(H$2=VLOOKUP(A1590,Journal!$A$7:$F$70,6),VLOOKUP(A1590,Journal!$A$7:M$70,9),0)</f>
        <v>0</v>
      </c>
      <c r="U1590" s="125">
        <f>IF(H$2=VLOOKUP(A1590,Journal!$A$7:$G$70,7),VLOOKUP(A1590,Journal!$A$7:M$70,9),0)</f>
        <v>0</v>
      </c>
      <c r="V1590" s="125">
        <f t="shared" si="180"/>
        <v>40</v>
      </c>
      <c r="X1590">
        <f t="shared" si="185"/>
        <v>0</v>
      </c>
      <c r="Y1590" s="143">
        <f t="shared" si="179"/>
        <v>-958.42105263164513</v>
      </c>
    </row>
    <row r="1591" spans="1:25" x14ac:dyDescent="0.25">
      <c r="A1591">
        <f t="shared" si="181"/>
        <v>1584</v>
      </c>
      <c r="B1591" s="88" t="str">
        <f>IF(OR(B1590="Total",B1590=""),"",IF(VLOOKUP(A1591,Journal!$B$7:$E$84,4)=0,"Total",VLOOKUP(A1591,Journal!$B$7:$D$84,3)))</f>
        <v/>
      </c>
      <c r="C1591" s="86" t="str">
        <f>IF(B1591="","",VLOOKUP(A1591,Journal!$B$7:$E$84,4))</f>
        <v/>
      </c>
      <c r="D1591" s="114" t="str">
        <f>IF(B1591="","",VLOOKUP(A1591,Journal!$B$7:$J$84,9))</f>
        <v/>
      </c>
      <c r="E1591" s="116"/>
      <c r="F1591" s="116"/>
      <c r="G1591" s="115"/>
      <c r="H1591" s="84" t="str">
        <f>IF(B1591="","",VLOOKUP(A1591,Journal!$B$7:$L$84,11))</f>
        <v/>
      </c>
      <c r="I1591" s="84" t="str">
        <f>IF(B1591="","",VLOOKUP(A1591,Journal!$B$7:$M$84,12))</f>
        <v/>
      </c>
      <c r="J1591" s="105">
        <f>IF(B1591="Total",SUM(J$8:J1590)+0.0001,IF(OR(B1591="",I$2=I1591),0,VLOOKUP(A1591,Journal!$B$7:M$84,8)))</f>
        <v>0</v>
      </c>
      <c r="K1591" s="102">
        <f>IF(B1591="Total",SUM(K$8:K1590)+0.0001,IF(OR(B1591="",J1591&lt;&gt;0),0,VLOOKUP(A1591,Journal!$B$7:M$84,8)))</f>
        <v>0</v>
      </c>
      <c r="L1591" s="87">
        <f t="shared" si="182"/>
        <v>0</v>
      </c>
      <c r="P1591">
        <f t="shared" si="183"/>
        <v>1.0000000000000001E-5</v>
      </c>
      <c r="R1591" s="15">
        <f t="shared" si="184"/>
        <v>1584</v>
      </c>
      <c r="S1591" s="126">
        <f>IF(VLOOKUP(A1591,Journal!$A$7:$E$70,5)=0,S1590+1,VLOOKUP(A1591,Journal!$A$7:$E$70,5))</f>
        <v>47241</v>
      </c>
      <c r="T1591" s="125">
        <f>IF(H$2=VLOOKUP(A1591,Journal!$A$7:$F$70,6),VLOOKUP(A1591,Journal!$A$7:M$70,9),0)</f>
        <v>0</v>
      </c>
      <c r="U1591" s="125">
        <f>IF(H$2=VLOOKUP(A1591,Journal!$A$7:$G$70,7),VLOOKUP(A1591,Journal!$A$7:M$70,9),0)</f>
        <v>0</v>
      </c>
      <c r="V1591" s="125">
        <f t="shared" si="180"/>
        <v>40</v>
      </c>
      <c r="X1591">
        <f t="shared" si="185"/>
        <v>0</v>
      </c>
      <c r="Y1591" s="143">
        <f t="shared" si="179"/>
        <v>-958.39473684217148</v>
      </c>
    </row>
    <row r="1592" spans="1:25" x14ac:dyDescent="0.25">
      <c r="A1592">
        <f t="shared" si="181"/>
        <v>1585</v>
      </c>
      <c r="B1592" s="88" t="str">
        <f>IF(OR(B1591="Total",B1591=""),"",IF(VLOOKUP(A1592,Journal!$B$7:$E$84,4)=0,"Total",VLOOKUP(A1592,Journal!$B$7:$D$84,3)))</f>
        <v/>
      </c>
      <c r="C1592" s="86" t="str">
        <f>IF(B1592="","",VLOOKUP(A1592,Journal!$B$7:$E$84,4))</f>
        <v/>
      </c>
      <c r="D1592" s="114" t="str">
        <f>IF(B1592="","",VLOOKUP(A1592,Journal!$B$7:$J$84,9))</f>
        <v/>
      </c>
      <c r="E1592" s="116"/>
      <c r="F1592" s="116"/>
      <c r="G1592" s="115"/>
      <c r="H1592" s="84" t="str">
        <f>IF(B1592="","",VLOOKUP(A1592,Journal!$B$7:$L$84,11))</f>
        <v/>
      </c>
      <c r="I1592" s="84" t="str">
        <f>IF(B1592="","",VLOOKUP(A1592,Journal!$B$7:$M$84,12))</f>
        <v/>
      </c>
      <c r="J1592" s="105">
        <f>IF(B1592="Total",SUM(J$8:J1591)+0.0001,IF(OR(B1592="",I$2=I1592),0,VLOOKUP(A1592,Journal!$B$7:M$84,8)))</f>
        <v>0</v>
      </c>
      <c r="K1592" s="102">
        <f>IF(B1592="Total",SUM(K$8:K1591)+0.0001,IF(OR(B1592="",J1592&lt;&gt;0),0,VLOOKUP(A1592,Journal!$B$7:M$84,8)))</f>
        <v>0</v>
      </c>
      <c r="L1592" s="87">
        <f t="shared" si="182"/>
        <v>0</v>
      </c>
      <c r="P1592">
        <f t="shared" si="183"/>
        <v>1.0000000000000001E-5</v>
      </c>
      <c r="R1592" s="15">
        <f t="shared" si="184"/>
        <v>1585</v>
      </c>
      <c r="S1592" s="126">
        <f>IF(VLOOKUP(A1592,Journal!$A$7:$E$70,5)=0,S1591+1,VLOOKUP(A1592,Journal!$A$7:$E$70,5))</f>
        <v>47242</v>
      </c>
      <c r="T1592" s="125">
        <f>IF(H$2=VLOOKUP(A1592,Journal!$A$7:$F$70,6),VLOOKUP(A1592,Journal!$A$7:M$70,9),0)</f>
        <v>0</v>
      </c>
      <c r="U1592" s="125">
        <f>IF(H$2=VLOOKUP(A1592,Journal!$A$7:$G$70,7),VLOOKUP(A1592,Journal!$A$7:M$70,9),0)</f>
        <v>0</v>
      </c>
      <c r="V1592" s="125">
        <f t="shared" si="180"/>
        <v>40</v>
      </c>
      <c r="X1592">
        <f t="shared" si="185"/>
        <v>0</v>
      </c>
      <c r="Y1592" s="143">
        <f t="shared" si="179"/>
        <v>-958.36842105269784</v>
      </c>
    </row>
    <row r="1593" spans="1:25" x14ac:dyDescent="0.25">
      <c r="A1593">
        <f t="shared" si="181"/>
        <v>1586</v>
      </c>
      <c r="B1593" s="88" t="str">
        <f>IF(OR(B1592="Total",B1592=""),"",IF(VLOOKUP(A1593,Journal!$B$7:$E$84,4)=0,"Total",VLOOKUP(A1593,Journal!$B$7:$D$84,3)))</f>
        <v/>
      </c>
      <c r="C1593" s="86" t="str">
        <f>IF(B1593="","",VLOOKUP(A1593,Journal!$B$7:$E$84,4))</f>
        <v/>
      </c>
      <c r="D1593" s="114" t="str">
        <f>IF(B1593="","",VLOOKUP(A1593,Journal!$B$7:$J$84,9))</f>
        <v/>
      </c>
      <c r="E1593" s="116"/>
      <c r="F1593" s="116"/>
      <c r="G1593" s="115"/>
      <c r="H1593" s="84" t="str">
        <f>IF(B1593="","",VLOOKUP(A1593,Journal!$B$7:$L$84,11))</f>
        <v/>
      </c>
      <c r="I1593" s="84" t="str">
        <f>IF(B1593="","",VLOOKUP(A1593,Journal!$B$7:$M$84,12))</f>
        <v/>
      </c>
      <c r="J1593" s="105">
        <f>IF(B1593="Total",SUM(J$8:J1592)+0.0001,IF(OR(B1593="",I$2=I1593),0,VLOOKUP(A1593,Journal!$B$7:M$84,8)))</f>
        <v>0</v>
      </c>
      <c r="K1593" s="102">
        <f>IF(B1593="Total",SUM(K$8:K1592)+0.0001,IF(OR(B1593="",J1593&lt;&gt;0),0,VLOOKUP(A1593,Journal!$B$7:M$84,8)))</f>
        <v>0</v>
      </c>
      <c r="L1593" s="87">
        <f t="shared" si="182"/>
        <v>0</v>
      </c>
      <c r="P1593">
        <f t="shared" si="183"/>
        <v>1.0000000000000001E-5</v>
      </c>
      <c r="R1593" s="15">
        <f t="shared" si="184"/>
        <v>1586</v>
      </c>
      <c r="S1593" s="126">
        <f>IF(VLOOKUP(A1593,Journal!$A$7:$E$70,5)=0,S1592+1,VLOOKUP(A1593,Journal!$A$7:$E$70,5))</f>
        <v>47243</v>
      </c>
      <c r="T1593" s="125">
        <f>IF(H$2=VLOOKUP(A1593,Journal!$A$7:$F$70,6),VLOOKUP(A1593,Journal!$A$7:M$70,9),0)</f>
        <v>0</v>
      </c>
      <c r="U1593" s="125">
        <f>IF(H$2=VLOOKUP(A1593,Journal!$A$7:$G$70,7),VLOOKUP(A1593,Journal!$A$7:M$70,9),0)</f>
        <v>0</v>
      </c>
      <c r="V1593" s="125">
        <f t="shared" si="180"/>
        <v>40</v>
      </c>
      <c r="X1593">
        <f t="shared" si="185"/>
        <v>0</v>
      </c>
      <c r="Y1593" s="143">
        <f t="shared" si="179"/>
        <v>-958.3421052632242</v>
      </c>
    </row>
    <row r="1594" spans="1:25" x14ac:dyDescent="0.25">
      <c r="A1594">
        <f t="shared" si="181"/>
        <v>1587</v>
      </c>
      <c r="B1594" s="88" t="str">
        <f>IF(OR(B1593="Total",B1593=""),"",IF(VLOOKUP(A1594,Journal!$B$7:$E$84,4)=0,"Total",VLOOKUP(A1594,Journal!$B$7:$D$84,3)))</f>
        <v/>
      </c>
      <c r="C1594" s="86" t="str">
        <f>IF(B1594="","",VLOOKUP(A1594,Journal!$B$7:$E$84,4))</f>
        <v/>
      </c>
      <c r="D1594" s="114" t="str">
        <f>IF(B1594="","",VLOOKUP(A1594,Journal!$B$7:$J$84,9))</f>
        <v/>
      </c>
      <c r="E1594" s="116"/>
      <c r="F1594" s="116"/>
      <c r="G1594" s="115"/>
      <c r="H1594" s="84" t="str">
        <f>IF(B1594="","",VLOOKUP(A1594,Journal!$B$7:$L$84,11))</f>
        <v/>
      </c>
      <c r="I1594" s="84" t="str">
        <f>IF(B1594="","",VLOOKUP(A1594,Journal!$B$7:$M$84,12))</f>
        <v/>
      </c>
      <c r="J1594" s="105">
        <f>IF(B1594="Total",SUM(J$8:J1593)+0.0001,IF(OR(B1594="",I$2=I1594),0,VLOOKUP(A1594,Journal!$B$7:M$84,8)))</f>
        <v>0</v>
      </c>
      <c r="K1594" s="102">
        <f>IF(B1594="Total",SUM(K$8:K1593)+0.0001,IF(OR(B1594="",J1594&lt;&gt;0),0,VLOOKUP(A1594,Journal!$B$7:M$84,8)))</f>
        <v>0</v>
      </c>
      <c r="L1594" s="87">
        <f t="shared" si="182"/>
        <v>0</v>
      </c>
      <c r="P1594">
        <f t="shared" si="183"/>
        <v>1.0000000000000001E-5</v>
      </c>
      <c r="R1594" s="15">
        <f t="shared" si="184"/>
        <v>1587</v>
      </c>
      <c r="S1594" s="126">
        <f>IF(VLOOKUP(A1594,Journal!$A$7:$E$70,5)=0,S1593+1,VLOOKUP(A1594,Journal!$A$7:$E$70,5))</f>
        <v>47244</v>
      </c>
      <c r="T1594" s="125">
        <f>IF(H$2=VLOOKUP(A1594,Journal!$A$7:$F$70,6),VLOOKUP(A1594,Journal!$A$7:M$70,9),0)</f>
        <v>0</v>
      </c>
      <c r="U1594" s="125">
        <f>IF(H$2=VLOOKUP(A1594,Journal!$A$7:$G$70,7),VLOOKUP(A1594,Journal!$A$7:M$70,9),0)</f>
        <v>0</v>
      </c>
      <c r="V1594" s="125">
        <f t="shared" si="180"/>
        <v>40</v>
      </c>
      <c r="X1594">
        <f t="shared" si="185"/>
        <v>0</v>
      </c>
      <c r="Y1594" s="143">
        <f t="shared" si="179"/>
        <v>-958.31578947375056</v>
      </c>
    </row>
    <row r="1595" spans="1:25" x14ac:dyDescent="0.25">
      <c r="A1595">
        <f t="shared" si="181"/>
        <v>1588</v>
      </c>
      <c r="B1595" s="88" t="str">
        <f>IF(OR(B1594="Total",B1594=""),"",IF(VLOOKUP(A1595,Journal!$B$7:$E$84,4)=0,"Total",VLOOKUP(A1595,Journal!$B$7:$D$84,3)))</f>
        <v/>
      </c>
      <c r="C1595" s="86" t="str">
        <f>IF(B1595="","",VLOOKUP(A1595,Journal!$B$7:$E$84,4))</f>
        <v/>
      </c>
      <c r="D1595" s="114" t="str">
        <f>IF(B1595="","",VLOOKUP(A1595,Journal!$B$7:$J$84,9))</f>
        <v/>
      </c>
      <c r="E1595" s="116"/>
      <c r="F1595" s="116"/>
      <c r="G1595" s="115"/>
      <c r="H1595" s="84" t="str">
        <f>IF(B1595="","",VLOOKUP(A1595,Journal!$B$7:$L$84,11))</f>
        <v/>
      </c>
      <c r="I1595" s="84" t="str">
        <f>IF(B1595="","",VLOOKUP(A1595,Journal!$B$7:$M$84,12))</f>
        <v/>
      </c>
      <c r="J1595" s="105">
        <f>IF(B1595="Total",SUM(J$8:J1594)+0.0001,IF(OR(B1595="",I$2=I1595),0,VLOOKUP(A1595,Journal!$B$7:M$84,8)))</f>
        <v>0</v>
      </c>
      <c r="K1595" s="102">
        <f>IF(B1595="Total",SUM(K$8:K1594)+0.0001,IF(OR(B1595="",J1595&lt;&gt;0),0,VLOOKUP(A1595,Journal!$B$7:M$84,8)))</f>
        <v>0</v>
      </c>
      <c r="L1595" s="87">
        <f t="shared" si="182"/>
        <v>0</v>
      </c>
      <c r="P1595">
        <f t="shared" si="183"/>
        <v>1.0000000000000001E-5</v>
      </c>
      <c r="R1595" s="15">
        <f t="shared" si="184"/>
        <v>1588</v>
      </c>
      <c r="S1595" s="126">
        <f>IF(VLOOKUP(A1595,Journal!$A$7:$E$70,5)=0,S1594+1,VLOOKUP(A1595,Journal!$A$7:$E$70,5))</f>
        <v>47245</v>
      </c>
      <c r="T1595" s="125">
        <f>IF(H$2=VLOOKUP(A1595,Journal!$A$7:$F$70,6),VLOOKUP(A1595,Journal!$A$7:M$70,9),0)</f>
        <v>0</v>
      </c>
      <c r="U1595" s="125">
        <f>IF(H$2=VLOOKUP(A1595,Journal!$A$7:$G$70,7),VLOOKUP(A1595,Journal!$A$7:M$70,9),0)</f>
        <v>0</v>
      </c>
      <c r="V1595" s="125">
        <f t="shared" si="180"/>
        <v>40</v>
      </c>
      <c r="X1595">
        <f t="shared" si="185"/>
        <v>0</v>
      </c>
      <c r="Y1595" s="143">
        <f t="shared" si="179"/>
        <v>-958.28947368427691</v>
      </c>
    </row>
    <row r="1596" spans="1:25" x14ac:dyDescent="0.25">
      <c r="A1596">
        <f t="shared" si="181"/>
        <v>1589</v>
      </c>
      <c r="B1596" s="88" t="str">
        <f>IF(OR(B1595="Total",B1595=""),"",IF(VLOOKUP(A1596,Journal!$B$7:$E$84,4)=0,"Total",VLOOKUP(A1596,Journal!$B$7:$D$84,3)))</f>
        <v/>
      </c>
      <c r="C1596" s="86" t="str">
        <f>IF(B1596="","",VLOOKUP(A1596,Journal!$B$7:$E$84,4))</f>
        <v/>
      </c>
      <c r="D1596" s="114" t="str">
        <f>IF(B1596="","",VLOOKUP(A1596,Journal!$B$7:$J$84,9))</f>
        <v/>
      </c>
      <c r="E1596" s="116"/>
      <c r="F1596" s="116"/>
      <c r="G1596" s="115"/>
      <c r="H1596" s="84" t="str">
        <f>IF(B1596="","",VLOOKUP(A1596,Journal!$B$7:$L$84,11))</f>
        <v/>
      </c>
      <c r="I1596" s="84" t="str">
        <f>IF(B1596="","",VLOOKUP(A1596,Journal!$B$7:$M$84,12))</f>
        <v/>
      </c>
      <c r="J1596" s="105">
        <f>IF(B1596="Total",SUM(J$8:J1595)+0.0001,IF(OR(B1596="",I$2=I1596),0,VLOOKUP(A1596,Journal!$B$7:M$84,8)))</f>
        <v>0</v>
      </c>
      <c r="K1596" s="102">
        <f>IF(B1596="Total",SUM(K$8:K1595)+0.0001,IF(OR(B1596="",J1596&lt;&gt;0),0,VLOOKUP(A1596,Journal!$B$7:M$84,8)))</f>
        <v>0</v>
      </c>
      <c r="L1596" s="87">
        <f t="shared" si="182"/>
        <v>0</v>
      </c>
      <c r="P1596">
        <f t="shared" si="183"/>
        <v>1.0000000000000001E-5</v>
      </c>
      <c r="R1596" s="15">
        <f t="shared" si="184"/>
        <v>1589</v>
      </c>
      <c r="S1596" s="126">
        <f>IF(VLOOKUP(A1596,Journal!$A$7:$E$70,5)=0,S1595+1,VLOOKUP(A1596,Journal!$A$7:$E$70,5))</f>
        <v>47246</v>
      </c>
      <c r="T1596" s="125">
        <f>IF(H$2=VLOOKUP(A1596,Journal!$A$7:$F$70,6),VLOOKUP(A1596,Journal!$A$7:M$70,9),0)</f>
        <v>0</v>
      </c>
      <c r="U1596" s="125">
        <f>IF(H$2=VLOOKUP(A1596,Journal!$A$7:$G$70,7),VLOOKUP(A1596,Journal!$A$7:M$70,9),0)</f>
        <v>0</v>
      </c>
      <c r="V1596" s="125">
        <f t="shared" si="180"/>
        <v>40</v>
      </c>
      <c r="X1596">
        <f t="shared" si="185"/>
        <v>0</v>
      </c>
      <c r="Y1596" s="143">
        <f t="shared" si="179"/>
        <v>-958.26315789480327</v>
      </c>
    </row>
    <row r="1597" spans="1:25" x14ac:dyDescent="0.25">
      <c r="A1597">
        <f t="shared" si="181"/>
        <v>1590</v>
      </c>
      <c r="B1597" s="88" t="str">
        <f>IF(OR(B1596="Total",B1596=""),"",IF(VLOOKUP(A1597,Journal!$B$7:$E$84,4)=0,"Total",VLOOKUP(A1597,Journal!$B$7:$D$84,3)))</f>
        <v/>
      </c>
      <c r="C1597" s="86" t="str">
        <f>IF(B1597="","",VLOOKUP(A1597,Journal!$B$7:$E$84,4))</f>
        <v/>
      </c>
      <c r="D1597" s="114" t="str">
        <f>IF(B1597="","",VLOOKUP(A1597,Journal!$B$7:$J$84,9))</f>
        <v/>
      </c>
      <c r="E1597" s="116"/>
      <c r="F1597" s="116"/>
      <c r="G1597" s="115"/>
      <c r="H1597" s="84" t="str">
        <f>IF(B1597="","",VLOOKUP(A1597,Journal!$B$7:$L$84,11))</f>
        <v/>
      </c>
      <c r="I1597" s="84" t="str">
        <f>IF(B1597="","",VLOOKUP(A1597,Journal!$B$7:$M$84,12))</f>
        <v/>
      </c>
      <c r="J1597" s="105">
        <f>IF(B1597="Total",SUM(J$8:J1596)+0.0001,IF(OR(B1597="",I$2=I1597),0,VLOOKUP(A1597,Journal!$B$7:M$84,8)))</f>
        <v>0</v>
      </c>
      <c r="K1597" s="102">
        <f>IF(B1597="Total",SUM(K$8:K1596)+0.0001,IF(OR(B1597="",J1597&lt;&gt;0),0,VLOOKUP(A1597,Journal!$B$7:M$84,8)))</f>
        <v>0</v>
      </c>
      <c r="L1597" s="87">
        <f t="shared" si="182"/>
        <v>0</v>
      </c>
      <c r="P1597">
        <f t="shared" si="183"/>
        <v>1.0000000000000001E-5</v>
      </c>
      <c r="R1597" s="15">
        <f t="shared" si="184"/>
        <v>1590</v>
      </c>
      <c r="S1597" s="126">
        <f>IF(VLOOKUP(A1597,Journal!$A$7:$E$70,5)=0,S1596+1,VLOOKUP(A1597,Journal!$A$7:$E$70,5))</f>
        <v>47247</v>
      </c>
      <c r="T1597" s="125">
        <f>IF(H$2=VLOOKUP(A1597,Journal!$A$7:$F$70,6),VLOOKUP(A1597,Journal!$A$7:M$70,9),0)</f>
        <v>0</v>
      </c>
      <c r="U1597" s="125">
        <f>IF(H$2=VLOOKUP(A1597,Journal!$A$7:$G$70,7),VLOOKUP(A1597,Journal!$A$7:M$70,9),0)</f>
        <v>0</v>
      </c>
      <c r="V1597" s="125">
        <f t="shared" si="180"/>
        <v>40</v>
      </c>
      <c r="X1597">
        <f t="shared" si="185"/>
        <v>0</v>
      </c>
      <c r="Y1597" s="143">
        <f t="shared" si="179"/>
        <v>-958.23684210532963</v>
      </c>
    </row>
    <row r="1598" spans="1:25" x14ac:dyDescent="0.25">
      <c r="A1598">
        <f t="shared" si="181"/>
        <v>1591</v>
      </c>
      <c r="B1598" s="88" t="str">
        <f>IF(OR(B1597="Total",B1597=""),"",IF(VLOOKUP(A1598,Journal!$B$7:$E$84,4)=0,"Total",VLOOKUP(A1598,Journal!$B$7:$D$84,3)))</f>
        <v/>
      </c>
      <c r="C1598" s="86" t="str">
        <f>IF(B1598="","",VLOOKUP(A1598,Journal!$B$7:$E$84,4))</f>
        <v/>
      </c>
      <c r="D1598" s="114" t="str">
        <f>IF(B1598="","",VLOOKUP(A1598,Journal!$B$7:$J$84,9))</f>
        <v/>
      </c>
      <c r="E1598" s="116"/>
      <c r="F1598" s="116"/>
      <c r="G1598" s="115"/>
      <c r="H1598" s="84" t="str">
        <f>IF(B1598="","",VLOOKUP(A1598,Journal!$B$7:$L$84,11))</f>
        <v/>
      </c>
      <c r="I1598" s="84" t="str">
        <f>IF(B1598="","",VLOOKUP(A1598,Journal!$B$7:$M$84,12))</f>
        <v/>
      </c>
      <c r="J1598" s="105">
        <f>IF(B1598="Total",SUM(J$8:J1597)+0.0001,IF(OR(B1598="",I$2=I1598),0,VLOOKUP(A1598,Journal!$B$7:M$84,8)))</f>
        <v>0</v>
      </c>
      <c r="K1598" s="102">
        <f>IF(B1598="Total",SUM(K$8:K1597)+0.0001,IF(OR(B1598="",J1598&lt;&gt;0),0,VLOOKUP(A1598,Journal!$B$7:M$84,8)))</f>
        <v>0</v>
      </c>
      <c r="L1598" s="87">
        <f t="shared" si="182"/>
        <v>0</v>
      </c>
      <c r="P1598">
        <f t="shared" si="183"/>
        <v>1.0000000000000001E-5</v>
      </c>
      <c r="R1598" s="15">
        <f t="shared" si="184"/>
        <v>1591</v>
      </c>
      <c r="S1598" s="126">
        <f>IF(VLOOKUP(A1598,Journal!$A$7:$E$70,5)=0,S1597+1,VLOOKUP(A1598,Journal!$A$7:$E$70,5))</f>
        <v>47248</v>
      </c>
      <c r="T1598" s="125">
        <f>IF(H$2=VLOOKUP(A1598,Journal!$A$7:$F$70,6),VLOOKUP(A1598,Journal!$A$7:M$70,9),0)</f>
        <v>0</v>
      </c>
      <c r="U1598" s="125">
        <f>IF(H$2=VLOOKUP(A1598,Journal!$A$7:$G$70,7),VLOOKUP(A1598,Journal!$A$7:M$70,9),0)</f>
        <v>0</v>
      </c>
      <c r="V1598" s="125">
        <f t="shared" si="180"/>
        <v>40</v>
      </c>
      <c r="X1598">
        <f t="shared" si="185"/>
        <v>0</v>
      </c>
      <c r="Y1598" s="143">
        <f t="shared" si="179"/>
        <v>-958.21052631585599</v>
      </c>
    </row>
    <row r="1599" spans="1:25" x14ac:dyDescent="0.25">
      <c r="A1599">
        <f t="shared" si="181"/>
        <v>1592</v>
      </c>
      <c r="B1599" s="88" t="str">
        <f>IF(OR(B1598="Total",B1598=""),"",IF(VLOOKUP(A1599,Journal!$B$7:$E$84,4)=0,"Total",VLOOKUP(A1599,Journal!$B$7:$D$84,3)))</f>
        <v/>
      </c>
      <c r="C1599" s="86" t="str">
        <f>IF(B1599="","",VLOOKUP(A1599,Journal!$B$7:$E$84,4))</f>
        <v/>
      </c>
      <c r="D1599" s="114" t="str">
        <f>IF(B1599="","",VLOOKUP(A1599,Journal!$B$7:$J$84,9))</f>
        <v/>
      </c>
      <c r="E1599" s="116"/>
      <c r="F1599" s="116"/>
      <c r="G1599" s="115"/>
      <c r="H1599" s="84" t="str">
        <f>IF(B1599="","",VLOOKUP(A1599,Journal!$B$7:$L$84,11))</f>
        <v/>
      </c>
      <c r="I1599" s="84" t="str">
        <f>IF(B1599="","",VLOOKUP(A1599,Journal!$B$7:$M$84,12))</f>
        <v/>
      </c>
      <c r="J1599" s="105">
        <f>IF(B1599="Total",SUM(J$8:J1598)+0.0001,IF(OR(B1599="",I$2=I1599),0,VLOOKUP(A1599,Journal!$B$7:M$84,8)))</f>
        <v>0</v>
      </c>
      <c r="K1599" s="102">
        <f>IF(B1599="Total",SUM(K$8:K1598)+0.0001,IF(OR(B1599="",J1599&lt;&gt;0),0,VLOOKUP(A1599,Journal!$B$7:M$84,8)))</f>
        <v>0</v>
      </c>
      <c r="L1599" s="87">
        <f t="shared" si="182"/>
        <v>0</v>
      </c>
      <c r="P1599">
        <f t="shared" si="183"/>
        <v>1.0000000000000001E-5</v>
      </c>
      <c r="R1599" s="15">
        <f t="shared" si="184"/>
        <v>1592</v>
      </c>
      <c r="S1599" s="126">
        <f>IF(VLOOKUP(A1599,Journal!$A$7:$E$70,5)=0,S1598+1,VLOOKUP(A1599,Journal!$A$7:$E$70,5))</f>
        <v>47249</v>
      </c>
      <c r="T1599" s="125">
        <f>IF(H$2=VLOOKUP(A1599,Journal!$A$7:$F$70,6),VLOOKUP(A1599,Journal!$A$7:M$70,9),0)</f>
        <v>0</v>
      </c>
      <c r="U1599" s="125">
        <f>IF(H$2=VLOOKUP(A1599,Journal!$A$7:$G$70,7),VLOOKUP(A1599,Journal!$A$7:M$70,9),0)</f>
        <v>0</v>
      </c>
      <c r="V1599" s="125">
        <f t="shared" si="180"/>
        <v>40</v>
      </c>
      <c r="X1599">
        <f t="shared" si="185"/>
        <v>0</v>
      </c>
      <c r="Y1599" s="143">
        <f t="shared" si="179"/>
        <v>-958.18421052638234</v>
      </c>
    </row>
    <row r="1600" spans="1:25" x14ac:dyDescent="0.25">
      <c r="A1600">
        <f t="shared" si="181"/>
        <v>1593</v>
      </c>
      <c r="B1600" s="88" t="str">
        <f>IF(OR(B1599="Total",B1599=""),"",IF(VLOOKUP(A1600,Journal!$B$7:$E$84,4)=0,"Total",VLOOKUP(A1600,Journal!$B$7:$D$84,3)))</f>
        <v/>
      </c>
      <c r="C1600" s="86" t="str">
        <f>IF(B1600="","",VLOOKUP(A1600,Journal!$B$7:$E$84,4))</f>
        <v/>
      </c>
      <c r="D1600" s="114" t="str">
        <f>IF(B1600="","",VLOOKUP(A1600,Journal!$B$7:$J$84,9))</f>
        <v/>
      </c>
      <c r="E1600" s="116"/>
      <c r="F1600" s="116"/>
      <c r="G1600" s="115"/>
      <c r="H1600" s="84" t="str">
        <f>IF(B1600="","",VLOOKUP(A1600,Journal!$B$7:$L$84,11))</f>
        <v/>
      </c>
      <c r="I1600" s="84" t="str">
        <f>IF(B1600="","",VLOOKUP(A1600,Journal!$B$7:$M$84,12))</f>
        <v/>
      </c>
      <c r="J1600" s="105">
        <f>IF(B1600="Total",SUM(J$8:J1599)+0.0001,IF(OR(B1600="",I$2=I1600),0,VLOOKUP(A1600,Journal!$B$7:M$84,8)))</f>
        <v>0</v>
      </c>
      <c r="K1600" s="102">
        <f>IF(B1600="Total",SUM(K$8:K1599)+0.0001,IF(OR(B1600="",J1600&lt;&gt;0),0,VLOOKUP(A1600,Journal!$B$7:M$84,8)))</f>
        <v>0</v>
      </c>
      <c r="L1600" s="87">
        <f t="shared" si="182"/>
        <v>0</v>
      </c>
      <c r="P1600">
        <f t="shared" si="183"/>
        <v>1.0000000000000001E-5</v>
      </c>
      <c r="R1600" s="15">
        <f t="shared" si="184"/>
        <v>1593</v>
      </c>
      <c r="S1600" s="126">
        <f>IF(VLOOKUP(A1600,Journal!$A$7:$E$70,5)=0,S1599+1,VLOOKUP(A1600,Journal!$A$7:$E$70,5))</f>
        <v>47250</v>
      </c>
      <c r="T1600" s="125">
        <f>IF(H$2=VLOOKUP(A1600,Journal!$A$7:$F$70,6),VLOOKUP(A1600,Journal!$A$7:M$70,9),0)</f>
        <v>0</v>
      </c>
      <c r="U1600" s="125">
        <f>IF(H$2=VLOOKUP(A1600,Journal!$A$7:$G$70,7),VLOOKUP(A1600,Journal!$A$7:M$70,9),0)</f>
        <v>0</v>
      </c>
      <c r="V1600" s="125">
        <f t="shared" si="180"/>
        <v>40</v>
      </c>
      <c r="X1600">
        <f t="shared" si="185"/>
        <v>0</v>
      </c>
      <c r="Y1600" s="143">
        <f t="shared" si="179"/>
        <v>-958.1578947369087</v>
      </c>
    </row>
    <row r="1601" spans="1:25" x14ac:dyDescent="0.25">
      <c r="A1601">
        <f t="shared" si="181"/>
        <v>1594</v>
      </c>
      <c r="B1601" s="88" t="str">
        <f>IF(OR(B1600="Total",B1600=""),"",IF(VLOOKUP(A1601,Journal!$B$7:$E$84,4)=0,"Total",VLOOKUP(A1601,Journal!$B$7:$D$84,3)))</f>
        <v/>
      </c>
      <c r="C1601" s="86" t="str">
        <f>IF(B1601="","",VLOOKUP(A1601,Journal!$B$7:$E$84,4))</f>
        <v/>
      </c>
      <c r="D1601" s="114" t="str">
        <f>IF(B1601="","",VLOOKUP(A1601,Journal!$B$7:$J$84,9))</f>
        <v/>
      </c>
      <c r="E1601" s="116"/>
      <c r="F1601" s="116"/>
      <c r="G1601" s="115"/>
      <c r="H1601" s="84" t="str">
        <f>IF(B1601="","",VLOOKUP(A1601,Journal!$B$7:$L$84,11))</f>
        <v/>
      </c>
      <c r="I1601" s="84" t="str">
        <f>IF(B1601="","",VLOOKUP(A1601,Journal!$B$7:$M$84,12))</f>
        <v/>
      </c>
      <c r="J1601" s="105">
        <f>IF(B1601="Total",SUM(J$8:J1600)+0.0001,IF(OR(B1601="",I$2=I1601),0,VLOOKUP(A1601,Journal!$B$7:M$84,8)))</f>
        <v>0</v>
      </c>
      <c r="K1601" s="102">
        <f>IF(B1601="Total",SUM(K$8:K1600)+0.0001,IF(OR(B1601="",J1601&lt;&gt;0),0,VLOOKUP(A1601,Journal!$B$7:M$84,8)))</f>
        <v>0</v>
      </c>
      <c r="L1601" s="87">
        <f t="shared" si="182"/>
        <v>0</v>
      </c>
      <c r="P1601">
        <f t="shared" si="183"/>
        <v>1.0000000000000001E-5</v>
      </c>
      <c r="R1601" s="15">
        <f t="shared" si="184"/>
        <v>1594</v>
      </c>
      <c r="S1601" s="126">
        <f>IF(VLOOKUP(A1601,Journal!$A$7:$E$70,5)=0,S1600+1,VLOOKUP(A1601,Journal!$A$7:$E$70,5))</f>
        <v>47251</v>
      </c>
      <c r="T1601" s="125">
        <f>IF(H$2=VLOOKUP(A1601,Journal!$A$7:$F$70,6),VLOOKUP(A1601,Journal!$A$7:M$70,9),0)</f>
        <v>0</v>
      </c>
      <c r="U1601" s="125">
        <f>IF(H$2=VLOOKUP(A1601,Journal!$A$7:$G$70,7),VLOOKUP(A1601,Journal!$A$7:M$70,9),0)</f>
        <v>0</v>
      </c>
      <c r="V1601" s="125">
        <f t="shared" si="180"/>
        <v>40</v>
      </c>
      <c r="X1601">
        <f t="shared" si="185"/>
        <v>0</v>
      </c>
      <c r="Y1601" s="143">
        <f t="shared" si="179"/>
        <v>-958.13157894743506</v>
      </c>
    </row>
    <row r="1602" spans="1:25" x14ac:dyDescent="0.25">
      <c r="A1602">
        <f t="shared" si="181"/>
        <v>1595</v>
      </c>
      <c r="B1602" s="88" t="str">
        <f>IF(OR(B1601="Total",B1601=""),"",IF(VLOOKUP(A1602,Journal!$B$7:$E$84,4)=0,"Total",VLOOKUP(A1602,Journal!$B$7:$D$84,3)))</f>
        <v/>
      </c>
      <c r="C1602" s="86" t="str">
        <f>IF(B1602="","",VLOOKUP(A1602,Journal!$B$7:$E$84,4))</f>
        <v/>
      </c>
      <c r="D1602" s="114" t="str">
        <f>IF(B1602="","",VLOOKUP(A1602,Journal!$B$7:$J$84,9))</f>
        <v/>
      </c>
      <c r="E1602" s="116"/>
      <c r="F1602" s="116"/>
      <c r="G1602" s="115"/>
      <c r="H1602" s="84" t="str">
        <f>IF(B1602="","",VLOOKUP(A1602,Journal!$B$7:$L$84,11))</f>
        <v/>
      </c>
      <c r="I1602" s="84" t="str">
        <f>IF(B1602="","",VLOOKUP(A1602,Journal!$B$7:$M$84,12))</f>
        <v/>
      </c>
      <c r="J1602" s="105">
        <f>IF(B1602="Total",SUM(J$8:J1601)+0.0001,IF(OR(B1602="",I$2=I1602),0,VLOOKUP(A1602,Journal!$B$7:M$84,8)))</f>
        <v>0</v>
      </c>
      <c r="K1602" s="102">
        <f>IF(B1602="Total",SUM(K$8:K1601)+0.0001,IF(OR(B1602="",J1602&lt;&gt;0),0,VLOOKUP(A1602,Journal!$B$7:M$84,8)))</f>
        <v>0</v>
      </c>
      <c r="L1602" s="87">
        <f t="shared" si="182"/>
        <v>0</v>
      </c>
      <c r="P1602">
        <f t="shared" si="183"/>
        <v>1.0000000000000001E-5</v>
      </c>
      <c r="R1602" s="15">
        <f t="shared" si="184"/>
        <v>1595</v>
      </c>
      <c r="S1602" s="126">
        <f>IF(VLOOKUP(A1602,Journal!$A$7:$E$70,5)=0,S1601+1,VLOOKUP(A1602,Journal!$A$7:$E$70,5))</f>
        <v>47252</v>
      </c>
      <c r="T1602" s="125">
        <f>IF(H$2=VLOOKUP(A1602,Journal!$A$7:$F$70,6),VLOOKUP(A1602,Journal!$A$7:M$70,9),0)</f>
        <v>0</v>
      </c>
      <c r="U1602" s="125">
        <f>IF(H$2=VLOOKUP(A1602,Journal!$A$7:$G$70,7),VLOOKUP(A1602,Journal!$A$7:M$70,9),0)</f>
        <v>0</v>
      </c>
      <c r="V1602" s="125">
        <f t="shared" si="180"/>
        <v>40</v>
      </c>
      <c r="X1602">
        <f t="shared" si="185"/>
        <v>0</v>
      </c>
      <c r="Y1602" s="143">
        <f t="shared" si="179"/>
        <v>-958.10526315796142</v>
      </c>
    </row>
    <row r="1603" spans="1:25" x14ac:dyDescent="0.25">
      <c r="A1603">
        <f t="shared" si="181"/>
        <v>1596</v>
      </c>
      <c r="B1603" s="88" t="str">
        <f>IF(OR(B1602="Total",B1602=""),"",IF(VLOOKUP(A1603,Journal!$B$7:$E$84,4)=0,"Total",VLOOKUP(A1603,Journal!$B$7:$D$84,3)))</f>
        <v/>
      </c>
      <c r="C1603" s="86" t="str">
        <f>IF(B1603="","",VLOOKUP(A1603,Journal!$B$7:$E$84,4))</f>
        <v/>
      </c>
      <c r="D1603" s="114" t="str">
        <f>IF(B1603="","",VLOOKUP(A1603,Journal!$B$7:$J$84,9))</f>
        <v/>
      </c>
      <c r="E1603" s="116"/>
      <c r="F1603" s="116"/>
      <c r="G1603" s="115"/>
      <c r="H1603" s="84" t="str">
        <f>IF(B1603="","",VLOOKUP(A1603,Journal!$B$7:$L$84,11))</f>
        <v/>
      </c>
      <c r="I1603" s="84" t="str">
        <f>IF(B1603="","",VLOOKUP(A1603,Journal!$B$7:$M$84,12))</f>
        <v/>
      </c>
      <c r="J1603" s="105">
        <f>IF(B1603="Total",SUM(J$8:J1602)+0.0001,IF(OR(B1603="",I$2=I1603),0,VLOOKUP(A1603,Journal!$B$7:M$84,8)))</f>
        <v>0</v>
      </c>
      <c r="K1603" s="102">
        <f>IF(B1603="Total",SUM(K$8:K1602)+0.0001,IF(OR(B1603="",J1603&lt;&gt;0),0,VLOOKUP(A1603,Journal!$B$7:M$84,8)))</f>
        <v>0</v>
      </c>
      <c r="L1603" s="87">
        <f t="shared" si="182"/>
        <v>0</v>
      </c>
      <c r="P1603">
        <f t="shared" si="183"/>
        <v>1.0000000000000001E-5</v>
      </c>
      <c r="R1603" s="15">
        <f t="shared" si="184"/>
        <v>1596</v>
      </c>
      <c r="S1603" s="126">
        <f>IF(VLOOKUP(A1603,Journal!$A$7:$E$70,5)=0,S1602+1,VLOOKUP(A1603,Journal!$A$7:$E$70,5))</f>
        <v>47253</v>
      </c>
      <c r="T1603" s="125">
        <f>IF(H$2=VLOOKUP(A1603,Journal!$A$7:$F$70,6),VLOOKUP(A1603,Journal!$A$7:M$70,9),0)</f>
        <v>0</v>
      </c>
      <c r="U1603" s="125">
        <f>IF(H$2=VLOOKUP(A1603,Journal!$A$7:$G$70,7),VLOOKUP(A1603,Journal!$A$7:M$70,9),0)</f>
        <v>0</v>
      </c>
      <c r="V1603" s="125">
        <f t="shared" si="180"/>
        <v>40</v>
      </c>
      <c r="X1603">
        <f t="shared" si="185"/>
        <v>0</v>
      </c>
      <c r="Y1603" s="143">
        <f t="shared" si="179"/>
        <v>-958.07894736848777</v>
      </c>
    </row>
    <row r="1604" spans="1:25" x14ac:dyDescent="0.25">
      <c r="A1604">
        <f t="shared" si="181"/>
        <v>1597</v>
      </c>
      <c r="B1604" s="88" t="str">
        <f>IF(OR(B1603="Total",B1603=""),"",IF(VLOOKUP(A1604,Journal!$B$7:$E$84,4)=0,"Total",VLOOKUP(A1604,Journal!$B$7:$D$84,3)))</f>
        <v/>
      </c>
      <c r="C1604" s="86" t="str">
        <f>IF(B1604="","",VLOOKUP(A1604,Journal!$B$7:$E$84,4))</f>
        <v/>
      </c>
      <c r="D1604" s="114" t="str">
        <f>IF(B1604="","",VLOOKUP(A1604,Journal!$B$7:$J$84,9))</f>
        <v/>
      </c>
      <c r="E1604" s="116"/>
      <c r="F1604" s="116"/>
      <c r="G1604" s="115"/>
      <c r="H1604" s="84" t="str">
        <f>IF(B1604="","",VLOOKUP(A1604,Journal!$B$7:$L$84,11))</f>
        <v/>
      </c>
      <c r="I1604" s="84" t="str">
        <f>IF(B1604="","",VLOOKUP(A1604,Journal!$B$7:$M$84,12))</f>
        <v/>
      </c>
      <c r="J1604" s="105">
        <f>IF(B1604="Total",SUM(J$8:J1603)+0.0001,IF(OR(B1604="",I$2=I1604),0,VLOOKUP(A1604,Journal!$B$7:M$84,8)))</f>
        <v>0</v>
      </c>
      <c r="K1604" s="102">
        <f>IF(B1604="Total",SUM(K$8:K1603)+0.0001,IF(OR(B1604="",J1604&lt;&gt;0),0,VLOOKUP(A1604,Journal!$B$7:M$84,8)))</f>
        <v>0</v>
      </c>
      <c r="L1604" s="87">
        <f t="shared" si="182"/>
        <v>0</v>
      </c>
      <c r="P1604">
        <f t="shared" si="183"/>
        <v>1.0000000000000001E-5</v>
      </c>
      <c r="R1604" s="15">
        <f t="shared" si="184"/>
        <v>1597</v>
      </c>
      <c r="S1604" s="126">
        <f>IF(VLOOKUP(A1604,Journal!$A$7:$E$70,5)=0,S1603+1,VLOOKUP(A1604,Journal!$A$7:$E$70,5))</f>
        <v>47254</v>
      </c>
      <c r="T1604" s="125">
        <f>IF(H$2=VLOOKUP(A1604,Journal!$A$7:$F$70,6),VLOOKUP(A1604,Journal!$A$7:M$70,9),0)</f>
        <v>0</v>
      </c>
      <c r="U1604" s="125">
        <f>IF(H$2=VLOOKUP(A1604,Journal!$A$7:$G$70,7),VLOOKUP(A1604,Journal!$A$7:M$70,9),0)</f>
        <v>0</v>
      </c>
      <c r="V1604" s="125">
        <f t="shared" si="180"/>
        <v>40</v>
      </c>
      <c r="X1604">
        <f t="shared" si="185"/>
        <v>0</v>
      </c>
      <c r="Y1604" s="143">
        <f t="shared" si="179"/>
        <v>-958.05263157901413</v>
      </c>
    </row>
    <row r="1605" spans="1:25" x14ac:dyDescent="0.25">
      <c r="A1605">
        <f t="shared" si="181"/>
        <v>1598</v>
      </c>
      <c r="B1605" s="88" t="str">
        <f>IF(OR(B1604="Total",B1604=""),"",IF(VLOOKUP(A1605,Journal!$B$7:$E$84,4)=0,"Total",VLOOKUP(A1605,Journal!$B$7:$D$84,3)))</f>
        <v/>
      </c>
      <c r="C1605" s="86" t="str">
        <f>IF(B1605="","",VLOOKUP(A1605,Journal!$B$7:$E$84,4))</f>
        <v/>
      </c>
      <c r="D1605" s="114" t="str">
        <f>IF(B1605="","",VLOOKUP(A1605,Journal!$B$7:$J$84,9))</f>
        <v/>
      </c>
      <c r="E1605" s="116"/>
      <c r="F1605" s="116"/>
      <c r="G1605" s="115"/>
      <c r="H1605" s="84" t="str">
        <f>IF(B1605="","",VLOOKUP(A1605,Journal!$B$7:$L$84,11))</f>
        <v/>
      </c>
      <c r="I1605" s="84" t="str">
        <f>IF(B1605="","",VLOOKUP(A1605,Journal!$B$7:$M$84,12))</f>
        <v/>
      </c>
      <c r="J1605" s="105">
        <f>IF(B1605="Total",SUM(J$8:J1604)+0.0001,IF(OR(B1605="",I$2=I1605),0,VLOOKUP(A1605,Journal!$B$7:M$84,8)))</f>
        <v>0</v>
      </c>
      <c r="K1605" s="102">
        <f>IF(B1605="Total",SUM(K$8:K1604)+0.0001,IF(OR(B1605="",J1605&lt;&gt;0),0,VLOOKUP(A1605,Journal!$B$7:M$84,8)))</f>
        <v>0</v>
      </c>
      <c r="L1605" s="87">
        <f t="shared" si="182"/>
        <v>0</v>
      </c>
      <c r="P1605">
        <f t="shared" si="183"/>
        <v>1.0000000000000001E-5</v>
      </c>
      <c r="R1605" s="15">
        <f t="shared" si="184"/>
        <v>1598</v>
      </c>
      <c r="S1605" s="126">
        <f>IF(VLOOKUP(A1605,Journal!$A$7:$E$70,5)=0,S1604+1,VLOOKUP(A1605,Journal!$A$7:$E$70,5))</f>
        <v>47255</v>
      </c>
      <c r="T1605" s="125">
        <f>IF(H$2=VLOOKUP(A1605,Journal!$A$7:$F$70,6),VLOOKUP(A1605,Journal!$A$7:M$70,9),0)</f>
        <v>0</v>
      </c>
      <c r="U1605" s="125">
        <f>IF(H$2=VLOOKUP(A1605,Journal!$A$7:$G$70,7),VLOOKUP(A1605,Journal!$A$7:M$70,9),0)</f>
        <v>0</v>
      </c>
      <c r="V1605" s="125">
        <f t="shared" si="180"/>
        <v>40</v>
      </c>
      <c r="X1605">
        <f t="shared" si="185"/>
        <v>0</v>
      </c>
      <c r="Y1605" s="143">
        <f t="shared" si="179"/>
        <v>-958.02631578954049</v>
      </c>
    </row>
    <row r="1606" spans="1:25" x14ac:dyDescent="0.25">
      <c r="A1606">
        <f t="shared" si="181"/>
        <v>1599</v>
      </c>
      <c r="B1606" s="88" t="str">
        <f>IF(OR(B1605="Total",B1605=""),"",IF(VLOOKUP(A1606,Journal!$B$7:$E$84,4)=0,"Total",VLOOKUP(A1606,Journal!$B$7:$D$84,3)))</f>
        <v/>
      </c>
      <c r="C1606" s="86" t="str">
        <f>IF(B1606="","",VLOOKUP(A1606,Journal!$B$7:$E$84,4))</f>
        <v/>
      </c>
      <c r="D1606" s="114" t="str">
        <f>IF(B1606="","",VLOOKUP(A1606,Journal!$B$7:$J$84,9))</f>
        <v/>
      </c>
      <c r="E1606" s="116"/>
      <c r="F1606" s="116"/>
      <c r="G1606" s="115"/>
      <c r="H1606" s="84" t="str">
        <f>IF(B1606="","",VLOOKUP(A1606,Journal!$B$7:$L$84,11))</f>
        <v/>
      </c>
      <c r="I1606" s="84" t="str">
        <f>IF(B1606="","",VLOOKUP(A1606,Journal!$B$7:$M$84,12))</f>
        <v/>
      </c>
      <c r="J1606" s="105">
        <f>IF(B1606="Total",SUM(J$8:J1605)+0.0001,IF(OR(B1606="",I$2=I1606),0,VLOOKUP(A1606,Journal!$B$7:M$84,8)))</f>
        <v>0</v>
      </c>
      <c r="K1606" s="102">
        <f>IF(B1606="Total",SUM(K$8:K1605)+0.0001,IF(OR(B1606="",J1606&lt;&gt;0),0,VLOOKUP(A1606,Journal!$B$7:M$84,8)))</f>
        <v>0</v>
      </c>
      <c r="L1606" s="87">
        <f t="shared" si="182"/>
        <v>0</v>
      </c>
      <c r="P1606">
        <f t="shared" si="183"/>
        <v>1.0000000000000001E-5</v>
      </c>
      <c r="R1606" s="15">
        <f t="shared" si="184"/>
        <v>1599</v>
      </c>
      <c r="S1606" s="126">
        <f>IF(VLOOKUP(A1606,Journal!$A$7:$E$70,5)=0,S1605+1,VLOOKUP(A1606,Journal!$A$7:$E$70,5))</f>
        <v>47256</v>
      </c>
      <c r="T1606" s="125">
        <f>IF(H$2=VLOOKUP(A1606,Journal!$A$7:$F$70,6),VLOOKUP(A1606,Journal!$A$7:M$70,9),0)</f>
        <v>0</v>
      </c>
      <c r="U1606" s="125">
        <f>IF(H$2=VLOOKUP(A1606,Journal!$A$7:$G$70,7),VLOOKUP(A1606,Journal!$A$7:M$70,9),0)</f>
        <v>0</v>
      </c>
      <c r="V1606" s="125">
        <f t="shared" si="180"/>
        <v>40</v>
      </c>
      <c r="X1606">
        <f t="shared" si="185"/>
        <v>0</v>
      </c>
      <c r="Y1606" s="143">
        <f t="shared" si="179"/>
        <v>-958.00000000006685</v>
      </c>
    </row>
    <row r="1607" spans="1:25" x14ac:dyDescent="0.25">
      <c r="A1607">
        <f t="shared" si="181"/>
        <v>1600</v>
      </c>
      <c r="B1607" s="88" t="str">
        <f>IF(OR(B1606="Total",B1606=""),"",IF(VLOOKUP(A1607,Journal!$B$7:$E$84,4)=0,"Total",VLOOKUP(A1607,Journal!$B$7:$D$84,3)))</f>
        <v/>
      </c>
      <c r="C1607" s="86" t="str">
        <f>IF(B1607="","",VLOOKUP(A1607,Journal!$B$7:$E$84,4))</f>
        <v/>
      </c>
      <c r="D1607" s="114" t="str">
        <f>IF(B1607="","",VLOOKUP(A1607,Journal!$B$7:$J$84,9))</f>
        <v/>
      </c>
      <c r="E1607" s="116"/>
      <c r="F1607" s="116"/>
      <c r="G1607" s="115"/>
      <c r="H1607" s="84" t="str">
        <f>IF(B1607="","",VLOOKUP(A1607,Journal!$B$7:$L$84,11))</f>
        <v/>
      </c>
      <c r="I1607" s="84" t="str">
        <f>IF(B1607="","",VLOOKUP(A1607,Journal!$B$7:$M$84,12))</f>
        <v/>
      </c>
      <c r="J1607" s="105">
        <f>IF(B1607="Total",SUM(J$8:J1606)+0.0001,IF(OR(B1607="",I$2=I1607),0,VLOOKUP(A1607,Journal!$B$7:M$84,8)))</f>
        <v>0</v>
      </c>
      <c r="K1607" s="102">
        <f>IF(B1607="Total",SUM(K$8:K1606)+0.0001,IF(OR(B1607="",J1607&lt;&gt;0),0,VLOOKUP(A1607,Journal!$B$7:M$84,8)))</f>
        <v>0</v>
      </c>
      <c r="L1607" s="87">
        <f t="shared" si="182"/>
        <v>0</v>
      </c>
      <c r="P1607">
        <f t="shared" si="183"/>
        <v>1.0000000000000001E-5</v>
      </c>
      <c r="R1607" s="15">
        <f t="shared" si="184"/>
        <v>1600</v>
      </c>
      <c r="S1607" s="126">
        <f>IF(VLOOKUP(A1607,Journal!$A$7:$E$70,5)=0,S1606+1,VLOOKUP(A1607,Journal!$A$7:$E$70,5))</f>
        <v>47257</v>
      </c>
      <c r="T1607" s="125">
        <f>IF(H$2=VLOOKUP(A1607,Journal!$A$7:$F$70,6),VLOOKUP(A1607,Journal!$A$7:M$70,9),0)</f>
        <v>0</v>
      </c>
      <c r="U1607" s="125">
        <f>IF(H$2=VLOOKUP(A1607,Journal!$A$7:$G$70,7),VLOOKUP(A1607,Journal!$A$7:M$70,9),0)</f>
        <v>0</v>
      </c>
      <c r="V1607" s="125">
        <f t="shared" si="180"/>
        <v>40</v>
      </c>
      <c r="X1607">
        <f t="shared" si="185"/>
        <v>0</v>
      </c>
      <c r="Y1607" s="143">
        <f t="shared" si="179"/>
        <v>-957.97368421059321</v>
      </c>
    </row>
    <row r="1608" spans="1:25" x14ac:dyDescent="0.25">
      <c r="A1608">
        <f t="shared" si="181"/>
        <v>1601</v>
      </c>
      <c r="B1608" s="88" t="str">
        <f>IF(OR(B1607="Total",B1607=""),"",IF(VLOOKUP(A1608,Journal!$B$7:$E$84,4)=0,"Total",VLOOKUP(A1608,Journal!$B$7:$D$84,3)))</f>
        <v/>
      </c>
      <c r="C1608" s="86" t="str">
        <f>IF(B1608="","",VLOOKUP(A1608,Journal!$B$7:$E$84,4))</f>
        <v/>
      </c>
      <c r="D1608" s="114" t="str">
        <f>IF(B1608="","",VLOOKUP(A1608,Journal!$B$7:$J$84,9))</f>
        <v/>
      </c>
      <c r="E1608" s="116"/>
      <c r="F1608" s="116"/>
      <c r="G1608" s="115"/>
      <c r="H1608" s="84" t="str">
        <f>IF(B1608="","",VLOOKUP(A1608,Journal!$B$7:$L$84,11))</f>
        <v/>
      </c>
      <c r="I1608" s="84" t="str">
        <f>IF(B1608="","",VLOOKUP(A1608,Journal!$B$7:$M$84,12))</f>
        <v/>
      </c>
      <c r="J1608" s="105">
        <f>IF(B1608="Total",SUM(J$8:J1607)+0.0001,IF(OR(B1608="",I$2=I1608),0,VLOOKUP(A1608,Journal!$B$7:M$84,8)))</f>
        <v>0</v>
      </c>
      <c r="K1608" s="102">
        <f>IF(B1608="Total",SUM(K$8:K1607)+0.0001,IF(OR(B1608="",J1608&lt;&gt;0),0,VLOOKUP(A1608,Journal!$B$7:M$84,8)))</f>
        <v>0</v>
      </c>
      <c r="L1608" s="87">
        <f t="shared" si="182"/>
        <v>0</v>
      </c>
      <c r="P1608">
        <f t="shared" si="183"/>
        <v>1.0000000000000001E-5</v>
      </c>
      <c r="R1608" s="15">
        <f t="shared" si="184"/>
        <v>1601</v>
      </c>
      <c r="S1608" s="126">
        <f>IF(VLOOKUP(A1608,Journal!$A$7:$E$70,5)=0,S1607+1,VLOOKUP(A1608,Journal!$A$7:$E$70,5))</f>
        <v>47258</v>
      </c>
      <c r="T1608" s="125">
        <f>IF(H$2=VLOOKUP(A1608,Journal!$A$7:$F$70,6),VLOOKUP(A1608,Journal!$A$7:M$70,9),0)</f>
        <v>0</v>
      </c>
      <c r="U1608" s="125">
        <f>IF(H$2=VLOOKUP(A1608,Journal!$A$7:$G$70,7),VLOOKUP(A1608,Journal!$A$7:M$70,9),0)</f>
        <v>0</v>
      </c>
      <c r="V1608" s="125">
        <f t="shared" si="180"/>
        <v>40</v>
      </c>
      <c r="X1608">
        <f t="shared" si="185"/>
        <v>0</v>
      </c>
      <c r="Y1608" s="143">
        <f t="shared" ref="Y1608:Y1671" si="186">IF(B1607="Total",-1000,Y1607+Y$4)</f>
        <v>-957.94736842111956</v>
      </c>
    </row>
    <row r="1609" spans="1:25" x14ac:dyDescent="0.25">
      <c r="A1609">
        <f t="shared" si="181"/>
        <v>1602</v>
      </c>
      <c r="B1609" s="88" t="str">
        <f>IF(OR(B1608="Total",B1608=""),"",IF(VLOOKUP(A1609,Journal!$B$7:$E$84,4)=0,"Total",VLOOKUP(A1609,Journal!$B$7:$D$84,3)))</f>
        <v/>
      </c>
      <c r="C1609" s="86" t="str">
        <f>IF(B1609="","",VLOOKUP(A1609,Journal!$B$7:$E$84,4))</f>
        <v/>
      </c>
      <c r="D1609" s="114" t="str">
        <f>IF(B1609="","",VLOOKUP(A1609,Journal!$B$7:$J$84,9))</f>
        <v/>
      </c>
      <c r="E1609" s="116"/>
      <c r="F1609" s="116"/>
      <c r="G1609" s="115"/>
      <c r="H1609" s="84" t="str">
        <f>IF(B1609="","",VLOOKUP(A1609,Journal!$B$7:$L$84,11))</f>
        <v/>
      </c>
      <c r="I1609" s="84" t="str">
        <f>IF(B1609="","",VLOOKUP(A1609,Journal!$B$7:$M$84,12))</f>
        <v/>
      </c>
      <c r="J1609" s="105">
        <f>IF(B1609="Total",SUM(J$8:J1608)+0.0001,IF(OR(B1609="",I$2=I1609),0,VLOOKUP(A1609,Journal!$B$7:M$84,8)))</f>
        <v>0</v>
      </c>
      <c r="K1609" s="102">
        <f>IF(B1609="Total",SUM(K$8:K1608)+0.0001,IF(OR(B1609="",J1609&lt;&gt;0),0,VLOOKUP(A1609,Journal!$B$7:M$84,8)))</f>
        <v>0</v>
      </c>
      <c r="L1609" s="87">
        <f t="shared" si="182"/>
        <v>0</v>
      </c>
      <c r="P1609">
        <f t="shared" si="183"/>
        <v>1.0000000000000001E-5</v>
      </c>
      <c r="R1609" s="15">
        <f t="shared" si="184"/>
        <v>1602</v>
      </c>
      <c r="S1609" s="126">
        <f>IF(VLOOKUP(A1609,Journal!$A$7:$E$70,5)=0,S1608+1,VLOOKUP(A1609,Journal!$A$7:$E$70,5))</f>
        <v>47259</v>
      </c>
      <c r="T1609" s="125">
        <f>IF(H$2=VLOOKUP(A1609,Journal!$A$7:$F$70,6),VLOOKUP(A1609,Journal!$A$7:M$70,9),0)</f>
        <v>0</v>
      </c>
      <c r="U1609" s="125">
        <f>IF(H$2=VLOOKUP(A1609,Journal!$A$7:$G$70,7),VLOOKUP(A1609,Journal!$A$7:M$70,9),0)</f>
        <v>0</v>
      </c>
      <c r="V1609" s="125">
        <f t="shared" si="180"/>
        <v>40</v>
      </c>
      <c r="X1609">
        <f t="shared" si="185"/>
        <v>0</v>
      </c>
      <c r="Y1609" s="143">
        <f t="shared" si="186"/>
        <v>-957.92105263164592</v>
      </c>
    </row>
    <row r="1610" spans="1:25" x14ac:dyDescent="0.25">
      <c r="A1610">
        <f t="shared" si="181"/>
        <v>1603</v>
      </c>
      <c r="B1610" s="88" t="str">
        <f>IF(OR(B1609="Total",B1609=""),"",IF(VLOOKUP(A1610,Journal!$B$7:$E$84,4)=0,"Total",VLOOKUP(A1610,Journal!$B$7:$D$84,3)))</f>
        <v/>
      </c>
      <c r="C1610" s="86" t="str">
        <f>IF(B1610="","",VLOOKUP(A1610,Journal!$B$7:$E$84,4))</f>
        <v/>
      </c>
      <c r="D1610" s="114" t="str">
        <f>IF(B1610="","",VLOOKUP(A1610,Journal!$B$7:$J$84,9))</f>
        <v/>
      </c>
      <c r="E1610" s="116"/>
      <c r="F1610" s="116"/>
      <c r="G1610" s="115"/>
      <c r="H1610" s="84" t="str">
        <f>IF(B1610="","",VLOOKUP(A1610,Journal!$B$7:$L$84,11))</f>
        <v/>
      </c>
      <c r="I1610" s="84" t="str">
        <f>IF(B1610="","",VLOOKUP(A1610,Journal!$B$7:$M$84,12))</f>
        <v/>
      </c>
      <c r="J1610" s="105">
        <f>IF(B1610="Total",SUM(J$8:J1609)+0.0001,IF(OR(B1610="",I$2=I1610),0,VLOOKUP(A1610,Journal!$B$7:M$84,8)))</f>
        <v>0</v>
      </c>
      <c r="K1610" s="102">
        <f>IF(B1610="Total",SUM(K$8:K1609)+0.0001,IF(OR(B1610="",J1610&lt;&gt;0),0,VLOOKUP(A1610,Journal!$B$7:M$84,8)))</f>
        <v>0</v>
      </c>
      <c r="L1610" s="87">
        <f t="shared" si="182"/>
        <v>0</v>
      </c>
      <c r="P1610">
        <f t="shared" si="183"/>
        <v>1.0000000000000001E-5</v>
      </c>
      <c r="R1610" s="15">
        <f t="shared" si="184"/>
        <v>1603</v>
      </c>
      <c r="S1610" s="126">
        <f>IF(VLOOKUP(A1610,Journal!$A$7:$E$70,5)=0,S1609+1,VLOOKUP(A1610,Journal!$A$7:$E$70,5))</f>
        <v>47260</v>
      </c>
      <c r="T1610" s="125">
        <f>IF(H$2=VLOOKUP(A1610,Journal!$A$7:$F$70,6),VLOOKUP(A1610,Journal!$A$7:M$70,9),0)</f>
        <v>0</v>
      </c>
      <c r="U1610" s="125">
        <f>IF(H$2=VLOOKUP(A1610,Journal!$A$7:$G$70,7),VLOOKUP(A1610,Journal!$A$7:M$70,9),0)</f>
        <v>0</v>
      </c>
      <c r="V1610" s="125">
        <f t="shared" ref="V1610:V1673" si="187">IF($M$1=1,V1609+T1610-U1610,V1609-T1610+U1610)</f>
        <v>40</v>
      </c>
      <c r="X1610">
        <f t="shared" si="185"/>
        <v>0</v>
      </c>
      <c r="Y1610" s="143">
        <f t="shared" si="186"/>
        <v>-957.89473684217228</v>
      </c>
    </row>
    <row r="1611" spans="1:25" x14ac:dyDescent="0.25">
      <c r="A1611">
        <f t="shared" si="181"/>
        <v>1604</v>
      </c>
      <c r="B1611" s="88" t="str">
        <f>IF(OR(B1610="Total",B1610=""),"",IF(VLOOKUP(A1611,Journal!$B$7:$E$84,4)=0,"Total",VLOOKUP(A1611,Journal!$B$7:$D$84,3)))</f>
        <v/>
      </c>
      <c r="C1611" s="86" t="str">
        <f>IF(B1611="","",VLOOKUP(A1611,Journal!$B$7:$E$84,4))</f>
        <v/>
      </c>
      <c r="D1611" s="114" t="str">
        <f>IF(B1611="","",VLOOKUP(A1611,Journal!$B$7:$J$84,9))</f>
        <v/>
      </c>
      <c r="E1611" s="116"/>
      <c r="F1611" s="116"/>
      <c r="G1611" s="115"/>
      <c r="H1611" s="84" t="str">
        <f>IF(B1611="","",VLOOKUP(A1611,Journal!$B$7:$L$84,11))</f>
        <v/>
      </c>
      <c r="I1611" s="84" t="str">
        <f>IF(B1611="","",VLOOKUP(A1611,Journal!$B$7:$M$84,12))</f>
        <v/>
      </c>
      <c r="J1611" s="105">
        <f>IF(B1611="Total",SUM(J$8:J1610)+0.0001,IF(OR(B1611="",I$2=I1611),0,VLOOKUP(A1611,Journal!$B$7:M$84,8)))</f>
        <v>0</v>
      </c>
      <c r="K1611" s="102">
        <f>IF(B1611="Total",SUM(K$8:K1610)+0.0001,IF(OR(B1611="",J1611&lt;&gt;0),0,VLOOKUP(A1611,Journal!$B$7:M$84,8)))</f>
        <v>0</v>
      </c>
      <c r="L1611" s="87">
        <f t="shared" si="182"/>
        <v>0</v>
      </c>
      <c r="P1611">
        <f t="shared" si="183"/>
        <v>1.0000000000000001E-5</v>
      </c>
      <c r="R1611" s="15">
        <f t="shared" si="184"/>
        <v>1604</v>
      </c>
      <c r="S1611" s="126">
        <f>IF(VLOOKUP(A1611,Journal!$A$7:$E$70,5)=0,S1610+1,VLOOKUP(A1611,Journal!$A$7:$E$70,5))</f>
        <v>47261</v>
      </c>
      <c r="T1611" s="125">
        <f>IF(H$2=VLOOKUP(A1611,Journal!$A$7:$F$70,6),VLOOKUP(A1611,Journal!$A$7:M$70,9),0)</f>
        <v>0</v>
      </c>
      <c r="U1611" s="125">
        <f>IF(H$2=VLOOKUP(A1611,Journal!$A$7:$G$70,7),VLOOKUP(A1611,Journal!$A$7:M$70,9),0)</f>
        <v>0</v>
      </c>
      <c r="V1611" s="125">
        <f t="shared" si="187"/>
        <v>40</v>
      </c>
      <c r="X1611">
        <f t="shared" si="185"/>
        <v>0</v>
      </c>
      <c r="Y1611" s="143">
        <f t="shared" si="186"/>
        <v>-957.86842105269864</v>
      </c>
    </row>
    <row r="1612" spans="1:25" x14ac:dyDescent="0.25">
      <c r="A1612">
        <f t="shared" si="181"/>
        <v>1605</v>
      </c>
      <c r="B1612" s="88" t="str">
        <f>IF(OR(B1611="Total",B1611=""),"",IF(VLOOKUP(A1612,Journal!$B$7:$E$84,4)=0,"Total",VLOOKUP(A1612,Journal!$B$7:$D$84,3)))</f>
        <v/>
      </c>
      <c r="C1612" s="86" t="str">
        <f>IF(B1612="","",VLOOKUP(A1612,Journal!$B$7:$E$84,4))</f>
        <v/>
      </c>
      <c r="D1612" s="114" t="str">
        <f>IF(B1612="","",VLOOKUP(A1612,Journal!$B$7:$J$84,9))</f>
        <v/>
      </c>
      <c r="E1612" s="116"/>
      <c r="F1612" s="116"/>
      <c r="G1612" s="115"/>
      <c r="H1612" s="84" t="str">
        <f>IF(B1612="","",VLOOKUP(A1612,Journal!$B$7:$L$84,11))</f>
        <v/>
      </c>
      <c r="I1612" s="84" t="str">
        <f>IF(B1612="","",VLOOKUP(A1612,Journal!$B$7:$M$84,12))</f>
        <v/>
      </c>
      <c r="J1612" s="105">
        <f>IF(B1612="Total",SUM(J$8:J1611)+0.0001,IF(OR(B1612="",I$2=I1612),0,VLOOKUP(A1612,Journal!$B$7:M$84,8)))</f>
        <v>0</v>
      </c>
      <c r="K1612" s="102">
        <f>IF(B1612="Total",SUM(K$8:K1611)+0.0001,IF(OR(B1612="",J1612&lt;&gt;0),0,VLOOKUP(A1612,Journal!$B$7:M$84,8)))</f>
        <v>0</v>
      </c>
      <c r="L1612" s="87">
        <f t="shared" si="182"/>
        <v>0</v>
      </c>
      <c r="P1612">
        <f t="shared" si="183"/>
        <v>1.0000000000000001E-5</v>
      </c>
      <c r="R1612" s="15">
        <f t="shared" si="184"/>
        <v>1605</v>
      </c>
      <c r="S1612" s="126">
        <f>IF(VLOOKUP(A1612,Journal!$A$7:$E$70,5)=0,S1611+1,VLOOKUP(A1612,Journal!$A$7:$E$70,5))</f>
        <v>47262</v>
      </c>
      <c r="T1612" s="125">
        <f>IF(H$2=VLOOKUP(A1612,Journal!$A$7:$F$70,6),VLOOKUP(A1612,Journal!$A$7:M$70,9),0)</f>
        <v>0</v>
      </c>
      <c r="U1612" s="125">
        <f>IF(H$2=VLOOKUP(A1612,Journal!$A$7:$G$70,7),VLOOKUP(A1612,Journal!$A$7:M$70,9),0)</f>
        <v>0</v>
      </c>
      <c r="V1612" s="125">
        <f t="shared" si="187"/>
        <v>40</v>
      </c>
      <c r="X1612">
        <f t="shared" si="185"/>
        <v>0</v>
      </c>
      <c r="Y1612" s="143">
        <f t="shared" si="186"/>
        <v>-957.84210526322499</v>
      </c>
    </row>
    <row r="1613" spans="1:25" x14ac:dyDescent="0.25">
      <c r="A1613">
        <f t="shared" si="181"/>
        <v>1606</v>
      </c>
      <c r="B1613" s="88" t="str">
        <f>IF(OR(B1612="Total",B1612=""),"",IF(VLOOKUP(A1613,Journal!$B$7:$E$84,4)=0,"Total",VLOOKUP(A1613,Journal!$B$7:$D$84,3)))</f>
        <v/>
      </c>
      <c r="C1613" s="86" t="str">
        <f>IF(B1613="","",VLOOKUP(A1613,Journal!$B$7:$E$84,4))</f>
        <v/>
      </c>
      <c r="D1613" s="114" t="str">
        <f>IF(B1613="","",VLOOKUP(A1613,Journal!$B$7:$J$84,9))</f>
        <v/>
      </c>
      <c r="E1613" s="116"/>
      <c r="F1613" s="116"/>
      <c r="G1613" s="115"/>
      <c r="H1613" s="84" t="str">
        <f>IF(B1613="","",VLOOKUP(A1613,Journal!$B$7:$L$84,11))</f>
        <v/>
      </c>
      <c r="I1613" s="84" t="str">
        <f>IF(B1613="","",VLOOKUP(A1613,Journal!$B$7:$M$84,12))</f>
        <v/>
      </c>
      <c r="J1613" s="105">
        <f>IF(B1613="Total",SUM(J$8:J1612)+0.0001,IF(OR(B1613="",I$2=I1613),0,VLOOKUP(A1613,Journal!$B$7:M$84,8)))</f>
        <v>0</v>
      </c>
      <c r="K1613" s="102">
        <f>IF(B1613="Total",SUM(K$8:K1612)+0.0001,IF(OR(B1613="",J1613&lt;&gt;0),0,VLOOKUP(A1613,Journal!$B$7:M$84,8)))</f>
        <v>0</v>
      </c>
      <c r="L1613" s="87">
        <f t="shared" si="182"/>
        <v>0</v>
      </c>
      <c r="P1613">
        <f t="shared" si="183"/>
        <v>1.0000000000000001E-5</v>
      </c>
      <c r="R1613" s="15">
        <f t="shared" si="184"/>
        <v>1606</v>
      </c>
      <c r="S1613" s="126">
        <f>IF(VLOOKUP(A1613,Journal!$A$7:$E$70,5)=0,S1612+1,VLOOKUP(A1613,Journal!$A$7:$E$70,5))</f>
        <v>47263</v>
      </c>
      <c r="T1613" s="125">
        <f>IF(H$2=VLOOKUP(A1613,Journal!$A$7:$F$70,6),VLOOKUP(A1613,Journal!$A$7:M$70,9),0)</f>
        <v>0</v>
      </c>
      <c r="U1613" s="125">
        <f>IF(H$2=VLOOKUP(A1613,Journal!$A$7:$G$70,7),VLOOKUP(A1613,Journal!$A$7:M$70,9),0)</f>
        <v>0</v>
      </c>
      <c r="V1613" s="125">
        <f t="shared" si="187"/>
        <v>40</v>
      </c>
      <c r="X1613">
        <f t="shared" si="185"/>
        <v>0</v>
      </c>
      <c r="Y1613" s="143">
        <f t="shared" si="186"/>
        <v>-957.81578947375135</v>
      </c>
    </row>
    <row r="1614" spans="1:25" x14ac:dyDescent="0.25">
      <c r="A1614">
        <f t="shared" si="181"/>
        <v>1607</v>
      </c>
      <c r="B1614" s="88" t="str">
        <f>IF(OR(B1613="Total",B1613=""),"",IF(VLOOKUP(A1614,Journal!$B$7:$E$84,4)=0,"Total",VLOOKUP(A1614,Journal!$B$7:$D$84,3)))</f>
        <v/>
      </c>
      <c r="C1614" s="86" t="str">
        <f>IF(B1614="","",VLOOKUP(A1614,Journal!$B$7:$E$84,4))</f>
        <v/>
      </c>
      <c r="D1614" s="114" t="str">
        <f>IF(B1614="","",VLOOKUP(A1614,Journal!$B$7:$J$84,9))</f>
        <v/>
      </c>
      <c r="E1614" s="116"/>
      <c r="F1614" s="116"/>
      <c r="G1614" s="115"/>
      <c r="H1614" s="84" t="str">
        <f>IF(B1614="","",VLOOKUP(A1614,Journal!$B$7:$L$84,11))</f>
        <v/>
      </c>
      <c r="I1614" s="84" t="str">
        <f>IF(B1614="","",VLOOKUP(A1614,Journal!$B$7:$M$84,12))</f>
        <v/>
      </c>
      <c r="J1614" s="105">
        <f>IF(B1614="Total",SUM(J$8:J1613)+0.0001,IF(OR(B1614="",I$2=I1614),0,VLOOKUP(A1614,Journal!$B$7:M$84,8)))</f>
        <v>0</v>
      </c>
      <c r="K1614" s="102">
        <f>IF(B1614="Total",SUM(K$8:K1613)+0.0001,IF(OR(B1614="",J1614&lt;&gt;0),0,VLOOKUP(A1614,Journal!$B$7:M$84,8)))</f>
        <v>0</v>
      </c>
      <c r="L1614" s="87">
        <f t="shared" si="182"/>
        <v>0</v>
      </c>
      <c r="P1614">
        <f t="shared" si="183"/>
        <v>1.0000000000000001E-5</v>
      </c>
      <c r="R1614" s="15">
        <f t="shared" si="184"/>
        <v>1607</v>
      </c>
      <c r="S1614" s="126">
        <f>IF(VLOOKUP(A1614,Journal!$A$7:$E$70,5)=0,S1613+1,VLOOKUP(A1614,Journal!$A$7:$E$70,5))</f>
        <v>47264</v>
      </c>
      <c r="T1614" s="125">
        <f>IF(H$2=VLOOKUP(A1614,Journal!$A$7:$F$70,6),VLOOKUP(A1614,Journal!$A$7:M$70,9),0)</f>
        <v>0</v>
      </c>
      <c r="U1614" s="125">
        <f>IF(H$2=VLOOKUP(A1614,Journal!$A$7:$G$70,7),VLOOKUP(A1614,Journal!$A$7:M$70,9),0)</f>
        <v>0</v>
      </c>
      <c r="V1614" s="125">
        <f t="shared" si="187"/>
        <v>40</v>
      </c>
      <c r="X1614">
        <f t="shared" si="185"/>
        <v>0</v>
      </c>
      <c r="Y1614" s="143">
        <f t="shared" si="186"/>
        <v>-957.78947368427771</v>
      </c>
    </row>
    <row r="1615" spans="1:25" x14ac:dyDescent="0.25">
      <c r="A1615">
        <f t="shared" si="181"/>
        <v>1608</v>
      </c>
      <c r="B1615" s="88" t="str">
        <f>IF(OR(B1614="Total",B1614=""),"",IF(VLOOKUP(A1615,Journal!$B$7:$E$84,4)=0,"Total",VLOOKUP(A1615,Journal!$B$7:$D$84,3)))</f>
        <v/>
      </c>
      <c r="C1615" s="86" t="str">
        <f>IF(B1615="","",VLOOKUP(A1615,Journal!$B$7:$E$84,4))</f>
        <v/>
      </c>
      <c r="D1615" s="114" t="str">
        <f>IF(B1615="","",VLOOKUP(A1615,Journal!$B$7:$J$84,9))</f>
        <v/>
      </c>
      <c r="E1615" s="116"/>
      <c r="F1615" s="116"/>
      <c r="G1615" s="115"/>
      <c r="H1615" s="84" t="str">
        <f>IF(B1615="","",VLOOKUP(A1615,Journal!$B$7:$L$84,11))</f>
        <v/>
      </c>
      <c r="I1615" s="84" t="str">
        <f>IF(B1615="","",VLOOKUP(A1615,Journal!$B$7:$M$84,12))</f>
        <v/>
      </c>
      <c r="J1615" s="105">
        <f>IF(B1615="Total",SUM(J$8:J1614)+0.0001,IF(OR(B1615="",I$2=I1615),0,VLOOKUP(A1615,Journal!$B$7:M$84,8)))</f>
        <v>0</v>
      </c>
      <c r="K1615" s="102">
        <f>IF(B1615="Total",SUM(K$8:K1614)+0.0001,IF(OR(B1615="",J1615&lt;&gt;0),0,VLOOKUP(A1615,Journal!$B$7:M$84,8)))</f>
        <v>0</v>
      </c>
      <c r="L1615" s="87">
        <f t="shared" si="182"/>
        <v>0</v>
      </c>
      <c r="P1615">
        <f t="shared" si="183"/>
        <v>1.0000000000000001E-5</v>
      </c>
      <c r="R1615" s="15">
        <f t="shared" si="184"/>
        <v>1608</v>
      </c>
      <c r="S1615" s="126">
        <f>IF(VLOOKUP(A1615,Journal!$A$7:$E$70,5)=0,S1614+1,VLOOKUP(A1615,Journal!$A$7:$E$70,5))</f>
        <v>47265</v>
      </c>
      <c r="T1615" s="125">
        <f>IF(H$2=VLOOKUP(A1615,Journal!$A$7:$F$70,6),VLOOKUP(A1615,Journal!$A$7:M$70,9),0)</f>
        <v>0</v>
      </c>
      <c r="U1615" s="125">
        <f>IF(H$2=VLOOKUP(A1615,Journal!$A$7:$G$70,7),VLOOKUP(A1615,Journal!$A$7:M$70,9),0)</f>
        <v>0</v>
      </c>
      <c r="V1615" s="125">
        <f t="shared" si="187"/>
        <v>40</v>
      </c>
      <c r="X1615">
        <f t="shared" si="185"/>
        <v>0</v>
      </c>
      <c r="Y1615" s="143">
        <f t="shared" si="186"/>
        <v>-957.76315789480407</v>
      </c>
    </row>
    <row r="1616" spans="1:25" x14ac:dyDescent="0.25">
      <c r="A1616">
        <f t="shared" si="181"/>
        <v>1609</v>
      </c>
      <c r="B1616" s="88" t="str">
        <f>IF(OR(B1615="Total",B1615=""),"",IF(VLOOKUP(A1616,Journal!$B$7:$E$84,4)=0,"Total",VLOOKUP(A1616,Journal!$B$7:$D$84,3)))</f>
        <v/>
      </c>
      <c r="C1616" s="86" t="str">
        <f>IF(B1616="","",VLOOKUP(A1616,Journal!$B$7:$E$84,4))</f>
        <v/>
      </c>
      <c r="D1616" s="114" t="str">
        <f>IF(B1616="","",VLOOKUP(A1616,Journal!$B$7:$J$84,9))</f>
        <v/>
      </c>
      <c r="E1616" s="116"/>
      <c r="F1616" s="116"/>
      <c r="G1616" s="115"/>
      <c r="H1616" s="84" t="str">
        <f>IF(B1616="","",VLOOKUP(A1616,Journal!$B$7:$L$84,11))</f>
        <v/>
      </c>
      <c r="I1616" s="84" t="str">
        <f>IF(B1616="","",VLOOKUP(A1616,Journal!$B$7:$M$84,12))</f>
        <v/>
      </c>
      <c r="J1616" s="105">
        <f>IF(B1616="Total",SUM(J$8:J1615)+0.0001,IF(OR(B1616="",I$2=I1616),0,VLOOKUP(A1616,Journal!$B$7:M$84,8)))</f>
        <v>0</v>
      </c>
      <c r="K1616" s="102">
        <f>IF(B1616="Total",SUM(K$8:K1615)+0.0001,IF(OR(B1616="",J1616&lt;&gt;0),0,VLOOKUP(A1616,Journal!$B$7:M$84,8)))</f>
        <v>0</v>
      </c>
      <c r="L1616" s="87">
        <f t="shared" si="182"/>
        <v>0</v>
      </c>
      <c r="P1616">
        <f t="shared" si="183"/>
        <v>1.0000000000000001E-5</v>
      </c>
      <c r="R1616" s="15">
        <f t="shared" si="184"/>
        <v>1609</v>
      </c>
      <c r="S1616" s="126">
        <f>IF(VLOOKUP(A1616,Journal!$A$7:$E$70,5)=0,S1615+1,VLOOKUP(A1616,Journal!$A$7:$E$70,5))</f>
        <v>47266</v>
      </c>
      <c r="T1616" s="125">
        <f>IF(H$2=VLOOKUP(A1616,Journal!$A$7:$F$70,6),VLOOKUP(A1616,Journal!$A$7:M$70,9),0)</f>
        <v>0</v>
      </c>
      <c r="U1616" s="125">
        <f>IF(H$2=VLOOKUP(A1616,Journal!$A$7:$G$70,7),VLOOKUP(A1616,Journal!$A$7:M$70,9),0)</f>
        <v>0</v>
      </c>
      <c r="V1616" s="125">
        <f t="shared" si="187"/>
        <v>40</v>
      </c>
      <c r="X1616">
        <f t="shared" si="185"/>
        <v>0</v>
      </c>
      <c r="Y1616" s="143">
        <f t="shared" si="186"/>
        <v>-957.73684210533042</v>
      </c>
    </row>
    <row r="1617" spans="1:25" x14ac:dyDescent="0.25">
      <c r="A1617">
        <f t="shared" si="181"/>
        <v>1610</v>
      </c>
      <c r="B1617" s="88" t="str">
        <f>IF(OR(B1616="Total",B1616=""),"",IF(VLOOKUP(A1617,Journal!$B$7:$E$84,4)=0,"Total",VLOOKUP(A1617,Journal!$B$7:$D$84,3)))</f>
        <v/>
      </c>
      <c r="C1617" s="86" t="str">
        <f>IF(B1617="","",VLOOKUP(A1617,Journal!$B$7:$E$84,4))</f>
        <v/>
      </c>
      <c r="D1617" s="114" t="str">
        <f>IF(B1617="","",VLOOKUP(A1617,Journal!$B$7:$J$84,9))</f>
        <v/>
      </c>
      <c r="E1617" s="116"/>
      <c r="F1617" s="116"/>
      <c r="G1617" s="115"/>
      <c r="H1617" s="84" t="str">
        <f>IF(B1617="","",VLOOKUP(A1617,Journal!$B$7:$L$84,11))</f>
        <v/>
      </c>
      <c r="I1617" s="84" t="str">
        <f>IF(B1617="","",VLOOKUP(A1617,Journal!$B$7:$M$84,12))</f>
        <v/>
      </c>
      <c r="J1617" s="105">
        <f>IF(B1617="Total",SUM(J$8:J1616)+0.0001,IF(OR(B1617="",I$2=I1617),0,VLOOKUP(A1617,Journal!$B$7:M$84,8)))</f>
        <v>0</v>
      </c>
      <c r="K1617" s="102">
        <f>IF(B1617="Total",SUM(K$8:K1616)+0.0001,IF(OR(B1617="",J1617&lt;&gt;0),0,VLOOKUP(A1617,Journal!$B$7:M$84,8)))</f>
        <v>0</v>
      </c>
      <c r="L1617" s="87">
        <f t="shared" si="182"/>
        <v>0</v>
      </c>
      <c r="P1617">
        <f t="shared" si="183"/>
        <v>1.0000000000000001E-5</v>
      </c>
      <c r="R1617" s="15">
        <f t="shared" si="184"/>
        <v>1610</v>
      </c>
      <c r="S1617" s="126">
        <f>IF(VLOOKUP(A1617,Journal!$A$7:$E$70,5)=0,S1616+1,VLOOKUP(A1617,Journal!$A$7:$E$70,5))</f>
        <v>47267</v>
      </c>
      <c r="T1617" s="125">
        <f>IF(H$2=VLOOKUP(A1617,Journal!$A$7:$F$70,6),VLOOKUP(A1617,Journal!$A$7:M$70,9),0)</f>
        <v>0</v>
      </c>
      <c r="U1617" s="125">
        <f>IF(H$2=VLOOKUP(A1617,Journal!$A$7:$G$70,7),VLOOKUP(A1617,Journal!$A$7:M$70,9),0)</f>
        <v>0</v>
      </c>
      <c r="V1617" s="125">
        <f t="shared" si="187"/>
        <v>40</v>
      </c>
      <c r="X1617">
        <f t="shared" si="185"/>
        <v>0</v>
      </c>
      <c r="Y1617" s="143">
        <f t="shared" si="186"/>
        <v>-957.71052631585678</v>
      </c>
    </row>
    <row r="1618" spans="1:25" x14ac:dyDescent="0.25">
      <c r="A1618">
        <f t="shared" ref="A1618:A1681" si="188">A1617+1</f>
        <v>1611</v>
      </c>
      <c r="B1618" s="88" t="str">
        <f>IF(OR(B1617="Total",B1617=""),"",IF(VLOOKUP(A1618,Journal!$B$7:$E$84,4)=0,"Total",VLOOKUP(A1618,Journal!$B$7:$D$84,3)))</f>
        <v/>
      </c>
      <c r="C1618" s="86" t="str">
        <f>IF(B1618="","",VLOOKUP(A1618,Journal!$B$7:$E$84,4))</f>
        <v/>
      </c>
      <c r="D1618" s="114" t="str">
        <f>IF(B1618="","",VLOOKUP(A1618,Journal!$B$7:$J$84,9))</f>
        <v/>
      </c>
      <c r="E1618" s="116"/>
      <c r="F1618" s="116"/>
      <c r="G1618" s="115"/>
      <c r="H1618" s="84" t="str">
        <f>IF(B1618="","",VLOOKUP(A1618,Journal!$B$7:$L$84,11))</f>
        <v/>
      </c>
      <c r="I1618" s="84" t="str">
        <f>IF(B1618="","",VLOOKUP(A1618,Journal!$B$7:$M$84,12))</f>
        <v/>
      </c>
      <c r="J1618" s="105">
        <f>IF(B1618="Total",SUM(J$8:J1617)+0.0001,IF(OR(B1618="",I$2=I1618),0,VLOOKUP(A1618,Journal!$B$7:M$84,8)))</f>
        <v>0</v>
      </c>
      <c r="K1618" s="102">
        <f>IF(B1618="Total",SUM(K$8:K1617)+0.0001,IF(OR(B1618="",J1618&lt;&gt;0),0,VLOOKUP(A1618,Journal!$B$7:M$84,8)))</f>
        <v>0</v>
      </c>
      <c r="L1618" s="87">
        <f t="shared" ref="L1618:L1681" si="189">IF(B1618="Total",L1617,IF(B1618="",0,IF($M$1=1,L1617+J1618-K1618,L1617-J1618+K1618)))</f>
        <v>0</v>
      </c>
      <c r="P1618">
        <f t="shared" ref="P1618:P1681" si="190">IF(L1617=L1618,L1617+0.00001,L1618)</f>
        <v>1.0000000000000001E-5</v>
      </c>
      <c r="R1618" s="15">
        <f t="shared" ref="R1618:R1681" si="191">R1617+1</f>
        <v>1611</v>
      </c>
      <c r="S1618" s="126">
        <f>IF(VLOOKUP(A1618,Journal!$A$7:$E$70,5)=0,S1617+1,VLOOKUP(A1618,Journal!$A$7:$E$70,5))</f>
        <v>47268</v>
      </c>
      <c r="T1618" s="125">
        <f>IF(H$2=VLOOKUP(A1618,Journal!$A$7:$F$70,6),VLOOKUP(A1618,Journal!$A$7:M$70,9),0)</f>
        <v>0</v>
      </c>
      <c r="U1618" s="125">
        <f>IF(H$2=VLOOKUP(A1618,Journal!$A$7:$G$70,7),VLOOKUP(A1618,Journal!$A$7:M$70,9),0)</f>
        <v>0</v>
      </c>
      <c r="V1618" s="125">
        <f t="shared" si="187"/>
        <v>40</v>
      </c>
      <c r="X1618">
        <f t="shared" ref="X1618:X1681" si="192">IF(J$2&gt;S1618,1,0)</f>
        <v>0</v>
      </c>
      <c r="Y1618" s="143">
        <f t="shared" si="186"/>
        <v>-957.68421052638314</v>
      </c>
    </row>
    <row r="1619" spans="1:25" x14ac:dyDescent="0.25">
      <c r="A1619">
        <f t="shared" si="188"/>
        <v>1612</v>
      </c>
      <c r="B1619" s="88" t="str">
        <f>IF(OR(B1618="Total",B1618=""),"",IF(VLOOKUP(A1619,Journal!$B$7:$E$84,4)=0,"Total",VLOOKUP(A1619,Journal!$B$7:$D$84,3)))</f>
        <v/>
      </c>
      <c r="C1619" s="86" t="str">
        <f>IF(B1619="","",VLOOKUP(A1619,Journal!$B$7:$E$84,4))</f>
        <v/>
      </c>
      <c r="D1619" s="114" t="str">
        <f>IF(B1619="","",VLOOKUP(A1619,Journal!$B$7:$J$84,9))</f>
        <v/>
      </c>
      <c r="E1619" s="116"/>
      <c r="F1619" s="116"/>
      <c r="G1619" s="115"/>
      <c r="H1619" s="84" t="str">
        <f>IF(B1619="","",VLOOKUP(A1619,Journal!$B$7:$L$84,11))</f>
        <v/>
      </c>
      <c r="I1619" s="84" t="str">
        <f>IF(B1619="","",VLOOKUP(A1619,Journal!$B$7:$M$84,12))</f>
        <v/>
      </c>
      <c r="J1619" s="105">
        <f>IF(B1619="Total",SUM(J$8:J1618)+0.0001,IF(OR(B1619="",I$2=I1619),0,VLOOKUP(A1619,Journal!$B$7:M$84,8)))</f>
        <v>0</v>
      </c>
      <c r="K1619" s="102">
        <f>IF(B1619="Total",SUM(K$8:K1618)+0.0001,IF(OR(B1619="",J1619&lt;&gt;0),0,VLOOKUP(A1619,Journal!$B$7:M$84,8)))</f>
        <v>0</v>
      </c>
      <c r="L1619" s="87">
        <f t="shared" si="189"/>
        <v>0</v>
      </c>
      <c r="P1619">
        <f t="shared" si="190"/>
        <v>1.0000000000000001E-5</v>
      </c>
      <c r="R1619" s="15">
        <f t="shared" si="191"/>
        <v>1612</v>
      </c>
      <c r="S1619" s="126">
        <f>IF(VLOOKUP(A1619,Journal!$A$7:$E$70,5)=0,S1618+1,VLOOKUP(A1619,Journal!$A$7:$E$70,5))</f>
        <v>47269</v>
      </c>
      <c r="T1619" s="125">
        <f>IF(H$2=VLOOKUP(A1619,Journal!$A$7:$F$70,6),VLOOKUP(A1619,Journal!$A$7:M$70,9),0)</f>
        <v>0</v>
      </c>
      <c r="U1619" s="125">
        <f>IF(H$2=VLOOKUP(A1619,Journal!$A$7:$G$70,7),VLOOKUP(A1619,Journal!$A$7:M$70,9),0)</f>
        <v>0</v>
      </c>
      <c r="V1619" s="125">
        <f t="shared" si="187"/>
        <v>40</v>
      </c>
      <c r="X1619">
        <f t="shared" si="192"/>
        <v>0</v>
      </c>
      <c r="Y1619" s="143">
        <f t="shared" si="186"/>
        <v>-957.6578947369095</v>
      </c>
    </row>
    <row r="1620" spans="1:25" x14ac:dyDescent="0.25">
      <c r="A1620">
        <f t="shared" si="188"/>
        <v>1613</v>
      </c>
      <c r="B1620" s="88" t="str">
        <f>IF(OR(B1619="Total",B1619=""),"",IF(VLOOKUP(A1620,Journal!$B$7:$E$84,4)=0,"Total",VLOOKUP(A1620,Journal!$B$7:$D$84,3)))</f>
        <v/>
      </c>
      <c r="C1620" s="86" t="str">
        <f>IF(B1620="","",VLOOKUP(A1620,Journal!$B$7:$E$84,4))</f>
        <v/>
      </c>
      <c r="D1620" s="114" t="str">
        <f>IF(B1620="","",VLOOKUP(A1620,Journal!$B$7:$J$84,9))</f>
        <v/>
      </c>
      <c r="E1620" s="116"/>
      <c r="F1620" s="116"/>
      <c r="G1620" s="115"/>
      <c r="H1620" s="84" t="str">
        <f>IF(B1620="","",VLOOKUP(A1620,Journal!$B$7:$L$84,11))</f>
        <v/>
      </c>
      <c r="I1620" s="84" t="str">
        <f>IF(B1620="","",VLOOKUP(A1620,Journal!$B$7:$M$84,12))</f>
        <v/>
      </c>
      <c r="J1620" s="105">
        <f>IF(B1620="Total",SUM(J$8:J1619)+0.0001,IF(OR(B1620="",I$2=I1620),0,VLOOKUP(A1620,Journal!$B$7:M$84,8)))</f>
        <v>0</v>
      </c>
      <c r="K1620" s="102">
        <f>IF(B1620="Total",SUM(K$8:K1619)+0.0001,IF(OR(B1620="",J1620&lt;&gt;0),0,VLOOKUP(A1620,Journal!$B$7:M$84,8)))</f>
        <v>0</v>
      </c>
      <c r="L1620" s="87">
        <f t="shared" si="189"/>
        <v>0</v>
      </c>
      <c r="P1620">
        <f t="shared" si="190"/>
        <v>1.0000000000000001E-5</v>
      </c>
      <c r="R1620" s="15">
        <f t="shared" si="191"/>
        <v>1613</v>
      </c>
      <c r="S1620" s="126">
        <f>IF(VLOOKUP(A1620,Journal!$A$7:$E$70,5)=0,S1619+1,VLOOKUP(A1620,Journal!$A$7:$E$70,5))</f>
        <v>47270</v>
      </c>
      <c r="T1620" s="125">
        <f>IF(H$2=VLOOKUP(A1620,Journal!$A$7:$F$70,6),VLOOKUP(A1620,Journal!$A$7:M$70,9),0)</f>
        <v>0</v>
      </c>
      <c r="U1620" s="125">
        <f>IF(H$2=VLOOKUP(A1620,Journal!$A$7:$G$70,7),VLOOKUP(A1620,Journal!$A$7:M$70,9),0)</f>
        <v>0</v>
      </c>
      <c r="V1620" s="125">
        <f t="shared" si="187"/>
        <v>40</v>
      </c>
      <c r="X1620">
        <f t="shared" si="192"/>
        <v>0</v>
      </c>
      <c r="Y1620" s="143">
        <f t="shared" si="186"/>
        <v>-957.63157894743586</v>
      </c>
    </row>
    <row r="1621" spans="1:25" x14ac:dyDescent="0.25">
      <c r="A1621">
        <f t="shared" si="188"/>
        <v>1614</v>
      </c>
      <c r="B1621" s="88" t="str">
        <f>IF(OR(B1620="Total",B1620=""),"",IF(VLOOKUP(A1621,Journal!$B$7:$E$84,4)=0,"Total",VLOOKUP(A1621,Journal!$B$7:$D$84,3)))</f>
        <v/>
      </c>
      <c r="C1621" s="86" t="str">
        <f>IF(B1621="","",VLOOKUP(A1621,Journal!$B$7:$E$84,4))</f>
        <v/>
      </c>
      <c r="D1621" s="114" t="str">
        <f>IF(B1621="","",VLOOKUP(A1621,Journal!$B$7:$J$84,9))</f>
        <v/>
      </c>
      <c r="E1621" s="116"/>
      <c r="F1621" s="116"/>
      <c r="G1621" s="115"/>
      <c r="H1621" s="84" t="str">
        <f>IF(B1621="","",VLOOKUP(A1621,Journal!$B$7:$L$84,11))</f>
        <v/>
      </c>
      <c r="I1621" s="84" t="str">
        <f>IF(B1621="","",VLOOKUP(A1621,Journal!$B$7:$M$84,12))</f>
        <v/>
      </c>
      <c r="J1621" s="105">
        <f>IF(B1621="Total",SUM(J$8:J1620)+0.0001,IF(OR(B1621="",I$2=I1621),0,VLOOKUP(A1621,Journal!$B$7:M$84,8)))</f>
        <v>0</v>
      </c>
      <c r="K1621" s="102">
        <f>IF(B1621="Total",SUM(K$8:K1620)+0.0001,IF(OR(B1621="",J1621&lt;&gt;0),0,VLOOKUP(A1621,Journal!$B$7:M$84,8)))</f>
        <v>0</v>
      </c>
      <c r="L1621" s="87">
        <f t="shared" si="189"/>
        <v>0</v>
      </c>
      <c r="P1621">
        <f t="shared" si="190"/>
        <v>1.0000000000000001E-5</v>
      </c>
      <c r="R1621" s="15">
        <f t="shared" si="191"/>
        <v>1614</v>
      </c>
      <c r="S1621" s="126">
        <f>IF(VLOOKUP(A1621,Journal!$A$7:$E$70,5)=0,S1620+1,VLOOKUP(A1621,Journal!$A$7:$E$70,5))</f>
        <v>47271</v>
      </c>
      <c r="T1621" s="125">
        <f>IF(H$2=VLOOKUP(A1621,Journal!$A$7:$F$70,6),VLOOKUP(A1621,Journal!$A$7:M$70,9),0)</f>
        <v>0</v>
      </c>
      <c r="U1621" s="125">
        <f>IF(H$2=VLOOKUP(A1621,Journal!$A$7:$G$70,7),VLOOKUP(A1621,Journal!$A$7:M$70,9),0)</f>
        <v>0</v>
      </c>
      <c r="V1621" s="125">
        <f t="shared" si="187"/>
        <v>40</v>
      </c>
      <c r="X1621">
        <f t="shared" si="192"/>
        <v>0</v>
      </c>
      <c r="Y1621" s="143">
        <f t="shared" si="186"/>
        <v>-957.60526315796221</v>
      </c>
    </row>
    <row r="1622" spans="1:25" x14ac:dyDescent="0.25">
      <c r="A1622">
        <f t="shared" si="188"/>
        <v>1615</v>
      </c>
      <c r="B1622" s="88" t="str">
        <f>IF(OR(B1621="Total",B1621=""),"",IF(VLOOKUP(A1622,Journal!$B$7:$E$84,4)=0,"Total",VLOOKUP(A1622,Journal!$B$7:$D$84,3)))</f>
        <v/>
      </c>
      <c r="C1622" s="86" t="str">
        <f>IF(B1622="","",VLOOKUP(A1622,Journal!$B$7:$E$84,4))</f>
        <v/>
      </c>
      <c r="D1622" s="114" t="str">
        <f>IF(B1622="","",VLOOKUP(A1622,Journal!$B$7:$J$84,9))</f>
        <v/>
      </c>
      <c r="E1622" s="116"/>
      <c r="F1622" s="116"/>
      <c r="G1622" s="115"/>
      <c r="H1622" s="84" t="str">
        <f>IF(B1622="","",VLOOKUP(A1622,Journal!$B$7:$L$84,11))</f>
        <v/>
      </c>
      <c r="I1622" s="84" t="str">
        <f>IF(B1622="","",VLOOKUP(A1622,Journal!$B$7:$M$84,12))</f>
        <v/>
      </c>
      <c r="J1622" s="105">
        <f>IF(B1622="Total",SUM(J$8:J1621)+0.0001,IF(OR(B1622="",I$2=I1622),0,VLOOKUP(A1622,Journal!$B$7:M$84,8)))</f>
        <v>0</v>
      </c>
      <c r="K1622" s="102">
        <f>IF(B1622="Total",SUM(K$8:K1621)+0.0001,IF(OR(B1622="",J1622&lt;&gt;0),0,VLOOKUP(A1622,Journal!$B$7:M$84,8)))</f>
        <v>0</v>
      </c>
      <c r="L1622" s="87">
        <f t="shared" si="189"/>
        <v>0</v>
      </c>
      <c r="P1622">
        <f t="shared" si="190"/>
        <v>1.0000000000000001E-5</v>
      </c>
      <c r="R1622" s="15">
        <f t="shared" si="191"/>
        <v>1615</v>
      </c>
      <c r="S1622" s="126">
        <f>IF(VLOOKUP(A1622,Journal!$A$7:$E$70,5)=0,S1621+1,VLOOKUP(A1622,Journal!$A$7:$E$70,5))</f>
        <v>47272</v>
      </c>
      <c r="T1622" s="125">
        <f>IF(H$2=VLOOKUP(A1622,Journal!$A$7:$F$70,6),VLOOKUP(A1622,Journal!$A$7:M$70,9),0)</f>
        <v>0</v>
      </c>
      <c r="U1622" s="125">
        <f>IF(H$2=VLOOKUP(A1622,Journal!$A$7:$G$70,7),VLOOKUP(A1622,Journal!$A$7:M$70,9),0)</f>
        <v>0</v>
      </c>
      <c r="V1622" s="125">
        <f t="shared" si="187"/>
        <v>40</v>
      </c>
      <c r="X1622">
        <f t="shared" si="192"/>
        <v>0</v>
      </c>
      <c r="Y1622" s="143">
        <f t="shared" si="186"/>
        <v>-957.57894736848857</v>
      </c>
    </row>
    <row r="1623" spans="1:25" x14ac:dyDescent="0.25">
      <c r="A1623">
        <f t="shared" si="188"/>
        <v>1616</v>
      </c>
      <c r="B1623" s="88" t="str">
        <f>IF(OR(B1622="Total",B1622=""),"",IF(VLOOKUP(A1623,Journal!$B$7:$E$84,4)=0,"Total",VLOOKUP(A1623,Journal!$B$7:$D$84,3)))</f>
        <v/>
      </c>
      <c r="C1623" s="86" t="str">
        <f>IF(B1623="","",VLOOKUP(A1623,Journal!$B$7:$E$84,4))</f>
        <v/>
      </c>
      <c r="D1623" s="114" t="str">
        <f>IF(B1623="","",VLOOKUP(A1623,Journal!$B$7:$J$84,9))</f>
        <v/>
      </c>
      <c r="E1623" s="116"/>
      <c r="F1623" s="116"/>
      <c r="G1623" s="115"/>
      <c r="H1623" s="84" t="str">
        <f>IF(B1623="","",VLOOKUP(A1623,Journal!$B$7:$L$84,11))</f>
        <v/>
      </c>
      <c r="I1623" s="84" t="str">
        <f>IF(B1623="","",VLOOKUP(A1623,Journal!$B$7:$M$84,12))</f>
        <v/>
      </c>
      <c r="J1623" s="105">
        <f>IF(B1623="Total",SUM(J$8:J1622)+0.0001,IF(OR(B1623="",I$2=I1623),0,VLOOKUP(A1623,Journal!$B$7:M$84,8)))</f>
        <v>0</v>
      </c>
      <c r="K1623" s="102">
        <f>IF(B1623="Total",SUM(K$8:K1622)+0.0001,IF(OR(B1623="",J1623&lt;&gt;0),0,VLOOKUP(A1623,Journal!$B$7:M$84,8)))</f>
        <v>0</v>
      </c>
      <c r="L1623" s="87">
        <f t="shared" si="189"/>
        <v>0</v>
      </c>
      <c r="P1623">
        <f t="shared" si="190"/>
        <v>1.0000000000000001E-5</v>
      </c>
      <c r="R1623" s="15">
        <f t="shared" si="191"/>
        <v>1616</v>
      </c>
      <c r="S1623" s="126">
        <f>IF(VLOOKUP(A1623,Journal!$A$7:$E$70,5)=0,S1622+1,VLOOKUP(A1623,Journal!$A$7:$E$70,5))</f>
        <v>47273</v>
      </c>
      <c r="T1623" s="125">
        <f>IF(H$2=VLOOKUP(A1623,Journal!$A$7:$F$70,6),VLOOKUP(A1623,Journal!$A$7:M$70,9),0)</f>
        <v>0</v>
      </c>
      <c r="U1623" s="125">
        <f>IF(H$2=VLOOKUP(A1623,Journal!$A$7:$G$70,7),VLOOKUP(A1623,Journal!$A$7:M$70,9),0)</f>
        <v>0</v>
      </c>
      <c r="V1623" s="125">
        <f t="shared" si="187"/>
        <v>40</v>
      </c>
      <c r="X1623">
        <f t="shared" si="192"/>
        <v>0</v>
      </c>
      <c r="Y1623" s="143">
        <f t="shared" si="186"/>
        <v>-957.55263157901493</v>
      </c>
    </row>
    <row r="1624" spans="1:25" x14ac:dyDescent="0.25">
      <c r="A1624">
        <f t="shared" si="188"/>
        <v>1617</v>
      </c>
      <c r="B1624" s="88" t="str">
        <f>IF(OR(B1623="Total",B1623=""),"",IF(VLOOKUP(A1624,Journal!$B$7:$E$84,4)=0,"Total",VLOOKUP(A1624,Journal!$B$7:$D$84,3)))</f>
        <v/>
      </c>
      <c r="C1624" s="86" t="str">
        <f>IF(B1624="","",VLOOKUP(A1624,Journal!$B$7:$E$84,4))</f>
        <v/>
      </c>
      <c r="D1624" s="114" t="str">
        <f>IF(B1624="","",VLOOKUP(A1624,Journal!$B$7:$J$84,9))</f>
        <v/>
      </c>
      <c r="E1624" s="116"/>
      <c r="F1624" s="116"/>
      <c r="G1624" s="115"/>
      <c r="H1624" s="84" t="str">
        <f>IF(B1624="","",VLOOKUP(A1624,Journal!$B$7:$L$84,11))</f>
        <v/>
      </c>
      <c r="I1624" s="84" t="str">
        <f>IF(B1624="","",VLOOKUP(A1624,Journal!$B$7:$M$84,12))</f>
        <v/>
      </c>
      <c r="J1624" s="105">
        <f>IF(B1624="Total",SUM(J$8:J1623)+0.0001,IF(OR(B1624="",I$2=I1624),0,VLOOKUP(A1624,Journal!$B$7:M$84,8)))</f>
        <v>0</v>
      </c>
      <c r="K1624" s="102">
        <f>IF(B1624="Total",SUM(K$8:K1623)+0.0001,IF(OR(B1624="",J1624&lt;&gt;0),0,VLOOKUP(A1624,Journal!$B$7:M$84,8)))</f>
        <v>0</v>
      </c>
      <c r="L1624" s="87">
        <f t="shared" si="189"/>
        <v>0</v>
      </c>
      <c r="P1624">
        <f t="shared" si="190"/>
        <v>1.0000000000000001E-5</v>
      </c>
      <c r="R1624" s="15">
        <f t="shared" si="191"/>
        <v>1617</v>
      </c>
      <c r="S1624" s="126">
        <f>IF(VLOOKUP(A1624,Journal!$A$7:$E$70,5)=0,S1623+1,VLOOKUP(A1624,Journal!$A$7:$E$70,5))</f>
        <v>47274</v>
      </c>
      <c r="T1624" s="125">
        <f>IF(H$2=VLOOKUP(A1624,Journal!$A$7:$F$70,6),VLOOKUP(A1624,Journal!$A$7:M$70,9),0)</f>
        <v>0</v>
      </c>
      <c r="U1624" s="125">
        <f>IF(H$2=VLOOKUP(A1624,Journal!$A$7:$G$70,7),VLOOKUP(A1624,Journal!$A$7:M$70,9),0)</f>
        <v>0</v>
      </c>
      <c r="V1624" s="125">
        <f t="shared" si="187"/>
        <v>40</v>
      </c>
      <c r="X1624">
        <f t="shared" si="192"/>
        <v>0</v>
      </c>
      <c r="Y1624" s="143">
        <f t="shared" si="186"/>
        <v>-957.52631578954129</v>
      </c>
    </row>
    <row r="1625" spans="1:25" x14ac:dyDescent="0.25">
      <c r="A1625">
        <f t="shared" si="188"/>
        <v>1618</v>
      </c>
      <c r="B1625" s="88" t="str">
        <f>IF(OR(B1624="Total",B1624=""),"",IF(VLOOKUP(A1625,Journal!$B$7:$E$84,4)=0,"Total",VLOOKUP(A1625,Journal!$B$7:$D$84,3)))</f>
        <v/>
      </c>
      <c r="C1625" s="86" t="str">
        <f>IF(B1625="","",VLOOKUP(A1625,Journal!$B$7:$E$84,4))</f>
        <v/>
      </c>
      <c r="D1625" s="114" t="str">
        <f>IF(B1625="","",VLOOKUP(A1625,Journal!$B$7:$J$84,9))</f>
        <v/>
      </c>
      <c r="E1625" s="116"/>
      <c r="F1625" s="116"/>
      <c r="G1625" s="115"/>
      <c r="H1625" s="84" t="str">
        <f>IF(B1625="","",VLOOKUP(A1625,Journal!$B$7:$L$84,11))</f>
        <v/>
      </c>
      <c r="I1625" s="84" t="str">
        <f>IF(B1625="","",VLOOKUP(A1625,Journal!$B$7:$M$84,12))</f>
        <v/>
      </c>
      <c r="J1625" s="105">
        <f>IF(B1625="Total",SUM(J$8:J1624)+0.0001,IF(OR(B1625="",I$2=I1625),0,VLOOKUP(A1625,Journal!$B$7:M$84,8)))</f>
        <v>0</v>
      </c>
      <c r="K1625" s="102">
        <f>IF(B1625="Total",SUM(K$8:K1624)+0.0001,IF(OR(B1625="",J1625&lt;&gt;0),0,VLOOKUP(A1625,Journal!$B$7:M$84,8)))</f>
        <v>0</v>
      </c>
      <c r="L1625" s="87">
        <f t="shared" si="189"/>
        <v>0</v>
      </c>
      <c r="P1625">
        <f t="shared" si="190"/>
        <v>1.0000000000000001E-5</v>
      </c>
      <c r="R1625" s="15">
        <f t="shared" si="191"/>
        <v>1618</v>
      </c>
      <c r="S1625" s="126">
        <f>IF(VLOOKUP(A1625,Journal!$A$7:$E$70,5)=0,S1624+1,VLOOKUP(A1625,Journal!$A$7:$E$70,5))</f>
        <v>47275</v>
      </c>
      <c r="T1625" s="125">
        <f>IF(H$2=VLOOKUP(A1625,Journal!$A$7:$F$70,6),VLOOKUP(A1625,Journal!$A$7:M$70,9),0)</f>
        <v>0</v>
      </c>
      <c r="U1625" s="125">
        <f>IF(H$2=VLOOKUP(A1625,Journal!$A$7:$G$70,7),VLOOKUP(A1625,Journal!$A$7:M$70,9),0)</f>
        <v>0</v>
      </c>
      <c r="V1625" s="125">
        <f t="shared" si="187"/>
        <v>40</v>
      </c>
      <c r="X1625">
        <f t="shared" si="192"/>
        <v>0</v>
      </c>
      <c r="Y1625" s="143">
        <f t="shared" si="186"/>
        <v>-957.50000000006764</v>
      </c>
    </row>
    <row r="1626" spans="1:25" x14ac:dyDescent="0.25">
      <c r="A1626">
        <f t="shared" si="188"/>
        <v>1619</v>
      </c>
      <c r="B1626" s="88" t="str">
        <f>IF(OR(B1625="Total",B1625=""),"",IF(VLOOKUP(A1626,Journal!$B$7:$E$84,4)=0,"Total",VLOOKUP(A1626,Journal!$B$7:$D$84,3)))</f>
        <v/>
      </c>
      <c r="C1626" s="86" t="str">
        <f>IF(B1626="","",VLOOKUP(A1626,Journal!$B$7:$E$84,4))</f>
        <v/>
      </c>
      <c r="D1626" s="114" t="str">
        <f>IF(B1626="","",VLOOKUP(A1626,Journal!$B$7:$J$84,9))</f>
        <v/>
      </c>
      <c r="E1626" s="116"/>
      <c r="F1626" s="116"/>
      <c r="G1626" s="115"/>
      <c r="H1626" s="84" t="str">
        <f>IF(B1626="","",VLOOKUP(A1626,Journal!$B$7:$L$84,11))</f>
        <v/>
      </c>
      <c r="I1626" s="84" t="str">
        <f>IF(B1626="","",VLOOKUP(A1626,Journal!$B$7:$M$84,12))</f>
        <v/>
      </c>
      <c r="J1626" s="105">
        <f>IF(B1626="Total",SUM(J$8:J1625)+0.0001,IF(OR(B1626="",I$2=I1626),0,VLOOKUP(A1626,Journal!$B$7:M$84,8)))</f>
        <v>0</v>
      </c>
      <c r="K1626" s="102">
        <f>IF(B1626="Total",SUM(K$8:K1625)+0.0001,IF(OR(B1626="",J1626&lt;&gt;0),0,VLOOKUP(A1626,Journal!$B$7:M$84,8)))</f>
        <v>0</v>
      </c>
      <c r="L1626" s="87">
        <f t="shared" si="189"/>
        <v>0</v>
      </c>
      <c r="P1626">
        <f t="shared" si="190"/>
        <v>1.0000000000000001E-5</v>
      </c>
      <c r="R1626" s="15">
        <f t="shared" si="191"/>
        <v>1619</v>
      </c>
      <c r="S1626" s="126">
        <f>IF(VLOOKUP(A1626,Journal!$A$7:$E$70,5)=0,S1625+1,VLOOKUP(A1626,Journal!$A$7:$E$70,5))</f>
        <v>47276</v>
      </c>
      <c r="T1626" s="125">
        <f>IF(H$2=VLOOKUP(A1626,Journal!$A$7:$F$70,6),VLOOKUP(A1626,Journal!$A$7:M$70,9),0)</f>
        <v>0</v>
      </c>
      <c r="U1626" s="125">
        <f>IF(H$2=VLOOKUP(A1626,Journal!$A$7:$G$70,7),VLOOKUP(A1626,Journal!$A$7:M$70,9),0)</f>
        <v>0</v>
      </c>
      <c r="V1626" s="125">
        <f t="shared" si="187"/>
        <v>40</v>
      </c>
      <c r="X1626">
        <f t="shared" si="192"/>
        <v>0</v>
      </c>
      <c r="Y1626" s="143">
        <f t="shared" si="186"/>
        <v>-957.473684210594</v>
      </c>
    </row>
    <row r="1627" spans="1:25" x14ac:dyDescent="0.25">
      <c r="A1627">
        <f t="shared" si="188"/>
        <v>1620</v>
      </c>
      <c r="B1627" s="88" t="str">
        <f>IF(OR(B1626="Total",B1626=""),"",IF(VLOOKUP(A1627,Journal!$B$7:$E$84,4)=0,"Total",VLOOKUP(A1627,Journal!$B$7:$D$84,3)))</f>
        <v/>
      </c>
      <c r="C1627" s="86" t="str">
        <f>IF(B1627="","",VLOOKUP(A1627,Journal!$B$7:$E$84,4))</f>
        <v/>
      </c>
      <c r="D1627" s="114" t="str">
        <f>IF(B1627="","",VLOOKUP(A1627,Journal!$B$7:$J$84,9))</f>
        <v/>
      </c>
      <c r="E1627" s="116"/>
      <c r="F1627" s="116"/>
      <c r="G1627" s="115"/>
      <c r="H1627" s="84" t="str">
        <f>IF(B1627="","",VLOOKUP(A1627,Journal!$B$7:$L$84,11))</f>
        <v/>
      </c>
      <c r="I1627" s="84" t="str">
        <f>IF(B1627="","",VLOOKUP(A1627,Journal!$B$7:$M$84,12))</f>
        <v/>
      </c>
      <c r="J1627" s="105">
        <f>IF(B1627="Total",SUM(J$8:J1626)+0.0001,IF(OR(B1627="",I$2=I1627),0,VLOOKUP(A1627,Journal!$B$7:M$84,8)))</f>
        <v>0</v>
      </c>
      <c r="K1627" s="102">
        <f>IF(B1627="Total",SUM(K$8:K1626)+0.0001,IF(OR(B1627="",J1627&lt;&gt;0),0,VLOOKUP(A1627,Journal!$B$7:M$84,8)))</f>
        <v>0</v>
      </c>
      <c r="L1627" s="87">
        <f t="shared" si="189"/>
        <v>0</v>
      </c>
      <c r="P1627">
        <f t="shared" si="190"/>
        <v>1.0000000000000001E-5</v>
      </c>
      <c r="R1627" s="15">
        <f t="shared" si="191"/>
        <v>1620</v>
      </c>
      <c r="S1627" s="126">
        <f>IF(VLOOKUP(A1627,Journal!$A$7:$E$70,5)=0,S1626+1,VLOOKUP(A1627,Journal!$A$7:$E$70,5))</f>
        <v>47277</v>
      </c>
      <c r="T1627" s="125">
        <f>IF(H$2=VLOOKUP(A1627,Journal!$A$7:$F$70,6),VLOOKUP(A1627,Journal!$A$7:M$70,9),0)</f>
        <v>0</v>
      </c>
      <c r="U1627" s="125">
        <f>IF(H$2=VLOOKUP(A1627,Journal!$A$7:$G$70,7),VLOOKUP(A1627,Journal!$A$7:M$70,9),0)</f>
        <v>0</v>
      </c>
      <c r="V1627" s="125">
        <f t="shared" si="187"/>
        <v>40</v>
      </c>
      <c r="X1627">
        <f t="shared" si="192"/>
        <v>0</v>
      </c>
      <c r="Y1627" s="143">
        <f t="shared" si="186"/>
        <v>-957.44736842112036</v>
      </c>
    </row>
    <row r="1628" spans="1:25" x14ac:dyDescent="0.25">
      <c r="A1628">
        <f t="shared" si="188"/>
        <v>1621</v>
      </c>
      <c r="B1628" s="88" t="str">
        <f>IF(OR(B1627="Total",B1627=""),"",IF(VLOOKUP(A1628,Journal!$B$7:$E$84,4)=0,"Total",VLOOKUP(A1628,Journal!$B$7:$D$84,3)))</f>
        <v/>
      </c>
      <c r="C1628" s="86" t="str">
        <f>IF(B1628="","",VLOOKUP(A1628,Journal!$B$7:$E$84,4))</f>
        <v/>
      </c>
      <c r="D1628" s="114" t="str">
        <f>IF(B1628="","",VLOOKUP(A1628,Journal!$B$7:$J$84,9))</f>
        <v/>
      </c>
      <c r="E1628" s="116"/>
      <c r="F1628" s="116"/>
      <c r="G1628" s="115"/>
      <c r="H1628" s="84" t="str">
        <f>IF(B1628="","",VLOOKUP(A1628,Journal!$B$7:$L$84,11))</f>
        <v/>
      </c>
      <c r="I1628" s="84" t="str">
        <f>IF(B1628="","",VLOOKUP(A1628,Journal!$B$7:$M$84,12))</f>
        <v/>
      </c>
      <c r="J1628" s="105">
        <f>IF(B1628="Total",SUM(J$8:J1627)+0.0001,IF(OR(B1628="",I$2=I1628),0,VLOOKUP(A1628,Journal!$B$7:M$84,8)))</f>
        <v>0</v>
      </c>
      <c r="K1628" s="102">
        <f>IF(B1628="Total",SUM(K$8:K1627)+0.0001,IF(OR(B1628="",J1628&lt;&gt;0),0,VLOOKUP(A1628,Journal!$B$7:M$84,8)))</f>
        <v>0</v>
      </c>
      <c r="L1628" s="87">
        <f t="shared" si="189"/>
        <v>0</v>
      </c>
      <c r="P1628">
        <f t="shared" si="190"/>
        <v>1.0000000000000001E-5</v>
      </c>
      <c r="R1628" s="15">
        <f t="shared" si="191"/>
        <v>1621</v>
      </c>
      <c r="S1628" s="126">
        <f>IF(VLOOKUP(A1628,Journal!$A$7:$E$70,5)=0,S1627+1,VLOOKUP(A1628,Journal!$A$7:$E$70,5))</f>
        <v>47278</v>
      </c>
      <c r="T1628" s="125">
        <f>IF(H$2=VLOOKUP(A1628,Journal!$A$7:$F$70,6),VLOOKUP(A1628,Journal!$A$7:M$70,9),0)</f>
        <v>0</v>
      </c>
      <c r="U1628" s="125">
        <f>IF(H$2=VLOOKUP(A1628,Journal!$A$7:$G$70,7),VLOOKUP(A1628,Journal!$A$7:M$70,9),0)</f>
        <v>0</v>
      </c>
      <c r="V1628" s="125">
        <f t="shared" si="187"/>
        <v>40</v>
      </c>
      <c r="X1628">
        <f t="shared" si="192"/>
        <v>0</v>
      </c>
      <c r="Y1628" s="143">
        <f t="shared" si="186"/>
        <v>-957.42105263164672</v>
      </c>
    </row>
    <row r="1629" spans="1:25" x14ac:dyDescent="0.25">
      <c r="A1629">
        <f t="shared" si="188"/>
        <v>1622</v>
      </c>
      <c r="B1629" s="88" t="str">
        <f>IF(OR(B1628="Total",B1628=""),"",IF(VLOOKUP(A1629,Journal!$B$7:$E$84,4)=0,"Total",VLOOKUP(A1629,Journal!$B$7:$D$84,3)))</f>
        <v/>
      </c>
      <c r="C1629" s="86" t="str">
        <f>IF(B1629="","",VLOOKUP(A1629,Journal!$B$7:$E$84,4))</f>
        <v/>
      </c>
      <c r="D1629" s="114" t="str">
        <f>IF(B1629="","",VLOOKUP(A1629,Journal!$B$7:$J$84,9))</f>
        <v/>
      </c>
      <c r="E1629" s="116"/>
      <c r="F1629" s="116"/>
      <c r="G1629" s="115"/>
      <c r="H1629" s="84" t="str">
        <f>IF(B1629="","",VLOOKUP(A1629,Journal!$B$7:$L$84,11))</f>
        <v/>
      </c>
      <c r="I1629" s="84" t="str">
        <f>IF(B1629="","",VLOOKUP(A1629,Journal!$B$7:$M$84,12))</f>
        <v/>
      </c>
      <c r="J1629" s="105">
        <f>IF(B1629="Total",SUM(J$8:J1628)+0.0001,IF(OR(B1629="",I$2=I1629),0,VLOOKUP(A1629,Journal!$B$7:M$84,8)))</f>
        <v>0</v>
      </c>
      <c r="K1629" s="102">
        <f>IF(B1629="Total",SUM(K$8:K1628)+0.0001,IF(OR(B1629="",J1629&lt;&gt;0),0,VLOOKUP(A1629,Journal!$B$7:M$84,8)))</f>
        <v>0</v>
      </c>
      <c r="L1629" s="87">
        <f t="shared" si="189"/>
        <v>0</v>
      </c>
      <c r="P1629">
        <f t="shared" si="190"/>
        <v>1.0000000000000001E-5</v>
      </c>
      <c r="R1629" s="15">
        <f t="shared" si="191"/>
        <v>1622</v>
      </c>
      <c r="S1629" s="126">
        <f>IF(VLOOKUP(A1629,Journal!$A$7:$E$70,5)=0,S1628+1,VLOOKUP(A1629,Journal!$A$7:$E$70,5))</f>
        <v>47279</v>
      </c>
      <c r="T1629" s="125">
        <f>IF(H$2=VLOOKUP(A1629,Journal!$A$7:$F$70,6),VLOOKUP(A1629,Journal!$A$7:M$70,9),0)</f>
        <v>0</v>
      </c>
      <c r="U1629" s="125">
        <f>IF(H$2=VLOOKUP(A1629,Journal!$A$7:$G$70,7),VLOOKUP(A1629,Journal!$A$7:M$70,9),0)</f>
        <v>0</v>
      </c>
      <c r="V1629" s="125">
        <f t="shared" si="187"/>
        <v>40</v>
      </c>
      <c r="X1629">
        <f t="shared" si="192"/>
        <v>0</v>
      </c>
      <c r="Y1629" s="143">
        <f t="shared" si="186"/>
        <v>-957.39473684217307</v>
      </c>
    </row>
    <row r="1630" spans="1:25" x14ac:dyDescent="0.25">
      <c r="A1630">
        <f t="shared" si="188"/>
        <v>1623</v>
      </c>
      <c r="B1630" s="88" t="str">
        <f>IF(OR(B1629="Total",B1629=""),"",IF(VLOOKUP(A1630,Journal!$B$7:$E$84,4)=0,"Total",VLOOKUP(A1630,Journal!$B$7:$D$84,3)))</f>
        <v/>
      </c>
      <c r="C1630" s="86" t="str">
        <f>IF(B1630="","",VLOOKUP(A1630,Journal!$B$7:$E$84,4))</f>
        <v/>
      </c>
      <c r="D1630" s="114" t="str">
        <f>IF(B1630="","",VLOOKUP(A1630,Journal!$B$7:$J$84,9))</f>
        <v/>
      </c>
      <c r="E1630" s="116"/>
      <c r="F1630" s="116"/>
      <c r="G1630" s="115"/>
      <c r="H1630" s="84" t="str">
        <f>IF(B1630="","",VLOOKUP(A1630,Journal!$B$7:$L$84,11))</f>
        <v/>
      </c>
      <c r="I1630" s="84" t="str">
        <f>IF(B1630="","",VLOOKUP(A1630,Journal!$B$7:$M$84,12))</f>
        <v/>
      </c>
      <c r="J1630" s="105">
        <f>IF(B1630="Total",SUM(J$8:J1629)+0.0001,IF(OR(B1630="",I$2=I1630),0,VLOOKUP(A1630,Journal!$B$7:M$84,8)))</f>
        <v>0</v>
      </c>
      <c r="K1630" s="102">
        <f>IF(B1630="Total",SUM(K$8:K1629)+0.0001,IF(OR(B1630="",J1630&lt;&gt;0),0,VLOOKUP(A1630,Journal!$B$7:M$84,8)))</f>
        <v>0</v>
      </c>
      <c r="L1630" s="87">
        <f t="shared" si="189"/>
        <v>0</v>
      </c>
      <c r="P1630">
        <f t="shared" si="190"/>
        <v>1.0000000000000001E-5</v>
      </c>
      <c r="R1630" s="15">
        <f t="shared" si="191"/>
        <v>1623</v>
      </c>
      <c r="S1630" s="126">
        <f>IF(VLOOKUP(A1630,Journal!$A$7:$E$70,5)=0,S1629+1,VLOOKUP(A1630,Journal!$A$7:$E$70,5))</f>
        <v>47280</v>
      </c>
      <c r="T1630" s="125">
        <f>IF(H$2=VLOOKUP(A1630,Journal!$A$7:$F$70,6),VLOOKUP(A1630,Journal!$A$7:M$70,9),0)</f>
        <v>0</v>
      </c>
      <c r="U1630" s="125">
        <f>IF(H$2=VLOOKUP(A1630,Journal!$A$7:$G$70,7),VLOOKUP(A1630,Journal!$A$7:M$70,9),0)</f>
        <v>0</v>
      </c>
      <c r="V1630" s="125">
        <f t="shared" si="187"/>
        <v>40</v>
      </c>
      <c r="X1630">
        <f t="shared" si="192"/>
        <v>0</v>
      </c>
      <c r="Y1630" s="143">
        <f t="shared" si="186"/>
        <v>-957.36842105269943</v>
      </c>
    </row>
    <row r="1631" spans="1:25" x14ac:dyDescent="0.25">
      <c r="A1631">
        <f t="shared" si="188"/>
        <v>1624</v>
      </c>
      <c r="B1631" s="88" t="str">
        <f>IF(OR(B1630="Total",B1630=""),"",IF(VLOOKUP(A1631,Journal!$B$7:$E$84,4)=0,"Total",VLOOKUP(A1631,Journal!$B$7:$D$84,3)))</f>
        <v/>
      </c>
      <c r="C1631" s="86" t="str">
        <f>IF(B1631="","",VLOOKUP(A1631,Journal!$B$7:$E$84,4))</f>
        <v/>
      </c>
      <c r="D1631" s="114" t="str">
        <f>IF(B1631="","",VLOOKUP(A1631,Journal!$B$7:$J$84,9))</f>
        <v/>
      </c>
      <c r="E1631" s="116"/>
      <c r="F1631" s="116"/>
      <c r="G1631" s="115"/>
      <c r="H1631" s="84" t="str">
        <f>IF(B1631="","",VLOOKUP(A1631,Journal!$B$7:$L$84,11))</f>
        <v/>
      </c>
      <c r="I1631" s="84" t="str">
        <f>IF(B1631="","",VLOOKUP(A1631,Journal!$B$7:$M$84,12))</f>
        <v/>
      </c>
      <c r="J1631" s="105">
        <f>IF(B1631="Total",SUM(J$8:J1630)+0.0001,IF(OR(B1631="",I$2=I1631),0,VLOOKUP(A1631,Journal!$B$7:M$84,8)))</f>
        <v>0</v>
      </c>
      <c r="K1631" s="102">
        <f>IF(B1631="Total",SUM(K$8:K1630)+0.0001,IF(OR(B1631="",J1631&lt;&gt;0),0,VLOOKUP(A1631,Journal!$B$7:M$84,8)))</f>
        <v>0</v>
      </c>
      <c r="L1631" s="87">
        <f t="shared" si="189"/>
        <v>0</v>
      </c>
      <c r="P1631">
        <f t="shared" si="190"/>
        <v>1.0000000000000001E-5</v>
      </c>
      <c r="R1631" s="15">
        <f t="shared" si="191"/>
        <v>1624</v>
      </c>
      <c r="S1631" s="126">
        <f>IF(VLOOKUP(A1631,Journal!$A$7:$E$70,5)=0,S1630+1,VLOOKUP(A1631,Journal!$A$7:$E$70,5))</f>
        <v>47281</v>
      </c>
      <c r="T1631" s="125">
        <f>IF(H$2=VLOOKUP(A1631,Journal!$A$7:$F$70,6),VLOOKUP(A1631,Journal!$A$7:M$70,9),0)</f>
        <v>0</v>
      </c>
      <c r="U1631" s="125">
        <f>IF(H$2=VLOOKUP(A1631,Journal!$A$7:$G$70,7),VLOOKUP(A1631,Journal!$A$7:M$70,9),0)</f>
        <v>0</v>
      </c>
      <c r="V1631" s="125">
        <f t="shared" si="187"/>
        <v>40</v>
      </c>
      <c r="X1631">
        <f t="shared" si="192"/>
        <v>0</v>
      </c>
      <c r="Y1631" s="143">
        <f t="shared" si="186"/>
        <v>-957.34210526322579</v>
      </c>
    </row>
    <row r="1632" spans="1:25" x14ac:dyDescent="0.25">
      <c r="A1632">
        <f t="shared" si="188"/>
        <v>1625</v>
      </c>
      <c r="B1632" s="88" t="str">
        <f>IF(OR(B1631="Total",B1631=""),"",IF(VLOOKUP(A1632,Journal!$B$7:$E$84,4)=0,"Total",VLOOKUP(A1632,Journal!$B$7:$D$84,3)))</f>
        <v/>
      </c>
      <c r="C1632" s="86" t="str">
        <f>IF(B1632="","",VLOOKUP(A1632,Journal!$B$7:$E$84,4))</f>
        <v/>
      </c>
      <c r="D1632" s="114" t="str">
        <f>IF(B1632="","",VLOOKUP(A1632,Journal!$B$7:$J$84,9))</f>
        <v/>
      </c>
      <c r="E1632" s="116"/>
      <c r="F1632" s="116"/>
      <c r="G1632" s="115"/>
      <c r="H1632" s="84" t="str">
        <f>IF(B1632="","",VLOOKUP(A1632,Journal!$B$7:$L$84,11))</f>
        <v/>
      </c>
      <c r="I1632" s="84" t="str">
        <f>IF(B1632="","",VLOOKUP(A1632,Journal!$B$7:$M$84,12))</f>
        <v/>
      </c>
      <c r="J1632" s="105">
        <f>IF(B1632="Total",SUM(J$8:J1631)+0.0001,IF(OR(B1632="",I$2=I1632),0,VLOOKUP(A1632,Journal!$B$7:M$84,8)))</f>
        <v>0</v>
      </c>
      <c r="K1632" s="102">
        <f>IF(B1632="Total",SUM(K$8:K1631)+0.0001,IF(OR(B1632="",J1632&lt;&gt;0),0,VLOOKUP(A1632,Journal!$B$7:M$84,8)))</f>
        <v>0</v>
      </c>
      <c r="L1632" s="87">
        <f t="shared" si="189"/>
        <v>0</v>
      </c>
      <c r="P1632">
        <f t="shared" si="190"/>
        <v>1.0000000000000001E-5</v>
      </c>
      <c r="R1632" s="15">
        <f t="shared" si="191"/>
        <v>1625</v>
      </c>
      <c r="S1632" s="126">
        <f>IF(VLOOKUP(A1632,Journal!$A$7:$E$70,5)=0,S1631+1,VLOOKUP(A1632,Journal!$A$7:$E$70,5))</f>
        <v>47282</v>
      </c>
      <c r="T1632" s="125">
        <f>IF(H$2=VLOOKUP(A1632,Journal!$A$7:$F$70,6),VLOOKUP(A1632,Journal!$A$7:M$70,9),0)</f>
        <v>0</v>
      </c>
      <c r="U1632" s="125">
        <f>IF(H$2=VLOOKUP(A1632,Journal!$A$7:$G$70,7),VLOOKUP(A1632,Journal!$A$7:M$70,9),0)</f>
        <v>0</v>
      </c>
      <c r="V1632" s="125">
        <f t="shared" si="187"/>
        <v>40</v>
      </c>
      <c r="X1632">
        <f t="shared" si="192"/>
        <v>0</v>
      </c>
      <c r="Y1632" s="143">
        <f t="shared" si="186"/>
        <v>-957.31578947375215</v>
      </c>
    </row>
    <row r="1633" spans="1:25" x14ac:dyDescent="0.25">
      <c r="A1633">
        <f t="shared" si="188"/>
        <v>1626</v>
      </c>
      <c r="B1633" s="88" t="str">
        <f>IF(OR(B1632="Total",B1632=""),"",IF(VLOOKUP(A1633,Journal!$B$7:$E$84,4)=0,"Total",VLOOKUP(A1633,Journal!$B$7:$D$84,3)))</f>
        <v/>
      </c>
      <c r="C1633" s="86" t="str">
        <f>IF(B1633="","",VLOOKUP(A1633,Journal!$B$7:$E$84,4))</f>
        <v/>
      </c>
      <c r="D1633" s="114" t="str">
        <f>IF(B1633="","",VLOOKUP(A1633,Journal!$B$7:$J$84,9))</f>
        <v/>
      </c>
      <c r="E1633" s="116"/>
      <c r="F1633" s="116"/>
      <c r="G1633" s="115"/>
      <c r="H1633" s="84" t="str">
        <f>IF(B1633="","",VLOOKUP(A1633,Journal!$B$7:$L$84,11))</f>
        <v/>
      </c>
      <c r="I1633" s="84" t="str">
        <f>IF(B1633="","",VLOOKUP(A1633,Journal!$B$7:$M$84,12))</f>
        <v/>
      </c>
      <c r="J1633" s="105">
        <f>IF(B1633="Total",SUM(J$8:J1632)+0.0001,IF(OR(B1633="",I$2=I1633),0,VLOOKUP(A1633,Journal!$B$7:M$84,8)))</f>
        <v>0</v>
      </c>
      <c r="K1633" s="102">
        <f>IF(B1633="Total",SUM(K$8:K1632)+0.0001,IF(OR(B1633="",J1633&lt;&gt;0),0,VLOOKUP(A1633,Journal!$B$7:M$84,8)))</f>
        <v>0</v>
      </c>
      <c r="L1633" s="87">
        <f t="shared" si="189"/>
        <v>0</v>
      </c>
      <c r="P1633">
        <f t="shared" si="190"/>
        <v>1.0000000000000001E-5</v>
      </c>
      <c r="R1633" s="15">
        <f t="shared" si="191"/>
        <v>1626</v>
      </c>
      <c r="S1633" s="126">
        <f>IF(VLOOKUP(A1633,Journal!$A$7:$E$70,5)=0,S1632+1,VLOOKUP(A1633,Journal!$A$7:$E$70,5))</f>
        <v>47283</v>
      </c>
      <c r="T1633" s="125">
        <f>IF(H$2=VLOOKUP(A1633,Journal!$A$7:$F$70,6),VLOOKUP(A1633,Journal!$A$7:M$70,9),0)</f>
        <v>0</v>
      </c>
      <c r="U1633" s="125">
        <f>IF(H$2=VLOOKUP(A1633,Journal!$A$7:$G$70,7),VLOOKUP(A1633,Journal!$A$7:M$70,9),0)</f>
        <v>0</v>
      </c>
      <c r="V1633" s="125">
        <f t="shared" si="187"/>
        <v>40</v>
      </c>
      <c r="X1633">
        <f t="shared" si="192"/>
        <v>0</v>
      </c>
      <c r="Y1633" s="143">
        <f t="shared" si="186"/>
        <v>-957.28947368427851</v>
      </c>
    </row>
    <row r="1634" spans="1:25" x14ac:dyDescent="0.25">
      <c r="A1634">
        <f t="shared" si="188"/>
        <v>1627</v>
      </c>
      <c r="B1634" s="88" t="str">
        <f>IF(OR(B1633="Total",B1633=""),"",IF(VLOOKUP(A1634,Journal!$B$7:$E$84,4)=0,"Total",VLOOKUP(A1634,Journal!$B$7:$D$84,3)))</f>
        <v/>
      </c>
      <c r="C1634" s="86" t="str">
        <f>IF(B1634="","",VLOOKUP(A1634,Journal!$B$7:$E$84,4))</f>
        <v/>
      </c>
      <c r="D1634" s="114" t="str">
        <f>IF(B1634="","",VLOOKUP(A1634,Journal!$B$7:$J$84,9))</f>
        <v/>
      </c>
      <c r="E1634" s="116"/>
      <c r="F1634" s="116"/>
      <c r="G1634" s="115"/>
      <c r="H1634" s="84" t="str">
        <f>IF(B1634="","",VLOOKUP(A1634,Journal!$B$7:$L$84,11))</f>
        <v/>
      </c>
      <c r="I1634" s="84" t="str">
        <f>IF(B1634="","",VLOOKUP(A1634,Journal!$B$7:$M$84,12))</f>
        <v/>
      </c>
      <c r="J1634" s="105">
        <f>IF(B1634="Total",SUM(J$8:J1633)+0.0001,IF(OR(B1634="",I$2=I1634),0,VLOOKUP(A1634,Journal!$B$7:M$84,8)))</f>
        <v>0</v>
      </c>
      <c r="K1634" s="102">
        <f>IF(B1634="Total",SUM(K$8:K1633)+0.0001,IF(OR(B1634="",J1634&lt;&gt;0),0,VLOOKUP(A1634,Journal!$B$7:M$84,8)))</f>
        <v>0</v>
      </c>
      <c r="L1634" s="87">
        <f t="shared" si="189"/>
        <v>0</v>
      </c>
      <c r="P1634">
        <f t="shared" si="190"/>
        <v>1.0000000000000001E-5</v>
      </c>
      <c r="R1634" s="15">
        <f t="shared" si="191"/>
        <v>1627</v>
      </c>
      <c r="S1634" s="126">
        <f>IF(VLOOKUP(A1634,Journal!$A$7:$E$70,5)=0,S1633+1,VLOOKUP(A1634,Journal!$A$7:$E$70,5))</f>
        <v>47284</v>
      </c>
      <c r="T1634" s="125">
        <f>IF(H$2=VLOOKUP(A1634,Journal!$A$7:$F$70,6),VLOOKUP(A1634,Journal!$A$7:M$70,9),0)</f>
        <v>0</v>
      </c>
      <c r="U1634" s="125">
        <f>IF(H$2=VLOOKUP(A1634,Journal!$A$7:$G$70,7),VLOOKUP(A1634,Journal!$A$7:M$70,9),0)</f>
        <v>0</v>
      </c>
      <c r="V1634" s="125">
        <f t="shared" si="187"/>
        <v>40</v>
      </c>
      <c r="X1634">
        <f t="shared" si="192"/>
        <v>0</v>
      </c>
      <c r="Y1634" s="143">
        <f t="shared" si="186"/>
        <v>-957.26315789480486</v>
      </c>
    </row>
    <row r="1635" spans="1:25" x14ac:dyDescent="0.25">
      <c r="A1635">
        <f t="shared" si="188"/>
        <v>1628</v>
      </c>
      <c r="B1635" s="88" t="str">
        <f>IF(OR(B1634="Total",B1634=""),"",IF(VLOOKUP(A1635,Journal!$B$7:$E$84,4)=0,"Total",VLOOKUP(A1635,Journal!$B$7:$D$84,3)))</f>
        <v/>
      </c>
      <c r="C1635" s="86" t="str">
        <f>IF(B1635="","",VLOOKUP(A1635,Journal!$B$7:$E$84,4))</f>
        <v/>
      </c>
      <c r="D1635" s="114" t="str">
        <f>IF(B1635="","",VLOOKUP(A1635,Journal!$B$7:$J$84,9))</f>
        <v/>
      </c>
      <c r="E1635" s="116"/>
      <c r="F1635" s="116"/>
      <c r="G1635" s="115"/>
      <c r="H1635" s="84" t="str">
        <f>IF(B1635="","",VLOOKUP(A1635,Journal!$B$7:$L$84,11))</f>
        <v/>
      </c>
      <c r="I1635" s="84" t="str">
        <f>IF(B1635="","",VLOOKUP(A1635,Journal!$B$7:$M$84,12))</f>
        <v/>
      </c>
      <c r="J1635" s="105">
        <f>IF(B1635="Total",SUM(J$8:J1634)+0.0001,IF(OR(B1635="",I$2=I1635),0,VLOOKUP(A1635,Journal!$B$7:M$84,8)))</f>
        <v>0</v>
      </c>
      <c r="K1635" s="102">
        <f>IF(B1635="Total",SUM(K$8:K1634)+0.0001,IF(OR(B1635="",J1635&lt;&gt;0),0,VLOOKUP(A1635,Journal!$B$7:M$84,8)))</f>
        <v>0</v>
      </c>
      <c r="L1635" s="87">
        <f t="shared" si="189"/>
        <v>0</v>
      </c>
      <c r="P1635">
        <f t="shared" si="190"/>
        <v>1.0000000000000001E-5</v>
      </c>
      <c r="R1635" s="15">
        <f t="shared" si="191"/>
        <v>1628</v>
      </c>
      <c r="S1635" s="126">
        <f>IF(VLOOKUP(A1635,Journal!$A$7:$E$70,5)=0,S1634+1,VLOOKUP(A1635,Journal!$A$7:$E$70,5))</f>
        <v>47285</v>
      </c>
      <c r="T1635" s="125">
        <f>IF(H$2=VLOOKUP(A1635,Journal!$A$7:$F$70,6),VLOOKUP(A1635,Journal!$A$7:M$70,9),0)</f>
        <v>0</v>
      </c>
      <c r="U1635" s="125">
        <f>IF(H$2=VLOOKUP(A1635,Journal!$A$7:$G$70,7),VLOOKUP(A1635,Journal!$A$7:M$70,9),0)</f>
        <v>0</v>
      </c>
      <c r="V1635" s="125">
        <f t="shared" si="187"/>
        <v>40</v>
      </c>
      <c r="X1635">
        <f t="shared" si="192"/>
        <v>0</v>
      </c>
      <c r="Y1635" s="143">
        <f t="shared" si="186"/>
        <v>-957.23684210533122</v>
      </c>
    </row>
    <row r="1636" spans="1:25" x14ac:dyDescent="0.25">
      <c r="A1636">
        <f t="shared" si="188"/>
        <v>1629</v>
      </c>
      <c r="B1636" s="88" t="str">
        <f>IF(OR(B1635="Total",B1635=""),"",IF(VLOOKUP(A1636,Journal!$B$7:$E$84,4)=0,"Total",VLOOKUP(A1636,Journal!$B$7:$D$84,3)))</f>
        <v/>
      </c>
      <c r="C1636" s="86" t="str">
        <f>IF(B1636="","",VLOOKUP(A1636,Journal!$B$7:$E$84,4))</f>
        <v/>
      </c>
      <c r="D1636" s="114" t="str">
        <f>IF(B1636="","",VLOOKUP(A1636,Journal!$B$7:$J$84,9))</f>
        <v/>
      </c>
      <c r="E1636" s="116"/>
      <c r="F1636" s="116"/>
      <c r="G1636" s="115"/>
      <c r="H1636" s="84" t="str">
        <f>IF(B1636="","",VLOOKUP(A1636,Journal!$B$7:$L$84,11))</f>
        <v/>
      </c>
      <c r="I1636" s="84" t="str">
        <f>IF(B1636="","",VLOOKUP(A1636,Journal!$B$7:$M$84,12))</f>
        <v/>
      </c>
      <c r="J1636" s="105">
        <f>IF(B1636="Total",SUM(J$8:J1635)+0.0001,IF(OR(B1636="",I$2=I1636),0,VLOOKUP(A1636,Journal!$B$7:M$84,8)))</f>
        <v>0</v>
      </c>
      <c r="K1636" s="102">
        <f>IF(B1636="Total",SUM(K$8:K1635)+0.0001,IF(OR(B1636="",J1636&lt;&gt;0),0,VLOOKUP(A1636,Journal!$B$7:M$84,8)))</f>
        <v>0</v>
      </c>
      <c r="L1636" s="87">
        <f t="shared" si="189"/>
        <v>0</v>
      </c>
      <c r="P1636">
        <f t="shared" si="190"/>
        <v>1.0000000000000001E-5</v>
      </c>
      <c r="R1636" s="15">
        <f t="shared" si="191"/>
        <v>1629</v>
      </c>
      <c r="S1636" s="126">
        <f>IF(VLOOKUP(A1636,Journal!$A$7:$E$70,5)=0,S1635+1,VLOOKUP(A1636,Journal!$A$7:$E$70,5))</f>
        <v>47286</v>
      </c>
      <c r="T1636" s="125">
        <f>IF(H$2=VLOOKUP(A1636,Journal!$A$7:$F$70,6),VLOOKUP(A1636,Journal!$A$7:M$70,9),0)</f>
        <v>0</v>
      </c>
      <c r="U1636" s="125">
        <f>IF(H$2=VLOOKUP(A1636,Journal!$A$7:$G$70,7),VLOOKUP(A1636,Journal!$A$7:M$70,9),0)</f>
        <v>0</v>
      </c>
      <c r="V1636" s="125">
        <f t="shared" si="187"/>
        <v>40</v>
      </c>
      <c r="X1636">
        <f t="shared" si="192"/>
        <v>0</v>
      </c>
      <c r="Y1636" s="143">
        <f t="shared" si="186"/>
        <v>-957.21052631585758</v>
      </c>
    </row>
    <row r="1637" spans="1:25" x14ac:dyDescent="0.25">
      <c r="A1637">
        <f t="shared" si="188"/>
        <v>1630</v>
      </c>
      <c r="B1637" s="88" t="str">
        <f>IF(OR(B1636="Total",B1636=""),"",IF(VLOOKUP(A1637,Journal!$B$7:$E$84,4)=0,"Total",VLOOKUP(A1637,Journal!$B$7:$D$84,3)))</f>
        <v/>
      </c>
      <c r="C1637" s="86" t="str">
        <f>IF(B1637="","",VLOOKUP(A1637,Journal!$B$7:$E$84,4))</f>
        <v/>
      </c>
      <c r="D1637" s="114" t="str">
        <f>IF(B1637="","",VLOOKUP(A1637,Journal!$B$7:$J$84,9))</f>
        <v/>
      </c>
      <c r="E1637" s="116"/>
      <c r="F1637" s="116"/>
      <c r="G1637" s="115"/>
      <c r="H1637" s="84" t="str">
        <f>IF(B1637="","",VLOOKUP(A1637,Journal!$B$7:$L$84,11))</f>
        <v/>
      </c>
      <c r="I1637" s="84" t="str">
        <f>IF(B1637="","",VLOOKUP(A1637,Journal!$B$7:$M$84,12))</f>
        <v/>
      </c>
      <c r="J1637" s="105">
        <f>IF(B1637="Total",SUM(J$8:J1636)+0.0001,IF(OR(B1637="",I$2=I1637),0,VLOOKUP(A1637,Journal!$B$7:M$84,8)))</f>
        <v>0</v>
      </c>
      <c r="K1637" s="102">
        <f>IF(B1637="Total",SUM(K$8:K1636)+0.0001,IF(OR(B1637="",J1637&lt;&gt;0),0,VLOOKUP(A1637,Journal!$B$7:M$84,8)))</f>
        <v>0</v>
      </c>
      <c r="L1637" s="87">
        <f t="shared" si="189"/>
        <v>0</v>
      </c>
      <c r="P1637">
        <f t="shared" si="190"/>
        <v>1.0000000000000001E-5</v>
      </c>
      <c r="R1637" s="15">
        <f t="shared" si="191"/>
        <v>1630</v>
      </c>
      <c r="S1637" s="126">
        <f>IF(VLOOKUP(A1637,Journal!$A$7:$E$70,5)=0,S1636+1,VLOOKUP(A1637,Journal!$A$7:$E$70,5))</f>
        <v>47287</v>
      </c>
      <c r="T1637" s="125">
        <f>IF(H$2=VLOOKUP(A1637,Journal!$A$7:$F$70,6),VLOOKUP(A1637,Journal!$A$7:M$70,9),0)</f>
        <v>0</v>
      </c>
      <c r="U1637" s="125">
        <f>IF(H$2=VLOOKUP(A1637,Journal!$A$7:$G$70,7),VLOOKUP(A1637,Journal!$A$7:M$70,9),0)</f>
        <v>0</v>
      </c>
      <c r="V1637" s="125">
        <f t="shared" si="187"/>
        <v>40</v>
      </c>
      <c r="X1637">
        <f t="shared" si="192"/>
        <v>0</v>
      </c>
      <c r="Y1637" s="143">
        <f t="shared" si="186"/>
        <v>-957.18421052638394</v>
      </c>
    </row>
    <row r="1638" spans="1:25" x14ac:dyDescent="0.25">
      <c r="A1638">
        <f t="shared" si="188"/>
        <v>1631</v>
      </c>
      <c r="B1638" s="88" t="str">
        <f>IF(OR(B1637="Total",B1637=""),"",IF(VLOOKUP(A1638,Journal!$B$7:$E$84,4)=0,"Total",VLOOKUP(A1638,Journal!$B$7:$D$84,3)))</f>
        <v/>
      </c>
      <c r="C1638" s="86" t="str">
        <f>IF(B1638="","",VLOOKUP(A1638,Journal!$B$7:$E$84,4))</f>
        <v/>
      </c>
      <c r="D1638" s="114" t="str">
        <f>IF(B1638="","",VLOOKUP(A1638,Journal!$B$7:$J$84,9))</f>
        <v/>
      </c>
      <c r="E1638" s="116"/>
      <c r="F1638" s="116"/>
      <c r="G1638" s="115"/>
      <c r="H1638" s="84" t="str">
        <f>IF(B1638="","",VLOOKUP(A1638,Journal!$B$7:$L$84,11))</f>
        <v/>
      </c>
      <c r="I1638" s="84" t="str">
        <f>IF(B1638="","",VLOOKUP(A1638,Journal!$B$7:$M$84,12))</f>
        <v/>
      </c>
      <c r="J1638" s="105">
        <f>IF(B1638="Total",SUM(J$8:J1637)+0.0001,IF(OR(B1638="",I$2=I1638),0,VLOOKUP(A1638,Journal!$B$7:M$84,8)))</f>
        <v>0</v>
      </c>
      <c r="K1638" s="102">
        <f>IF(B1638="Total",SUM(K$8:K1637)+0.0001,IF(OR(B1638="",J1638&lt;&gt;0),0,VLOOKUP(A1638,Journal!$B$7:M$84,8)))</f>
        <v>0</v>
      </c>
      <c r="L1638" s="87">
        <f t="shared" si="189"/>
        <v>0</v>
      </c>
      <c r="P1638">
        <f t="shared" si="190"/>
        <v>1.0000000000000001E-5</v>
      </c>
      <c r="R1638" s="15">
        <f t="shared" si="191"/>
        <v>1631</v>
      </c>
      <c r="S1638" s="126">
        <f>IF(VLOOKUP(A1638,Journal!$A$7:$E$70,5)=0,S1637+1,VLOOKUP(A1638,Journal!$A$7:$E$70,5))</f>
        <v>47288</v>
      </c>
      <c r="T1638" s="125">
        <f>IF(H$2=VLOOKUP(A1638,Journal!$A$7:$F$70,6),VLOOKUP(A1638,Journal!$A$7:M$70,9),0)</f>
        <v>0</v>
      </c>
      <c r="U1638" s="125">
        <f>IF(H$2=VLOOKUP(A1638,Journal!$A$7:$G$70,7),VLOOKUP(A1638,Journal!$A$7:M$70,9),0)</f>
        <v>0</v>
      </c>
      <c r="V1638" s="125">
        <f t="shared" si="187"/>
        <v>40</v>
      </c>
      <c r="X1638">
        <f t="shared" si="192"/>
        <v>0</v>
      </c>
      <c r="Y1638" s="143">
        <f t="shared" si="186"/>
        <v>-957.15789473691029</v>
      </c>
    </row>
    <row r="1639" spans="1:25" x14ac:dyDescent="0.25">
      <c r="A1639">
        <f t="shared" si="188"/>
        <v>1632</v>
      </c>
      <c r="B1639" s="88" t="str">
        <f>IF(OR(B1638="Total",B1638=""),"",IF(VLOOKUP(A1639,Journal!$B$7:$E$84,4)=0,"Total",VLOOKUP(A1639,Journal!$B$7:$D$84,3)))</f>
        <v/>
      </c>
      <c r="C1639" s="86" t="str">
        <f>IF(B1639="","",VLOOKUP(A1639,Journal!$B$7:$E$84,4))</f>
        <v/>
      </c>
      <c r="D1639" s="114" t="str">
        <f>IF(B1639="","",VLOOKUP(A1639,Journal!$B$7:$J$84,9))</f>
        <v/>
      </c>
      <c r="E1639" s="116"/>
      <c r="F1639" s="116"/>
      <c r="G1639" s="115"/>
      <c r="H1639" s="84" t="str">
        <f>IF(B1639="","",VLOOKUP(A1639,Journal!$B$7:$L$84,11))</f>
        <v/>
      </c>
      <c r="I1639" s="84" t="str">
        <f>IF(B1639="","",VLOOKUP(A1639,Journal!$B$7:$M$84,12))</f>
        <v/>
      </c>
      <c r="J1639" s="105">
        <f>IF(B1639="Total",SUM(J$8:J1638)+0.0001,IF(OR(B1639="",I$2=I1639),0,VLOOKUP(A1639,Journal!$B$7:M$84,8)))</f>
        <v>0</v>
      </c>
      <c r="K1639" s="102">
        <f>IF(B1639="Total",SUM(K$8:K1638)+0.0001,IF(OR(B1639="",J1639&lt;&gt;0),0,VLOOKUP(A1639,Journal!$B$7:M$84,8)))</f>
        <v>0</v>
      </c>
      <c r="L1639" s="87">
        <f t="shared" si="189"/>
        <v>0</v>
      </c>
      <c r="P1639">
        <f t="shared" si="190"/>
        <v>1.0000000000000001E-5</v>
      </c>
      <c r="R1639" s="15">
        <f t="shared" si="191"/>
        <v>1632</v>
      </c>
      <c r="S1639" s="126">
        <f>IF(VLOOKUP(A1639,Journal!$A$7:$E$70,5)=0,S1638+1,VLOOKUP(A1639,Journal!$A$7:$E$70,5))</f>
        <v>47289</v>
      </c>
      <c r="T1639" s="125">
        <f>IF(H$2=VLOOKUP(A1639,Journal!$A$7:$F$70,6),VLOOKUP(A1639,Journal!$A$7:M$70,9),0)</f>
        <v>0</v>
      </c>
      <c r="U1639" s="125">
        <f>IF(H$2=VLOOKUP(A1639,Journal!$A$7:$G$70,7),VLOOKUP(A1639,Journal!$A$7:M$70,9),0)</f>
        <v>0</v>
      </c>
      <c r="V1639" s="125">
        <f t="shared" si="187"/>
        <v>40</v>
      </c>
      <c r="X1639">
        <f t="shared" si="192"/>
        <v>0</v>
      </c>
      <c r="Y1639" s="143">
        <f t="shared" si="186"/>
        <v>-957.13157894743665</v>
      </c>
    </row>
    <row r="1640" spans="1:25" x14ac:dyDescent="0.25">
      <c r="A1640">
        <f t="shared" si="188"/>
        <v>1633</v>
      </c>
      <c r="B1640" s="88" t="str">
        <f>IF(OR(B1639="Total",B1639=""),"",IF(VLOOKUP(A1640,Journal!$B$7:$E$84,4)=0,"Total",VLOOKUP(A1640,Journal!$B$7:$D$84,3)))</f>
        <v/>
      </c>
      <c r="C1640" s="86" t="str">
        <f>IF(B1640="","",VLOOKUP(A1640,Journal!$B$7:$E$84,4))</f>
        <v/>
      </c>
      <c r="D1640" s="114" t="str">
        <f>IF(B1640="","",VLOOKUP(A1640,Journal!$B$7:$J$84,9))</f>
        <v/>
      </c>
      <c r="E1640" s="116"/>
      <c r="F1640" s="116"/>
      <c r="G1640" s="115"/>
      <c r="H1640" s="84" t="str">
        <f>IF(B1640="","",VLOOKUP(A1640,Journal!$B$7:$L$84,11))</f>
        <v/>
      </c>
      <c r="I1640" s="84" t="str">
        <f>IF(B1640="","",VLOOKUP(A1640,Journal!$B$7:$M$84,12))</f>
        <v/>
      </c>
      <c r="J1640" s="105">
        <f>IF(B1640="Total",SUM(J$8:J1639)+0.0001,IF(OR(B1640="",I$2=I1640),0,VLOOKUP(A1640,Journal!$B$7:M$84,8)))</f>
        <v>0</v>
      </c>
      <c r="K1640" s="102">
        <f>IF(B1640="Total",SUM(K$8:K1639)+0.0001,IF(OR(B1640="",J1640&lt;&gt;0),0,VLOOKUP(A1640,Journal!$B$7:M$84,8)))</f>
        <v>0</v>
      </c>
      <c r="L1640" s="87">
        <f t="shared" si="189"/>
        <v>0</v>
      </c>
      <c r="P1640">
        <f t="shared" si="190"/>
        <v>1.0000000000000001E-5</v>
      </c>
      <c r="R1640" s="15">
        <f t="shared" si="191"/>
        <v>1633</v>
      </c>
      <c r="S1640" s="126">
        <f>IF(VLOOKUP(A1640,Journal!$A$7:$E$70,5)=0,S1639+1,VLOOKUP(A1640,Journal!$A$7:$E$70,5))</f>
        <v>47290</v>
      </c>
      <c r="T1640" s="125">
        <f>IF(H$2=VLOOKUP(A1640,Journal!$A$7:$F$70,6),VLOOKUP(A1640,Journal!$A$7:M$70,9),0)</f>
        <v>0</v>
      </c>
      <c r="U1640" s="125">
        <f>IF(H$2=VLOOKUP(A1640,Journal!$A$7:$G$70,7),VLOOKUP(A1640,Journal!$A$7:M$70,9),0)</f>
        <v>0</v>
      </c>
      <c r="V1640" s="125">
        <f t="shared" si="187"/>
        <v>40</v>
      </c>
      <c r="X1640">
        <f t="shared" si="192"/>
        <v>0</v>
      </c>
      <c r="Y1640" s="143">
        <f t="shared" si="186"/>
        <v>-957.10526315796301</v>
      </c>
    </row>
    <row r="1641" spans="1:25" x14ac:dyDescent="0.25">
      <c r="A1641">
        <f t="shared" si="188"/>
        <v>1634</v>
      </c>
      <c r="B1641" s="88" t="str">
        <f>IF(OR(B1640="Total",B1640=""),"",IF(VLOOKUP(A1641,Journal!$B$7:$E$84,4)=0,"Total",VLOOKUP(A1641,Journal!$B$7:$D$84,3)))</f>
        <v/>
      </c>
      <c r="C1641" s="86" t="str">
        <f>IF(B1641="","",VLOOKUP(A1641,Journal!$B$7:$E$84,4))</f>
        <v/>
      </c>
      <c r="D1641" s="114" t="str">
        <f>IF(B1641="","",VLOOKUP(A1641,Journal!$B$7:$J$84,9))</f>
        <v/>
      </c>
      <c r="E1641" s="116"/>
      <c r="F1641" s="116"/>
      <c r="G1641" s="115"/>
      <c r="H1641" s="84" t="str">
        <f>IF(B1641="","",VLOOKUP(A1641,Journal!$B$7:$L$84,11))</f>
        <v/>
      </c>
      <c r="I1641" s="84" t="str">
        <f>IF(B1641="","",VLOOKUP(A1641,Journal!$B$7:$M$84,12))</f>
        <v/>
      </c>
      <c r="J1641" s="105">
        <f>IF(B1641="Total",SUM(J$8:J1640)+0.0001,IF(OR(B1641="",I$2=I1641),0,VLOOKUP(A1641,Journal!$B$7:M$84,8)))</f>
        <v>0</v>
      </c>
      <c r="K1641" s="102">
        <f>IF(B1641="Total",SUM(K$8:K1640)+0.0001,IF(OR(B1641="",J1641&lt;&gt;0),0,VLOOKUP(A1641,Journal!$B$7:M$84,8)))</f>
        <v>0</v>
      </c>
      <c r="L1641" s="87">
        <f t="shared" si="189"/>
        <v>0</v>
      </c>
      <c r="P1641">
        <f t="shared" si="190"/>
        <v>1.0000000000000001E-5</v>
      </c>
      <c r="R1641" s="15">
        <f t="shared" si="191"/>
        <v>1634</v>
      </c>
      <c r="S1641" s="126">
        <f>IF(VLOOKUP(A1641,Journal!$A$7:$E$70,5)=0,S1640+1,VLOOKUP(A1641,Journal!$A$7:$E$70,5))</f>
        <v>47291</v>
      </c>
      <c r="T1641" s="125">
        <f>IF(H$2=VLOOKUP(A1641,Journal!$A$7:$F$70,6),VLOOKUP(A1641,Journal!$A$7:M$70,9),0)</f>
        <v>0</v>
      </c>
      <c r="U1641" s="125">
        <f>IF(H$2=VLOOKUP(A1641,Journal!$A$7:$G$70,7),VLOOKUP(A1641,Journal!$A$7:M$70,9),0)</f>
        <v>0</v>
      </c>
      <c r="V1641" s="125">
        <f t="shared" si="187"/>
        <v>40</v>
      </c>
      <c r="X1641">
        <f t="shared" si="192"/>
        <v>0</v>
      </c>
      <c r="Y1641" s="143">
        <f t="shared" si="186"/>
        <v>-957.07894736848937</v>
      </c>
    </row>
    <row r="1642" spans="1:25" x14ac:dyDescent="0.25">
      <c r="A1642">
        <f t="shared" si="188"/>
        <v>1635</v>
      </c>
      <c r="B1642" s="88" t="str">
        <f>IF(OR(B1641="Total",B1641=""),"",IF(VLOOKUP(A1642,Journal!$B$7:$E$84,4)=0,"Total",VLOOKUP(A1642,Journal!$B$7:$D$84,3)))</f>
        <v/>
      </c>
      <c r="C1642" s="86" t="str">
        <f>IF(B1642="","",VLOOKUP(A1642,Journal!$B$7:$E$84,4))</f>
        <v/>
      </c>
      <c r="D1642" s="114" t="str">
        <f>IF(B1642="","",VLOOKUP(A1642,Journal!$B$7:$J$84,9))</f>
        <v/>
      </c>
      <c r="E1642" s="116"/>
      <c r="F1642" s="116"/>
      <c r="G1642" s="115"/>
      <c r="H1642" s="84" t="str">
        <f>IF(B1642="","",VLOOKUP(A1642,Journal!$B$7:$L$84,11))</f>
        <v/>
      </c>
      <c r="I1642" s="84" t="str">
        <f>IF(B1642="","",VLOOKUP(A1642,Journal!$B$7:$M$84,12))</f>
        <v/>
      </c>
      <c r="J1642" s="105">
        <f>IF(B1642="Total",SUM(J$8:J1641)+0.0001,IF(OR(B1642="",I$2=I1642),0,VLOOKUP(A1642,Journal!$B$7:M$84,8)))</f>
        <v>0</v>
      </c>
      <c r="K1642" s="102">
        <f>IF(B1642="Total",SUM(K$8:K1641)+0.0001,IF(OR(B1642="",J1642&lt;&gt;0),0,VLOOKUP(A1642,Journal!$B$7:M$84,8)))</f>
        <v>0</v>
      </c>
      <c r="L1642" s="87">
        <f t="shared" si="189"/>
        <v>0</v>
      </c>
      <c r="P1642">
        <f t="shared" si="190"/>
        <v>1.0000000000000001E-5</v>
      </c>
      <c r="R1642" s="15">
        <f t="shared" si="191"/>
        <v>1635</v>
      </c>
      <c r="S1642" s="126">
        <f>IF(VLOOKUP(A1642,Journal!$A$7:$E$70,5)=0,S1641+1,VLOOKUP(A1642,Journal!$A$7:$E$70,5))</f>
        <v>47292</v>
      </c>
      <c r="T1642" s="125">
        <f>IF(H$2=VLOOKUP(A1642,Journal!$A$7:$F$70,6),VLOOKUP(A1642,Journal!$A$7:M$70,9),0)</f>
        <v>0</v>
      </c>
      <c r="U1642" s="125">
        <f>IF(H$2=VLOOKUP(A1642,Journal!$A$7:$G$70,7),VLOOKUP(A1642,Journal!$A$7:M$70,9),0)</f>
        <v>0</v>
      </c>
      <c r="V1642" s="125">
        <f t="shared" si="187"/>
        <v>40</v>
      </c>
      <c r="X1642">
        <f t="shared" si="192"/>
        <v>0</v>
      </c>
      <c r="Y1642" s="143">
        <f t="shared" si="186"/>
        <v>-957.05263157901572</v>
      </c>
    </row>
    <row r="1643" spans="1:25" x14ac:dyDescent="0.25">
      <c r="A1643">
        <f t="shared" si="188"/>
        <v>1636</v>
      </c>
      <c r="B1643" s="88" t="str">
        <f>IF(OR(B1642="Total",B1642=""),"",IF(VLOOKUP(A1643,Journal!$B$7:$E$84,4)=0,"Total",VLOOKUP(A1643,Journal!$B$7:$D$84,3)))</f>
        <v/>
      </c>
      <c r="C1643" s="86" t="str">
        <f>IF(B1643="","",VLOOKUP(A1643,Journal!$B$7:$E$84,4))</f>
        <v/>
      </c>
      <c r="D1643" s="114" t="str">
        <f>IF(B1643="","",VLOOKUP(A1643,Journal!$B$7:$J$84,9))</f>
        <v/>
      </c>
      <c r="E1643" s="116"/>
      <c r="F1643" s="116"/>
      <c r="G1643" s="115"/>
      <c r="H1643" s="84" t="str">
        <f>IF(B1643="","",VLOOKUP(A1643,Journal!$B$7:$L$84,11))</f>
        <v/>
      </c>
      <c r="I1643" s="84" t="str">
        <f>IF(B1643="","",VLOOKUP(A1643,Journal!$B$7:$M$84,12))</f>
        <v/>
      </c>
      <c r="J1643" s="105">
        <f>IF(B1643="Total",SUM(J$8:J1642)+0.0001,IF(OR(B1643="",I$2=I1643),0,VLOOKUP(A1643,Journal!$B$7:M$84,8)))</f>
        <v>0</v>
      </c>
      <c r="K1643" s="102">
        <f>IF(B1643="Total",SUM(K$8:K1642)+0.0001,IF(OR(B1643="",J1643&lt;&gt;0),0,VLOOKUP(A1643,Journal!$B$7:M$84,8)))</f>
        <v>0</v>
      </c>
      <c r="L1643" s="87">
        <f t="shared" si="189"/>
        <v>0</v>
      </c>
      <c r="P1643">
        <f t="shared" si="190"/>
        <v>1.0000000000000001E-5</v>
      </c>
      <c r="R1643" s="15">
        <f t="shared" si="191"/>
        <v>1636</v>
      </c>
      <c r="S1643" s="126">
        <f>IF(VLOOKUP(A1643,Journal!$A$7:$E$70,5)=0,S1642+1,VLOOKUP(A1643,Journal!$A$7:$E$70,5))</f>
        <v>47293</v>
      </c>
      <c r="T1643" s="125">
        <f>IF(H$2=VLOOKUP(A1643,Journal!$A$7:$F$70,6),VLOOKUP(A1643,Journal!$A$7:M$70,9),0)</f>
        <v>0</v>
      </c>
      <c r="U1643" s="125">
        <f>IF(H$2=VLOOKUP(A1643,Journal!$A$7:$G$70,7),VLOOKUP(A1643,Journal!$A$7:M$70,9),0)</f>
        <v>0</v>
      </c>
      <c r="V1643" s="125">
        <f t="shared" si="187"/>
        <v>40</v>
      </c>
      <c r="X1643">
        <f t="shared" si="192"/>
        <v>0</v>
      </c>
      <c r="Y1643" s="143">
        <f t="shared" si="186"/>
        <v>-957.02631578954208</v>
      </c>
    </row>
    <row r="1644" spans="1:25" x14ac:dyDescent="0.25">
      <c r="A1644">
        <f t="shared" si="188"/>
        <v>1637</v>
      </c>
      <c r="B1644" s="88" t="str">
        <f>IF(OR(B1643="Total",B1643=""),"",IF(VLOOKUP(A1644,Journal!$B$7:$E$84,4)=0,"Total",VLOOKUP(A1644,Journal!$B$7:$D$84,3)))</f>
        <v/>
      </c>
      <c r="C1644" s="86" t="str">
        <f>IF(B1644="","",VLOOKUP(A1644,Journal!$B$7:$E$84,4))</f>
        <v/>
      </c>
      <c r="D1644" s="114" t="str">
        <f>IF(B1644="","",VLOOKUP(A1644,Journal!$B$7:$J$84,9))</f>
        <v/>
      </c>
      <c r="E1644" s="116"/>
      <c r="F1644" s="116"/>
      <c r="G1644" s="115"/>
      <c r="H1644" s="84" t="str">
        <f>IF(B1644="","",VLOOKUP(A1644,Journal!$B$7:$L$84,11))</f>
        <v/>
      </c>
      <c r="I1644" s="84" t="str">
        <f>IF(B1644="","",VLOOKUP(A1644,Journal!$B$7:$M$84,12))</f>
        <v/>
      </c>
      <c r="J1644" s="105">
        <f>IF(B1644="Total",SUM(J$8:J1643)+0.0001,IF(OR(B1644="",I$2=I1644),0,VLOOKUP(A1644,Journal!$B$7:M$84,8)))</f>
        <v>0</v>
      </c>
      <c r="K1644" s="102">
        <f>IF(B1644="Total",SUM(K$8:K1643)+0.0001,IF(OR(B1644="",J1644&lt;&gt;0),0,VLOOKUP(A1644,Journal!$B$7:M$84,8)))</f>
        <v>0</v>
      </c>
      <c r="L1644" s="87">
        <f t="shared" si="189"/>
        <v>0</v>
      </c>
      <c r="P1644">
        <f t="shared" si="190"/>
        <v>1.0000000000000001E-5</v>
      </c>
      <c r="R1644" s="15">
        <f t="shared" si="191"/>
        <v>1637</v>
      </c>
      <c r="S1644" s="126">
        <f>IF(VLOOKUP(A1644,Journal!$A$7:$E$70,5)=0,S1643+1,VLOOKUP(A1644,Journal!$A$7:$E$70,5))</f>
        <v>47294</v>
      </c>
      <c r="T1644" s="125">
        <f>IF(H$2=VLOOKUP(A1644,Journal!$A$7:$F$70,6),VLOOKUP(A1644,Journal!$A$7:M$70,9),0)</f>
        <v>0</v>
      </c>
      <c r="U1644" s="125">
        <f>IF(H$2=VLOOKUP(A1644,Journal!$A$7:$G$70,7),VLOOKUP(A1644,Journal!$A$7:M$70,9),0)</f>
        <v>0</v>
      </c>
      <c r="V1644" s="125">
        <f t="shared" si="187"/>
        <v>40</v>
      </c>
      <c r="X1644">
        <f t="shared" si="192"/>
        <v>0</v>
      </c>
      <c r="Y1644" s="143">
        <f t="shared" si="186"/>
        <v>-957.00000000006844</v>
      </c>
    </row>
    <row r="1645" spans="1:25" x14ac:dyDescent="0.25">
      <c r="A1645">
        <f t="shared" si="188"/>
        <v>1638</v>
      </c>
      <c r="B1645" s="88" t="str">
        <f>IF(OR(B1644="Total",B1644=""),"",IF(VLOOKUP(A1645,Journal!$B$7:$E$84,4)=0,"Total",VLOOKUP(A1645,Journal!$B$7:$D$84,3)))</f>
        <v/>
      </c>
      <c r="C1645" s="86" t="str">
        <f>IF(B1645="","",VLOOKUP(A1645,Journal!$B$7:$E$84,4))</f>
        <v/>
      </c>
      <c r="D1645" s="114" t="str">
        <f>IF(B1645="","",VLOOKUP(A1645,Journal!$B$7:$J$84,9))</f>
        <v/>
      </c>
      <c r="E1645" s="116"/>
      <c r="F1645" s="116"/>
      <c r="G1645" s="115"/>
      <c r="H1645" s="84" t="str">
        <f>IF(B1645="","",VLOOKUP(A1645,Journal!$B$7:$L$84,11))</f>
        <v/>
      </c>
      <c r="I1645" s="84" t="str">
        <f>IF(B1645="","",VLOOKUP(A1645,Journal!$B$7:$M$84,12))</f>
        <v/>
      </c>
      <c r="J1645" s="105">
        <f>IF(B1645="Total",SUM(J$8:J1644)+0.0001,IF(OR(B1645="",I$2=I1645),0,VLOOKUP(A1645,Journal!$B$7:M$84,8)))</f>
        <v>0</v>
      </c>
      <c r="K1645" s="102">
        <f>IF(B1645="Total",SUM(K$8:K1644)+0.0001,IF(OR(B1645="",J1645&lt;&gt;0),0,VLOOKUP(A1645,Journal!$B$7:M$84,8)))</f>
        <v>0</v>
      </c>
      <c r="L1645" s="87">
        <f t="shared" si="189"/>
        <v>0</v>
      </c>
      <c r="P1645">
        <f t="shared" si="190"/>
        <v>1.0000000000000001E-5</v>
      </c>
      <c r="R1645" s="15">
        <f t="shared" si="191"/>
        <v>1638</v>
      </c>
      <c r="S1645" s="126">
        <f>IF(VLOOKUP(A1645,Journal!$A$7:$E$70,5)=0,S1644+1,VLOOKUP(A1645,Journal!$A$7:$E$70,5))</f>
        <v>47295</v>
      </c>
      <c r="T1645" s="125">
        <f>IF(H$2=VLOOKUP(A1645,Journal!$A$7:$F$70,6),VLOOKUP(A1645,Journal!$A$7:M$70,9),0)</f>
        <v>0</v>
      </c>
      <c r="U1645" s="125">
        <f>IF(H$2=VLOOKUP(A1645,Journal!$A$7:$G$70,7),VLOOKUP(A1645,Journal!$A$7:M$70,9),0)</f>
        <v>0</v>
      </c>
      <c r="V1645" s="125">
        <f t="shared" si="187"/>
        <v>40</v>
      </c>
      <c r="X1645">
        <f t="shared" si="192"/>
        <v>0</v>
      </c>
      <c r="Y1645" s="143">
        <f t="shared" si="186"/>
        <v>-956.9736842105948</v>
      </c>
    </row>
    <row r="1646" spans="1:25" x14ac:dyDescent="0.25">
      <c r="A1646">
        <f t="shared" si="188"/>
        <v>1639</v>
      </c>
      <c r="B1646" s="88" t="str">
        <f>IF(OR(B1645="Total",B1645=""),"",IF(VLOOKUP(A1646,Journal!$B$7:$E$84,4)=0,"Total",VLOOKUP(A1646,Journal!$B$7:$D$84,3)))</f>
        <v/>
      </c>
      <c r="C1646" s="86" t="str">
        <f>IF(B1646="","",VLOOKUP(A1646,Journal!$B$7:$E$84,4))</f>
        <v/>
      </c>
      <c r="D1646" s="114" t="str">
        <f>IF(B1646="","",VLOOKUP(A1646,Journal!$B$7:$J$84,9))</f>
        <v/>
      </c>
      <c r="E1646" s="116"/>
      <c r="F1646" s="116"/>
      <c r="G1646" s="115"/>
      <c r="H1646" s="84" t="str">
        <f>IF(B1646="","",VLOOKUP(A1646,Journal!$B$7:$L$84,11))</f>
        <v/>
      </c>
      <c r="I1646" s="84" t="str">
        <f>IF(B1646="","",VLOOKUP(A1646,Journal!$B$7:$M$84,12))</f>
        <v/>
      </c>
      <c r="J1646" s="105">
        <f>IF(B1646="Total",SUM(J$8:J1645)+0.0001,IF(OR(B1646="",I$2=I1646),0,VLOOKUP(A1646,Journal!$B$7:M$84,8)))</f>
        <v>0</v>
      </c>
      <c r="K1646" s="102">
        <f>IF(B1646="Total",SUM(K$8:K1645)+0.0001,IF(OR(B1646="",J1646&lt;&gt;0),0,VLOOKUP(A1646,Journal!$B$7:M$84,8)))</f>
        <v>0</v>
      </c>
      <c r="L1646" s="87">
        <f t="shared" si="189"/>
        <v>0</v>
      </c>
      <c r="P1646">
        <f t="shared" si="190"/>
        <v>1.0000000000000001E-5</v>
      </c>
      <c r="R1646" s="15">
        <f t="shared" si="191"/>
        <v>1639</v>
      </c>
      <c r="S1646" s="126">
        <f>IF(VLOOKUP(A1646,Journal!$A$7:$E$70,5)=0,S1645+1,VLOOKUP(A1646,Journal!$A$7:$E$70,5))</f>
        <v>47296</v>
      </c>
      <c r="T1646" s="125">
        <f>IF(H$2=VLOOKUP(A1646,Journal!$A$7:$F$70,6),VLOOKUP(A1646,Journal!$A$7:M$70,9),0)</f>
        <v>0</v>
      </c>
      <c r="U1646" s="125">
        <f>IF(H$2=VLOOKUP(A1646,Journal!$A$7:$G$70,7),VLOOKUP(A1646,Journal!$A$7:M$70,9),0)</f>
        <v>0</v>
      </c>
      <c r="V1646" s="125">
        <f t="shared" si="187"/>
        <v>40</v>
      </c>
      <c r="X1646">
        <f t="shared" si="192"/>
        <v>0</v>
      </c>
      <c r="Y1646" s="143">
        <f t="shared" si="186"/>
        <v>-956.94736842112115</v>
      </c>
    </row>
    <row r="1647" spans="1:25" x14ac:dyDescent="0.25">
      <c r="A1647">
        <f t="shared" si="188"/>
        <v>1640</v>
      </c>
      <c r="B1647" s="88" t="str">
        <f>IF(OR(B1646="Total",B1646=""),"",IF(VLOOKUP(A1647,Journal!$B$7:$E$84,4)=0,"Total",VLOOKUP(A1647,Journal!$B$7:$D$84,3)))</f>
        <v/>
      </c>
      <c r="C1647" s="86" t="str">
        <f>IF(B1647="","",VLOOKUP(A1647,Journal!$B$7:$E$84,4))</f>
        <v/>
      </c>
      <c r="D1647" s="114" t="str">
        <f>IF(B1647="","",VLOOKUP(A1647,Journal!$B$7:$J$84,9))</f>
        <v/>
      </c>
      <c r="E1647" s="116"/>
      <c r="F1647" s="116"/>
      <c r="G1647" s="115"/>
      <c r="H1647" s="84" t="str">
        <f>IF(B1647="","",VLOOKUP(A1647,Journal!$B$7:$L$84,11))</f>
        <v/>
      </c>
      <c r="I1647" s="84" t="str">
        <f>IF(B1647="","",VLOOKUP(A1647,Journal!$B$7:$M$84,12))</f>
        <v/>
      </c>
      <c r="J1647" s="105">
        <f>IF(B1647="Total",SUM(J$8:J1646)+0.0001,IF(OR(B1647="",I$2=I1647),0,VLOOKUP(A1647,Journal!$B$7:M$84,8)))</f>
        <v>0</v>
      </c>
      <c r="K1647" s="102">
        <f>IF(B1647="Total",SUM(K$8:K1646)+0.0001,IF(OR(B1647="",J1647&lt;&gt;0),0,VLOOKUP(A1647,Journal!$B$7:M$84,8)))</f>
        <v>0</v>
      </c>
      <c r="L1647" s="87">
        <f t="shared" si="189"/>
        <v>0</v>
      </c>
      <c r="P1647">
        <f t="shared" si="190"/>
        <v>1.0000000000000001E-5</v>
      </c>
      <c r="R1647" s="15">
        <f t="shared" si="191"/>
        <v>1640</v>
      </c>
      <c r="S1647" s="126">
        <f>IF(VLOOKUP(A1647,Journal!$A$7:$E$70,5)=0,S1646+1,VLOOKUP(A1647,Journal!$A$7:$E$70,5))</f>
        <v>47297</v>
      </c>
      <c r="T1647" s="125">
        <f>IF(H$2=VLOOKUP(A1647,Journal!$A$7:$F$70,6),VLOOKUP(A1647,Journal!$A$7:M$70,9),0)</f>
        <v>0</v>
      </c>
      <c r="U1647" s="125">
        <f>IF(H$2=VLOOKUP(A1647,Journal!$A$7:$G$70,7),VLOOKUP(A1647,Journal!$A$7:M$70,9),0)</f>
        <v>0</v>
      </c>
      <c r="V1647" s="125">
        <f t="shared" si="187"/>
        <v>40</v>
      </c>
      <c r="X1647">
        <f t="shared" si="192"/>
        <v>0</v>
      </c>
      <c r="Y1647" s="143">
        <f t="shared" si="186"/>
        <v>-956.92105263164751</v>
      </c>
    </row>
    <row r="1648" spans="1:25" x14ac:dyDescent="0.25">
      <c r="A1648">
        <f t="shared" si="188"/>
        <v>1641</v>
      </c>
      <c r="B1648" s="88" t="str">
        <f>IF(OR(B1647="Total",B1647=""),"",IF(VLOOKUP(A1648,Journal!$B$7:$E$84,4)=0,"Total",VLOOKUP(A1648,Journal!$B$7:$D$84,3)))</f>
        <v/>
      </c>
      <c r="C1648" s="86" t="str">
        <f>IF(B1648="","",VLOOKUP(A1648,Journal!$B$7:$E$84,4))</f>
        <v/>
      </c>
      <c r="D1648" s="114" t="str">
        <f>IF(B1648="","",VLOOKUP(A1648,Journal!$B$7:$J$84,9))</f>
        <v/>
      </c>
      <c r="E1648" s="116"/>
      <c r="F1648" s="116"/>
      <c r="G1648" s="115"/>
      <c r="H1648" s="84" t="str">
        <f>IF(B1648="","",VLOOKUP(A1648,Journal!$B$7:$L$84,11))</f>
        <v/>
      </c>
      <c r="I1648" s="84" t="str">
        <f>IF(B1648="","",VLOOKUP(A1648,Journal!$B$7:$M$84,12))</f>
        <v/>
      </c>
      <c r="J1648" s="105">
        <f>IF(B1648="Total",SUM(J$8:J1647)+0.0001,IF(OR(B1648="",I$2=I1648),0,VLOOKUP(A1648,Journal!$B$7:M$84,8)))</f>
        <v>0</v>
      </c>
      <c r="K1648" s="102">
        <f>IF(B1648="Total",SUM(K$8:K1647)+0.0001,IF(OR(B1648="",J1648&lt;&gt;0),0,VLOOKUP(A1648,Journal!$B$7:M$84,8)))</f>
        <v>0</v>
      </c>
      <c r="L1648" s="87">
        <f t="shared" si="189"/>
        <v>0</v>
      </c>
      <c r="P1648">
        <f t="shared" si="190"/>
        <v>1.0000000000000001E-5</v>
      </c>
      <c r="R1648" s="15">
        <f t="shared" si="191"/>
        <v>1641</v>
      </c>
      <c r="S1648" s="126">
        <f>IF(VLOOKUP(A1648,Journal!$A$7:$E$70,5)=0,S1647+1,VLOOKUP(A1648,Journal!$A$7:$E$70,5))</f>
        <v>47298</v>
      </c>
      <c r="T1648" s="125">
        <f>IF(H$2=VLOOKUP(A1648,Journal!$A$7:$F$70,6),VLOOKUP(A1648,Journal!$A$7:M$70,9),0)</f>
        <v>0</v>
      </c>
      <c r="U1648" s="125">
        <f>IF(H$2=VLOOKUP(A1648,Journal!$A$7:$G$70,7),VLOOKUP(A1648,Journal!$A$7:M$70,9),0)</f>
        <v>0</v>
      </c>
      <c r="V1648" s="125">
        <f t="shared" si="187"/>
        <v>40</v>
      </c>
      <c r="X1648">
        <f t="shared" si="192"/>
        <v>0</v>
      </c>
      <c r="Y1648" s="143">
        <f t="shared" si="186"/>
        <v>-956.89473684217387</v>
      </c>
    </row>
    <row r="1649" spans="1:25" x14ac:dyDescent="0.25">
      <c r="A1649">
        <f t="shared" si="188"/>
        <v>1642</v>
      </c>
      <c r="B1649" s="88" t="str">
        <f>IF(OR(B1648="Total",B1648=""),"",IF(VLOOKUP(A1649,Journal!$B$7:$E$84,4)=0,"Total",VLOOKUP(A1649,Journal!$B$7:$D$84,3)))</f>
        <v/>
      </c>
      <c r="C1649" s="86" t="str">
        <f>IF(B1649="","",VLOOKUP(A1649,Journal!$B$7:$E$84,4))</f>
        <v/>
      </c>
      <c r="D1649" s="114" t="str">
        <f>IF(B1649="","",VLOOKUP(A1649,Journal!$B$7:$J$84,9))</f>
        <v/>
      </c>
      <c r="E1649" s="116"/>
      <c r="F1649" s="116"/>
      <c r="G1649" s="115"/>
      <c r="H1649" s="84" t="str">
        <f>IF(B1649="","",VLOOKUP(A1649,Journal!$B$7:$L$84,11))</f>
        <v/>
      </c>
      <c r="I1649" s="84" t="str">
        <f>IF(B1649="","",VLOOKUP(A1649,Journal!$B$7:$M$84,12))</f>
        <v/>
      </c>
      <c r="J1649" s="105">
        <f>IF(B1649="Total",SUM(J$8:J1648)+0.0001,IF(OR(B1649="",I$2=I1649),0,VLOOKUP(A1649,Journal!$B$7:M$84,8)))</f>
        <v>0</v>
      </c>
      <c r="K1649" s="102">
        <f>IF(B1649="Total",SUM(K$8:K1648)+0.0001,IF(OR(B1649="",J1649&lt;&gt;0),0,VLOOKUP(A1649,Journal!$B$7:M$84,8)))</f>
        <v>0</v>
      </c>
      <c r="L1649" s="87">
        <f t="shared" si="189"/>
        <v>0</v>
      </c>
      <c r="P1649">
        <f t="shared" si="190"/>
        <v>1.0000000000000001E-5</v>
      </c>
      <c r="R1649" s="15">
        <f t="shared" si="191"/>
        <v>1642</v>
      </c>
      <c r="S1649" s="126">
        <f>IF(VLOOKUP(A1649,Journal!$A$7:$E$70,5)=0,S1648+1,VLOOKUP(A1649,Journal!$A$7:$E$70,5))</f>
        <v>47299</v>
      </c>
      <c r="T1649" s="125">
        <f>IF(H$2=VLOOKUP(A1649,Journal!$A$7:$F$70,6),VLOOKUP(A1649,Journal!$A$7:M$70,9),0)</f>
        <v>0</v>
      </c>
      <c r="U1649" s="125">
        <f>IF(H$2=VLOOKUP(A1649,Journal!$A$7:$G$70,7),VLOOKUP(A1649,Journal!$A$7:M$70,9),0)</f>
        <v>0</v>
      </c>
      <c r="V1649" s="125">
        <f t="shared" si="187"/>
        <v>40</v>
      </c>
      <c r="X1649">
        <f t="shared" si="192"/>
        <v>0</v>
      </c>
      <c r="Y1649" s="143">
        <f t="shared" si="186"/>
        <v>-956.86842105270023</v>
      </c>
    </row>
    <row r="1650" spans="1:25" x14ac:dyDescent="0.25">
      <c r="A1650">
        <f t="shared" si="188"/>
        <v>1643</v>
      </c>
      <c r="B1650" s="88" t="str">
        <f>IF(OR(B1649="Total",B1649=""),"",IF(VLOOKUP(A1650,Journal!$B$7:$E$84,4)=0,"Total",VLOOKUP(A1650,Journal!$B$7:$D$84,3)))</f>
        <v/>
      </c>
      <c r="C1650" s="86" t="str">
        <f>IF(B1650="","",VLOOKUP(A1650,Journal!$B$7:$E$84,4))</f>
        <v/>
      </c>
      <c r="D1650" s="114" t="str">
        <f>IF(B1650="","",VLOOKUP(A1650,Journal!$B$7:$J$84,9))</f>
        <v/>
      </c>
      <c r="E1650" s="116"/>
      <c r="F1650" s="116"/>
      <c r="G1650" s="115"/>
      <c r="H1650" s="84" t="str">
        <f>IF(B1650="","",VLOOKUP(A1650,Journal!$B$7:$L$84,11))</f>
        <v/>
      </c>
      <c r="I1650" s="84" t="str">
        <f>IF(B1650="","",VLOOKUP(A1650,Journal!$B$7:$M$84,12))</f>
        <v/>
      </c>
      <c r="J1650" s="105">
        <f>IF(B1650="Total",SUM(J$8:J1649)+0.0001,IF(OR(B1650="",I$2=I1650),0,VLOOKUP(A1650,Journal!$B$7:M$84,8)))</f>
        <v>0</v>
      </c>
      <c r="K1650" s="102">
        <f>IF(B1650="Total",SUM(K$8:K1649)+0.0001,IF(OR(B1650="",J1650&lt;&gt;0),0,VLOOKUP(A1650,Journal!$B$7:M$84,8)))</f>
        <v>0</v>
      </c>
      <c r="L1650" s="87">
        <f t="shared" si="189"/>
        <v>0</v>
      </c>
      <c r="P1650">
        <f t="shared" si="190"/>
        <v>1.0000000000000001E-5</v>
      </c>
      <c r="R1650" s="15">
        <f t="shared" si="191"/>
        <v>1643</v>
      </c>
      <c r="S1650" s="126">
        <f>IF(VLOOKUP(A1650,Journal!$A$7:$E$70,5)=0,S1649+1,VLOOKUP(A1650,Journal!$A$7:$E$70,5))</f>
        <v>47300</v>
      </c>
      <c r="T1650" s="125">
        <f>IF(H$2=VLOOKUP(A1650,Journal!$A$7:$F$70,6),VLOOKUP(A1650,Journal!$A$7:M$70,9),0)</f>
        <v>0</v>
      </c>
      <c r="U1650" s="125">
        <f>IF(H$2=VLOOKUP(A1650,Journal!$A$7:$G$70,7),VLOOKUP(A1650,Journal!$A$7:M$70,9),0)</f>
        <v>0</v>
      </c>
      <c r="V1650" s="125">
        <f t="shared" si="187"/>
        <v>40</v>
      </c>
      <c r="X1650">
        <f t="shared" si="192"/>
        <v>0</v>
      </c>
      <c r="Y1650" s="143">
        <f t="shared" si="186"/>
        <v>-956.84210526322659</v>
      </c>
    </row>
    <row r="1651" spans="1:25" x14ac:dyDescent="0.25">
      <c r="A1651">
        <f t="shared" si="188"/>
        <v>1644</v>
      </c>
      <c r="B1651" s="88" t="str">
        <f>IF(OR(B1650="Total",B1650=""),"",IF(VLOOKUP(A1651,Journal!$B$7:$E$84,4)=0,"Total",VLOOKUP(A1651,Journal!$B$7:$D$84,3)))</f>
        <v/>
      </c>
      <c r="C1651" s="86" t="str">
        <f>IF(B1651="","",VLOOKUP(A1651,Journal!$B$7:$E$84,4))</f>
        <v/>
      </c>
      <c r="D1651" s="114" t="str">
        <f>IF(B1651="","",VLOOKUP(A1651,Journal!$B$7:$J$84,9))</f>
        <v/>
      </c>
      <c r="E1651" s="116"/>
      <c r="F1651" s="116"/>
      <c r="G1651" s="115"/>
      <c r="H1651" s="84" t="str">
        <f>IF(B1651="","",VLOOKUP(A1651,Journal!$B$7:$L$84,11))</f>
        <v/>
      </c>
      <c r="I1651" s="84" t="str">
        <f>IF(B1651="","",VLOOKUP(A1651,Journal!$B$7:$M$84,12))</f>
        <v/>
      </c>
      <c r="J1651" s="105">
        <f>IF(B1651="Total",SUM(J$8:J1650)+0.0001,IF(OR(B1651="",I$2=I1651),0,VLOOKUP(A1651,Journal!$B$7:M$84,8)))</f>
        <v>0</v>
      </c>
      <c r="K1651" s="102">
        <f>IF(B1651="Total",SUM(K$8:K1650)+0.0001,IF(OR(B1651="",J1651&lt;&gt;0),0,VLOOKUP(A1651,Journal!$B$7:M$84,8)))</f>
        <v>0</v>
      </c>
      <c r="L1651" s="87">
        <f t="shared" si="189"/>
        <v>0</v>
      </c>
      <c r="P1651">
        <f t="shared" si="190"/>
        <v>1.0000000000000001E-5</v>
      </c>
      <c r="R1651" s="15">
        <f t="shared" si="191"/>
        <v>1644</v>
      </c>
      <c r="S1651" s="126">
        <f>IF(VLOOKUP(A1651,Journal!$A$7:$E$70,5)=0,S1650+1,VLOOKUP(A1651,Journal!$A$7:$E$70,5))</f>
        <v>47301</v>
      </c>
      <c r="T1651" s="125">
        <f>IF(H$2=VLOOKUP(A1651,Journal!$A$7:$F$70,6),VLOOKUP(A1651,Journal!$A$7:M$70,9),0)</f>
        <v>0</v>
      </c>
      <c r="U1651" s="125">
        <f>IF(H$2=VLOOKUP(A1651,Journal!$A$7:$G$70,7),VLOOKUP(A1651,Journal!$A$7:M$70,9),0)</f>
        <v>0</v>
      </c>
      <c r="V1651" s="125">
        <f t="shared" si="187"/>
        <v>40</v>
      </c>
      <c r="X1651">
        <f t="shared" si="192"/>
        <v>0</v>
      </c>
      <c r="Y1651" s="143">
        <f t="shared" si="186"/>
        <v>-956.81578947375294</v>
      </c>
    </row>
    <row r="1652" spans="1:25" x14ac:dyDescent="0.25">
      <c r="A1652">
        <f t="shared" si="188"/>
        <v>1645</v>
      </c>
      <c r="B1652" s="88" t="str">
        <f>IF(OR(B1651="Total",B1651=""),"",IF(VLOOKUP(A1652,Journal!$B$7:$E$84,4)=0,"Total",VLOOKUP(A1652,Journal!$B$7:$D$84,3)))</f>
        <v/>
      </c>
      <c r="C1652" s="86" t="str">
        <f>IF(B1652="","",VLOOKUP(A1652,Journal!$B$7:$E$84,4))</f>
        <v/>
      </c>
      <c r="D1652" s="114" t="str">
        <f>IF(B1652="","",VLOOKUP(A1652,Journal!$B$7:$J$84,9))</f>
        <v/>
      </c>
      <c r="E1652" s="116"/>
      <c r="F1652" s="116"/>
      <c r="G1652" s="115"/>
      <c r="H1652" s="84" t="str">
        <f>IF(B1652="","",VLOOKUP(A1652,Journal!$B$7:$L$84,11))</f>
        <v/>
      </c>
      <c r="I1652" s="84" t="str">
        <f>IF(B1652="","",VLOOKUP(A1652,Journal!$B$7:$M$84,12))</f>
        <v/>
      </c>
      <c r="J1652" s="105">
        <f>IF(B1652="Total",SUM(J$8:J1651)+0.0001,IF(OR(B1652="",I$2=I1652),0,VLOOKUP(A1652,Journal!$B$7:M$84,8)))</f>
        <v>0</v>
      </c>
      <c r="K1652" s="102">
        <f>IF(B1652="Total",SUM(K$8:K1651)+0.0001,IF(OR(B1652="",J1652&lt;&gt;0),0,VLOOKUP(A1652,Journal!$B$7:M$84,8)))</f>
        <v>0</v>
      </c>
      <c r="L1652" s="87">
        <f t="shared" si="189"/>
        <v>0</v>
      </c>
      <c r="P1652">
        <f t="shared" si="190"/>
        <v>1.0000000000000001E-5</v>
      </c>
      <c r="R1652" s="15">
        <f t="shared" si="191"/>
        <v>1645</v>
      </c>
      <c r="S1652" s="126">
        <f>IF(VLOOKUP(A1652,Journal!$A$7:$E$70,5)=0,S1651+1,VLOOKUP(A1652,Journal!$A$7:$E$70,5))</f>
        <v>47302</v>
      </c>
      <c r="T1652" s="125">
        <f>IF(H$2=VLOOKUP(A1652,Journal!$A$7:$F$70,6),VLOOKUP(A1652,Journal!$A$7:M$70,9),0)</f>
        <v>0</v>
      </c>
      <c r="U1652" s="125">
        <f>IF(H$2=VLOOKUP(A1652,Journal!$A$7:$G$70,7),VLOOKUP(A1652,Journal!$A$7:M$70,9),0)</f>
        <v>0</v>
      </c>
      <c r="V1652" s="125">
        <f t="shared" si="187"/>
        <v>40</v>
      </c>
      <c r="X1652">
        <f t="shared" si="192"/>
        <v>0</v>
      </c>
      <c r="Y1652" s="143">
        <f t="shared" si="186"/>
        <v>-956.7894736842793</v>
      </c>
    </row>
    <row r="1653" spans="1:25" x14ac:dyDescent="0.25">
      <c r="A1653">
        <f t="shared" si="188"/>
        <v>1646</v>
      </c>
      <c r="B1653" s="88" t="str">
        <f>IF(OR(B1652="Total",B1652=""),"",IF(VLOOKUP(A1653,Journal!$B$7:$E$84,4)=0,"Total",VLOOKUP(A1653,Journal!$B$7:$D$84,3)))</f>
        <v/>
      </c>
      <c r="C1653" s="86" t="str">
        <f>IF(B1653="","",VLOOKUP(A1653,Journal!$B$7:$E$84,4))</f>
        <v/>
      </c>
      <c r="D1653" s="114" t="str">
        <f>IF(B1653="","",VLOOKUP(A1653,Journal!$B$7:$J$84,9))</f>
        <v/>
      </c>
      <c r="E1653" s="116"/>
      <c r="F1653" s="116"/>
      <c r="G1653" s="115"/>
      <c r="H1653" s="84" t="str">
        <f>IF(B1653="","",VLOOKUP(A1653,Journal!$B$7:$L$84,11))</f>
        <v/>
      </c>
      <c r="I1653" s="84" t="str">
        <f>IF(B1653="","",VLOOKUP(A1653,Journal!$B$7:$M$84,12))</f>
        <v/>
      </c>
      <c r="J1653" s="105">
        <f>IF(B1653="Total",SUM(J$8:J1652)+0.0001,IF(OR(B1653="",I$2=I1653),0,VLOOKUP(A1653,Journal!$B$7:M$84,8)))</f>
        <v>0</v>
      </c>
      <c r="K1653" s="102">
        <f>IF(B1653="Total",SUM(K$8:K1652)+0.0001,IF(OR(B1653="",J1653&lt;&gt;0),0,VLOOKUP(A1653,Journal!$B$7:M$84,8)))</f>
        <v>0</v>
      </c>
      <c r="L1653" s="87">
        <f t="shared" si="189"/>
        <v>0</v>
      </c>
      <c r="P1653">
        <f t="shared" si="190"/>
        <v>1.0000000000000001E-5</v>
      </c>
      <c r="R1653" s="15">
        <f t="shared" si="191"/>
        <v>1646</v>
      </c>
      <c r="S1653" s="126">
        <f>IF(VLOOKUP(A1653,Journal!$A$7:$E$70,5)=0,S1652+1,VLOOKUP(A1653,Journal!$A$7:$E$70,5))</f>
        <v>47303</v>
      </c>
      <c r="T1653" s="125">
        <f>IF(H$2=VLOOKUP(A1653,Journal!$A$7:$F$70,6),VLOOKUP(A1653,Journal!$A$7:M$70,9),0)</f>
        <v>0</v>
      </c>
      <c r="U1653" s="125">
        <f>IF(H$2=VLOOKUP(A1653,Journal!$A$7:$G$70,7),VLOOKUP(A1653,Journal!$A$7:M$70,9),0)</f>
        <v>0</v>
      </c>
      <c r="V1653" s="125">
        <f t="shared" si="187"/>
        <v>40</v>
      </c>
      <c r="X1653">
        <f t="shared" si="192"/>
        <v>0</v>
      </c>
      <c r="Y1653" s="143">
        <f t="shared" si="186"/>
        <v>-956.76315789480566</v>
      </c>
    </row>
    <row r="1654" spans="1:25" x14ac:dyDescent="0.25">
      <c r="A1654">
        <f t="shared" si="188"/>
        <v>1647</v>
      </c>
      <c r="B1654" s="88" t="str">
        <f>IF(OR(B1653="Total",B1653=""),"",IF(VLOOKUP(A1654,Journal!$B$7:$E$84,4)=0,"Total",VLOOKUP(A1654,Journal!$B$7:$D$84,3)))</f>
        <v/>
      </c>
      <c r="C1654" s="86" t="str">
        <f>IF(B1654="","",VLOOKUP(A1654,Journal!$B$7:$E$84,4))</f>
        <v/>
      </c>
      <c r="D1654" s="114" t="str">
        <f>IF(B1654="","",VLOOKUP(A1654,Journal!$B$7:$J$84,9))</f>
        <v/>
      </c>
      <c r="E1654" s="116"/>
      <c r="F1654" s="116"/>
      <c r="G1654" s="115"/>
      <c r="H1654" s="84" t="str">
        <f>IF(B1654="","",VLOOKUP(A1654,Journal!$B$7:$L$84,11))</f>
        <v/>
      </c>
      <c r="I1654" s="84" t="str">
        <f>IF(B1654="","",VLOOKUP(A1654,Journal!$B$7:$M$84,12))</f>
        <v/>
      </c>
      <c r="J1654" s="105">
        <f>IF(B1654="Total",SUM(J$8:J1653)+0.0001,IF(OR(B1654="",I$2=I1654),0,VLOOKUP(A1654,Journal!$B$7:M$84,8)))</f>
        <v>0</v>
      </c>
      <c r="K1654" s="102">
        <f>IF(B1654="Total",SUM(K$8:K1653)+0.0001,IF(OR(B1654="",J1654&lt;&gt;0),0,VLOOKUP(A1654,Journal!$B$7:M$84,8)))</f>
        <v>0</v>
      </c>
      <c r="L1654" s="87">
        <f t="shared" si="189"/>
        <v>0</v>
      </c>
      <c r="P1654">
        <f t="shared" si="190"/>
        <v>1.0000000000000001E-5</v>
      </c>
      <c r="R1654" s="15">
        <f t="shared" si="191"/>
        <v>1647</v>
      </c>
      <c r="S1654" s="126">
        <f>IF(VLOOKUP(A1654,Journal!$A$7:$E$70,5)=0,S1653+1,VLOOKUP(A1654,Journal!$A$7:$E$70,5))</f>
        <v>47304</v>
      </c>
      <c r="T1654" s="125">
        <f>IF(H$2=VLOOKUP(A1654,Journal!$A$7:$F$70,6),VLOOKUP(A1654,Journal!$A$7:M$70,9),0)</f>
        <v>0</v>
      </c>
      <c r="U1654" s="125">
        <f>IF(H$2=VLOOKUP(A1654,Journal!$A$7:$G$70,7),VLOOKUP(A1654,Journal!$A$7:M$70,9),0)</f>
        <v>0</v>
      </c>
      <c r="V1654" s="125">
        <f t="shared" si="187"/>
        <v>40</v>
      </c>
      <c r="X1654">
        <f t="shared" si="192"/>
        <v>0</v>
      </c>
      <c r="Y1654" s="143">
        <f t="shared" si="186"/>
        <v>-956.73684210533202</v>
      </c>
    </row>
    <row r="1655" spans="1:25" x14ac:dyDescent="0.25">
      <c r="A1655">
        <f t="shared" si="188"/>
        <v>1648</v>
      </c>
      <c r="B1655" s="88" t="str">
        <f>IF(OR(B1654="Total",B1654=""),"",IF(VLOOKUP(A1655,Journal!$B$7:$E$84,4)=0,"Total",VLOOKUP(A1655,Journal!$B$7:$D$84,3)))</f>
        <v/>
      </c>
      <c r="C1655" s="86" t="str">
        <f>IF(B1655="","",VLOOKUP(A1655,Journal!$B$7:$E$84,4))</f>
        <v/>
      </c>
      <c r="D1655" s="114" t="str">
        <f>IF(B1655="","",VLOOKUP(A1655,Journal!$B$7:$J$84,9))</f>
        <v/>
      </c>
      <c r="E1655" s="116"/>
      <c r="F1655" s="116"/>
      <c r="G1655" s="115"/>
      <c r="H1655" s="84" t="str">
        <f>IF(B1655="","",VLOOKUP(A1655,Journal!$B$7:$L$84,11))</f>
        <v/>
      </c>
      <c r="I1655" s="84" t="str">
        <f>IF(B1655="","",VLOOKUP(A1655,Journal!$B$7:$M$84,12))</f>
        <v/>
      </c>
      <c r="J1655" s="105">
        <f>IF(B1655="Total",SUM(J$8:J1654)+0.0001,IF(OR(B1655="",I$2=I1655),0,VLOOKUP(A1655,Journal!$B$7:M$84,8)))</f>
        <v>0</v>
      </c>
      <c r="K1655" s="102">
        <f>IF(B1655="Total",SUM(K$8:K1654)+0.0001,IF(OR(B1655="",J1655&lt;&gt;0),0,VLOOKUP(A1655,Journal!$B$7:M$84,8)))</f>
        <v>0</v>
      </c>
      <c r="L1655" s="87">
        <f t="shared" si="189"/>
        <v>0</v>
      </c>
      <c r="P1655">
        <f t="shared" si="190"/>
        <v>1.0000000000000001E-5</v>
      </c>
      <c r="R1655" s="15">
        <f t="shared" si="191"/>
        <v>1648</v>
      </c>
      <c r="S1655" s="126">
        <f>IF(VLOOKUP(A1655,Journal!$A$7:$E$70,5)=0,S1654+1,VLOOKUP(A1655,Journal!$A$7:$E$70,5))</f>
        <v>47305</v>
      </c>
      <c r="T1655" s="125">
        <f>IF(H$2=VLOOKUP(A1655,Journal!$A$7:$F$70,6),VLOOKUP(A1655,Journal!$A$7:M$70,9),0)</f>
        <v>0</v>
      </c>
      <c r="U1655" s="125">
        <f>IF(H$2=VLOOKUP(A1655,Journal!$A$7:$G$70,7),VLOOKUP(A1655,Journal!$A$7:M$70,9),0)</f>
        <v>0</v>
      </c>
      <c r="V1655" s="125">
        <f t="shared" si="187"/>
        <v>40</v>
      </c>
      <c r="X1655">
        <f t="shared" si="192"/>
        <v>0</v>
      </c>
      <c r="Y1655" s="143">
        <f t="shared" si="186"/>
        <v>-956.71052631585837</v>
      </c>
    </row>
    <row r="1656" spans="1:25" x14ac:dyDescent="0.25">
      <c r="A1656">
        <f t="shared" si="188"/>
        <v>1649</v>
      </c>
      <c r="B1656" s="88" t="str">
        <f>IF(OR(B1655="Total",B1655=""),"",IF(VLOOKUP(A1656,Journal!$B$7:$E$84,4)=0,"Total",VLOOKUP(A1656,Journal!$B$7:$D$84,3)))</f>
        <v/>
      </c>
      <c r="C1656" s="86" t="str">
        <f>IF(B1656="","",VLOOKUP(A1656,Journal!$B$7:$E$84,4))</f>
        <v/>
      </c>
      <c r="D1656" s="114" t="str">
        <f>IF(B1656="","",VLOOKUP(A1656,Journal!$B$7:$J$84,9))</f>
        <v/>
      </c>
      <c r="E1656" s="116"/>
      <c r="F1656" s="116"/>
      <c r="G1656" s="115"/>
      <c r="H1656" s="84" t="str">
        <f>IF(B1656="","",VLOOKUP(A1656,Journal!$B$7:$L$84,11))</f>
        <v/>
      </c>
      <c r="I1656" s="84" t="str">
        <f>IF(B1656="","",VLOOKUP(A1656,Journal!$B$7:$M$84,12))</f>
        <v/>
      </c>
      <c r="J1656" s="105">
        <f>IF(B1656="Total",SUM(J$8:J1655)+0.0001,IF(OR(B1656="",I$2=I1656),0,VLOOKUP(A1656,Journal!$B$7:M$84,8)))</f>
        <v>0</v>
      </c>
      <c r="K1656" s="102">
        <f>IF(B1656="Total",SUM(K$8:K1655)+0.0001,IF(OR(B1656="",J1656&lt;&gt;0),0,VLOOKUP(A1656,Journal!$B$7:M$84,8)))</f>
        <v>0</v>
      </c>
      <c r="L1656" s="87">
        <f t="shared" si="189"/>
        <v>0</v>
      </c>
      <c r="P1656">
        <f t="shared" si="190"/>
        <v>1.0000000000000001E-5</v>
      </c>
      <c r="R1656" s="15">
        <f t="shared" si="191"/>
        <v>1649</v>
      </c>
      <c r="S1656" s="126">
        <f>IF(VLOOKUP(A1656,Journal!$A$7:$E$70,5)=0,S1655+1,VLOOKUP(A1656,Journal!$A$7:$E$70,5))</f>
        <v>47306</v>
      </c>
      <c r="T1656" s="125">
        <f>IF(H$2=VLOOKUP(A1656,Journal!$A$7:$F$70,6),VLOOKUP(A1656,Journal!$A$7:M$70,9),0)</f>
        <v>0</v>
      </c>
      <c r="U1656" s="125">
        <f>IF(H$2=VLOOKUP(A1656,Journal!$A$7:$G$70,7),VLOOKUP(A1656,Journal!$A$7:M$70,9),0)</f>
        <v>0</v>
      </c>
      <c r="V1656" s="125">
        <f t="shared" si="187"/>
        <v>40</v>
      </c>
      <c r="X1656">
        <f t="shared" si="192"/>
        <v>0</v>
      </c>
      <c r="Y1656" s="143">
        <f t="shared" si="186"/>
        <v>-956.68421052638473</v>
      </c>
    </row>
    <row r="1657" spans="1:25" x14ac:dyDescent="0.25">
      <c r="A1657">
        <f t="shared" si="188"/>
        <v>1650</v>
      </c>
      <c r="B1657" s="88" t="str">
        <f>IF(OR(B1656="Total",B1656=""),"",IF(VLOOKUP(A1657,Journal!$B$7:$E$84,4)=0,"Total",VLOOKUP(A1657,Journal!$B$7:$D$84,3)))</f>
        <v/>
      </c>
      <c r="C1657" s="86" t="str">
        <f>IF(B1657="","",VLOOKUP(A1657,Journal!$B$7:$E$84,4))</f>
        <v/>
      </c>
      <c r="D1657" s="114" t="str">
        <f>IF(B1657="","",VLOOKUP(A1657,Journal!$B$7:$J$84,9))</f>
        <v/>
      </c>
      <c r="E1657" s="116"/>
      <c r="F1657" s="116"/>
      <c r="G1657" s="115"/>
      <c r="H1657" s="84" t="str">
        <f>IF(B1657="","",VLOOKUP(A1657,Journal!$B$7:$L$84,11))</f>
        <v/>
      </c>
      <c r="I1657" s="84" t="str">
        <f>IF(B1657="","",VLOOKUP(A1657,Journal!$B$7:$M$84,12))</f>
        <v/>
      </c>
      <c r="J1657" s="105">
        <f>IF(B1657="Total",SUM(J$8:J1656)+0.0001,IF(OR(B1657="",I$2=I1657),0,VLOOKUP(A1657,Journal!$B$7:M$84,8)))</f>
        <v>0</v>
      </c>
      <c r="K1657" s="102">
        <f>IF(B1657="Total",SUM(K$8:K1656)+0.0001,IF(OR(B1657="",J1657&lt;&gt;0),0,VLOOKUP(A1657,Journal!$B$7:M$84,8)))</f>
        <v>0</v>
      </c>
      <c r="L1657" s="87">
        <f t="shared" si="189"/>
        <v>0</v>
      </c>
      <c r="P1657">
        <f t="shared" si="190"/>
        <v>1.0000000000000001E-5</v>
      </c>
      <c r="R1657" s="15">
        <f t="shared" si="191"/>
        <v>1650</v>
      </c>
      <c r="S1657" s="126">
        <f>IF(VLOOKUP(A1657,Journal!$A$7:$E$70,5)=0,S1656+1,VLOOKUP(A1657,Journal!$A$7:$E$70,5))</f>
        <v>47307</v>
      </c>
      <c r="T1657" s="125">
        <f>IF(H$2=VLOOKUP(A1657,Journal!$A$7:$F$70,6),VLOOKUP(A1657,Journal!$A$7:M$70,9),0)</f>
        <v>0</v>
      </c>
      <c r="U1657" s="125">
        <f>IF(H$2=VLOOKUP(A1657,Journal!$A$7:$G$70,7),VLOOKUP(A1657,Journal!$A$7:M$70,9),0)</f>
        <v>0</v>
      </c>
      <c r="V1657" s="125">
        <f t="shared" si="187"/>
        <v>40</v>
      </c>
      <c r="X1657">
        <f t="shared" si="192"/>
        <v>0</v>
      </c>
      <c r="Y1657" s="143">
        <f t="shared" si="186"/>
        <v>-956.65789473691109</v>
      </c>
    </row>
    <row r="1658" spans="1:25" x14ac:dyDescent="0.25">
      <c r="A1658">
        <f t="shared" si="188"/>
        <v>1651</v>
      </c>
      <c r="B1658" s="88" t="str">
        <f>IF(OR(B1657="Total",B1657=""),"",IF(VLOOKUP(A1658,Journal!$B$7:$E$84,4)=0,"Total",VLOOKUP(A1658,Journal!$B$7:$D$84,3)))</f>
        <v/>
      </c>
      <c r="C1658" s="86" t="str">
        <f>IF(B1658="","",VLOOKUP(A1658,Journal!$B$7:$E$84,4))</f>
        <v/>
      </c>
      <c r="D1658" s="114" t="str">
        <f>IF(B1658="","",VLOOKUP(A1658,Journal!$B$7:$J$84,9))</f>
        <v/>
      </c>
      <c r="E1658" s="116"/>
      <c r="F1658" s="116"/>
      <c r="G1658" s="115"/>
      <c r="H1658" s="84" t="str">
        <f>IF(B1658="","",VLOOKUP(A1658,Journal!$B$7:$L$84,11))</f>
        <v/>
      </c>
      <c r="I1658" s="84" t="str">
        <f>IF(B1658="","",VLOOKUP(A1658,Journal!$B$7:$M$84,12))</f>
        <v/>
      </c>
      <c r="J1658" s="105">
        <f>IF(B1658="Total",SUM(J$8:J1657)+0.0001,IF(OR(B1658="",I$2=I1658),0,VLOOKUP(A1658,Journal!$B$7:M$84,8)))</f>
        <v>0</v>
      </c>
      <c r="K1658" s="102">
        <f>IF(B1658="Total",SUM(K$8:K1657)+0.0001,IF(OR(B1658="",J1658&lt;&gt;0),0,VLOOKUP(A1658,Journal!$B$7:M$84,8)))</f>
        <v>0</v>
      </c>
      <c r="L1658" s="87">
        <f t="shared" si="189"/>
        <v>0</v>
      </c>
      <c r="P1658">
        <f t="shared" si="190"/>
        <v>1.0000000000000001E-5</v>
      </c>
      <c r="R1658" s="15">
        <f t="shared" si="191"/>
        <v>1651</v>
      </c>
      <c r="S1658" s="126">
        <f>IF(VLOOKUP(A1658,Journal!$A$7:$E$70,5)=0,S1657+1,VLOOKUP(A1658,Journal!$A$7:$E$70,5))</f>
        <v>47308</v>
      </c>
      <c r="T1658" s="125">
        <f>IF(H$2=VLOOKUP(A1658,Journal!$A$7:$F$70,6),VLOOKUP(A1658,Journal!$A$7:M$70,9),0)</f>
        <v>0</v>
      </c>
      <c r="U1658" s="125">
        <f>IF(H$2=VLOOKUP(A1658,Journal!$A$7:$G$70,7),VLOOKUP(A1658,Journal!$A$7:M$70,9),0)</f>
        <v>0</v>
      </c>
      <c r="V1658" s="125">
        <f t="shared" si="187"/>
        <v>40</v>
      </c>
      <c r="X1658">
        <f t="shared" si="192"/>
        <v>0</v>
      </c>
      <c r="Y1658" s="143">
        <f t="shared" si="186"/>
        <v>-956.63157894743745</v>
      </c>
    </row>
    <row r="1659" spans="1:25" x14ac:dyDescent="0.25">
      <c r="A1659">
        <f t="shared" si="188"/>
        <v>1652</v>
      </c>
      <c r="B1659" s="88" t="str">
        <f>IF(OR(B1658="Total",B1658=""),"",IF(VLOOKUP(A1659,Journal!$B$7:$E$84,4)=0,"Total",VLOOKUP(A1659,Journal!$B$7:$D$84,3)))</f>
        <v/>
      </c>
      <c r="C1659" s="86" t="str">
        <f>IF(B1659="","",VLOOKUP(A1659,Journal!$B$7:$E$84,4))</f>
        <v/>
      </c>
      <c r="D1659" s="114" t="str">
        <f>IF(B1659="","",VLOOKUP(A1659,Journal!$B$7:$J$84,9))</f>
        <v/>
      </c>
      <c r="E1659" s="116"/>
      <c r="F1659" s="116"/>
      <c r="G1659" s="115"/>
      <c r="H1659" s="84" t="str">
        <f>IF(B1659="","",VLOOKUP(A1659,Journal!$B$7:$L$84,11))</f>
        <v/>
      </c>
      <c r="I1659" s="84" t="str">
        <f>IF(B1659="","",VLOOKUP(A1659,Journal!$B$7:$M$84,12))</f>
        <v/>
      </c>
      <c r="J1659" s="105">
        <f>IF(B1659="Total",SUM(J$8:J1658)+0.0001,IF(OR(B1659="",I$2=I1659),0,VLOOKUP(A1659,Journal!$B$7:M$84,8)))</f>
        <v>0</v>
      </c>
      <c r="K1659" s="102">
        <f>IF(B1659="Total",SUM(K$8:K1658)+0.0001,IF(OR(B1659="",J1659&lt;&gt;0),0,VLOOKUP(A1659,Journal!$B$7:M$84,8)))</f>
        <v>0</v>
      </c>
      <c r="L1659" s="87">
        <f t="shared" si="189"/>
        <v>0</v>
      </c>
      <c r="P1659">
        <f t="shared" si="190"/>
        <v>1.0000000000000001E-5</v>
      </c>
      <c r="R1659" s="15">
        <f t="shared" si="191"/>
        <v>1652</v>
      </c>
      <c r="S1659" s="126">
        <f>IF(VLOOKUP(A1659,Journal!$A$7:$E$70,5)=0,S1658+1,VLOOKUP(A1659,Journal!$A$7:$E$70,5))</f>
        <v>47309</v>
      </c>
      <c r="T1659" s="125">
        <f>IF(H$2=VLOOKUP(A1659,Journal!$A$7:$F$70,6),VLOOKUP(A1659,Journal!$A$7:M$70,9),0)</f>
        <v>0</v>
      </c>
      <c r="U1659" s="125">
        <f>IF(H$2=VLOOKUP(A1659,Journal!$A$7:$G$70,7),VLOOKUP(A1659,Journal!$A$7:M$70,9),0)</f>
        <v>0</v>
      </c>
      <c r="V1659" s="125">
        <f t="shared" si="187"/>
        <v>40</v>
      </c>
      <c r="X1659">
        <f t="shared" si="192"/>
        <v>0</v>
      </c>
      <c r="Y1659" s="143">
        <f t="shared" si="186"/>
        <v>-956.6052631579638</v>
      </c>
    </row>
    <row r="1660" spans="1:25" x14ac:dyDescent="0.25">
      <c r="A1660">
        <f t="shared" si="188"/>
        <v>1653</v>
      </c>
      <c r="B1660" s="88" t="str">
        <f>IF(OR(B1659="Total",B1659=""),"",IF(VLOOKUP(A1660,Journal!$B$7:$E$84,4)=0,"Total",VLOOKUP(A1660,Journal!$B$7:$D$84,3)))</f>
        <v/>
      </c>
      <c r="C1660" s="86" t="str">
        <f>IF(B1660="","",VLOOKUP(A1660,Journal!$B$7:$E$84,4))</f>
        <v/>
      </c>
      <c r="D1660" s="114" t="str">
        <f>IF(B1660="","",VLOOKUP(A1660,Journal!$B$7:$J$84,9))</f>
        <v/>
      </c>
      <c r="E1660" s="116"/>
      <c r="F1660" s="116"/>
      <c r="G1660" s="115"/>
      <c r="H1660" s="84" t="str">
        <f>IF(B1660="","",VLOOKUP(A1660,Journal!$B$7:$L$84,11))</f>
        <v/>
      </c>
      <c r="I1660" s="84" t="str">
        <f>IF(B1660="","",VLOOKUP(A1660,Journal!$B$7:$M$84,12))</f>
        <v/>
      </c>
      <c r="J1660" s="105">
        <f>IF(B1660="Total",SUM(J$8:J1659)+0.0001,IF(OR(B1660="",I$2=I1660),0,VLOOKUP(A1660,Journal!$B$7:M$84,8)))</f>
        <v>0</v>
      </c>
      <c r="K1660" s="102">
        <f>IF(B1660="Total",SUM(K$8:K1659)+0.0001,IF(OR(B1660="",J1660&lt;&gt;0),0,VLOOKUP(A1660,Journal!$B$7:M$84,8)))</f>
        <v>0</v>
      </c>
      <c r="L1660" s="87">
        <f t="shared" si="189"/>
        <v>0</v>
      </c>
      <c r="P1660">
        <f t="shared" si="190"/>
        <v>1.0000000000000001E-5</v>
      </c>
      <c r="R1660" s="15">
        <f t="shared" si="191"/>
        <v>1653</v>
      </c>
      <c r="S1660" s="126">
        <f>IF(VLOOKUP(A1660,Journal!$A$7:$E$70,5)=0,S1659+1,VLOOKUP(A1660,Journal!$A$7:$E$70,5))</f>
        <v>47310</v>
      </c>
      <c r="T1660" s="125">
        <f>IF(H$2=VLOOKUP(A1660,Journal!$A$7:$F$70,6),VLOOKUP(A1660,Journal!$A$7:M$70,9),0)</f>
        <v>0</v>
      </c>
      <c r="U1660" s="125">
        <f>IF(H$2=VLOOKUP(A1660,Journal!$A$7:$G$70,7),VLOOKUP(A1660,Journal!$A$7:M$70,9),0)</f>
        <v>0</v>
      </c>
      <c r="V1660" s="125">
        <f t="shared" si="187"/>
        <v>40</v>
      </c>
      <c r="X1660">
        <f t="shared" si="192"/>
        <v>0</v>
      </c>
      <c r="Y1660" s="143">
        <f t="shared" si="186"/>
        <v>-956.57894736849016</v>
      </c>
    </row>
    <row r="1661" spans="1:25" x14ac:dyDescent="0.25">
      <c r="A1661">
        <f t="shared" si="188"/>
        <v>1654</v>
      </c>
      <c r="B1661" s="88" t="str">
        <f>IF(OR(B1660="Total",B1660=""),"",IF(VLOOKUP(A1661,Journal!$B$7:$E$84,4)=0,"Total",VLOOKUP(A1661,Journal!$B$7:$D$84,3)))</f>
        <v/>
      </c>
      <c r="C1661" s="86" t="str">
        <f>IF(B1661="","",VLOOKUP(A1661,Journal!$B$7:$E$84,4))</f>
        <v/>
      </c>
      <c r="D1661" s="114" t="str">
        <f>IF(B1661="","",VLOOKUP(A1661,Journal!$B$7:$J$84,9))</f>
        <v/>
      </c>
      <c r="E1661" s="116"/>
      <c r="F1661" s="116"/>
      <c r="G1661" s="115"/>
      <c r="H1661" s="84" t="str">
        <f>IF(B1661="","",VLOOKUP(A1661,Journal!$B$7:$L$84,11))</f>
        <v/>
      </c>
      <c r="I1661" s="84" t="str">
        <f>IF(B1661="","",VLOOKUP(A1661,Journal!$B$7:$M$84,12))</f>
        <v/>
      </c>
      <c r="J1661" s="105">
        <f>IF(B1661="Total",SUM(J$8:J1660)+0.0001,IF(OR(B1661="",I$2=I1661),0,VLOOKUP(A1661,Journal!$B$7:M$84,8)))</f>
        <v>0</v>
      </c>
      <c r="K1661" s="102">
        <f>IF(B1661="Total",SUM(K$8:K1660)+0.0001,IF(OR(B1661="",J1661&lt;&gt;0),0,VLOOKUP(A1661,Journal!$B$7:M$84,8)))</f>
        <v>0</v>
      </c>
      <c r="L1661" s="87">
        <f t="shared" si="189"/>
        <v>0</v>
      </c>
      <c r="P1661">
        <f t="shared" si="190"/>
        <v>1.0000000000000001E-5</v>
      </c>
      <c r="R1661" s="15">
        <f t="shared" si="191"/>
        <v>1654</v>
      </c>
      <c r="S1661" s="126">
        <f>IF(VLOOKUP(A1661,Journal!$A$7:$E$70,5)=0,S1660+1,VLOOKUP(A1661,Journal!$A$7:$E$70,5))</f>
        <v>47311</v>
      </c>
      <c r="T1661" s="125">
        <f>IF(H$2=VLOOKUP(A1661,Journal!$A$7:$F$70,6),VLOOKUP(A1661,Journal!$A$7:M$70,9),0)</f>
        <v>0</v>
      </c>
      <c r="U1661" s="125">
        <f>IF(H$2=VLOOKUP(A1661,Journal!$A$7:$G$70,7),VLOOKUP(A1661,Journal!$A$7:M$70,9),0)</f>
        <v>0</v>
      </c>
      <c r="V1661" s="125">
        <f t="shared" si="187"/>
        <v>40</v>
      </c>
      <c r="X1661">
        <f t="shared" si="192"/>
        <v>0</v>
      </c>
      <c r="Y1661" s="143">
        <f t="shared" si="186"/>
        <v>-956.55263157901652</v>
      </c>
    </row>
    <row r="1662" spans="1:25" x14ac:dyDescent="0.25">
      <c r="A1662">
        <f t="shared" si="188"/>
        <v>1655</v>
      </c>
      <c r="B1662" s="88" t="str">
        <f>IF(OR(B1661="Total",B1661=""),"",IF(VLOOKUP(A1662,Journal!$B$7:$E$84,4)=0,"Total",VLOOKUP(A1662,Journal!$B$7:$D$84,3)))</f>
        <v/>
      </c>
      <c r="C1662" s="86" t="str">
        <f>IF(B1662="","",VLOOKUP(A1662,Journal!$B$7:$E$84,4))</f>
        <v/>
      </c>
      <c r="D1662" s="114" t="str">
        <f>IF(B1662="","",VLOOKUP(A1662,Journal!$B$7:$J$84,9))</f>
        <v/>
      </c>
      <c r="E1662" s="116"/>
      <c r="F1662" s="116"/>
      <c r="G1662" s="115"/>
      <c r="H1662" s="84" t="str">
        <f>IF(B1662="","",VLOOKUP(A1662,Journal!$B$7:$L$84,11))</f>
        <v/>
      </c>
      <c r="I1662" s="84" t="str">
        <f>IF(B1662="","",VLOOKUP(A1662,Journal!$B$7:$M$84,12))</f>
        <v/>
      </c>
      <c r="J1662" s="105">
        <f>IF(B1662="Total",SUM(J$8:J1661)+0.0001,IF(OR(B1662="",I$2=I1662),0,VLOOKUP(A1662,Journal!$B$7:M$84,8)))</f>
        <v>0</v>
      </c>
      <c r="K1662" s="102">
        <f>IF(B1662="Total",SUM(K$8:K1661)+0.0001,IF(OR(B1662="",J1662&lt;&gt;0),0,VLOOKUP(A1662,Journal!$B$7:M$84,8)))</f>
        <v>0</v>
      </c>
      <c r="L1662" s="87">
        <f t="shared" si="189"/>
        <v>0</v>
      </c>
      <c r="P1662">
        <f t="shared" si="190"/>
        <v>1.0000000000000001E-5</v>
      </c>
      <c r="R1662" s="15">
        <f t="shared" si="191"/>
        <v>1655</v>
      </c>
      <c r="S1662" s="126">
        <f>IF(VLOOKUP(A1662,Journal!$A$7:$E$70,5)=0,S1661+1,VLOOKUP(A1662,Journal!$A$7:$E$70,5))</f>
        <v>47312</v>
      </c>
      <c r="T1662" s="125">
        <f>IF(H$2=VLOOKUP(A1662,Journal!$A$7:$F$70,6),VLOOKUP(A1662,Journal!$A$7:M$70,9),0)</f>
        <v>0</v>
      </c>
      <c r="U1662" s="125">
        <f>IF(H$2=VLOOKUP(A1662,Journal!$A$7:$G$70,7),VLOOKUP(A1662,Journal!$A$7:M$70,9),0)</f>
        <v>0</v>
      </c>
      <c r="V1662" s="125">
        <f t="shared" si="187"/>
        <v>40</v>
      </c>
      <c r="X1662">
        <f t="shared" si="192"/>
        <v>0</v>
      </c>
      <c r="Y1662" s="143">
        <f t="shared" si="186"/>
        <v>-956.52631578954288</v>
      </c>
    </row>
    <row r="1663" spans="1:25" x14ac:dyDescent="0.25">
      <c r="A1663">
        <f t="shared" si="188"/>
        <v>1656</v>
      </c>
      <c r="B1663" s="88" t="str">
        <f>IF(OR(B1662="Total",B1662=""),"",IF(VLOOKUP(A1663,Journal!$B$7:$E$84,4)=0,"Total",VLOOKUP(A1663,Journal!$B$7:$D$84,3)))</f>
        <v/>
      </c>
      <c r="C1663" s="86" t="str">
        <f>IF(B1663="","",VLOOKUP(A1663,Journal!$B$7:$E$84,4))</f>
        <v/>
      </c>
      <c r="D1663" s="114" t="str">
        <f>IF(B1663="","",VLOOKUP(A1663,Journal!$B$7:$J$84,9))</f>
        <v/>
      </c>
      <c r="E1663" s="116"/>
      <c r="F1663" s="116"/>
      <c r="G1663" s="115"/>
      <c r="H1663" s="84" t="str">
        <f>IF(B1663="","",VLOOKUP(A1663,Journal!$B$7:$L$84,11))</f>
        <v/>
      </c>
      <c r="I1663" s="84" t="str">
        <f>IF(B1663="","",VLOOKUP(A1663,Journal!$B$7:$M$84,12))</f>
        <v/>
      </c>
      <c r="J1663" s="105">
        <f>IF(B1663="Total",SUM(J$8:J1662)+0.0001,IF(OR(B1663="",I$2=I1663),0,VLOOKUP(A1663,Journal!$B$7:M$84,8)))</f>
        <v>0</v>
      </c>
      <c r="K1663" s="102">
        <f>IF(B1663="Total",SUM(K$8:K1662)+0.0001,IF(OR(B1663="",J1663&lt;&gt;0),0,VLOOKUP(A1663,Journal!$B$7:M$84,8)))</f>
        <v>0</v>
      </c>
      <c r="L1663" s="87">
        <f t="shared" si="189"/>
        <v>0</v>
      </c>
      <c r="P1663">
        <f t="shared" si="190"/>
        <v>1.0000000000000001E-5</v>
      </c>
      <c r="R1663" s="15">
        <f t="shared" si="191"/>
        <v>1656</v>
      </c>
      <c r="S1663" s="126">
        <f>IF(VLOOKUP(A1663,Journal!$A$7:$E$70,5)=0,S1662+1,VLOOKUP(A1663,Journal!$A$7:$E$70,5))</f>
        <v>47313</v>
      </c>
      <c r="T1663" s="125">
        <f>IF(H$2=VLOOKUP(A1663,Journal!$A$7:$F$70,6),VLOOKUP(A1663,Journal!$A$7:M$70,9),0)</f>
        <v>0</v>
      </c>
      <c r="U1663" s="125">
        <f>IF(H$2=VLOOKUP(A1663,Journal!$A$7:$G$70,7),VLOOKUP(A1663,Journal!$A$7:M$70,9),0)</f>
        <v>0</v>
      </c>
      <c r="V1663" s="125">
        <f t="shared" si="187"/>
        <v>40</v>
      </c>
      <c r="X1663">
        <f t="shared" si="192"/>
        <v>0</v>
      </c>
      <c r="Y1663" s="143">
        <f t="shared" si="186"/>
        <v>-956.50000000006924</v>
      </c>
    </row>
    <row r="1664" spans="1:25" x14ac:dyDescent="0.25">
      <c r="A1664">
        <f t="shared" si="188"/>
        <v>1657</v>
      </c>
      <c r="B1664" s="88" t="str">
        <f>IF(OR(B1663="Total",B1663=""),"",IF(VLOOKUP(A1664,Journal!$B$7:$E$84,4)=0,"Total",VLOOKUP(A1664,Journal!$B$7:$D$84,3)))</f>
        <v/>
      </c>
      <c r="C1664" s="86" t="str">
        <f>IF(B1664="","",VLOOKUP(A1664,Journal!$B$7:$E$84,4))</f>
        <v/>
      </c>
      <c r="D1664" s="114" t="str">
        <f>IF(B1664="","",VLOOKUP(A1664,Journal!$B$7:$J$84,9))</f>
        <v/>
      </c>
      <c r="E1664" s="116"/>
      <c r="F1664" s="116"/>
      <c r="G1664" s="115"/>
      <c r="H1664" s="84" t="str">
        <f>IF(B1664="","",VLOOKUP(A1664,Journal!$B$7:$L$84,11))</f>
        <v/>
      </c>
      <c r="I1664" s="84" t="str">
        <f>IF(B1664="","",VLOOKUP(A1664,Journal!$B$7:$M$84,12))</f>
        <v/>
      </c>
      <c r="J1664" s="105">
        <f>IF(B1664="Total",SUM(J$8:J1663)+0.0001,IF(OR(B1664="",I$2=I1664),0,VLOOKUP(A1664,Journal!$B$7:M$84,8)))</f>
        <v>0</v>
      </c>
      <c r="K1664" s="102">
        <f>IF(B1664="Total",SUM(K$8:K1663)+0.0001,IF(OR(B1664="",J1664&lt;&gt;0),0,VLOOKUP(A1664,Journal!$B$7:M$84,8)))</f>
        <v>0</v>
      </c>
      <c r="L1664" s="87">
        <f t="shared" si="189"/>
        <v>0</v>
      </c>
      <c r="P1664">
        <f t="shared" si="190"/>
        <v>1.0000000000000001E-5</v>
      </c>
      <c r="R1664" s="15">
        <f t="shared" si="191"/>
        <v>1657</v>
      </c>
      <c r="S1664" s="126">
        <f>IF(VLOOKUP(A1664,Journal!$A$7:$E$70,5)=0,S1663+1,VLOOKUP(A1664,Journal!$A$7:$E$70,5))</f>
        <v>47314</v>
      </c>
      <c r="T1664" s="125">
        <f>IF(H$2=VLOOKUP(A1664,Journal!$A$7:$F$70,6),VLOOKUP(A1664,Journal!$A$7:M$70,9),0)</f>
        <v>0</v>
      </c>
      <c r="U1664" s="125">
        <f>IF(H$2=VLOOKUP(A1664,Journal!$A$7:$G$70,7),VLOOKUP(A1664,Journal!$A$7:M$70,9),0)</f>
        <v>0</v>
      </c>
      <c r="V1664" s="125">
        <f t="shared" si="187"/>
        <v>40</v>
      </c>
      <c r="X1664">
        <f t="shared" si="192"/>
        <v>0</v>
      </c>
      <c r="Y1664" s="143">
        <f t="shared" si="186"/>
        <v>-956.47368421059559</v>
      </c>
    </row>
    <row r="1665" spans="1:25" x14ac:dyDescent="0.25">
      <c r="A1665">
        <f t="shared" si="188"/>
        <v>1658</v>
      </c>
      <c r="B1665" s="88" t="str">
        <f>IF(OR(B1664="Total",B1664=""),"",IF(VLOOKUP(A1665,Journal!$B$7:$E$84,4)=0,"Total",VLOOKUP(A1665,Journal!$B$7:$D$84,3)))</f>
        <v/>
      </c>
      <c r="C1665" s="86" t="str">
        <f>IF(B1665="","",VLOOKUP(A1665,Journal!$B$7:$E$84,4))</f>
        <v/>
      </c>
      <c r="D1665" s="114" t="str">
        <f>IF(B1665="","",VLOOKUP(A1665,Journal!$B$7:$J$84,9))</f>
        <v/>
      </c>
      <c r="E1665" s="116"/>
      <c r="F1665" s="116"/>
      <c r="G1665" s="115"/>
      <c r="H1665" s="84" t="str">
        <f>IF(B1665="","",VLOOKUP(A1665,Journal!$B$7:$L$84,11))</f>
        <v/>
      </c>
      <c r="I1665" s="84" t="str">
        <f>IF(B1665="","",VLOOKUP(A1665,Journal!$B$7:$M$84,12))</f>
        <v/>
      </c>
      <c r="J1665" s="105">
        <f>IF(B1665="Total",SUM(J$8:J1664)+0.0001,IF(OR(B1665="",I$2=I1665),0,VLOOKUP(A1665,Journal!$B$7:M$84,8)))</f>
        <v>0</v>
      </c>
      <c r="K1665" s="102">
        <f>IF(B1665="Total",SUM(K$8:K1664)+0.0001,IF(OR(B1665="",J1665&lt;&gt;0),0,VLOOKUP(A1665,Journal!$B$7:M$84,8)))</f>
        <v>0</v>
      </c>
      <c r="L1665" s="87">
        <f t="shared" si="189"/>
        <v>0</v>
      </c>
      <c r="P1665">
        <f t="shared" si="190"/>
        <v>1.0000000000000001E-5</v>
      </c>
      <c r="R1665" s="15">
        <f t="shared" si="191"/>
        <v>1658</v>
      </c>
      <c r="S1665" s="126">
        <f>IF(VLOOKUP(A1665,Journal!$A$7:$E$70,5)=0,S1664+1,VLOOKUP(A1665,Journal!$A$7:$E$70,5))</f>
        <v>47315</v>
      </c>
      <c r="T1665" s="125">
        <f>IF(H$2=VLOOKUP(A1665,Journal!$A$7:$F$70,6),VLOOKUP(A1665,Journal!$A$7:M$70,9),0)</f>
        <v>0</v>
      </c>
      <c r="U1665" s="125">
        <f>IF(H$2=VLOOKUP(A1665,Journal!$A$7:$G$70,7),VLOOKUP(A1665,Journal!$A$7:M$70,9),0)</f>
        <v>0</v>
      </c>
      <c r="V1665" s="125">
        <f t="shared" si="187"/>
        <v>40</v>
      </c>
      <c r="X1665">
        <f t="shared" si="192"/>
        <v>0</v>
      </c>
      <c r="Y1665" s="143">
        <f t="shared" si="186"/>
        <v>-956.44736842112195</v>
      </c>
    </row>
    <row r="1666" spans="1:25" x14ac:dyDescent="0.25">
      <c r="A1666">
        <f t="shared" si="188"/>
        <v>1659</v>
      </c>
      <c r="B1666" s="88" t="str">
        <f>IF(OR(B1665="Total",B1665=""),"",IF(VLOOKUP(A1666,Journal!$B$7:$E$84,4)=0,"Total",VLOOKUP(A1666,Journal!$B$7:$D$84,3)))</f>
        <v/>
      </c>
      <c r="C1666" s="86" t="str">
        <f>IF(B1666="","",VLOOKUP(A1666,Journal!$B$7:$E$84,4))</f>
        <v/>
      </c>
      <c r="D1666" s="114" t="str">
        <f>IF(B1666="","",VLOOKUP(A1666,Journal!$B$7:$J$84,9))</f>
        <v/>
      </c>
      <c r="E1666" s="116"/>
      <c r="F1666" s="116"/>
      <c r="G1666" s="115"/>
      <c r="H1666" s="84" t="str">
        <f>IF(B1666="","",VLOOKUP(A1666,Journal!$B$7:$L$84,11))</f>
        <v/>
      </c>
      <c r="I1666" s="84" t="str">
        <f>IF(B1666="","",VLOOKUP(A1666,Journal!$B$7:$M$84,12))</f>
        <v/>
      </c>
      <c r="J1666" s="105">
        <f>IF(B1666="Total",SUM(J$8:J1665)+0.0001,IF(OR(B1666="",I$2=I1666),0,VLOOKUP(A1666,Journal!$B$7:M$84,8)))</f>
        <v>0</v>
      </c>
      <c r="K1666" s="102">
        <f>IF(B1666="Total",SUM(K$8:K1665)+0.0001,IF(OR(B1666="",J1666&lt;&gt;0),0,VLOOKUP(A1666,Journal!$B$7:M$84,8)))</f>
        <v>0</v>
      </c>
      <c r="L1666" s="87">
        <f t="shared" si="189"/>
        <v>0</v>
      </c>
      <c r="P1666">
        <f t="shared" si="190"/>
        <v>1.0000000000000001E-5</v>
      </c>
      <c r="R1666" s="15">
        <f t="shared" si="191"/>
        <v>1659</v>
      </c>
      <c r="S1666" s="126">
        <f>IF(VLOOKUP(A1666,Journal!$A$7:$E$70,5)=0,S1665+1,VLOOKUP(A1666,Journal!$A$7:$E$70,5))</f>
        <v>47316</v>
      </c>
      <c r="T1666" s="125">
        <f>IF(H$2=VLOOKUP(A1666,Journal!$A$7:$F$70,6),VLOOKUP(A1666,Journal!$A$7:M$70,9),0)</f>
        <v>0</v>
      </c>
      <c r="U1666" s="125">
        <f>IF(H$2=VLOOKUP(A1666,Journal!$A$7:$G$70,7),VLOOKUP(A1666,Journal!$A$7:M$70,9),0)</f>
        <v>0</v>
      </c>
      <c r="V1666" s="125">
        <f t="shared" si="187"/>
        <v>40</v>
      </c>
      <c r="X1666">
        <f t="shared" si="192"/>
        <v>0</v>
      </c>
      <c r="Y1666" s="143">
        <f t="shared" si="186"/>
        <v>-956.42105263164831</v>
      </c>
    </row>
    <row r="1667" spans="1:25" x14ac:dyDescent="0.25">
      <c r="A1667">
        <f t="shared" si="188"/>
        <v>1660</v>
      </c>
      <c r="B1667" s="88" t="str">
        <f>IF(OR(B1666="Total",B1666=""),"",IF(VLOOKUP(A1667,Journal!$B$7:$E$84,4)=0,"Total",VLOOKUP(A1667,Journal!$B$7:$D$84,3)))</f>
        <v/>
      </c>
      <c r="C1667" s="86" t="str">
        <f>IF(B1667="","",VLOOKUP(A1667,Journal!$B$7:$E$84,4))</f>
        <v/>
      </c>
      <c r="D1667" s="114" t="str">
        <f>IF(B1667="","",VLOOKUP(A1667,Journal!$B$7:$J$84,9))</f>
        <v/>
      </c>
      <c r="E1667" s="116"/>
      <c r="F1667" s="116"/>
      <c r="G1667" s="115"/>
      <c r="H1667" s="84" t="str">
        <f>IF(B1667="","",VLOOKUP(A1667,Journal!$B$7:$L$84,11))</f>
        <v/>
      </c>
      <c r="I1667" s="84" t="str">
        <f>IF(B1667="","",VLOOKUP(A1667,Journal!$B$7:$M$84,12))</f>
        <v/>
      </c>
      <c r="J1667" s="105">
        <f>IF(B1667="Total",SUM(J$8:J1666)+0.0001,IF(OR(B1667="",I$2=I1667),0,VLOOKUP(A1667,Journal!$B$7:M$84,8)))</f>
        <v>0</v>
      </c>
      <c r="K1667" s="102">
        <f>IF(B1667="Total",SUM(K$8:K1666)+0.0001,IF(OR(B1667="",J1667&lt;&gt;0),0,VLOOKUP(A1667,Journal!$B$7:M$84,8)))</f>
        <v>0</v>
      </c>
      <c r="L1667" s="87">
        <f t="shared" si="189"/>
        <v>0</v>
      </c>
      <c r="P1667">
        <f t="shared" si="190"/>
        <v>1.0000000000000001E-5</v>
      </c>
      <c r="R1667" s="15">
        <f t="shared" si="191"/>
        <v>1660</v>
      </c>
      <c r="S1667" s="126">
        <f>IF(VLOOKUP(A1667,Journal!$A$7:$E$70,5)=0,S1666+1,VLOOKUP(A1667,Journal!$A$7:$E$70,5))</f>
        <v>47317</v>
      </c>
      <c r="T1667" s="125">
        <f>IF(H$2=VLOOKUP(A1667,Journal!$A$7:$F$70,6),VLOOKUP(A1667,Journal!$A$7:M$70,9),0)</f>
        <v>0</v>
      </c>
      <c r="U1667" s="125">
        <f>IF(H$2=VLOOKUP(A1667,Journal!$A$7:$G$70,7),VLOOKUP(A1667,Journal!$A$7:M$70,9),0)</f>
        <v>0</v>
      </c>
      <c r="V1667" s="125">
        <f t="shared" si="187"/>
        <v>40</v>
      </c>
      <c r="X1667">
        <f t="shared" si="192"/>
        <v>0</v>
      </c>
      <c r="Y1667" s="143">
        <f t="shared" si="186"/>
        <v>-956.39473684217467</v>
      </c>
    </row>
    <row r="1668" spans="1:25" x14ac:dyDescent="0.25">
      <c r="A1668">
        <f t="shared" si="188"/>
        <v>1661</v>
      </c>
      <c r="B1668" s="88" t="str">
        <f>IF(OR(B1667="Total",B1667=""),"",IF(VLOOKUP(A1668,Journal!$B$7:$E$84,4)=0,"Total",VLOOKUP(A1668,Journal!$B$7:$D$84,3)))</f>
        <v/>
      </c>
      <c r="C1668" s="86" t="str">
        <f>IF(B1668="","",VLOOKUP(A1668,Journal!$B$7:$E$84,4))</f>
        <v/>
      </c>
      <c r="D1668" s="114" t="str">
        <f>IF(B1668="","",VLOOKUP(A1668,Journal!$B$7:$J$84,9))</f>
        <v/>
      </c>
      <c r="E1668" s="116"/>
      <c r="F1668" s="116"/>
      <c r="G1668" s="115"/>
      <c r="H1668" s="84" t="str">
        <f>IF(B1668="","",VLOOKUP(A1668,Journal!$B$7:$L$84,11))</f>
        <v/>
      </c>
      <c r="I1668" s="84" t="str">
        <f>IF(B1668="","",VLOOKUP(A1668,Journal!$B$7:$M$84,12))</f>
        <v/>
      </c>
      <c r="J1668" s="105">
        <f>IF(B1668="Total",SUM(J$8:J1667)+0.0001,IF(OR(B1668="",I$2=I1668),0,VLOOKUP(A1668,Journal!$B$7:M$84,8)))</f>
        <v>0</v>
      </c>
      <c r="K1668" s="102">
        <f>IF(B1668="Total",SUM(K$8:K1667)+0.0001,IF(OR(B1668="",J1668&lt;&gt;0),0,VLOOKUP(A1668,Journal!$B$7:M$84,8)))</f>
        <v>0</v>
      </c>
      <c r="L1668" s="87">
        <f t="shared" si="189"/>
        <v>0</v>
      </c>
      <c r="P1668">
        <f t="shared" si="190"/>
        <v>1.0000000000000001E-5</v>
      </c>
      <c r="R1668" s="15">
        <f t="shared" si="191"/>
        <v>1661</v>
      </c>
      <c r="S1668" s="126">
        <f>IF(VLOOKUP(A1668,Journal!$A$7:$E$70,5)=0,S1667+1,VLOOKUP(A1668,Journal!$A$7:$E$70,5))</f>
        <v>47318</v>
      </c>
      <c r="T1668" s="125">
        <f>IF(H$2=VLOOKUP(A1668,Journal!$A$7:$F$70,6),VLOOKUP(A1668,Journal!$A$7:M$70,9),0)</f>
        <v>0</v>
      </c>
      <c r="U1668" s="125">
        <f>IF(H$2=VLOOKUP(A1668,Journal!$A$7:$G$70,7),VLOOKUP(A1668,Journal!$A$7:M$70,9),0)</f>
        <v>0</v>
      </c>
      <c r="V1668" s="125">
        <f t="shared" si="187"/>
        <v>40</v>
      </c>
      <c r="X1668">
        <f t="shared" si="192"/>
        <v>0</v>
      </c>
      <c r="Y1668" s="143">
        <f t="shared" si="186"/>
        <v>-956.36842105270102</v>
      </c>
    </row>
    <row r="1669" spans="1:25" x14ac:dyDescent="0.25">
      <c r="A1669">
        <f t="shared" si="188"/>
        <v>1662</v>
      </c>
      <c r="B1669" s="88" t="str">
        <f>IF(OR(B1668="Total",B1668=""),"",IF(VLOOKUP(A1669,Journal!$B$7:$E$84,4)=0,"Total",VLOOKUP(A1669,Journal!$B$7:$D$84,3)))</f>
        <v/>
      </c>
      <c r="C1669" s="86" t="str">
        <f>IF(B1669="","",VLOOKUP(A1669,Journal!$B$7:$E$84,4))</f>
        <v/>
      </c>
      <c r="D1669" s="114" t="str">
        <f>IF(B1669="","",VLOOKUP(A1669,Journal!$B$7:$J$84,9))</f>
        <v/>
      </c>
      <c r="E1669" s="116"/>
      <c r="F1669" s="116"/>
      <c r="G1669" s="115"/>
      <c r="H1669" s="84" t="str">
        <f>IF(B1669="","",VLOOKUP(A1669,Journal!$B$7:$L$84,11))</f>
        <v/>
      </c>
      <c r="I1669" s="84" t="str">
        <f>IF(B1669="","",VLOOKUP(A1669,Journal!$B$7:$M$84,12))</f>
        <v/>
      </c>
      <c r="J1669" s="105">
        <f>IF(B1669="Total",SUM(J$8:J1668)+0.0001,IF(OR(B1669="",I$2=I1669),0,VLOOKUP(A1669,Journal!$B$7:M$84,8)))</f>
        <v>0</v>
      </c>
      <c r="K1669" s="102">
        <f>IF(B1669="Total",SUM(K$8:K1668)+0.0001,IF(OR(B1669="",J1669&lt;&gt;0),0,VLOOKUP(A1669,Journal!$B$7:M$84,8)))</f>
        <v>0</v>
      </c>
      <c r="L1669" s="87">
        <f t="shared" si="189"/>
        <v>0</v>
      </c>
      <c r="P1669">
        <f t="shared" si="190"/>
        <v>1.0000000000000001E-5</v>
      </c>
      <c r="R1669" s="15">
        <f t="shared" si="191"/>
        <v>1662</v>
      </c>
      <c r="S1669" s="126">
        <f>IF(VLOOKUP(A1669,Journal!$A$7:$E$70,5)=0,S1668+1,VLOOKUP(A1669,Journal!$A$7:$E$70,5))</f>
        <v>47319</v>
      </c>
      <c r="T1669" s="125">
        <f>IF(H$2=VLOOKUP(A1669,Journal!$A$7:$F$70,6),VLOOKUP(A1669,Journal!$A$7:M$70,9),0)</f>
        <v>0</v>
      </c>
      <c r="U1669" s="125">
        <f>IF(H$2=VLOOKUP(A1669,Journal!$A$7:$G$70,7),VLOOKUP(A1669,Journal!$A$7:M$70,9),0)</f>
        <v>0</v>
      </c>
      <c r="V1669" s="125">
        <f t="shared" si="187"/>
        <v>40</v>
      </c>
      <c r="X1669">
        <f t="shared" si="192"/>
        <v>0</v>
      </c>
      <c r="Y1669" s="143">
        <f t="shared" si="186"/>
        <v>-956.34210526322738</v>
      </c>
    </row>
    <row r="1670" spans="1:25" x14ac:dyDescent="0.25">
      <c r="A1670">
        <f t="shared" si="188"/>
        <v>1663</v>
      </c>
      <c r="B1670" s="88" t="str">
        <f>IF(OR(B1669="Total",B1669=""),"",IF(VLOOKUP(A1670,Journal!$B$7:$E$84,4)=0,"Total",VLOOKUP(A1670,Journal!$B$7:$D$84,3)))</f>
        <v/>
      </c>
      <c r="C1670" s="86" t="str">
        <f>IF(B1670="","",VLOOKUP(A1670,Journal!$B$7:$E$84,4))</f>
        <v/>
      </c>
      <c r="D1670" s="114" t="str">
        <f>IF(B1670="","",VLOOKUP(A1670,Journal!$B$7:$J$84,9))</f>
        <v/>
      </c>
      <c r="E1670" s="116"/>
      <c r="F1670" s="116"/>
      <c r="G1670" s="115"/>
      <c r="H1670" s="84" t="str">
        <f>IF(B1670="","",VLOOKUP(A1670,Journal!$B$7:$L$84,11))</f>
        <v/>
      </c>
      <c r="I1670" s="84" t="str">
        <f>IF(B1670="","",VLOOKUP(A1670,Journal!$B$7:$M$84,12))</f>
        <v/>
      </c>
      <c r="J1670" s="105">
        <f>IF(B1670="Total",SUM(J$8:J1669)+0.0001,IF(OR(B1670="",I$2=I1670),0,VLOOKUP(A1670,Journal!$B$7:M$84,8)))</f>
        <v>0</v>
      </c>
      <c r="K1670" s="102">
        <f>IF(B1670="Total",SUM(K$8:K1669)+0.0001,IF(OR(B1670="",J1670&lt;&gt;0),0,VLOOKUP(A1670,Journal!$B$7:M$84,8)))</f>
        <v>0</v>
      </c>
      <c r="L1670" s="87">
        <f t="shared" si="189"/>
        <v>0</v>
      </c>
      <c r="P1670">
        <f t="shared" si="190"/>
        <v>1.0000000000000001E-5</v>
      </c>
      <c r="R1670" s="15">
        <f t="shared" si="191"/>
        <v>1663</v>
      </c>
      <c r="S1670" s="126">
        <f>IF(VLOOKUP(A1670,Journal!$A$7:$E$70,5)=0,S1669+1,VLOOKUP(A1670,Journal!$A$7:$E$70,5))</f>
        <v>47320</v>
      </c>
      <c r="T1670" s="125">
        <f>IF(H$2=VLOOKUP(A1670,Journal!$A$7:$F$70,6),VLOOKUP(A1670,Journal!$A$7:M$70,9),0)</f>
        <v>0</v>
      </c>
      <c r="U1670" s="125">
        <f>IF(H$2=VLOOKUP(A1670,Journal!$A$7:$G$70,7),VLOOKUP(A1670,Journal!$A$7:M$70,9),0)</f>
        <v>0</v>
      </c>
      <c r="V1670" s="125">
        <f t="shared" si="187"/>
        <v>40</v>
      </c>
      <c r="X1670">
        <f t="shared" si="192"/>
        <v>0</v>
      </c>
      <c r="Y1670" s="143">
        <f t="shared" si="186"/>
        <v>-956.31578947375374</v>
      </c>
    </row>
    <row r="1671" spans="1:25" x14ac:dyDescent="0.25">
      <c r="A1671">
        <f t="shared" si="188"/>
        <v>1664</v>
      </c>
      <c r="B1671" s="88" t="str">
        <f>IF(OR(B1670="Total",B1670=""),"",IF(VLOOKUP(A1671,Journal!$B$7:$E$84,4)=0,"Total",VLOOKUP(A1671,Journal!$B$7:$D$84,3)))</f>
        <v/>
      </c>
      <c r="C1671" s="86" t="str">
        <f>IF(B1671="","",VLOOKUP(A1671,Journal!$B$7:$E$84,4))</f>
        <v/>
      </c>
      <c r="D1671" s="114" t="str">
        <f>IF(B1671="","",VLOOKUP(A1671,Journal!$B$7:$J$84,9))</f>
        <v/>
      </c>
      <c r="E1671" s="116"/>
      <c r="F1671" s="116"/>
      <c r="G1671" s="115"/>
      <c r="H1671" s="84" t="str">
        <f>IF(B1671="","",VLOOKUP(A1671,Journal!$B$7:$L$84,11))</f>
        <v/>
      </c>
      <c r="I1671" s="84" t="str">
        <f>IF(B1671="","",VLOOKUP(A1671,Journal!$B$7:$M$84,12))</f>
        <v/>
      </c>
      <c r="J1671" s="105">
        <f>IF(B1671="Total",SUM(J$8:J1670)+0.0001,IF(OR(B1671="",I$2=I1671),0,VLOOKUP(A1671,Journal!$B$7:M$84,8)))</f>
        <v>0</v>
      </c>
      <c r="K1671" s="102">
        <f>IF(B1671="Total",SUM(K$8:K1670)+0.0001,IF(OR(B1671="",J1671&lt;&gt;0),0,VLOOKUP(A1671,Journal!$B$7:M$84,8)))</f>
        <v>0</v>
      </c>
      <c r="L1671" s="87">
        <f t="shared" si="189"/>
        <v>0</v>
      </c>
      <c r="P1671">
        <f t="shared" si="190"/>
        <v>1.0000000000000001E-5</v>
      </c>
      <c r="R1671" s="15">
        <f t="shared" si="191"/>
        <v>1664</v>
      </c>
      <c r="S1671" s="126">
        <f>IF(VLOOKUP(A1671,Journal!$A$7:$E$70,5)=0,S1670+1,VLOOKUP(A1671,Journal!$A$7:$E$70,5))</f>
        <v>47321</v>
      </c>
      <c r="T1671" s="125">
        <f>IF(H$2=VLOOKUP(A1671,Journal!$A$7:$F$70,6),VLOOKUP(A1671,Journal!$A$7:M$70,9),0)</f>
        <v>0</v>
      </c>
      <c r="U1671" s="125">
        <f>IF(H$2=VLOOKUP(A1671,Journal!$A$7:$G$70,7),VLOOKUP(A1671,Journal!$A$7:M$70,9),0)</f>
        <v>0</v>
      </c>
      <c r="V1671" s="125">
        <f t="shared" si="187"/>
        <v>40</v>
      </c>
      <c r="X1671">
        <f t="shared" si="192"/>
        <v>0</v>
      </c>
      <c r="Y1671" s="143">
        <f t="shared" si="186"/>
        <v>-956.2894736842801</v>
      </c>
    </row>
    <row r="1672" spans="1:25" x14ac:dyDescent="0.25">
      <c r="A1672">
        <f t="shared" si="188"/>
        <v>1665</v>
      </c>
      <c r="B1672" s="88" t="str">
        <f>IF(OR(B1671="Total",B1671=""),"",IF(VLOOKUP(A1672,Journal!$B$7:$E$84,4)=0,"Total",VLOOKUP(A1672,Journal!$B$7:$D$84,3)))</f>
        <v/>
      </c>
      <c r="C1672" s="86" t="str">
        <f>IF(B1672="","",VLOOKUP(A1672,Journal!$B$7:$E$84,4))</f>
        <v/>
      </c>
      <c r="D1672" s="114" t="str">
        <f>IF(B1672="","",VLOOKUP(A1672,Journal!$B$7:$J$84,9))</f>
        <v/>
      </c>
      <c r="E1672" s="116"/>
      <c r="F1672" s="116"/>
      <c r="G1672" s="115"/>
      <c r="H1672" s="84" t="str">
        <f>IF(B1672="","",VLOOKUP(A1672,Journal!$B$7:$L$84,11))</f>
        <v/>
      </c>
      <c r="I1672" s="84" t="str">
        <f>IF(B1672="","",VLOOKUP(A1672,Journal!$B$7:$M$84,12))</f>
        <v/>
      </c>
      <c r="J1672" s="105">
        <f>IF(B1672="Total",SUM(J$8:J1671)+0.0001,IF(OR(B1672="",I$2=I1672),0,VLOOKUP(A1672,Journal!$B$7:M$84,8)))</f>
        <v>0</v>
      </c>
      <c r="K1672" s="102">
        <f>IF(B1672="Total",SUM(K$8:K1671)+0.0001,IF(OR(B1672="",J1672&lt;&gt;0),0,VLOOKUP(A1672,Journal!$B$7:M$84,8)))</f>
        <v>0</v>
      </c>
      <c r="L1672" s="87">
        <f t="shared" si="189"/>
        <v>0</v>
      </c>
      <c r="P1672">
        <f t="shared" si="190"/>
        <v>1.0000000000000001E-5</v>
      </c>
      <c r="R1672" s="15">
        <f t="shared" si="191"/>
        <v>1665</v>
      </c>
      <c r="S1672" s="126">
        <f>IF(VLOOKUP(A1672,Journal!$A$7:$E$70,5)=0,S1671+1,VLOOKUP(A1672,Journal!$A$7:$E$70,5))</f>
        <v>47322</v>
      </c>
      <c r="T1672" s="125">
        <f>IF(H$2=VLOOKUP(A1672,Journal!$A$7:$F$70,6),VLOOKUP(A1672,Journal!$A$7:M$70,9),0)</f>
        <v>0</v>
      </c>
      <c r="U1672" s="125">
        <f>IF(H$2=VLOOKUP(A1672,Journal!$A$7:$G$70,7),VLOOKUP(A1672,Journal!$A$7:M$70,9),0)</f>
        <v>0</v>
      </c>
      <c r="V1672" s="125">
        <f t="shared" si="187"/>
        <v>40</v>
      </c>
      <c r="X1672">
        <f t="shared" si="192"/>
        <v>0</v>
      </c>
      <c r="Y1672" s="143">
        <f t="shared" ref="Y1672:Y1735" si="193">IF(B1671="Total",-1000,Y1671+Y$4)</f>
        <v>-956.26315789480645</v>
      </c>
    </row>
    <row r="1673" spans="1:25" x14ac:dyDescent="0.25">
      <c r="A1673">
        <f t="shared" si="188"/>
        <v>1666</v>
      </c>
      <c r="B1673" s="88" t="str">
        <f>IF(OR(B1672="Total",B1672=""),"",IF(VLOOKUP(A1673,Journal!$B$7:$E$84,4)=0,"Total",VLOOKUP(A1673,Journal!$B$7:$D$84,3)))</f>
        <v/>
      </c>
      <c r="C1673" s="86" t="str">
        <f>IF(B1673="","",VLOOKUP(A1673,Journal!$B$7:$E$84,4))</f>
        <v/>
      </c>
      <c r="D1673" s="114" t="str">
        <f>IF(B1673="","",VLOOKUP(A1673,Journal!$B$7:$J$84,9))</f>
        <v/>
      </c>
      <c r="E1673" s="116"/>
      <c r="F1673" s="116"/>
      <c r="G1673" s="115"/>
      <c r="H1673" s="84" t="str">
        <f>IF(B1673="","",VLOOKUP(A1673,Journal!$B$7:$L$84,11))</f>
        <v/>
      </c>
      <c r="I1673" s="84" t="str">
        <f>IF(B1673="","",VLOOKUP(A1673,Journal!$B$7:$M$84,12))</f>
        <v/>
      </c>
      <c r="J1673" s="105">
        <f>IF(B1673="Total",SUM(J$8:J1672)+0.0001,IF(OR(B1673="",I$2=I1673),0,VLOOKUP(A1673,Journal!$B$7:M$84,8)))</f>
        <v>0</v>
      </c>
      <c r="K1673" s="102">
        <f>IF(B1673="Total",SUM(K$8:K1672)+0.0001,IF(OR(B1673="",J1673&lt;&gt;0),0,VLOOKUP(A1673,Journal!$B$7:M$84,8)))</f>
        <v>0</v>
      </c>
      <c r="L1673" s="87">
        <f t="shared" si="189"/>
        <v>0</v>
      </c>
      <c r="P1673">
        <f t="shared" si="190"/>
        <v>1.0000000000000001E-5</v>
      </c>
      <c r="R1673" s="15">
        <f t="shared" si="191"/>
        <v>1666</v>
      </c>
      <c r="S1673" s="126">
        <f>IF(VLOOKUP(A1673,Journal!$A$7:$E$70,5)=0,S1672+1,VLOOKUP(A1673,Journal!$A$7:$E$70,5))</f>
        <v>47323</v>
      </c>
      <c r="T1673" s="125">
        <f>IF(H$2=VLOOKUP(A1673,Journal!$A$7:$F$70,6),VLOOKUP(A1673,Journal!$A$7:M$70,9),0)</f>
        <v>0</v>
      </c>
      <c r="U1673" s="125">
        <f>IF(H$2=VLOOKUP(A1673,Journal!$A$7:$G$70,7),VLOOKUP(A1673,Journal!$A$7:M$70,9),0)</f>
        <v>0</v>
      </c>
      <c r="V1673" s="125">
        <f t="shared" si="187"/>
        <v>40</v>
      </c>
      <c r="X1673">
        <f t="shared" si="192"/>
        <v>0</v>
      </c>
      <c r="Y1673" s="143">
        <f t="shared" si="193"/>
        <v>-956.23684210533281</v>
      </c>
    </row>
    <row r="1674" spans="1:25" x14ac:dyDescent="0.25">
      <c r="A1674">
        <f t="shared" si="188"/>
        <v>1667</v>
      </c>
      <c r="B1674" s="88" t="str">
        <f>IF(OR(B1673="Total",B1673=""),"",IF(VLOOKUP(A1674,Journal!$B$7:$E$84,4)=0,"Total",VLOOKUP(A1674,Journal!$B$7:$D$84,3)))</f>
        <v/>
      </c>
      <c r="C1674" s="86" t="str">
        <f>IF(B1674="","",VLOOKUP(A1674,Journal!$B$7:$E$84,4))</f>
        <v/>
      </c>
      <c r="D1674" s="114" t="str">
        <f>IF(B1674="","",VLOOKUP(A1674,Journal!$B$7:$J$84,9))</f>
        <v/>
      </c>
      <c r="E1674" s="116"/>
      <c r="F1674" s="116"/>
      <c r="G1674" s="115"/>
      <c r="H1674" s="84" t="str">
        <f>IF(B1674="","",VLOOKUP(A1674,Journal!$B$7:$L$84,11))</f>
        <v/>
      </c>
      <c r="I1674" s="84" t="str">
        <f>IF(B1674="","",VLOOKUP(A1674,Journal!$B$7:$M$84,12))</f>
        <v/>
      </c>
      <c r="J1674" s="105">
        <f>IF(B1674="Total",SUM(J$8:J1673)+0.0001,IF(OR(B1674="",I$2=I1674),0,VLOOKUP(A1674,Journal!$B$7:M$84,8)))</f>
        <v>0</v>
      </c>
      <c r="K1674" s="102">
        <f>IF(B1674="Total",SUM(K$8:K1673)+0.0001,IF(OR(B1674="",J1674&lt;&gt;0),0,VLOOKUP(A1674,Journal!$B$7:M$84,8)))</f>
        <v>0</v>
      </c>
      <c r="L1674" s="87">
        <f t="shared" si="189"/>
        <v>0</v>
      </c>
      <c r="P1674">
        <f t="shared" si="190"/>
        <v>1.0000000000000001E-5</v>
      </c>
      <c r="R1674" s="15">
        <f t="shared" si="191"/>
        <v>1667</v>
      </c>
      <c r="S1674" s="126">
        <f>IF(VLOOKUP(A1674,Journal!$A$7:$E$70,5)=0,S1673+1,VLOOKUP(A1674,Journal!$A$7:$E$70,5))</f>
        <v>47324</v>
      </c>
      <c r="T1674" s="125">
        <f>IF(H$2=VLOOKUP(A1674,Journal!$A$7:$F$70,6),VLOOKUP(A1674,Journal!$A$7:M$70,9),0)</f>
        <v>0</v>
      </c>
      <c r="U1674" s="125">
        <f>IF(H$2=VLOOKUP(A1674,Journal!$A$7:$G$70,7),VLOOKUP(A1674,Journal!$A$7:M$70,9),0)</f>
        <v>0</v>
      </c>
      <c r="V1674" s="125">
        <f t="shared" ref="V1674:V1737" si="194">IF($M$1=1,V1673+T1674-U1674,V1673-T1674+U1674)</f>
        <v>40</v>
      </c>
      <c r="X1674">
        <f t="shared" si="192"/>
        <v>0</v>
      </c>
      <c r="Y1674" s="143">
        <f t="shared" si="193"/>
        <v>-956.21052631585917</v>
      </c>
    </row>
    <row r="1675" spans="1:25" x14ac:dyDescent="0.25">
      <c r="A1675">
        <f t="shared" si="188"/>
        <v>1668</v>
      </c>
      <c r="B1675" s="88" t="str">
        <f>IF(OR(B1674="Total",B1674=""),"",IF(VLOOKUP(A1675,Journal!$B$7:$E$84,4)=0,"Total",VLOOKUP(A1675,Journal!$B$7:$D$84,3)))</f>
        <v/>
      </c>
      <c r="C1675" s="86" t="str">
        <f>IF(B1675="","",VLOOKUP(A1675,Journal!$B$7:$E$84,4))</f>
        <v/>
      </c>
      <c r="D1675" s="114" t="str">
        <f>IF(B1675="","",VLOOKUP(A1675,Journal!$B$7:$J$84,9))</f>
        <v/>
      </c>
      <c r="E1675" s="116"/>
      <c r="F1675" s="116"/>
      <c r="G1675" s="115"/>
      <c r="H1675" s="84" t="str">
        <f>IF(B1675="","",VLOOKUP(A1675,Journal!$B$7:$L$84,11))</f>
        <v/>
      </c>
      <c r="I1675" s="84" t="str">
        <f>IF(B1675="","",VLOOKUP(A1675,Journal!$B$7:$M$84,12))</f>
        <v/>
      </c>
      <c r="J1675" s="105">
        <f>IF(B1675="Total",SUM(J$8:J1674)+0.0001,IF(OR(B1675="",I$2=I1675),0,VLOOKUP(A1675,Journal!$B$7:M$84,8)))</f>
        <v>0</v>
      </c>
      <c r="K1675" s="102">
        <f>IF(B1675="Total",SUM(K$8:K1674)+0.0001,IF(OR(B1675="",J1675&lt;&gt;0),0,VLOOKUP(A1675,Journal!$B$7:M$84,8)))</f>
        <v>0</v>
      </c>
      <c r="L1675" s="87">
        <f t="shared" si="189"/>
        <v>0</v>
      </c>
      <c r="P1675">
        <f t="shared" si="190"/>
        <v>1.0000000000000001E-5</v>
      </c>
      <c r="R1675" s="15">
        <f t="shared" si="191"/>
        <v>1668</v>
      </c>
      <c r="S1675" s="126">
        <f>IF(VLOOKUP(A1675,Journal!$A$7:$E$70,5)=0,S1674+1,VLOOKUP(A1675,Journal!$A$7:$E$70,5))</f>
        <v>47325</v>
      </c>
      <c r="T1675" s="125">
        <f>IF(H$2=VLOOKUP(A1675,Journal!$A$7:$F$70,6),VLOOKUP(A1675,Journal!$A$7:M$70,9),0)</f>
        <v>0</v>
      </c>
      <c r="U1675" s="125">
        <f>IF(H$2=VLOOKUP(A1675,Journal!$A$7:$G$70,7),VLOOKUP(A1675,Journal!$A$7:M$70,9),0)</f>
        <v>0</v>
      </c>
      <c r="V1675" s="125">
        <f t="shared" si="194"/>
        <v>40</v>
      </c>
      <c r="X1675">
        <f t="shared" si="192"/>
        <v>0</v>
      </c>
      <c r="Y1675" s="143">
        <f t="shared" si="193"/>
        <v>-956.18421052638553</v>
      </c>
    </row>
    <row r="1676" spans="1:25" x14ac:dyDescent="0.25">
      <c r="A1676">
        <f t="shared" si="188"/>
        <v>1669</v>
      </c>
      <c r="B1676" s="88" t="str">
        <f>IF(OR(B1675="Total",B1675=""),"",IF(VLOOKUP(A1676,Journal!$B$7:$E$84,4)=0,"Total",VLOOKUP(A1676,Journal!$B$7:$D$84,3)))</f>
        <v/>
      </c>
      <c r="C1676" s="86" t="str">
        <f>IF(B1676="","",VLOOKUP(A1676,Journal!$B$7:$E$84,4))</f>
        <v/>
      </c>
      <c r="D1676" s="114" t="str">
        <f>IF(B1676="","",VLOOKUP(A1676,Journal!$B$7:$J$84,9))</f>
        <v/>
      </c>
      <c r="E1676" s="116"/>
      <c r="F1676" s="116"/>
      <c r="G1676" s="115"/>
      <c r="H1676" s="84" t="str">
        <f>IF(B1676="","",VLOOKUP(A1676,Journal!$B$7:$L$84,11))</f>
        <v/>
      </c>
      <c r="I1676" s="84" t="str">
        <f>IF(B1676="","",VLOOKUP(A1676,Journal!$B$7:$M$84,12))</f>
        <v/>
      </c>
      <c r="J1676" s="105">
        <f>IF(B1676="Total",SUM(J$8:J1675)+0.0001,IF(OR(B1676="",I$2=I1676),0,VLOOKUP(A1676,Journal!$B$7:M$84,8)))</f>
        <v>0</v>
      </c>
      <c r="K1676" s="102">
        <f>IF(B1676="Total",SUM(K$8:K1675)+0.0001,IF(OR(B1676="",J1676&lt;&gt;0),0,VLOOKUP(A1676,Journal!$B$7:M$84,8)))</f>
        <v>0</v>
      </c>
      <c r="L1676" s="87">
        <f t="shared" si="189"/>
        <v>0</v>
      </c>
      <c r="P1676">
        <f t="shared" si="190"/>
        <v>1.0000000000000001E-5</v>
      </c>
      <c r="R1676" s="15">
        <f t="shared" si="191"/>
        <v>1669</v>
      </c>
      <c r="S1676" s="126">
        <f>IF(VLOOKUP(A1676,Journal!$A$7:$E$70,5)=0,S1675+1,VLOOKUP(A1676,Journal!$A$7:$E$70,5))</f>
        <v>47326</v>
      </c>
      <c r="T1676" s="125">
        <f>IF(H$2=VLOOKUP(A1676,Journal!$A$7:$F$70,6),VLOOKUP(A1676,Journal!$A$7:M$70,9),0)</f>
        <v>0</v>
      </c>
      <c r="U1676" s="125">
        <f>IF(H$2=VLOOKUP(A1676,Journal!$A$7:$G$70,7),VLOOKUP(A1676,Journal!$A$7:M$70,9),0)</f>
        <v>0</v>
      </c>
      <c r="V1676" s="125">
        <f t="shared" si="194"/>
        <v>40</v>
      </c>
      <c r="X1676">
        <f t="shared" si="192"/>
        <v>0</v>
      </c>
      <c r="Y1676" s="143">
        <f t="shared" si="193"/>
        <v>-956.15789473691189</v>
      </c>
    </row>
    <row r="1677" spans="1:25" x14ac:dyDescent="0.25">
      <c r="A1677">
        <f t="shared" si="188"/>
        <v>1670</v>
      </c>
      <c r="B1677" s="88" t="str">
        <f>IF(OR(B1676="Total",B1676=""),"",IF(VLOOKUP(A1677,Journal!$B$7:$E$84,4)=0,"Total",VLOOKUP(A1677,Journal!$B$7:$D$84,3)))</f>
        <v/>
      </c>
      <c r="C1677" s="86" t="str">
        <f>IF(B1677="","",VLOOKUP(A1677,Journal!$B$7:$E$84,4))</f>
        <v/>
      </c>
      <c r="D1677" s="114" t="str">
        <f>IF(B1677="","",VLOOKUP(A1677,Journal!$B$7:$J$84,9))</f>
        <v/>
      </c>
      <c r="E1677" s="116"/>
      <c r="F1677" s="116"/>
      <c r="G1677" s="115"/>
      <c r="H1677" s="84" t="str">
        <f>IF(B1677="","",VLOOKUP(A1677,Journal!$B$7:$L$84,11))</f>
        <v/>
      </c>
      <c r="I1677" s="84" t="str">
        <f>IF(B1677="","",VLOOKUP(A1677,Journal!$B$7:$M$84,12))</f>
        <v/>
      </c>
      <c r="J1677" s="105">
        <f>IF(B1677="Total",SUM(J$8:J1676)+0.0001,IF(OR(B1677="",I$2=I1677),0,VLOOKUP(A1677,Journal!$B$7:M$84,8)))</f>
        <v>0</v>
      </c>
      <c r="K1677" s="102">
        <f>IF(B1677="Total",SUM(K$8:K1676)+0.0001,IF(OR(B1677="",J1677&lt;&gt;0),0,VLOOKUP(A1677,Journal!$B$7:M$84,8)))</f>
        <v>0</v>
      </c>
      <c r="L1677" s="87">
        <f t="shared" si="189"/>
        <v>0</v>
      </c>
      <c r="P1677">
        <f t="shared" si="190"/>
        <v>1.0000000000000001E-5</v>
      </c>
      <c r="R1677" s="15">
        <f t="shared" si="191"/>
        <v>1670</v>
      </c>
      <c r="S1677" s="126">
        <f>IF(VLOOKUP(A1677,Journal!$A$7:$E$70,5)=0,S1676+1,VLOOKUP(A1677,Journal!$A$7:$E$70,5))</f>
        <v>47327</v>
      </c>
      <c r="T1677" s="125">
        <f>IF(H$2=VLOOKUP(A1677,Journal!$A$7:$F$70,6),VLOOKUP(A1677,Journal!$A$7:M$70,9),0)</f>
        <v>0</v>
      </c>
      <c r="U1677" s="125">
        <f>IF(H$2=VLOOKUP(A1677,Journal!$A$7:$G$70,7),VLOOKUP(A1677,Journal!$A$7:M$70,9),0)</f>
        <v>0</v>
      </c>
      <c r="V1677" s="125">
        <f t="shared" si="194"/>
        <v>40</v>
      </c>
      <c r="X1677">
        <f t="shared" si="192"/>
        <v>0</v>
      </c>
      <c r="Y1677" s="143">
        <f t="shared" si="193"/>
        <v>-956.13157894743824</v>
      </c>
    </row>
    <row r="1678" spans="1:25" x14ac:dyDescent="0.25">
      <c r="A1678">
        <f t="shared" si="188"/>
        <v>1671</v>
      </c>
      <c r="B1678" s="88" t="str">
        <f>IF(OR(B1677="Total",B1677=""),"",IF(VLOOKUP(A1678,Journal!$B$7:$E$84,4)=0,"Total",VLOOKUP(A1678,Journal!$B$7:$D$84,3)))</f>
        <v/>
      </c>
      <c r="C1678" s="86" t="str">
        <f>IF(B1678="","",VLOOKUP(A1678,Journal!$B$7:$E$84,4))</f>
        <v/>
      </c>
      <c r="D1678" s="114" t="str">
        <f>IF(B1678="","",VLOOKUP(A1678,Journal!$B$7:$J$84,9))</f>
        <v/>
      </c>
      <c r="E1678" s="116"/>
      <c r="F1678" s="116"/>
      <c r="G1678" s="115"/>
      <c r="H1678" s="84" t="str">
        <f>IF(B1678="","",VLOOKUP(A1678,Journal!$B$7:$L$84,11))</f>
        <v/>
      </c>
      <c r="I1678" s="84" t="str">
        <f>IF(B1678="","",VLOOKUP(A1678,Journal!$B$7:$M$84,12))</f>
        <v/>
      </c>
      <c r="J1678" s="105">
        <f>IF(B1678="Total",SUM(J$8:J1677)+0.0001,IF(OR(B1678="",I$2=I1678),0,VLOOKUP(A1678,Journal!$B$7:M$84,8)))</f>
        <v>0</v>
      </c>
      <c r="K1678" s="102">
        <f>IF(B1678="Total",SUM(K$8:K1677)+0.0001,IF(OR(B1678="",J1678&lt;&gt;0),0,VLOOKUP(A1678,Journal!$B$7:M$84,8)))</f>
        <v>0</v>
      </c>
      <c r="L1678" s="87">
        <f t="shared" si="189"/>
        <v>0</v>
      </c>
      <c r="P1678">
        <f t="shared" si="190"/>
        <v>1.0000000000000001E-5</v>
      </c>
      <c r="R1678" s="15">
        <f t="shared" si="191"/>
        <v>1671</v>
      </c>
      <c r="S1678" s="126">
        <f>IF(VLOOKUP(A1678,Journal!$A$7:$E$70,5)=0,S1677+1,VLOOKUP(A1678,Journal!$A$7:$E$70,5))</f>
        <v>47328</v>
      </c>
      <c r="T1678" s="125">
        <f>IF(H$2=VLOOKUP(A1678,Journal!$A$7:$F$70,6),VLOOKUP(A1678,Journal!$A$7:M$70,9),0)</f>
        <v>0</v>
      </c>
      <c r="U1678" s="125">
        <f>IF(H$2=VLOOKUP(A1678,Journal!$A$7:$G$70,7),VLOOKUP(A1678,Journal!$A$7:M$70,9),0)</f>
        <v>0</v>
      </c>
      <c r="V1678" s="125">
        <f t="shared" si="194"/>
        <v>40</v>
      </c>
      <c r="X1678">
        <f t="shared" si="192"/>
        <v>0</v>
      </c>
      <c r="Y1678" s="143">
        <f t="shared" si="193"/>
        <v>-956.1052631579646</v>
      </c>
    </row>
    <row r="1679" spans="1:25" x14ac:dyDescent="0.25">
      <c r="A1679">
        <f t="shared" si="188"/>
        <v>1672</v>
      </c>
      <c r="B1679" s="88" t="str">
        <f>IF(OR(B1678="Total",B1678=""),"",IF(VLOOKUP(A1679,Journal!$B$7:$E$84,4)=0,"Total",VLOOKUP(A1679,Journal!$B$7:$D$84,3)))</f>
        <v/>
      </c>
      <c r="C1679" s="86" t="str">
        <f>IF(B1679="","",VLOOKUP(A1679,Journal!$B$7:$E$84,4))</f>
        <v/>
      </c>
      <c r="D1679" s="114" t="str">
        <f>IF(B1679="","",VLOOKUP(A1679,Journal!$B$7:$J$84,9))</f>
        <v/>
      </c>
      <c r="E1679" s="116"/>
      <c r="F1679" s="116"/>
      <c r="G1679" s="115"/>
      <c r="H1679" s="84" t="str">
        <f>IF(B1679="","",VLOOKUP(A1679,Journal!$B$7:$L$84,11))</f>
        <v/>
      </c>
      <c r="I1679" s="84" t="str">
        <f>IF(B1679="","",VLOOKUP(A1679,Journal!$B$7:$M$84,12))</f>
        <v/>
      </c>
      <c r="J1679" s="105">
        <f>IF(B1679="Total",SUM(J$8:J1678)+0.0001,IF(OR(B1679="",I$2=I1679),0,VLOOKUP(A1679,Journal!$B$7:M$84,8)))</f>
        <v>0</v>
      </c>
      <c r="K1679" s="102">
        <f>IF(B1679="Total",SUM(K$8:K1678)+0.0001,IF(OR(B1679="",J1679&lt;&gt;0),0,VLOOKUP(A1679,Journal!$B$7:M$84,8)))</f>
        <v>0</v>
      </c>
      <c r="L1679" s="87">
        <f t="shared" si="189"/>
        <v>0</v>
      </c>
      <c r="P1679">
        <f t="shared" si="190"/>
        <v>1.0000000000000001E-5</v>
      </c>
      <c r="R1679" s="15">
        <f t="shared" si="191"/>
        <v>1672</v>
      </c>
      <c r="S1679" s="126">
        <f>IF(VLOOKUP(A1679,Journal!$A$7:$E$70,5)=0,S1678+1,VLOOKUP(A1679,Journal!$A$7:$E$70,5))</f>
        <v>47329</v>
      </c>
      <c r="T1679" s="125">
        <f>IF(H$2=VLOOKUP(A1679,Journal!$A$7:$F$70,6),VLOOKUP(A1679,Journal!$A$7:M$70,9),0)</f>
        <v>0</v>
      </c>
      <c r="U1679" s="125">
        <f>IF(H$2=VLOOKUP(A1679,Journal!$A$7:$G$70,7),VLOOKUP(A1679,Journal!$A$7:M$70,9),0)</f>
        <v>0</v>
      </c>
      <c r="V1679" s="125">
        <f t="shared" si="194"/>
        <v>40</v>
      </c>
      <c r="X1679">
        <f t="shared" si="192"/>
        <v>0</v>
      </c>
      <c r="Y1679" s="143">
        <f t="shared" si="193"/>
        <v>-956.07894736849096</v>
      </c>
    </row>
    <row r="1680" spans="1:25" x14ac:dyDescent="0.25">
      <c r="A1680">
        <f t="shared" si="188"/>
        <v>1673</v>
      </c>
      <c r="B1680" s="88" t="str">
        <f>IF(OR(B1679="Total",B1679=""),"",IF(VLOOKUP(A1680,Journal!$B$7:$E$84,4)=0,"Total",VLOOKUP(A1680,Journal!$B$7:$D$84,3)))</f>
        <v/>
      </c>
      <c r="C1680" s="86" t="str">
        <f>IF(B1680="","",VLOOKUP(A1680,Journal!$B$7:$E$84,4))</f>
        <v/>
      </c>
      <c r="D1680" s="114" t="str">
        <f>IF(B1680="","",VLOOKUP(A1680,Journal!$B$7:$J$84,9))</f>
        <v/>
      </c>
      <c r="E1680" s="116"/>
      <c r="F1680" s="116"/>
      <c r="G1680" s="115"/>
      <c r="H1680" s="84" t="str">
        <f>IF(B1680="","",VLOOKUP(A1680,Journal!$B$7:$L$84,11))</f>
        <v/>
      </c>
      <c r="I1680" s="84" t="str">
        <f>IF(B1680="","",VLOOKUP(A1680,Journal!$B$7:$M$84,12))</f>
        <v/>
      </c>
      <c r="J1680" s="105">
        <f>IF(B1680="Total",SUM(J$8:J1679)+0.0001,IF(OR(B1680="",I$2=I1680),0,VLOOKUP(A1680,Journal!$B$7:M$84,8)))</f>
        <v>0</v>
      </c>
      <c r="K1680" s="102">
        <f>IF(B1680="Total",SUM(K$8:K1679)+0.0001,IF(OR(B1680="",J1680&lt;&gt;0),0,VLOOKUP(A1680,Journal!$B$7:M$84,8)))</f>
        <v>0</v>
      </c>
      <c r="L1680" s="87">
        <f t="shared" si="189"/>
        <v>0</v>
      </c>
      <c r="P1680">
        <f t="shared" si="190"/>
        <v>1.0000000000000001E-5</v>
      </c>
      <c r="R1680" s="15">
        <f t="shared" si="191"/>
        <v>1673</v>
      </c>
      <c r="S1680" s="126">
        <f>IF(VLOOKUP(A1680,Journal!$A$7:$E$70,5)=0,S1679+1,VLOOKUP(A1680,Journal!$A$7:$E$70,5))</f>
        <v>47330</v>
      </c>
      <c r="T1680" s="125">
        <f>IF(H$2=VLOOKUP(A1680,Journal!$A$7:$F$70,6),VLOOKUP(A1680,Journal!$A$7:M$70,9),0)</f>
        <v>0</v>
      </c>
      <c r="U1680" s="125">
        <f>IF(H$2=VLOOKUP(A1680,Journal!$A$7:$G$70,7),VLOOKUP(A1680,Journal!$A$7:M$70,9),0)</f>
        <v>0</v>
      </c>
      <c r="V1680" s="125">
        <f t="shared" si="194"/>
        <v>40</v>
      </c>
      <c r="X1680">
        <f t="shared" si="192"/>
        <v>0</v>
      </c>
      <c r="Y1680" s="143">
        <f t="shared" si="193"/>
        <v>-956.05263157901732</v>
      </c>
    </row>
    <row r="1681" spans="1:25" x14ac:dyDescent="0.25">
      <c r="A1681">
        <f t="shared" si="188"/>
        <v>1674</v>
      </c>
      <c r="B1681" s="88" t="str">
        <f>IF(OR(B1680="Total",B1680=""),"",IF(VLOOKUP(A1681,Journal!$B$7:$E$84,4)=0,"Total",VLOOKUP(A1681,Journal!$B$7:$D$84,3)))</f>
        <v/>
      </c>
      <c r="C1681" s="86" t="str">
        <f>IF(B1681="","",VLOOKUP(A1681,Journal!$B$7:$E$84,4))</f>
        <v/>
      </c>
      <c r="D1681" s="114" t="str">
        <f>IF(B1681="","",VLOOKUP(A1681,Journal!$B$7:$J$84,9))</f>
        <v/>
      </c>
      <c r="E1681" s="116"/>
      <c r="F1681" s="116"/>
      <c r="G1681" s="115"/>
      <c r="H1681" s="84" t="str">
        <f>IF(B1681="","",VLOOKUP(A1681,Journal!$B$7:$L$84,11))</f>
        <v/>
      </c>
      <c r="I1681" s="84" t="str">
        <f>IF(B1681="","",VLOOKUP(A1681,Journal!$B$7:$M$84,12))</f>
        <v/>
      </c>
      <c r="J1681" s="105">
        <f>IF(B1681="Total",SUM(J$8:J1680)+0.0001,IF(OR(B1681="",I$2=I1681),0,VLOOKUP(A1681,Journal!$B$7:M$84,8)))</f>
        <v>0</v>
      </c>
      <c r="K1681" s="102">
        <f>IF(B1681="Total",SUM(K$8:K1680)+0.0001,IF(OR(B1681="",J1681&lt;&gt;0),0,VLOOKUP(A1681,Journal!$B$7:M$84,8)))</f>
        <v>0</v>
      </c>
      <c r="L1681" s="87">
        <f t="shared" si="189"/>
        <v>0</v>
      </c>
      <c r="P1681">
        <f t="shared" si="190"/>
        <v>1.0000000000000001E-5</v>
      </c>
      <c r="R1681" s="15">
        <f t="shared" si="191"/>
        <v>1674</v>
      </c>
      <c r="S1681" s="126">
        <f>IF(VLOOKUP(A1681,Journal!$A$7:$E$70,5)=0,S1680+1,VLOOKUP(A1681,Journal!$A$7:$E$70,5))</f>
        <v>47331</v>
      </c>
      <c r="T1681" s="125">
        <f>IF(H$2=VLOOKUP(A1681,Journal!$A$7:$F$70,6),VLOOKUP(A1681,Journal!$A$7:M$70,9),0)</f>
        <v>0</v>
      </c>
      <c r="U1681" s="125">
        <f>IF(H$2=VLOOKUP(A1681,Journal!$A$7:$G$70,7),VLOOKUP(A1681,Journal!$A$7:M$70,9),0)</f>
        <v>0</v>
      </c>
      <c r="V1681" s="125">
        <f t="shared" si="194"/>
        <v>40</v>
      </c>
      <c r="X1681">
        <f t="shared" si="192"/>
        <v>0</v>
      </c>
      <c r="Y1681" s="143">
        <f t="shared" si="193"/>
        <v>-956.02631578954367</v>
      </c>
    </row>
    <row r="1682" spans="1:25" x14ac:dyDescent="0.25">
      <c r="A1682">
        <f t="shared" ref="A1682:A1688" si="195">A1681+1</f>
        <v>1675</v>
      </c>
      <c r="B1682" s="88" t="str">
        <f>IF(OR(B1681="Total",B1681=""),"",IF(VLOOKUP(A1682,Journal!$B$7:$E$84,4)=0,"Total",VLOOKUP(A1682,Journal!$B$7:$D$84,3)))</f>
        <v/>
      </c>
      <c r="C1682" s="86" t="str">
        <f>IF(B1682="","",VLOOKUP(A1682,Journal!$B$7:$E$84,4))</f>
        <v/>
      </c>
      <c r="D1682" s="114" t="str">
        <f>IF(B1682="","",VLOOKUP(A1682,Journal!$B$7:$J$84,9))</f>
        <v/>
      </c>
      <c r="E1682" s="116"/>
      <c r="F1682" s="116"/>
      <c r="G1682" s="115"/>
      <c r="H1682" s="84" t="str">
        <f>IF(B1682="","",VLOOKUP(A1682,Journal!$B$7:$L$84,11))</f>
        <v/>
      </c>
      <c r="I1682" s="84" t="str">
        <f>IF(B1682="","",VLOOKUP(A1682,Journal!$B$7:$M$84,12))</f>
        <v/>
      </c>
      <c r="J1682" s="105">
        <f>IF(B1682="Total",SUM(J$8:J1681)+0.0001,IF(OR(B1682="",I$2=I1682),0,VLOOKUP(A1682,Journal!$B$7:M$84,8)))</f>
        <v>0</v>
      </c>
      <c r="K1682" s="102">
        <f>IF(B1682="Total",SUM(K$8:K1681)+0.0001,IF(OR(B1682="",J1682&lt;&gt;0),0,VLOOKUP(A1682,Journal!$B$7:M$84,8)))</f>
        <v>0</v>
      </c>
      <c r="L1682" s="87">
        <f t="shared" ref="L1682:L1688" si="196">IF(B1682="Total",L1681,IF(B1682="",0,IF($M$1=1,L1681+J1682-K1682,L1681-J1682+K1682)))</f>
        <v>0</v>
      </c>
      <c r="P1682">
        <f t="shared" ref="P1682:P1688" si="197">IF(L1681=L1682,L1681+0.00001,L1682)</f>
        <v>1.0000000000000001E-5</v>
      </c>
      <c r="R1682" s="15">
        <f t="shared" ref="R1682:R1688" si="198">R1681+1</f>
        <v>1675</v>
      </c>
      <c r="S1682" s="126">
        <f>IF(VLOOKUP(A1682,Journal!$A$7:$E$70,5)=0,S1681+1,VLOOKUP(A1682,Journal!$A$7:$E$70,5))</f>
        <v>47332</v>
      </c>
      <c r="T1682" s="125">
        <f>IF(H$2=VLOOKUP(A1682,Journal!$A$7:$F$70,6),VLOOKUP(A1682,Journal!$A$7:M$70,9),0)</f>
        <v>0</v>
      </c>
      <c r="U1682" s="125">
        <f>IF(H$2=VLOOKUP(A1682,Journal!$A$7:$G$70,7),VLOOKUP(A1682,Journal!$A$7:M$70,9),0)</f>
        <v>0</v>
      </c>
      <c r="V1682" s="125">
        <f t="shared" si="194"/>
        <v>40</v>
      </c>
      <c r="X1682">
        <f t="shared" ref="X1682:X1688" si="199">IF(J$2&gt;S1682,1,0)</f>
        <v>0</v>
      </c>
      <c r="Y1682" s="143">
        <f t="shared" si="193"/>
        <v>-956.00000000007003</v>
      </c>
    </row>
    <row r="1683" spans="1:25" x14ac:dyDescent="0.25">
      <c r="A1683">
        <f t="shared" si="195"/>
        <v>1676</v>
      </c>
      <c r="B1683" s="88" t="str">
        <f>IF(OR(B1682="Total",B1682=""),"",IF(VLOOKUP(A1683,Journal!$B$7:$E$84,4)=0,"Total",VLOOKUP(A1683,Journal!$B$7:$D$84,3)))</f>
        <v/>
      </c>
      <c r="C1683" s="86" t="str">
        <f>IF(B1683="","",VLOOKUP(A1683,Journal!$B$7:$E$84,4))</f>
        <v/>
      </c>
      <c r="D1683" s="114" t="str">
        <f>IF(B1683="","",VLOOKUP(A1683,Journal!$B$7:$J$84,9))</f>
        <v/>
      </c>
      <c r="E1683" s="116"/>
      <c r="F1683" s="116"/>
      <c r="G1683" s="115"/>
      <c r="H1683" s="84" t="str">
        <f>IF(B1683="","",VLOOKUP(A1683,Journal!$B$7:$L$84,11))</f>
        <v/>
      </c>
      <c r="I1683" s="84" t="str">
        <f>IF(B1683="","",VLOOKUP(A1683,Journal!$B$7:$M$84,12))</f>
        <v/>
      </c>
      <c r="J1683" s="105">
        <f>IF(B1683="Total",SUM(J$8:J1682)+0.0001,IF(OR(B1683="",I$2=I1683),0,VLOOKUP(A1683,Journal!$B$7:M$84,8)))</f>
        <v>0</v>
      </c>
      <c r="K1683" s="102">
        <f>IF(B1683="Total",SUM(K$8:K1682)+0.0001,IF(OR(B1683="",J1683&lt;&gt;0),0,VLOOKUP(A1683,Journal!$B$7:M$84,8)))</f>
        <v>0</v>
      </c>
      <c r="L1683" s="87">
        <f t="shared" si="196"/>
        <v>0</v>
      </c>
      <c r="P1683">
        <f t="shared" si="197"/>
        <v>1.0000000000000001E-5</v>
      </c>
      <c r="R1683" s="15">
        <f t="shared" si="198"/>
        <v>1676</v>
      </c>
      <c r="S1683" s="126">
        <f>IF(VLOOKUP(A1683,Journal!$A$7:$E$70,5)=0,S1682+1,VLOOKUP(A1683,Journal!$A$7:$E$70,5))</f>
        <v>47333</v>
      </c>
      <c r="T1683" s="125">
        <f>IF(H$2=VLOOKUP(A1683,Journal!$A$7:$F$70,6),VLOOKUP(A1683,Journal!$A$7:M$70,9),0)</f>
        <v>0</v>
      </c>
      <c r="U1683" s="125">
        <f>IF(H$2=VLOOKUP(A1683,Journal!$A$7:$G$70,7),VLOOKUP(A1683,Journal!$A$7:M$70,9),0)</f>
        <v>0</v>
      </c>
      <c r="V1683" s="125">
        <f t="shared" si="194"/>
        <v>40</v>
      </c>
      <c r="X1683">
        <f t="shared" si="199"/>
        <v>0</v>
      </c>
      <c r="Y1683" s="143">
        <f t="shared" si="193"/>
        <v>-955.97368421059639</v>
      </c>
    </row>
    <row r="1684" spans="1:25" x14ac:dyDescent="0.25">
      <c r="A1684">
        <f t="shared" si="195"/>
        <v>1677</v>
      </c>
      <c r="B1684" s="88" t="str">
        <f>IF(OR(B1683="Total",B1683=""),"",IF(VLOOKUP(A1684,Journal!$B$7:$E$84,4)=0,"Total",VLOOKUP(A1684,Journal!$B$7:$D$84,3)))</f>
        <v/>
      </c>
      <c r="C1684" s="86" t="str">
        <f>IF(B1684="","",VLOOKUP(A1684,Journal!$B$7:$E$84,4))</f>
        <v/>
      </c>
      <c r="D1684" s="114" t="str">
        <f>IF(B1684="","",VLOOKUP(A1684,Journal!$B$7:$J$84,9))</f>
        <v/>
      </c>
      <c r="E1684" s="116"/>
      <c r="F1684" s="116"/>
      <c r="G1684" s="115"/>
      <c r="H1684" s="84" t="str">
        <f>IF(B1684="","",VLOOKUP(A1684,Journal!$B$7:$L$84,11))</f>
        <v/>
      </c>
      <c r="I1684" s="84" t="str">
        <f>IF(B1684="","",VLOOKUP(A1684,Journal!$B$7:$M$84,12))</f>
        <v/>
      </c>
      <c r="J1684" s="105">
        <f>IF(B1684="Total",SUM(J$8:J1683)+0.0001,IF(OR(B1684="",I$2=I1684),0,VLOOKUP(A1684,Journal!$B$7:M$84,8)))</f>
        <v>0</v>
      </c>
      <c r="K1684" s="102">
        <f>IF(B1684="Total",SUM(K$8:K1683)+0.0001,IF(OR(B1684="",J1684&lt;&gt;0),0,VLOOKUP(A1684,Journal!$B$7:M$84,8)))</f>
        <v>0</v>
      </c>
      <c r="L1684" s="87">
        <f t="shared" si="196"/>
        <v>0</v>
      </c>
      <c r="P1684">
        <f t="shared" si="197"/>
        <v>1.0000000000000001E-5</v>
      </c>
      <c r="R1684" s="15">
        <f t="shared" si="198"/>
        <v>1677</v>
      </c>
      <c r="S1684" s="126">
        <f>IF(VLOOKUP(A1684,Journal!$A$7:$E$70,5)=0,S1683+1,VLOOKUP(A1684,Journal!$A$7:$E$70,5))</f>
        <v>47334</v>
      </c>
      <c r="T1684" s="125">
        <f>IF(H$2=VLOOKUP(A1684,Journal!$A$7:$F$70,6),VLOOKUP(A1684,Journal!$A$7:M$70,9),0)</f>
        <v>0</v>
      </c>
      <c r="U1684" s="125">
        <f>IF(H$2=VLOOKUP(A1684,Journal!$A$7:$G$70,7),VLOOKUP(A1684,Journal!$A$7:M$70,9),0)</f>
        <v>0</v>
      </c>
      <c r="V1684" s="125">
        <f t="shared" si="194"/>
        <v>40</v>
      </c>
      <c r="X1684">
        <f t="shared" si="199"/>
        <v>0</v>
      </c>
      <c r="Y1684" s="143">
        <f t="shared" si="193"/>
        <v>-955.94736842112275</v>
      </c>
    </row>
    <row r="1685" spans="1:25" x14ac:dyDescent="0.25">
      <c r="A1685">
        <f t="shared" si="195"/>
        <v>1678</v>
      </c>
      <c r="B1685" s="88" t="str">
        <f>IF(OR(B1684="Total",B1684=""),"",IF(VLOOKUP(A1685,Journal!$B$7:$E$84,4)=0,"Total",VLOOKUP(A1685,Journal!$B$7:$D$84,3)))</f>
        <v/>
      </c>
      <c r="C1685" s="86" t="str">
        <f>IF(B1685="","",VLOOKUP(A1685,Journal!$B$7:$E$84,4))</f>
        <v/>
      </c>
      <c r="D1685" s="114" t="str">
        <f>IF(B1685="","",VLOOKUP(A1685,Journal!$B$7:$J$84,9))</f>
        <v/>
      </c>
      <c r="E1685" s="116"/>
      <c r="F1685" s="116"/>
      <c r="G1685" s="115"/>
      <c r="H1685" s="84" t="str">
        <f>IF(B1685="","",VLOOKUP(A1685,Journal!$B$7:$L$84,11))</f>
        <v/>
      </c>
      <c r="I1685" s="84" t="str">
        <f>IF(B1685="","",VLOOKUP(A1685,Journal!$B$7:$M$84,12))</f>
        <v/>
      </c>
      <c r="J1685" s="105">
        <f>IF(B1685="Total",SUM(J$8:J1684)+0.0001,IF(OR(B1685="",I$2=I1685),0,VLOOKUP(A1685,Journal!$B$7:M$84,8)))</f>
        <v>0</v>
      </c>
      <c r="K1685" s="102">
        <f>IF(B1685="Total",SUM(K$8:K1684)+0.0001,IF(OR(B1685="",J1685&lt;&gt;0),0,VLOOKUP(A1685,Journal!$B$7:M$84,8)))</f>
        <v>0</v>
      </c>
      <c r="L1685" s="87">
        <f t="shared" si="196"/>
        <v>0</v>
      </c>
      <c r="P1685">
        <f t="shared" si="197"/>
        <v>1.0000000000000001E-5</v>
      </c>
      <c r="R1685" s="15">
        <f t="shared" si="198"/>
        <v>1678</v>
      </c>
      <c r="S1685" s="126">
        <f>IF(VLOOKUP(A1685,Journal!$A$7:$E$70,5)=0,S1684+1,VLOOKUP(A1685,Journal!$A$7:$E$70,5))</f>
        <v>47335</v>
      </c>
      <c r="T1685" s="125">
        <f>IF(H$2=VLOOKUP(A1685,Journal!$A$7:$F$70,6),VLOOKUP(A1685,Journal!$A$7:M$70,9),0)</f>
        <v>0</v>
      </c>
      <c r="U1685" s="125">
        <f>IF(H$2=VLOOKUP(A1685,Journal!$A$7:$G$70,7),VLOOKUP(A1685,Journal!$A$7:M$70,9),0)</f>
        <v>0</v>
      </c>
      <c r="V1685" s="125">
        <f t="shared" si="194"/>
        <v>40</v>
      </c>
      <c r="X1685">
        <f t="shared" si="199"/>
        <v>0</v>
      </c>
      <c r="Y1685" s="143">
        <f t="shared" si="193"/>
        <v>-955.9210526316491</v>
      </c>
    </row>
    <row r="1686" spans="1:25" x14ac:dyDescent="0.25">
      <c r="A1686">
        <f t="shared" si="195"/>
        <v>1679</v>
      </c>
      <c r="B1686" s="88" t="str">
        <f>IF(OR(B1685="Total",B1685=""),"",IF(VLOOKUP(A1686,Journal!$B$7:$E$84,4)=0,"Total",VLOOKUP(A1686,Journal!$B$7:$D$84,3)))</f>
        <v/>
      </c>
      <c r="C1686" s="86" t="str">
        <f>IF(B1686="","",VLOOKUP(A1686,Journal!$B$7:$E$84,4))</f>
        <v/>
      </c>
      <c r="D1686" s="114" t="str">
        <f>IF(B1686="","",VLOOKUP(A1686,Journal!$B$7:$J$84,9))</f>
        <v/>
      </c>
      <c r="E1686" s="116"/>
      <c r="F1686" s="116"/>
      <c r="G1686" s="115"/>
      <c r="H1686" s="84" t="str">
        <f>IF(B1686="","",VLOOKUP(A1686,Journal!$B$7:$L$84,11))</f>
        <v/>
      </c>
      <c r="I1686" s="84" t="str">
        <f>IF(B1686="","",VLOOKUP(A1686,Journal!$B$7:$M$84,12))</f>
        <v/>
      </c>
      <c r="J1686" s="105">
        <f>IF(B1686="Total",SUM(J$8:J1685)+0.0001,IF(OR(B1686="",I$2=I1686),0,VLOOKUP(A1686,Journal!$B$7:M$84,8)))</f>
        <v>0</v>
      </c>
      <c r="K1686" s="102">
        <f>IF(B1686="Total",SUM(K$8:K1685)+0.0001,IF(OR(B1686="",J1686&lt;&gt;0),0,VLOOKUP(A1686,Journal!$B$7:M$84,8)))</f>
        <v>0</v>
      </c>
      <c r="L1686" s="87">
        <f t="shared" si="196"/>
        <v>0</v>
      </c>
      <c r="P1686">
        <f t="shared" si="197"/>
        <v>1.0000000000000001E-5</v>
      </c>
      <c r="R1686" s="15">
        <f t="shared" si="198"/>
        <v>1679</v>
      </c>
      <c r="S1686" s="126">
        <f>IF(VLOOKUP(A1686,Journal!$A$7:$E$70,5)=0,S1685+1,VLOOKUP(A1686,Journal!$A$7:$E$70,5))</f>
        <v>47336</v>
      </c>
      <c r="T1686" s="125">
        <f>IF(H$2=VLOOKUP(A1686,Journal!$A$7:$F$70,6),VLOOKUP(A1686,Journal!$A$7:M$70,9),0)</f>
        <v>0</v>
      </c>
      <c r="U1686" s="125">
        <f>IF(H$2=VLOOKUP(A1686,Journal!$A$7:$G$70,7),VLOOKUP(A1686,Journal!$A$7:M$70,9),0)</f>
        <v>0</v>
      </c>
      <c r="V1686" s="125">
        <f t="shared" si="194"/>
        <v>40</v>
      </c>
      <c r="X1686">
        <f t="shared" si="199"/>
        <v>0</v>
      </c>
      <c r="Y1686" s="143">
        <f t="shared" si="193"/>
        <v>-955.89473684217546</v>
      </c>
    </row>
    <row r="1687" spans="1:25" x14ac:dyDescent="0.25">
      <c r="A1687">
        <f t="shared" si="195"/>
        <v>1680</v>
      </c>
      <c r="B1687" s="88" t="str">
        <f>IF(OR(B1686="Total",B1686=""),"",IF(VLOOKUP(A1687,Journal!$B$7:$E$84,4)=0,"Total",VLOOKUP(A1687,Journal!$B$7:$D$84,3)))</f>
        <v/>
      </c>
      <c r="C1687" s="86" t="str">
        <f>IF(B1687="","",VLOOKUP(A1687,Journal!$B$7:$E$84,4))</f>
        <v/>
      </c>
      <c r="D1687" s="114" t="str">
        <f>IF(B1687="","",VLOOKUP(A1687,Journal!$B$7:$J$84,9))</f>
        <v/>
      </c>
      <c r="E1687" s="116"/>
      <c r="F1687" s="116"/>
      <c r="G1687" s="115"/>
      <c r="H1687" s="84" t="str">
        <f>IF(B1687="","",VLOOKUP(A1687,Journal!$B$7:$L$84,11))</f>
        <v/>
      </c>
      <c r="I1687" s="84" t="str">
        <f>IF(B1687="","",VLOOKUP(A1687,Journal!$B$7:$M$84,12))</f>
        <v/>
      </c>
      <c r="J1687" s="105">
        <f>IF(B1687="Total",SUM(J$8:J1686)+0.0001,IF(OR(B1687="",I$2=I1687),0,VLOOKUP(A1687,Journal!$B$7:M$84,8)))</f>
        <v>0</v>
      </c>
      <c r="K1687" s="102">
        <f>IF(B1687="Total",SUM(K$8:K1686)+0.0001,IF(OR(B1687="",J1687&lt;&gt;0),0,VLOOKUP(A1687,Journal!$B$7:M$84,8)))</f>
        <v>0</v>
      </c>
      <c r="L1687" s="87">
        <f t="shared" si="196"/>
        <v>0</v>
      </c>
      <c r="P1687">
        <f t="shared" si="197"/>
        <v>1.0000000000000001E-5</v>
      </c>
      <c r="R1687" s="15">
        <f t="shared" si="198"/>
        <v>1680</v>
      </c>
      <c r="S1687" s="126">
        <f>IF(VLOOKUP(A1687,Journal!$A$7:$E$70,5)=0,S1686+1,VLOOKUP(A1687,Journal!$A$7:$E$70,5))</f>
        <v>47337</v>
      </c>
      <c r="T1687" s="125">
        <f>IF(H$2=VLOOKUP(A1687,Journal!$A$7:$F$70,6),VLOOKUP(A1687,Journal!$A$7:M$70,9),0)</f>
        <v>0</v>
      </c>
      <c r="U1687" s="125">
        <f>IF(H$2=VLOOKUP(A1687,Journal!$A$7:$G$70,7),VLOOKUP(A1687,Journal!$A$7:M$70,9),0)</f>
        <v>0</v>
      </c>
      <c r="V1687" s="125">
        <f t="shared" si="194"/>
        <v>40</v>
      </c>
      <c r="X1687">
        <f t="shared" si="199"/>
        <v>0</v>
      </c>
      <c r="Y1687" s="143">
        <f t="shared" si="193"/>
        <v>-955.86842105270182</v>
      </c>
    </row>
    <row r="1688" spans="1:25" x14ac:dyDescent="0.25">
      <c r="A1688">
        <f t="shared" si="195"/>
        <v>1681</v>
      </c>
      <c r="B1688" s="88" t="str">
        <f>IF(OR(B1687="Total",B1687=""),"",IF(VLOOKUP(A1688,Journal!$B$7:$E$84,4)=0,"Total",VLOOKUP(A1688,Journal!$B$7:$D$84,3)))</f>
        <v/>
      </c>
      <c r="C1688" s="86" t="str">
        <f>IF(B1688="","",VLOOKUP(A1688,Journal!$B$7:$E$84,4))</f>
        <v/>
      </c>
      <c r="D1688" s="114" t="str">
        <f>IF(B1688="","",VLOOKUP(A1688,Journal!$B$7:$J$84,9))</f>
        <v/>
      </c>
      <c r="E1688" s="116"/>
      <c r="F1688" s="116"/>
      <c r="G1688" s="115"/>
      <c r="H1688" s="84" t="str">
        <f>IF(B1688="","",VLOOKUP(A1688,Journal!$B$7:$L$84,11))</f>
        <v/>
      </c>
      <c r="I1688" s="84" t="str">
        <f>IF(B1688="","",VLOOKUP(A1688,Journal!$B$7:$M$84,12))</f>
        <v/>
      </c>
      <c r="J1688" s="105">
        <f>IF(B1688="Total",SUM(J$8:J1687)+0.0001,IF(OR(B1688="",I$2=I1688),0,VLOOKUP(A1688,Journal!$B$7:M$84,8)))</f>
        <v>0</v>
      </c>
      <c r="K1688" s="102">
        <f>IF(B1688="Total",SUM(K$8:K1687)+0.0001,IF(OR(B1688="",J1688&lt;&gt;0),0,VLOOKUP(A1688,Journal!$B$7:M$84,8)))</f>
        <v>0</v>
      </c>
      <c r="L1688" s="87">
        <f t="shared" si="196"/>
        <v>0</v>
      </c>
      <c r="P1688">
        <f t="shared" si="197"/>
        <v>1.0000000000000001E-5</v>
      </c>
      <c r="R1688" s="15">
        <f t="shared" si="198"/>
        <v>1681</v>
      </c>
      <c r="S1688" s="126">
        <f>IF(VLOOKUP(A1688,Journal!$A$7:$E$70,5)=0,S1687+1,VLOOKUP(A1688,Journal!$A$7:$E$70,5))</f>
        <v>47338</v>
      </c>
      <c r="T1688" s="125">
        <f>IF(H$2=VLOOKUP(A1688,Journal!$A$7:$F$70,6),VLOOKUP(A1688,Journal!$A$7:M$70,9),0)</f>
        <v>0</v>
      </c>
      <c r="U1688" s="125">
        <f>IF(H$2=VLOOKUP(A1688,Journal!$A$7:$G$70,7),VLOOKUP(A1688,Journal!$A$7:M$70,9),0)</f>
        <v>0</v>
      </c>
      <c r="V1688" s="125">
        <f t="shared" si="194"/>
        <v>40</v>
      </c>
      <c r="X1688">
        <f t="shared" si="199"/>
        <v>0</v>
      </c>
      <c r="Y1688" s="143">
        <f t="shared" si="193"/>
        <v>-955.84210526322818</v>
      </c>
    </row>
    <row r="1689" spans="1:25" x14ac:dyDescent="0.25">
      <c r="A1689">
        <f t="shared" ref="A1689:A1720" si="200">A1688+1</f>
        <v>1682</v>
      </c>
      <c r="B1689" s="88" t="str">
        <f>IF(OR(B1688="Total",B1688=""),"",IF(VLOOKUP(A1689,Journal!$B$7:$E$84,4)=0,"Total",VLOOKUP(A1689,Journal!$B$7:$D$84,3)))</f>
        <v/>
      </c>
      <c r="C1689" s="86" t="str">
        <f>IF(B1689="","",VLOOKUP(A1689,Journal!$B$7:$E$84,4))</f>
        <v/>
      </c>
      <c r="D1689" s="114" t="str">
        <f>IF(B1689="","",VLOOKUP(A1689,Journal!$B$7:$J$84,9))</f>
        <v/>
      </c>
      <c r="E1689" s="116"/>
      <c r="F1689" s="116"/>
      <c r="G1689" s="115"/>
      <c r="H1689" s="84" t="str">
        <f>IF(B1689="","",VLOOKUP(A1689,Journal!$B$7:$L$84,11))</f>
        <v/>
      </c>
      <c r="I1689" s="84" t="str">
        <f>IF(B1689="","",VLOOKUP(A1689,Journal!$B$7:$M$84,12))</f>
        <v/>
      </c>
      <c r="J1689" s="105">
        <f>IF(B1689="Total",SUM(J$8:J1688)+0.0001,IF(OR(B1689="",I$2=I1689),0,VLOOKUP(A1689,Journal!$B$7:M$84,8)))</f>
        <v>0</v>
      </c>
      <c r="K1689" s="102">
        <f>IF(B1689="Total",SUM(K$8:K1688)+0.0001,IF(OR(B1689="",J1689&lt;&gt;0),0,VLOOKUP(A1689,Journal!$B$7:M$84,8)))</f>
        <v>0</v>
      </c>
      <c r="L1689" s="87">
        <f t="shared" ref="L1689:L1720" si="201">IF(B1689="Total",L1688,IF(B1689="",0,IF($M$1=1,L1688+J1689-K1689,L1688-J1689+K1689)))</f>
        <v>0</v>
      </c>
      <c r="P1689">
        <f t="shared" ref="P1689:P1720" si="202">IF(L1688=L1689,L1688+0.00001,L1689)</f>
        <v>1.0000000000000001E-5</v>
      </c>
      <c r="R1689" s="15">
        <f t="shared" ref="R1689:R1720" si="203">R1688+1</f>
        <v>1682</v>
      </c>
      <c r="S1689" s="126">
        <f>IF(VLOOKUP(A1689,Journal!$A$7:$E$70,5)=0,S1688+1,VLOOKUP(A1689,Journal!$A$7:$E$70,5))</f>
        <v>47339</v>
      </c>
      <c r="T1689" s="125">
        <f>IF(H$2=VLOOKUP(A1689,Journal!$A$7:$F$70,6),VLOOKUP(A1689,Journal!$A$7:M$70,9),0)</f>
        <v>0</v>
      </c>
      <c r="U1689" s="125">
        <f>IF(H$2=VLOOKUP(A1689,Journal!$A$7:$G$70,7),VLOOKUP(A1689,Journal!$A$7:M$70,9),0)</f>
        <v>0</v>
      </c>
      <c r="V1689" s="125">
        <f t="shared" si="194"/>
        <v>40</v>
      </c>
      <c r="X1689">
        <f t="shared" ref="X1689:X1720" si="204">IF(J$2&gt;S1689,1,0)</f>
        <v>0</v>
      </c>
      <c r="Y1689" s="143">
        <f t="shared" si="193"/>
        <v>-955.81578947375453</v>
      </c>
    </row>
    <row r="1690" spans="1:25" x14ac:dyDescent="0.25">
      <c r="A1690">
        <f t="shared" si="200"/>
        <v>1683</v>
      </c>
      <c r="B1690" s="88" t="str">
        <f>IF(OR(B1689="Total",B1689=""),"",IF(VLOOKUP(A1690,Journal!$B$7:$E$84,4)=0,"Total",VLOOKUP(A1690,Journal!$B$7:$D$84,3)))</f>
        <v/>
      </c>
      <c r="C1690" s="86" t="str">
        <f>IF(B1690="","",VLOOKUP(A1690,Journal!$B$7:$E$84,4))</f>
        <v/>
      </c>
      <c r="D1690" s="114" t="str">
        <f>IF(B1690="","",VLOOKUP(A1690,Journal!$B$7:$J$84,9))</f>
        <v/>
      </c>
      <c r="E1690" s="116"/>
      <c r="F1690" s="116"/>
      <c r="G1690" s="115"/>
      <c r="H1690" s="84" t="str">
        <f>IF(B1690="","",VLOOKUP(A1690,Journal!$B$7:$L$84,11))</f>
        <v/>
      </c>
      <c r="I1690" s="84" t="str">
        <f>IF(B1690="","",VLOOKUP(A1690,Journal!$B$7:$M$84,12))</f>
        <v/>
      </c>
      <c r="J1690" s="105">
        <f>IF(B1690="Total",SUM(J$8:J1689)+0.0001,IF(OR(B1690="",I$2=I1690),0,VLOOKUP(A1690,Journal!$B$7:M$84,8)))</f>
        <v>0</v>
      </c>
      <c r="K1690" s="102">
        <f>IF(B1690="Total",SUM(K$8:K1689)+0.0001,IF(OR(B1690="",J1690&lt;&gt;0),0,VLOOKUP(A1690,Journal!$B$7:M$84,8)))</f>
        <v>0</v>
      </c>
      <c r="L1690" s="87">
        <f t="shared" si="201"/>
        <v>0</v>
      </c>
      <c r="P1690">
        <f t="shared" si="202"/>
        <v>1.0000000000000001E-5</v>
      </c>
      <c r="R1690" s="15">
        <f t="shared" si="203"/>
        <v>1683</v>
      </c>
      <c r="S1690" s="126">
        <f>IF(VLOOKUP(A1690,Journal!$A$7:$E$70,5)=0,S1689+1,VLOOKUP(A1690,Journal!$A$7:$E$70,5))</f>
        <v>47340</v>
      </c>
      <c r="T1690" s="125">
        <f>IF(H$2=VLOOKUP(A1690,Journal!$A$7:$F$70,6),VLOOKUP(A1690,Journal!$A$7:M$70,9),0)</f>
        <v>0</v>
      </c>
      <c r="U1690" s="125">
        <f>IF(H$2=VLOOKUP(A1690,Journal!$A$7:$G$70,7),VLOOKUP(A1690,Journal!$A$7:M$70,9),0)</f>
        <v>0</v>
      </c>
      <c r="V1690" s="125">
        <f t="shared" si="194"/>
        <v>40</v>
      </c>
      <c r="X1690">
        <f t="shared" si="204"/>
        <v>0</v>
      </c>
      <c r="Y1690" s="143">
        <f t="shared" si="193"/>
        <v>-955.78947368428089</v>
      </c>
    </row>
    <row r="1691" spans="1:25" x14ac:dyDescent="0.25">
      <c r="A1691">
        <f t="shared" si="200"/>
        <v>1684</v>
      </c>
      <c r="B1691" s="88" t="str">
        <f>IF(OR(B1690="Total",B1690=""),"",IF(VLOOKUP(A1691,Journal!$B$7:$E$84,4)=0,"Total",VLOOKUP(A1691,Journal!$B$7:$D$84,3)))</f>
        <v/>
      </c>
      <c r="C1691" s="86" t="str">
        <f>IF(B1691="","",VLOOKUP(A1691,Journal!$B$7:$E$84,4))</f>
        <v/>
      </c>
      <c r="D1691" s="114" t="str">
        <f>IF(B1691="","",VLOOKUP(A1691,Journal!$B$7:$J$84,9))</f>
        <v/>
      </c>
      <c r="E1691" s="116"/>
      <c r="F1691" s="116"/>
      <c r="G1691" s="115"/>
      <c r="H1691" s="84" t="str">
        <f>IF(B1691="","",VLOOKUP(A1691,Journal!$B$7:$L$84,11))</f>
        <v/>
      </c>
      <c r="I1691" s="84" t="str">
        <f>IF(B1691="","",VLOOKUP(A1691,Journal!$B$7:$M$84,12))</f>
        <v/>
      </c>
      <c r="J1691" s="105">
        <f>IF(B1691="Total",SUM(J$8:J1690)+0.0001,IF(OR(B1691="",I$2=I1691),0,VLOOKUP(A1691,Journal!$B$7:M$84,8)))</f>
        <v>0</v>
      </c>
      <c r="K1691" s="102">
        <f>IF(B1691="Total",SUM(K$8:K1690)+0.0001,IF(OR(B1691="",J1691&lt;&gt;0),0,VLOOKUP(A1691,Journal!$B$7:M$84,8)))</f>
        <v>0</v>
      </c>
      <c r="L1691" s="87">
        <f t="shared" si="201"/>
        <v>0</v>
      </c>
      <c r="P1691">
        <f t="shared" si="202"/>
        <v>1.0000000000000001E-5</v>
      </c>
      <c r="R1691" s="15">
        <f t="shared" si="203"/>
        <v>1684</v>
      </c>
      <c r="S1691" s="126">
        <f>IF(VLOOKUP(A1691,Journal!$A$7:$E$70,5)=0,S1690+1,VLOOKUP(A1691,Journal!$A$7:$E$70,5))</f>
        <v>47341</v>
      </c>
      <c r="T1691" s="125">
        <f>IF(H$2=VLOOKUP(A1691,Journal!$A$7:$F$70,6),VLOOKUP(A1691,Journal!$A$7:M$70,9),0)</f>
        <v>0</v>
      </c>
      <c r="U1691" s="125">
        <f>IF(H$2=VLOOKUP(A1691,Journal!$A$7:$G$70,7),VLOOKUP(A1691,Journal!$A$7:M$70,9),0)</f>
        <v>0</v>
      </c>
      <c r="V1691" s="125">
        <f t="shared" si="194"/>
        <v>40</v>
      </c>
      <c r="X1691">
        <f t="shared" si="204"/>
        <v>0</v>
      </c>
      <c r="Y1691" s="143">
        <f t="shared" si="193"/>
        <v>-955.76315789480725</v>
      </c>
    </row>
    <row r="1692" spans="1:25" x14ac:dyDescent="0.25">
      <c r="A1692">
        <f t="shared" si="200"/>
        <v>1685</v>
      </c>
      <c r="B1692" s="88" t="str">
        <f>IF(OR(B1691="Total",B1691=""),"",IF(VLOOKUP(A1692,Journal!$B$7:$E$84,4)=0,"Total",VLOOKUP(A1692,Journal!$B$7:$D$84,3)))</f>
        <v/>
      </c>
      <c r="C1692" s="86" t="str">
        <f>IF(B1692="","",VLOOKUP(A1692,Journal!$B$7:$E$84,4))</f>
        <v/>
      </c>
      <c r="D1692" s="114" t="str">
        <f>IF(B1692="","",VLOOKUP(A1692,Journal!$B$7:$J$84,9))</f>
        <v/>
      </c>
      <c r="E1692" s="116"/>
      <c r="F1692" s="116"/>
      <c r="G1692" s="115"/>
      <c r="H1692" s="84" t="str">
        <f>IF(B1692="","",VLOOKUP(A1692,Journal!$B$7:$L$84,11))</f>
        <v/>
      </c>
      <c r="I1692" s="84" t="str">
        <f>IF(B1692="","",VLOOKUP(A1692,Journal!$B$7:$M$84,12))</f>
        <v/>
      </c>
      <c r="J1692" s="105">
        <f>IF(B1692="Total",SUM(J$8:J1691)+0.0001,IF(OR(B1692="",I$2=I1692),0,VLOOKUP(A1692,Journal!$B$7:M$84,8)))</f>
        <v>0</v>
      </c>
      <c r="K1692" s="102">
        <f>IF(B1692="Total",SUM(K$8:K1691)+0.0001,IF(OR(B1692="",J1692&lt;&gt;0),0,VLOOKUP(A1692,Journal!$B$7:M$84,8)))</f>
        <v>0</v>
      </c>
      <c r="L1692" s="87">
        <f t="shared" si="201"/>
        <v>0</v>
      </c>
      <c r="P1692">
        <f t="shared" si="202"/>
        <v>1.0000000000000001E-5</v>
      </c>
      <c r="R1692" s="15">
        <f t="shared" si="203"/>
        <v>1685</v>
      </c>
      <c r="S1692" s="126">
        <f>IF(VLOOKUP(A1692,Journal!$A$7:$E$70,5)=0,S1691+1,VLOOKUP(A1692,Journal!$A$7:$E$70,5))</f>
        <v>47342</v>
      </c>
      <c r="T1692" s="125">
        <f>IF(H$2=VLOOKUP(A1692,Journal!$A$7:$F$70,6),VLOOKUP(A1692,Journal!$A$7:M$70,9),0)</f>
        <v>0</v>
      </c>
      <c r="U1692" s="125">
        <f>IF(H$2=VLOOKUP(A1692,Journal!$A$7:$G$70,7),VLOOKUP(A1692,Journal!$A$7:M$70,9),0)</f>
        <v>0</v>
      </c>
      <c r="V1692" s="125">
        <f t="shared" si="194"/>
        <v>40</v>
      </c>
      <c r="X1692">
        <f t="shared" si="204"/>
        <v>0</v>
      </c>
      <c r="Y1692" s="143">
        <f t="shared" si="193"/>
        <v>-955.73684210533361</v>
      </c>
    </row>
    <row r="1693" spans="1:25" x14ac:dyDescent="0.25">
      <c r="A1693">
        <f t="shared" si="200"/>
        <v>1686</v>
      </c>
      <c r="B1693" s="88" t="str">
        <f>IF(OR(B1692="Total",B1692=""),"",IF(VLOOKUP(A1693,Journal!$B$7:$E$84,4)=0,"Total",VLOOKUP(A1693,Journal!$B$7:$D$84,3)))</f>
        <v/>
      </c>
      <c r="C1693" s="86" t="str">
        <f>IF(B1693="","",VLOOKUP(A1693,Journal!$B$7:$E$84,4))</f>
        <v/>
      </c>
      <c r="D1693" s="114" t="str">
        <f>IF(B1693="","",VLOOKUP(A1693,Journal!$B$7:$J$84,9))</f>
        <v/>
      </c>
      <c r="E1693" s="116"/>
      <c r="F1693" s="116"/>
      <c r="G1693" s="115"/>
      <c r="H1693" s="84" t="str">
        <f>IF(B1693="","",VLOOKUP(A1693,Journal!$B$7:$L$84,11))</f>
        <v/>
      </c>
      <c r="I1693" s="84" t="str">
        <f>IF(B1693="","",VLOOKUP(A1693,Journal!$B$7:$M$84,12))</f>
        <v/>
      </c>
      <c r="J1693" s="105">
        <f>IF(B1693="Total",SUM(J$8:J1692)+0.0001,IF(OR(B1693="",I$2=I1693),0,VLOOKUP(A1693,Journal!$B$7:M$84,8)))</f>
        <v>0</v>
      </c>
      <c r="K1693" s="102">
        <f>IF(B1693="Total",SUM(K$8:K1692)+0.0001,IF(OR(B1693="",J1693&lt;&gt;0),0,VLOOKUP(A1693,Journal!$B$7:M$84,8)))</f>
        <v>0</v>
      </c>
      <c r="L1693" s="87">
        <f t="shared" si="201"/>
        <v>0</v>
      </c>
      <c r="P1693">
        <f t="shared" si="202"/>
        <v>1.0000000000000001E-5</v>
      </c>
      <c r="R1693" s="15">
        <f t="shared" si="203"/>
        <v>1686</v>
      </c>
      <c r="S1693" s="126">
        <f>IF(VLOOKUP(A1693,Journal!$A$7:$E$70,5)=0,S1692+1,VLOOKUP(A1693,Journal!$A$7:$E$70,5))</f>
        <v>47343</v>
      </c>
      <c r="T1693" s="125">
        <f>IF(H$2=VLOOKUP(A1693,Journal!$A$7:$F$70,6),VLOOKUP(A1693,Journal!$A$7:M$70,9),0)</f>
        <v>0</v>
      </c>
      <c r="U1693" s="125">
        <f>IF(H$2=VLOOKUP(A1693,Journal!$A$7:$G$70,7),VLOOKUP(A1693,Journal!$A$7:M$70,9),0)</f>
        <v>0</v>
      </c>
      <c r="V1693" s="125">
        <f t="shared" si="194"/>
        <v>40</v>
      </c>
      <c r="X1693">
        <f t="shared" si="204"/>
        <v>0</v>
      </c>
      <c r="Y1693" s="143">
        <f t="shared" si="193"/>
        <v>-955.71052631585997</v>
      </c>
    </row>
    <row r="1694" spans="1:25" x14ac:dyDescent="0.25">
      <c r="A1694">
        <f t="shared" si="200"/>
        <v>1687</v>
      </c>
      <c r="B1694" s="88" t="str">
        <f>IF(OR(B1693="Total",B1693=""),"",IF(VLOOKUP(A1694,Journal!$B$7:$E$84,4)=0,"Total",VLOOKUP(A1694,Journal!$B$7:$D$84,3)))</f>
        <v/>
      </c>
      <c r="C1694" s="86" t="str">
        <f>IF(B1694="","",VLOOKUP(A1694,Journal!$B$7:$E$84,4))</f>
        <v/>
      </c>
      <c r="D1694" s="114" t="str">
        <f>IF(B1694="","",VLOOKUP(A1694,Journal!$B$7:$J$84,9))</f>
        <v/>
      </c>
      <c r="E1694" s="116"/>
      <c r="F1694" s="116"/>
      <c r="G1694" s="115"/>
      <c r="H1694" s="84" t="str">
        <f>IF(B1694="","",VLOOKUP(A1694,Journal!$B$7:$L$84,11))</f>
        <v/>
      </c>
      <c r="I1694" s="84" t="str">
        <f>IF(B1694="","",VLOOKUP(A1694,Journal!$B$7:$M$84,12))</f>
        <v/>
      </c>
      <c r="J1694" s="105">
        <f>IF(B1694="Total",SUM(J$8:J1693)+0.0001,IF(OR(B1694="",I$2=I1694),0,VLOOKUP(A1694,Journal!$B$7:M$84,8)))</f>
        <v>0</v>
      </c>
      <c r="K1694" s="102">
        <f>IF(B1694="Total",SUM(K$8:K1693)+0.0001,IF(OR(B1694="",J1694&lt;&gt;0),0,VLOOKUP(A1694,Journal!$B$7:M$84,8)))</f>
        <v>0</v>
      </c>
      <c r="L1694" s="87">
        <f t="shared" si="201"/>
        <v>0</v>
      </c>
      <c r="P1694">
        <f t="shared" si="202"/>
        <v>1.0000000000000001E-5</v>
      </c>
      <c r="R1694" s="15">
        <f t="shared" si="203"/>
        <v>1687</v>
      </c>
      <c r="S1694" s="126">
        <f>IF(VLOOKUP(A1694,Journal!$A$7:$E$70,5)=0,S1693+1,VLOOKUP(A1694,Journal!$A$7:$E$70,5))</f>
        <v>47344</v>
      </c>
      <c r="T1694" s="125">
        <f>IF(H$2=VLOOKUP(A1694,Journal!$A$7:$F$70,6),VLOOKUP(A1694,Journal!$A$7:M$70,9),0)</f>
        <v>0</v>
      </c>
      <c r="U1694" s="125">
        <f>IF(H$2=VLOOKUP(A1694,Journal!$A$7:$G$70,7),VLOOKUP(A1694,Journal!$A$7:M$70,9),0)</f>
        <v>0</v>
      </c>
      <c r="V1694" s="125">
        <f t="shared" si="194"/>
        <v>40</v>
      </c>
      <c r="X1694">
        <f t="shared" si="204"/>
        <v>0</v>
      </c>
      <c r="Y1694" s="143">
        <f t="shared" si="193"/>
        <v>-955.68421052638632</v>
      </c>
    </row>
    <row r="1695" spans="1:25" x14ac:dyDescent="0.25">
      <c r="A1695">
        <f t="shared" si="200"/>
        <v>1688</v>
      </c>
      <c r="B1695" s="88" t="str">
        <f>IF(OR(B1694="Total",B1694=""),"",IF(VLOOKUP(A1695,Journal!$B$7:$E$84,4)=0,"Total",VLOOKUP(A1695,Journal!$B$7:$D$84,3)))</f>
        <v/>
      </c>
      <c r="C1695" s="86" t="str">
        <f>IF(B1695="","",VLOOKUP(A1695,Journal!$B$7:$E$84,4))</f>
        <v/>
      </c>
      <c r="D1695" s="114" t="str">
        <f>IF(B1695="","",VLOOKUP(A1695,Journal!$B$7:$J$84,9))</f>
        <v/>
      </c>
      <c r="E1695" s="116"/>
      <c r="F1695" s="116"/>
      <c r="G1695" s="115"/>
      <c r="H1695" s="84" t="str">
        <f>IF(B1695="","",VLOOKUP(A1695,Journal!$B$7:$L$84,11))</f>
        <v/>
      </c>
      <c r="I1695" s="84" t="str">
        <f>IF(B1695="","",VLOOKUP(A1695,Journal!$B$7:$M$84,12))</f>
        <v/>
      </c>
      <c r="J1695" s="105">
        <f>IF(B1695="Total",SUM(J$8:J1694)+0.0001,IF(OR(B1695="",I$2=I1695),0,VLOOKUP(A1695,Journal!$B$7:M$84,8)))</f>
        <v>0</v>
      </c>
      <c r="K1695" s="102">
        <f>IF(B1695="Total",SUM(K$8:K1694)+0.0001,IF(OR(B1695="",J1695&lt;&gt;0),0,VLOOKUP(A1695,Journal!$B$7:M$84,8)))</f>
        <v>0</v>
      </c>
      <c r="L1695" s="87">
        <f t="shared" si="201"/>
        <v>0</v>
      </c>
      <c r="P1695">
        <f t="shared" si="202"/>
        <v>1.0000000000000001E-5</v>
      </c>
      <c r="R1695" s="15">
        <f t="shared" si="203"/>
        <v>1688</v>
      </c>
      <c r="S1695" s="126">
        <f>IF(VLOOKUP(A1695,Journal!$A$7:$E$70,5)=0,S1694+1,VLOOKUP(A1695,Journal!$A$7:$E$70,5))</f>
        <v>47345</v>
      </c>
      <c r="T1695" s="125">
        <f>IF(H$2=VLOOKUP(A1695,Journal!$A$7:$F$70,6),VLOOKUP(A1695,Journal!$A$7:M$70,9),0)</f>
        <v>0</v>
      </c>
      <c r="U1695" s="125">
        <f>IF(H$2=VLOOKUP(A1695,Journal!$A$7:$G$70,7),VLOOKUP(A1695,Journal!$A$7:M$70,9),0)</f>
        <v>0</v>
      </c>
      <c r="V1695" s="125">
        <f t="shared" si="194"/>
        <v>40</v>
      </c>
      <c r="X1695">
        <f t="shared" si="204"/>
        <v>0</v>
      </c>
      <c r="Y1695" s="143">
        <f t="shared" si="193"/>
        <v>-955.65789473691268</v>
      </c>
    </row>
    <row r="1696" spans="1:25" x14ac:dyDescent="0.25">
      <c r="A1696">
        <f t="shared" si="200"/>
        <v>1689</v>
      </c>
      <c r="B1696" s="88" t="str">
        <f>IF(OR(B1695="Total",B1695=""),"",IF(VLOOKUP(A1696,Journal!$B$7:$E$84,4)=0,"Total",VLOOKUP(A1696,Journal!$B$7:$D$84,3)))</f>
        <v/>
      </c>
      <c r="C1696" s="86" t="str">
        <f>IF(B1696="","",VLOOKUP(A1696,Journal!$B$7:$E$84,4))</f>
        <v/>
      </c>
      <c r="D1696" s="114" t="str">
        <f>IF(B1696="","",VLOOKUP(A1696,Journal!$B$7:$J$84,9))</f>
        <v/>
      </c>
      <c r="E1696" s="116"/>
      <c r="F1696" s="116"/>
      <c r="G1696" s="115"/>
      <c r="H1696" s="84" t="str">
        <f>IF(B1696="","",VLOOKUP(A1696,Journal!$B$7:$L$84,11))</f>
        <v/>
      </c>
      <c r="I1696" s="84" t="str">
        <f>IF(B1696="","",VLOOKUP(A1696,Journal!$B$7:$M$84,12))</f>
        <v/>
      </c>
      <c r="J1696" s="105">
        <f>IF(B1696="Total",SUM(J$8:J1695)+0.0001,IF(OR(B1696="",I$2=I1696),0,VLOOKUP(A1696,Journal!$B$7:M$84,8)))</f>
        <v>0</v>
      </c>
      <c r="K1696" s="102">
        <f>IF(B1696="Total",SUM(K$8:K1695)+0.0001,IF(OR(B1696="",J1696&lt;&gt;0),0,VLOOKUP(A1696,Journal!$B$7:M$84,8)))</f>
        <v>0</v>
      </c>
      <c r="L1696" s="87">
        <f t="shared" si="201"/>
        <v>0</v>
      </c>
      <c r="P1696">
        <f t="shared" si="202"/>
        <v>1.0000000000000001E-5</v>
      </c>
      <c r="R1696" s="15">
        <f t="shared" si="203"/>
        <v>1689</v>
      </c>
      <c r="S1696" s="126">
        <f>IF(VLOOKUP(A1696,Journal!$A$7:$E$70,5)=0,S1695+1,VLOOKUP(A1696,Journal!$A$7:$E$70,5))</f>
        <v>47346</v>
      </c>
      <c r="T1696" s="125">
        <f>IF(H$2=VLOOKUP(A1696,Journal!$A$7:$F$70,6),VLOOKUP(A1696,Journal!$A$7:M$70,9),0)</f>
        <v>0</v>
      </c>
      <c r="U1696" s="125">
        <f>IF(H$2=VLOOKUP(A1696,Journal!$A$7:$G$70,7),VLOOKUP(A1696,Journal!$A$7:M$70,9),0)</f>
        <v>0</v>
      </c>
      <c r="V1696" s="125">
        <f t="shared" si="194"/>
        <v>40</v>
      </c>
      <c r="X1696">
        <f t="shared" si="204"/>
        <v>0</v>
      </c>
      <c r="Y1696" s="143">
        <f t="shared" si="193"/>
        <v>-955.63157894743904</v>
      </c>
    </row>
    <row r="1697" spans="1:25" x14ac:dyDescent="0.25">
      <c r="A1697">
        <f t="shared" si="200"/>
        <v>1690</v>
      </c>
      <c r="B1697" s="88" t="str">
        <f>IF(OR(B1696="Total",B1696=""),"",IF(VLOOKUP(A1697,Journal!$B$7:$E$84,4)=0,"Total",VLOOKUP(A1697,Journal!$B$7:$D$84,3)))</f>
        <v/>
      </c>
      <c r="C1697" s="86" t="str">
        <f>IF(B1697="","",VLOOKUP(A1697,Journal!$B$7:$E$84,4))</f>
        <v/>
      </c>
      <c r="D1697" s="114" t="str">
        <f>IF(B1697="","",VLOOKUP(A1697,Journal!$B$7:$J$84,9))</f>
        <v/>
      </c>
      <c r="E1697" s="116"/>
      <c r="F1697" s="116"/>
      <c r="G1697" s="115"/>
      <c r="H1697" s="84" t="str">
        <f>IF(B1697="","",VLOOKUP(A1697,Journal!$B$7:$L$84,11))</f>
        <v/>
      </c>
      <c r="I1697" s="84" t="str">
        <f>IF(B1697="","",VLOOKUP(A1697,Journal!$B$7:$M$84,12))</f>
        <v/>
      </c>
      <c r="J1697" s="105">
        <f>IF(B1697="Total",SUM(J$8:J1696)+0.0001,IF(OR(B1697="",I$2=I1697),0,VLOOKUP(A1697,Journal!$B$7:M$84,8)))</f>
        <v>0</v>
      </c>
      <c r="K1697" s="102">
        <f>IF(B1697="Total",SUM(K$8:K1696)+0.0001,IF(OR(B1697="",J1697&lt;&gt;0),0,VLOOKUP(A1697,Journal!$B$7:M$84,8)))</f>
        <v>0</v>
      </c>
      <c r="L1697" s="87">
        <f t="shared" si="201"/>
        <v>0</v>
      </c>
      <c r="P1697">
        <f t="shared" si="202"/>
        <v>1.0000000000000001E-5</v>
      </c>
      <c r="R1697" s="15">
        <f t="shared" si="203"/>
        <v>1690</v>
      </c>
      <c r="S1697" s="126">
        <f>IF(VLOOKUP(A1697,Journal!$A$7:$E$70,5)=0,S1696+1,VLOOKUP(A1697,Journal!$A$7:$E$70,5))</f>
        <v>47347</v>
      </c>
      <c r="T1697" s="125">
        <f>IF(H$2=VLOOKUP(A1697,Journal!$A$7:$F$70,6),VLOOKUP(A1697,Journal!$A$7:M$70,9),0)</f>
        <v>0</v>
      </c>
      <c r="U1697" s="125">
        <f>IF(H$2=VLOOKUP(A1697,Journal!$A$7:$G$70,7),VLOOKUP(A1697,Journal!$A$7:M$70,9),0)</f>
        <v>0</v>
      </c>
      <c r="V1697" s="125">
        <f t="shared" si="194"/>
        <v>40</v>
      </c>
      <c r="X1697">
        <f t="shared" si="204"/>
        <v>0</v>
      </c>
      <c r="Y1697" s="143">
        <f t="shared" si="193"/>
        <v>-955.6052631579654</v>
      </c>
    </row>
    <row r="1698" spans="1:25" x14ac:dyDescent="0.25">
      <c r="A1698">
        <f t="shared" si="200"/>
        <v>1691</v>
      </c>
      <c r="B1698" s="88" t="str">
        <f>IF(OR(B1697="Total",B1697=""),"",IF(VLOOKUP(A1698,Journal!$B$7:$E$84,4)=0,"Total",VLOOKUP(A1698,Journal!$B$7:$D$84,3)))</f>
        <v/>
      </c>
      <c r="C1698" s="86" t="str">
        <f>IF(B1698="","",VLOOKUP(A1698,Journal!$B$7:$E$84,4))</f>
        <v/>
      </c>
      <c r="D1698" s="114" t="str">
        <f>IF(B1698="","",VLOOKUP(A1698,Journal!$B$7:$J$84,9))</f>
        <v/>
      </c>
      <c r="E1698" s="116"/>
      <c r="F1698" s="116"/>
      <c r="G1698" s="115"/>
      <c r="H1698" s="84" t="str">
        <f>IF(B1698="","",VLOOKUP(A1698,Journal!$B$7:$L$84,11))</f>
        <v/>
      </c>
      <c r="I1698" s="84" t="str">
        <f>IF(B1698="","",VLOOKUP(A1698,Journal!$B$7:$M$84,12))</f>
        <v/>
      </c>
      <c r="J1698" s="105">
        <f>IF(B1698="Total",SUM(J$8:J1697)+0.0001,IF(OR(B1698="",I$2=I1698),0,VLOOKUP(A1698,Journal!$B$7:M$84,8)))</f>
        <v>0</v>
      </c>
      <c r="K1698" s="102">
        <f>IF(B1698="Total",SUM(K$8:K1697)+0.0001,IF(OR(B1698="",J1698&lt;&gt;0),0,VLOOKUP(A1698,Journal!$B$7:M$84,8)))</f>
        <v>0</v>
      </c>
      <c r="L1698" s="87">
        <f t="shared" si="201"/>
        <v>0</v>
      </c>
      <c r="P1698">
        <f t="shared" si="202"/>
        <v>1.0000000000000001E-5</v>
      </c>
      <c r="R1698" s="15">
        <f t="shared" si="203"/>
        <v>1691</v>
      </c>
      <c r="S1698" s="126">
        <f>IF(VLOOKUP(A1698,Journal!$A$7:$E$70,5)=0,S1697+1,VLOOKUP(A1698,Journal!$A$7:$E$70,5))</f>
        <v>47348</v>
      </c>
      <c r="T1698" s="125">
        <f>IF(H$2=VLOOKUP(A1698,Journal!$A$7:$F$70,6),VLOOKUP(A1698,Journal!$A$7:M$70,9),0)</f>
        <v>0</v>
      </c>
      <c r="U1698" s="125">
        <f>IF(H$2=VLOOKUP(A1698,Journal!$A$7:$G$70,7),VLOOKUP(A1698,Journal!$A$7:M$70,9),0)</f>
        <v>0</v>
      </c>
      <c r="V1698" s="125">
        <f t="shared" si="194"/>
        <v>40</v>
      </c>
      <c r="X1698">
        <f t="shared" si="204"/>
        <v>0</v>
      </c>
      <c r="Y1698" s="143">
        <f t="shared" si="193"/>
        <v>-955.57894736849175</v>
      </c>
    </row>
    <row r="1699" spans="1:25" x14ac:dyDescent="0.25">
      <c r="A1699">
        <f t="shared" si="200"/>
        <v>1692</v>
      </c>
      <c r="B1699" s="88" t="str">
        <f>IF(OR(B1698="Total",B1698=""),"",IF(VLOOKUP(A1699,Journal!$B$7:$E$84,4)=0,"Total",VLOOKUP(A1699,Journal!$B$7:$D$84,3)))</f>
        <v/>
      </c>
      <c r="C1699" s="86" t="str">
        <f>IF(B1699="","",VLOOKUP(A1699,Journal!$B$7:$E$84,4))</f>
        <v/>
      </c>
      <c r="D1699" s="114" t="str">
        <f>IF(B1699="","",VLOOKUP(A1699,Journal!$B$7:$J$84,9))</f>
        <v/>
      </c>
      <c r="E1699" s="116"/>
      <c r="F1699" s="116"/>
      <c r="G1699" s="115"/>
      <c r="H1699" s="84" t="str">
        <f>IF(B1699="","",VLOOKUP(A1699,Journal!$B$7:$L$84,11))</f>
        <v/>
      </c>
      <c r="I1699" s="84" t="str">
        <f>IF(B1699="","",VLOOKUP(A1699,Journal!$B$7:$M$84,12))</f>
        <v/>
      </c>
      <c r="J1699" s="105">
        <f>IF(B1699="Total",SUM(J$8:J1698)+0.0001,IF(OR(B1699="",I$2=I1699),0,VLOOKUP(A1699,Journal!$B$7:M$84,8)))</f>
        <v>0</v>
      </c>
      <c r="K1699" s="102">
        <f>IF(B1699="Total",SUM(K$8:K1698)+0.0001,IF(OR(B1699="",J1699&lt;&gt;0),0,VLOOKUP(A1699,Journal!$B$7:M$84,8)))</f>
        <v>0</v>
      </c>
      <c r="L1699" s="87">
        <f t="shared" si="201"/>
        <v>0</v>
      </c>
      <c r="P1699">
        <f t="shared" si="202"/>
        <v>1.0000000000000001E-5</v>
      </c>
      <c r="R1699" s="15">
        <f t="shared" si="203"/>
        <v>1692</v>
      </c>
      <c r="S1699" s="126">
        <f>IF(VLOOKUP(A1699,Journal!$A$7:$E$70,5)=0,S1698+1,VLOOKUP(A1699,Journal!$A$7:$E$70,5))</f>
        <v>47349</v>
      </c>
      <c r="T1699" s="125">
        <f>IF(H$2=VLOOKUP(A1699,Journal!$A$7:$F$70,6),VLOOKUP(A1699,Journal!$A$7:M$70,9),0)</f>
        <v>0</v>
      </c>
      <c r="U1699" s="125">
        <f>IF(H$2=VLOOKUP(A1699,Journal!$A$7:$G$70,7),VLOOKUP(A1699,Journal!$A$7:M$70,9),0)</f>
        <v>0</v>
      </c>
      <c r="V1699" s="125">
        <f t="shared" si="194"/>
        <v>40</v>
      </c>
      <c r="X1699">
        <f t="shared" si="204"/>
        <v>0</v>
      </c>
      <c r="Y1699" s="143">
        <f t="shared" si="193"/>
        <v>-955.55263157901811</v>
      </c>
    </row>
    <row r="1700" spans="1:25" x14ac:dyDescent="0.25">
      <c r="A1700">
        <f t="shared" si="200"/>
        <v>1693</v>
      </c>
      <c r="B1700" s="88" t="str">
        <f>IF(OR(B1699="Total",B1699=""),"",IF(VLOOKUP(A1700,Journal!$B$7:$E$84,4)=0,"Total",VLOOKUP(A1700,Journal!$B$7:$D$84,3)))</f>
        <v/>
      </c>
      <c r="C1700" s="86" t="str">
        <f>IF(B1700="","",VLOOKUP(A1700,Journal!$B$7:$E$84,4))</f>
        <v/>
      </c>
      <c r="D1700" s="114" t="str">
        <f>IF(B1700="","",VLOOKUP(A1700,Journal!$B$7:$J$84,9))</f>
        <v/>
      </c>
      <c r="E1700" s="116"/>
      <c r="F1700" s="116"/>
      <c r="G1700" s="115"/>
      <c r="H1700" s="84" t="str">
        <f>IF(B1700="","",VLOOKUP(A1700,Journal!$B$7:$L$84,11))</f>
        <v/>
      </c>
      <c r="I1700" s="84" t="str">
        <f>IF(B1700="","",VLOOKUP(A1700,Journal!$B$7:$M$84,12))</f>
        <v/>
      </c>
      <c r="J1700" s="105">
        <f>IF(B1700="Total",SUM(J$8:J1699)+0.0001,IF(OR(B1700="",I$2=I1700),0,VLOOKUP(A1700,Journal!$B$7:M$84,8)))</f>
        <v>0</v>
      </c>
      <c r="K1700" s="102">
        <f>IF(B1700="Total",SUM(K$8:K1699)+0.0001,IF(OR(B1700="",J1700&lt;&gt;0),0,VLOOKUP(A1700,Journal!$B$7:M$84,8)))</f>
        <v>0</v>
      </c>
      <c r="L1700" s="87">
        <f t="shared" si="201"/>
        <v>0</v>
      </c>
      <c r="P1700">
        <f t="shared" si="202"/>
        <v>1.0000000000000001E-5</v>
      </c>
      <c r="R1700" s="15">
        <f t="shared" si="203"/>
        <v>1693</v>
      </c>
      <c r="S1700" s="126">
        <f>IF(VLOOKUP(A1700,Journal!$A$7:$E$70,5)=0,S1699+1,VLOOKUP(A1700,Journal!$A$7:$E$70,5))</f>
        <v>47350</v>
      </c>
      <c r="T1700" s="125">
        <f>IF(H$2=VLOOKUP(A1700,Journal!$A$7:$F$70,6),VLOOKUP(A1700,Journal!$A$7:M$70,9),0)</f>
        <v>0</v>
      </c>
      <c r="U1700" s="125">
        <f>IF(H$2=VLOOKUP(A1700,Journal!$A$7:$G$70,7),VLOOKUP(A1700,Journal!$A$7:M$70,9),0)</f>
        <v>0</v>
      </c>
      <c r="V1700" s="125">
        <f t="shared" si="194"/>
        <v>40</v>
      </c>
      <c r="X1700">
        <f t="shared" si="204"/>
        <v>0</v>
      </c>
      <c r="Y1700" s="143">
        <f t="shared" si="193"/>
        <v>-955.52631578954447</v>
      </c>
    </row>
    <row r="1701" spans="1:25" x14ac:dyDescent="0.25">
      <c r="A1701">
        <f t="shared" si="200"/>
        <v>1694</v>
      </c>
      <c r="B1701" s="88" t="str">
        <f>IF(OR(B1700="Total",B1700=""),"",IF(VLOOKUP(A1701,Journal!$B$7:$E$84,4)=0,"Total",VLOOKUP(A1701,Journal!$B$7:$D$84,3)))</f>
        <v/>
      </c>
      <c r="C1701" s="86" t="str">
        <f>IF(B1701="","",VLOOKUP(A1701,Journal!$B$7:$E$84,4))</f>
        <v/>
      </c>
      <c r="D1701" s="114" t="str">
        <f>IF(B1701="","",VLOOKUP(A1701,Journal!$B$7:$J$84,9))</f>
        <v/>
      </c>
      <c r="E1701" s="116"/>
      <c r="F1701" s="116"/>
      <c r="G1701" s="115"/>
      <c r="H1701" s="84" t="str">
        <f>IF(B1701="","",VLOOKUP(A1701,Journal!$B$7:$L$84,11))</f>
        <v/>
      </c>
      <c r="I1701" s="84" t="str">
        <f>IF(B1701="","",VLOOKUP(A1701,Journal!$B$7:$M$84,12))</f>
        <v/>
      </c>
      <c r="J1701" s="105">
        <f>IF(B1701="Total",SUM(J$8:J1700)+0.0001,IF(OR(B1701="",I$2=I1701),0,VLOOKUP(A1701,Journal!$B$7:M$84,8)))</f>
        <v>0</v>
      </c>
      <c r="K1701" s="102">
        <f>IF(B1701="Total",SUM(K$8:K1700)+0.0001,IF(OR(B1701="",J1701&lt;&gt;0),0,VLOOKUP(A1701,Journal!$B$7:M$84,8)))</f>
        <v>0</v>
      </c>
      <c r="L1701" s="87">
        <f t="shared" si="201"/>
        <v>0</v>
      </c>
      <c r="P1701">
        <f t="shared" si="202"/>
        <v>1.0000000000000001E-5</v>
      </c>
      <c r="R1701" s="15">
        <f t="shared" si="203"/>
        <v>1694</v>
      </c>
      <c r="S1701" s="126">
        <f>IF(VLOOKUP(A1701,Journal!$A$7:$E$70,5)=0,S1700+1,VLOOKUP(A1701,Journal!$A$7:$E$70,5))</f>
        <v>47351</v>
      </c>
      <c r="T1701" s="125">
        <f>IF(H$2=VLOOKUP(A1701,Journal!$A$7:$F$70,6),VLOOKUP(A1701,Journal!$A$7:M$70,9),0)</f>
        <v>0</v>
      </c>
      <c r="U1701" s="125">
        <f>IF(H$2=VLOOKUP(A1701,Journal!$A$7:$G$70,7),VLOOKUP(A1701,Journal!$A$7:M$70,9),0)</f>
        <v>0</v>
      </c>
      <c r="V1701" s="125">
        <f t="shared" si="194"/>
        <v>40</v>
      </c>
      <c r="X1701">
        <f t="shared" si="204"/>
        <v>0</v>
      </c>
      <c r="Y1701" s="143">
        <f t="shared" si="193"/>
        <v>-955.50000000007083</v>
      </c>
    </row>
    <row r="1702" spans="1:25" x14ac:dyDescent="0.25">
      <c r="A1702">
        <f t="shared" si="200"/>
        <v>1695</v>
      </c>
      <c r="B1702" s="88" t="str">
        <f>IF(OR(B1701="Total",B1701=""),"",IF(VLOOKUP(A1702,Journal!$B$7:$E$84,4)=0,"Total",VLOOKUP(A1702,Journal!$B$7:$D$84,3)))</f>
        <v/>
      </c>
      <c r="C1702" s="86" t="str">
        <f>IF(B1702="","",VLOOKUP(A1702,Journal!$B$7:$E$84,4))</f>
        <v/>
      </c>
      <c r="D1702" s="114" t="str">
        <f>IF(B1702="","",VLOOKUP(A1702,Journal!$B$7:$J$84,9))</f>
        <v/>
      </c>
      <c r="E1702" s="116"/>
      <c r="F1702" s="116"/>
      <c r="G1702" s="115"/>
      <c r="H1702" s="84" t="str">
        <f>IF(B1702="","",VLOOKUP(A1702,Journal!$B$7:$L$84,11))</f>
        <v/>
      </c>
      <c r="I1702" s="84" t="str">
        <f>IF(B1702="","",VLOOKUP(A1702,Journal!$B$7:$M$84,12))</f>
        <v/>
      </c>
      <c r="J1702" s="105">
        <f>IF(B1702="Total",SUM(J$8:J1701)+0.0001,IF(OR(B1702="",I$2=I1702),0,VLOOKUP(A1702,Journal!$B$7:M$84,8)))</f>
        <v>0</v>
      </c>
      <c r="K1702" s="102">
        <f>IF(B1702="Total",SUM(K$8:K1701)+0.0001,IF(OR(B1702="",J1702&lt;&gt;0),0,VLOOKUP(A1702,Journal!$B$7:M$84,8)))</f>
        <v>0</v>
      </c>
      <c r="L1702" s="87">
        <f t="shared" si="201"/>
        <v>0</v>
      </c>
      <c r="P1702">
        <f t="shared" si="202"/>
        <v>1.0000000000000001E-5</v>
      </c>
      <c r="R1702" s="15">
        <f t="shared" si="203"/>
        <v>1695</v>
      </c>
      <c r="S1702" s="126">
        <f>IF(VLOOKUP(A1702,Journal!$A$7:$E$70,5)=0,S1701+1,VLOOKUP(A1702,Journal!$A$7:$E$70,5))</f>
        <v>47352</v>
      </c>
      <c r="T1702" s="125">
        <f>IF(H$2=VLOOKUP(A1702,Journal!$A$7:$F$70,6),VLOOKUP(A1702,Journal!$A$7:M$70,9),0)</f>
        <v>0</v>
      </c>
      <c r="U1702" s="125">
        <f>IF(H$2=VLOOKUP(A1702,Journal!$A$7:$G$70,7),VLOOKUP(A1702,Journal!$A$7:M$70,9),0)</f>
        <v>0</v>
      </c>
      <c r="V1702" s="125">
        <f t="shared" si="194"/>
        <v>40</v>
      </c>
      <c r="X1702">
        <f t="shared" si="204"/>
        <v>0</v>
      </c>
      <c r="Y1702" s="143">
        <f t="shared" si="193"/>
        <v>-955.47368421059718</v>
      </c>
    </row>
    <row r="1703" spans="1:25" x14ac:dyDescent="0.25">
      <c r="A1703">
        <f t="shared" si="200"/>
        <v>1696</v>
      </c>
      <c r="B1703" s="88" t="str">
        <f>IF(OR(B1702="Total",B1702=""),"",IF(VLOOKUP(A1703,Journal!$B$7:$E$84,4)=0,"Total",VLOOKUP(A1703,Journal!$B$7:$D$84,3)))</f>
        <v/>
      </c>
      <c r="C1703" s="86" t="str">
        <f>IF(B1703="","",VLOOKUP(A1703,Journal!$B$7:$E$84,4))</f>
        <v/>
      </c>
      <c r="D1703" s="114" t="str">
        <f>IF(B1703="","",VLOOKUP(A1703,Journal!$B$7:$J$84,9))</f>
        <v/>
      </c>
      <c r="E1703" s="116"/>
      <c r="F1703" s="116"/>
      <c r="G1703" s="115"/>
      <c r="H1703" s="84" t="str">
        <f>IF(B1703="","",VLOOKUP(A1703,Journal!$B$7:$L$84,11))</f>
        <v/>
      </c>
      <c r="I1703" s="84" t="str">
        <f>IF(B1703="","",VLOOKUP(A1703,Journal!$B$7:$M$84,12))</f>
        <v/>
      </c>
      <c r="J1703" s="105">
        <f>IF(B1703="Total",SUM(J$8:J1702)+0.0001,IF(OR(B1703="",I$2=I1703),0,VLOOKUP(A1703,Journal!$B$7:M$84,8)))</f>
        <v>0</v>
      </c>
      <c r="K1703" s="102">
        <f>IF(B1703="Total",SUM(K$8:K1702)+0.0001,IF(OR(B1703="",J1703&lt;&gt;0),0,VLOOKUP(A1703,Journal!$B$7:M$84,8)))</f>
        <v>0</v>
      </c>
      <c r="L1703" s="87">
        <f t="shared" si="201"/>
        <v>0</v>
      </c>
      <c r="P1703">
        <f t="shared" si="202"/>
        <v>1.0000000000000001E-5</v>
      </c>
      <c r="R1703" s="15">
        <f t="shared" si="203"/>
        <v>1696</v>
      </c>
      <c r="S1703" s="126">
        <f>IF(VLOOKUP(A1703,Journal!$A$7:$E$70,5)=0,S1702+1,VLOOKUP(A1703,Journal!$A$7:$E$70,5))</f>
        <v>47353</v>
      </c>
      <c r="T1703" s="125">
        <f>IF(H$2=VLOOKUP(A1703,Journal!$A$7:$F$70,6),VLOOKUP(A1703,Journal!$A$7:M$70,9),0)</f>
        <v>0</v>
      </c>
      <c r="U1703" s="125">
        <f>IF(H$2=VLOOKUP(A1703,Journal!$A$7:$G$70,7),VLOOKUP(A1703,Journal!$A$7:M$70,9),0)</f>
        <v>0</v>
      </c>
      <c r="V1703" s="125">
        <f t="shared" si="194"/>
        <v>40</v>
      </c>
      <c r="X1703">
        <f t="shared" si="204"/>
        <v>0</v>
      </c>
      <c r="Y1703" s="143">
        <f t="shared" si="193"/>
        <v>-955.44736842112354</v>
      </c>
    </row>
    <row r="1704" spans="1:25" x14ac:dyDescent="0.25">
      <c r="A1704">
        <f t="shared" si="200"/>
        <v>1697</v>
      </c>
      <c r="B1704" s="88" t="str">
        <f>IF(OR(B1703="Total",B1703=""),"",IF(VLOOKUP(A1704,Journal!$B$7:$E$84,4)=0,"Total",VLOOKUP(A1704,Journal!$B$7:$D$84,3)))</f>
        <v/>
      </c>
      <c r="C1704" s="86" t="str">
        <f>IF(B1704="","",VLOOKUP(A1704,Journal!$B$7:$E$84,4))</f>
        <v/>
      </c>
      <c r="D1704" s="114" t="str">
        <f>IF(B1704="","",VLOOKUP(A1704,Journal!$B$7:$J$84,9))</f>
        <v/>
      </c>
      <c r="E1704" s="116"/>
      <c r="F1704" s="116"/>
      <c r="G1704" s="115"/>
      <c r="H1704" s="84" t="str">
        <f>IF(B1704="","",VLOOKUP(A1704,Journal!$B$7:$L$84,11))</f>
        <v/>
      </c>
      <c r="I1704" s="84" t="str">
        <f>IF(B1704="","",VLOOKUP(A1704,Journal!$B$7:$M$84,12))</f>
        <v/>
      </c>
      <c r="J1704" s="105">
        <f>IF(B1704="Total",SUM(J$8:J1703)+0.0001,IF(OR(B1704="",I$2=I1704),0,VLOOKUP(A1704,Journal!$B$7:M$84,8)))</f>
        <v>0</v>
      </c>
      <c r="K1704" s="102">
        <f>IF(B1704="Total",SUM(K$8:K1703)+0.0001,IF(OR(B1704="",J1704&lt;&gt;0),0,VLOOKUP(A1704,Journal!$B$7:M$84,8)))</f>
        <v>0</v>
      </c>
      <c r="L1704" s="87">
        <f t="shared" si="201"/>
        <v>0</v>
      </c>
      <c r="P1704">
        <f t="shared" si="202"/>
        <v>1.0000000000000001E-5</v>
      </c>
      <c r="R1704" s="15">
        <f t="shared" si="203"/>
        <v>1697</v>
      </c>
      <c r="S1704" s="126">
        <f>IF(VLOOKUP(A1704,Journal!$A$7:$E$70,5)=0,S1703+1,VLOOKUP(A1704,Journal!$A$7:$E$70,5))</f>
        <v>47354</v>
      </c>
      <c r="T1704" s="125">
        <f>IF(H$2=VLOOKUP(A1704,Journal!$A$7:$F$70,6),VLOOKUP(A1704,Journal!$A$7:M$70,9),0)</f>
        <v>0</v>
      </c>
      <c r="U1704" s="125">
        <f>IF(H$2=VLOOKUP(A1704,Journal!$A$7:$G$70,7),VLOOKUP(A1704,Journal!$A$7:M$70,9),0)</f>
        <v>0</v>
      </c>
      <c r="V1704" s="125">
        <f t="shared" si="194"/>
        <v>40</v>
      </c>
      <c r="X1704">
        <f t="shared" si="204"/>
        <v>0</v>
      </c>
      <c r="Y1704" s="143">
        <f t="shared" si="193"/>
        <v>-955.4210526316499</v>
      </c>
    </row>
    <row r="1705" spans="1:25" x14ac:dyDescent="0.25">
      <c r="A1705">
        <f t="shared" si="200"/>
        <v>1698</v>
      </c>
      <c r="B1705" s="88" t="str">
        <f>IF(OR(B1704="Total",B1704=""),"",IF(VLOOKUP(A1705,Journal!$B$7:$E$84,4)=0,"Total",VLOOKUP(A1705,Journal!$B$7:$D$84,3)))</f>
        <v/>
      </c>
      <c r="C1705" s="86" t="str">
        <f>IF(B1705="","",VLOOKUP(A1705,Journal!$B$7:$E$84,4))</f>
        <v/>
      </c>
      <c r="D1705" s="114" t="str">
        <f>IF(B1705="","",VLOOKUP(A1705,Journal!$B$7:$J$84,9))</f>
        <v/>
      </c>
      <c r="E1705" s="116"/>
      <c r="F1705" s="116"/>
      <c r="G1705" s="115"/>
      <c r="H1705" s="84" t="str">
        <f>IF(B1705="","",VLOOKUP(A1705,Journal!$B$7:$L$84,11))</f>
        <v/>
      </c>
      <c r="I1705" s="84" t="str">
        <f>IF(B1705="","",VLOOKUP(A1705,Journal!$B$7:$M$84,12))</f>
        <v/>
      </c>
      <c r="J1705" s="105">
        <f>IF(B1705="Total",SUM(J$8:J1704)+0.0001,IF(OR(B1705="",I$2=I1705),0,VLOOKUP(A1705,Journal!$B$7:M$84,8)))</f>
        <v>0</v>
      </c>
      <c r="K1705" s="102">
        <f>IF(B1705="Total",SUM(K$8:K1704)+0.0001,IF(OR(B1705="",J1705&lt;&gt;0),0,VLOOKUP(A1705,Journal!$B$7:M$84,8)))</f>
        <v>0</v>
      </c>
      <c r="L1705" s="87">
        <f t="shared" si="201"/>
        <v>0</v>
      </c>
      <c r="P1705">
        <f t="shared" si="202"/>
        <v>1.0000000000000001E-5</v>
      </c>
      <c r="R1705" s="15">
        <f t="shared" si="203"/>
        <v>1698</v>
      </c>
      <c r="S1705" s="126">
        <f>IF(VLOOKUP(A1705,Journal!$A$7:$E$70,5)=0,S1704+1,VLOOKUP(A1705,Journal!$A$7:$E$70,5))</f>
        <v>47355</v>
      </c>
      <c r="T1705" s="125">
        <f>IF(H$2=VLOOKUP(A1705,Journal!$A$7:$F$70,6),VLOOKUP(A1705,Journal!$A$7:M$70,9),0)</f>
        <v>0</v>
      </c>
      <c r="U1705" s="125">
        <f>IF(H$2=VLOOKUP(A1705,Journal!$A$7:$G$70,7),VLOOKUP(A1705,Journal!$A$7:M$70,9),0)</f>
        <v>0</v>
      </c>
      <c r="V1705" s="125">
        <f t="shared" si="194"/>
        <v>40</v>
      </c>
      <c r="X1705">
        <f t="shared" si="204"/>
        <v>0</v>
      </c>
      <c r="Y1705" s="143">
        <f t="shared" si="193"/>
        <v>-955.39473684217626</v>
      </c>
    </row>
    <row r="1706" spans="1:25" x14ac:dyDescent="0.25">
      <c r="A1706">
        <f t="shared" si="200"/>
        <v>1699</v>
      </c>
      <c r="B1706" s="88" t="str">
        <f>IF(OR(B1705="Total",B1705=""),"",IF(VLOOKUP(A1706,Journal!$B$7:$E$84,4)=0,"Total",VLOOKUP(A1706,Journal!$B$7:$D$84,3)))</f>
        <v/>
      </c>
      <c r="C1706" s="86" t="str">
        <f>IF(B1706="","",VLOOKUP(A1706,Journal!$B$7:$E$84,4))</f>
        <v/>
      </c>
      <c r="D1706" s="114" t="str">
        <f>IF(B1706="","",VLOOKUP(A1706,Journal!$B$7:$J$84,9))</f>
        <v/>
      </c>
      <c r="E1706" s="116"/>
      <c r="F1706" s="116"/>
      <c r="G1706" s="115"/>
      <c r="H1706" s="84" t="str">
        <f>IF(B1706="","",VLOOKUP(A1706,Journal!$B$7:$L$84,11))</f>
        <v/>
      </c>
      <c r="I1706" s="84" t="str">
        <f>IF(B1706="","",VLOOKUP(A1706,Journal!$B$7:$M$84,12))</f>
        <v/>
      </c>
      <c r="J1706" s="105">
        <f>IF(B1706="Total",SUM(J$8:J1705)+0.0001,IF(OR(B1706="",I$2=I1706),0,VLOOKUP(A1706,Journal!$B$7:M$84,8)))</f>
        <v>0</v>
      </c>
      <c r="K1706" s="102">
        <f>IF(B1706="Total",SUM(K$8:K1705)+0.0001,IF(OR(B1706="",J1706&lt;&gt;0),0,VLOOKUP(A1706,Journal!$B$7:M$84,8)))</f>
        <v>0</v>
      </c>
      <c r="L1706" s="87">
        <f t="shared" si="201"/>
        <v>0</v>
      </c>
      <c r="P1706">
        <f t="shared" si="202"/>
        <v>1.0000000000000001E-5</v>
      </c>
      <c r="R1706" s="15">
        <f t="shared" si="203"/>
        <v>1699</v>
      </c>
      <c r="S1706" s="126">
        <f>IF(VLOOKUP(A1706,Journal!$A$7:$E$70,5)=0,S1705+1,VLOOKUP(A1706,Journal!$A$7:$E$70,5))</f>
        <v>47356</v>
      </c>
      <c r="T1706" s="125">
        <f>IF(H$2=VLOOKUP(A1706,Journal!$A$7:$F$70,6),VLOOKUP(A1706,Journal!$A$7:M$70,9),0)</f>
        <v>0</v>
      </c>
      <c r="U1706" s="125">
        <f>IF(H$2=VLOOKUP(A1706,Journal!$A$7:$G$70,7),VLOOKUP(A1706,Journal!$A$7:M$70,9),0)</f>
        <v>0</v>
      </c>
      <c r="V1706" s="125">
        <f t="shared" si="194"/>
        <v>40</v>
      </c>
      <c r="X1706">
        <f t="shared" si="204"/>
        <v>0</v>
      </c>
      <c r="Y1706" s="143">
        <f t="shared" si="193"/>
        <v>-955.36842105270262</v>
      </c>
    </row>
    <row r="1707" spans="1:25" x14ac:dyDescent="0.25">
      <c r="A1707">
        <f t="shared" si="200"/>
        <v>1700</v>
      </c>
      <c r="B1707" s="88" t="str">
        <f>IF(OR(B1706="Total",B1706=""),"",IF(VLOOKUP(A1707,Journal!$B$7:$E$84,4)=0,"Total",VLOOKUP(A1707,Journal!$B$7:$D$84,3)))</f>
        <v/>
      </c>
      <c r="C1707" s="86" t="str">
        <f>IF(B1707="","",VLOOKUP(A1707,Journal!$B$7:$E$84,4))</f>
        <v/>
      </c>
      <c r="D1707" s="114" t="str">
        <f>IF(B1707="","",VLOOKUP(A1707,Journal!$B$7:$J$84,9))</f>
        <v/>
      </c>
      <c r="E1707" s="116"/>
      <c r="F1707" s="116"/>
      <c r="G1707" s="115"/>
      <c r="H1707" s="84" t="str">
        <f>IF(B1707="","",VLOOKUP(A1707,Journal!$B$7:$L$84,11))</f>
        <v/>
      </c>
      <c r="I1707" s="84" t="str">
        <f>IF(B1707="","",VLOOKUP(A1707,Journal!$B$7:$M$84,12))</f>
        <v/>
      </c>
      <c r="J1707" s="105">
        <f>IF(B1707="Total",SUM(J$8:J1706)+0.0001,IF(OR(B1707="",I$2=I1707),0,VLOOKUP(A1707,Journal!$B$7:M$84,8)))</f>
        <v>0</v>
      </c>
      <c r="K1707" s="102">
        <f>IF(B1707="Total",SUM(K$8:K1706)+0.0001,IF(OR(B1707="",J1707&lt;&gt;0),0,VLOOKUP(A1707,Journal!$B$7:M$84,8)))</f>
        <v>0</v>
      </c>
      <c r="L1707" s="87">
        <f t="shared" si="201"/>
        <v>0</v>
      </c>
      <c r="P1707">
        <f t="shared" si="202"/>
        <v>1.0000000000000001E-5</v>
      </c>
      <c r="R1707" s="15">
        <f t="shared" si="203"/>
        <v>1700</v>
      </c>
      <c r="S1707" s="126">
        <f>IF(VLOOKUP(A1707,Journal!$A$7:$E$70,5)=0,S1706+1,VLOOKUP(A1707,Journal!$A$7:$E$70,5))</f>
        <v>47357</v>
      </c>
      <c r="T1707" s="125">
        <f>IF(H$2=VLOOKUP(A1707,Journal!$A$7:$F$70,6),VLOOKUP(A1707,Journal!$A$7:M$70,9),0)</f>
        <v>0</v>
      </c>
      <c r="U1707" s="125">
        <f>IF(H$2=VLOOKUP(A1707,Journal!$A$7:$G$70,7),VLOOKUP(A1707,Journal!$A$7:M$70,9),0)</f>
        <v>0</v>
      </c>
      <c r="V1707" s="125">
        <f t="shared" si="194"/>
        <v>40</v>
      </c>
      <c r="X1707">
        <f t="shared" si="204"/>
        <v>0</v>
      </c>
      <c r="Y1707" s="143">
        <f t="shared" si="193"/>
        <v>-955.34210526322897</v>
      </c>
    </row>
    <row r="1708" spans="1:25" x14ac:dyDescent="0.25">
      <c r="A1708">
        <f t="shared" si="200"/>
        <v>1701</v>
      </c>
      <c r="B1708" s="88" t="str">
        <f>IF(OR(B1707="Total",B1707=""),"",IF(VLOOKUP(A1708,Journal!$B$7:$E$84,4)=0,"Total",VLOOKUP(A1708,Journal!$B$7:$D$84,3)))</f>
        <v/>
      </c>
      <c r="C1708" s="86" t="str">
        <f>IF(B1708="","",VLOOKUP(A1708,Journal!$B$7:$E$84,4))</f>
        <v/>
      </c>
      <c r="D1708" s="114" t="str">
        <f>IF(B1708="","",VLOOKUP(A1708,Journal!$B$7:$J$84,9))</f>
        <v/>
      </c>
      <c r="E1708" s="116"/>
      <c r="F1708" s="116"/>
      <c r="G1708" s="115"/>
      <c r="H1708" s="84" t="str">
        <f>IF(B1708="","",VLOOKUP(A1708,Journal!$B$7:$L$84,11))</f>
        <v/>
      </c>
      <c r="I1708" s="84" t="str">
        <f>IF(B1708="","",VLOOKUP(A1708,Journal!$B$7:$M$84,12))</f>
        <v/>
      </c>
      <c r="J1708" s="105">
        <f>IF(B1708="Total",SUM(J$8:J1707)+0.0001,IF(OR(B1708="",I$2=I1708),0,VLOOKUP(A1708,Journal!$B$7:M$84,8)))</f>
        <v>0</v>
      </c>
      <c r="K1708" s="102">
        <f>IF(B1708="Total",SUM(K$8:K1707)+0.0001,IF(OR(B1708="",J1708&lt;&gt;0),0,VLOOKUP(A1708,Journal!$B$7:M$84,8)))</f>
        <v>0</v>
      </c>
      <c r="L1708" s="87">
        <f t="shared" si="201"/>
        <v>0</v>
      </c>
      <c r="P1708">
        <f t="shared" si="202"/>
        <v>1.0000000000000001E-5</v>
      </c>
      <c r="R1708" s="15">
        <f t="shared" si="203"/>
        <v>1701</v>
      </c>
      <c r="S1708" s="126">
        <f>IF(VLOOKUP(A1708,Journal!$A$7:$E$70,5)=0,S1707+1,VLOOKUP(A1708,Journal!$A$7:$E$70,5))</f>
        <v>47358</v>
      </c>
      <c r="T1708" s="125">
        <f>IF(H$2=VLOOKUP(A1708,Journal!$A$7:$F$70,6),VLOOKUP(A1708,Journal!$A$7:M$70,9),0)</f>
        <v>0</v>
      </c>
      <c r="U1708" s="125">
        <f>IF(H$2=VLOOKUP(A1708,Journal!$A$7:$G$70,7),VLOOKUP(A1708,Journal!$A$7:M$70,9),0)</f>
        <v>0</v>
      </c>
      <c r="V1708" s="125">
        <f t="shared" si="194"/>
        <v>40</v>
      </c>
      <c r="X1708">
        <f t="shared" si="204"/>
        <v>0</v>
      </c>
      <c r="Y1708" s="143">
        <f t="shared" si="193"/>
        <v>-955.31578947375533</v>
      </c>
    </row>
    <row r="1709" spans="1:25" x14ac:dyDescent="0.25">
      <c r="A1709">
        <f t="shared" si="200"/>
        <v>1702</v>
      </c>
      <c r="B1709" s="88" t="str">
        <f>IF(OR(B1708="Total",B1708=""),"",IF(VLOOKUP(A1709,Journal!$B$7:$E$84,4)=0,"Total",VLOOKUP(A1709,Journal!$B$7:$D$84,3)))</f>
        <v/>
      </c>
      <c r="C1709" s="86" t="str">
        <f>IF(B1709="","",VLOOKUP(A1709,Journal!$B$7:$E$84,4))</f>
        <v/>
      </c>
      <c r="D1709" s="114" t="str">
        <f>IF(B1709="","",VLOOKUP(A1709,Journal!$B$7:$J$84,9))</f>
        <v/>
      </c>
      <c r="E1709" s="116"/>
      <c r="F1709" s="116"/>
      <c r="G1709" s="115"/>
      <c r="H1709" s="84" t="str">
        <f>IF(B1709="","",VLOOKUP(A1709,Journal!$B$7:$L$84,11))</f>
        <v/>
      </c>
      <c r="I1709" s="84" t="str">
        <f>IF(B1709="","",VLOOKUP(A1709,Journal!$B$7:$M$84,12))</f>
        <v/>
      </c>
      <c r="J1709" s="105">
        <f>IF(B1709="Total",SUM(J$8:J1708)+0.0001,IF(OR(B1709="",I$2=I1709),0,VLOOKUP(A1709,Journal!$B$7:M$84,8)))</f>
        <v>0</v>
      </c>
      <c r="K1709" s="102">
        <f>IF(B1709="Total",SUM(K$8:K1708)+0.0001,IF(OR(B1709="",J1709&lt;&gt;0),0,VLOOKUP(A1709,Journal!$B$7:M$84,8)))</f>
        <v>0</v>
      </c>
      <c r="L1709" s="87">
        <f t="shared" si="201"/>
        <v>0</v>
      </c>
      <c r="P1709">
        <f t="shared" si="202"/>
        <v>1.0000000000000001E-5</v>
      </c>
      <c r="R1709" s="15">
        <f t="shared" si="203"/>
        <v>1702</v>
      </c>
      <c r="S1709" s="126">
        <f>IF(VLOOKUP(A1709,Journal!$A$7:$E$70,5)=0,S1708+1,VLOOKUP(A1709,Journal!$A$7:$E$70,5))</f>
        <v>47359</v>
      </c>
      <c r="T1709" s="125">
        <f>IF(H$2=VLOOKUP(A1709,Journal!$A$7:$F$70,6),VLOOKUP(A1709,Journal!$A$7:M$70,9),0)</f>
        <v>0</v>
      </c>
      <c r="U1709" s="125">
        <f>IF(H$2=VLOOKUP(A1709,Journal!$A$7:$G$70,7),VLOOKUP(A1709,Journal!$A$7:M$70,9),0)</f>
        <v>0</v>
      </c>
      <c r="V1709" s="125">
        <f t="shared" si="194"/>
        <v>40</v>
      </c>
      <c r="X1709">
        <f t="shared" si="204"/>
        <v>0</v>
      </c>
      <c r="Y1709" s="143">
        <f t="shared" si="193"/>
        <v>-955.28947368428169</v>
      </c>
    </row>
    <row r="1710" spans="1:25" x14ac:dyDescent="0.25">
      <c r="A1710">
        <f t="shared" si="200"/>
        <v>1703</v>
      </c>
      <c r="B1710" s="88" t="str">
        <f>IF(OR(B1709="Total",B1709=""),"",IF(VLOOKUP(A1710,Journal!$B$7:$E$84,4)=0,"Total",VLOOKUP(A1710,Journal!$B$7:$D$84,3)))</f>
        <v/>
      </c>
      <c r="C1710" s="86" t="str">
        <f>IF(B1710="","",VLOOKUP(A1710,Journal!$B$7:$E$84,4))</f>
        <v/>
      </c>
      <c r="D1710" s="114" t="str">
        <f>IF(B1710="","",VLOOKUP(A1710,Journal!$B$7:$J$84,9))</f>
        <v/>
      </c>
      <c r="E1710" s="116"/>
      <c r="F1710" s="116"/>
      <c r="G1710" s="115"/>
      <c r="H1710" s="84" t="str">
        <f>IF(B1710="","",VLOOKUP(A1710,Journal!$B$7:$L$84,11))</f>
        <v/>
      </c>
      <c r="I1710" s="84" t="str">
        <f>IF(B1710="","",VLOOKUP(A1710,Journal!$B$7:$M$84,12))</f>
        <v/>
      </c>
      <c r="J1710" s="105">
        <f>IF(B1710="Total",SUM(J$8:J1709)+0.0001,IF(OR(B1710="",I$2=I1710),0,VLOOKUP(A1710,Journal!$B$7:M$84,8)))</f>
        <v>0</v>
      </c>
      <c r="K1710" s="102">
        <f>IF(B1710="Total",SUM(K$8:K1709)+0.0001,IF(OR(B1710="",J1710&lt;&gt;0),0,VLOOKUP(A1710,Journal!$B$7:M$84,8)))</f>
        <v>0</v>
      </c>
      <c r="L1710" s="87">
        <f t="shared" si="201"/>
        <v>0</v>
      </c>
      <c r="P1710">
        <f t="shared" si="202"/>
        <v>1.0000000000000001E-5</v>
      </c>
      <c r="R1710" s="15">
        <f t="shared" si="203"/>
        <v>1703</v>
      </c>
      <c r="S1710" s="126">
        <f>IF(VLOOKUP(A1710,Journal!$A$7:$E$70,5)=0,S1709+1,VLOOKUP(A1710,Journal!$A$7:$E$70,5))</f>
        <v>47360</v>
      </c>
      <c r="T1710" s="125">
        <f>IF(H$2=VLOOKUP(A1710,Journal!$A$7:$F$70,6),VLOOKUP(A1710,Journal!$A$7:M$70,9),0)</f>
        <v>0</v>
      </c>
      <c r="U1710" s="125">
        <f>IF(H$2=VLOOKUP(A1710,Journal!$A$7:$G$70,7),VLOOKUP(A1710,Journal!$A$7:M$70,9),0)</f>
        <v>0</v>
      </c>
      <c r="V1710" s="125">
        <f t="shared" si="194"/>
        <v>40</v>
      </c>
      <c r="X1710">
        <f t="shared" si="204"/>
        <v>0</v>
      </c>
      <c r="Y1710" s="143">
        <f t="shared" si="193"/>
        <v>-955.26315789480805</v>
      </c>
    </row>
    <row r="1711" spans="1:25" x14ac:dyDescent="0.25">
      <c r="A1711">
        <f t="shared" si="200"/>
        <v>1704</v>
      </c>
      <c r="B1711" s="88" t="str">
        <f>IF(OR(B1710="Total",B1710=""),"",IF(VLOOKUP(A1711,Journal!$B$7:$E$84,4)=0,"Total",VLOOKUP(A1711,Journal!$B$7:$D$84,3)))</f>
        <v/>
      </c>
      <c r="C1711" s="86" t="str">
        <f>IF(B1711="","",VLOOKUP(A1711,Journal!$B$7:$E$84,4))</f>
        <v/>
      </c>
      <c r="D1711" s="114" t="str">
        <f>IF(B1711="","",VLOOKUP(A1711,Journal!$B$7:$J$84,9))</f>
        <v/>
      </c>
      <c r="E1711" s="116"/>
      <c r="F1711" s="116"/>
      <c r="G1711" s="115"/>
      <c r="H1711" s="84" t="str">
        <f>IF(B1711="","",VLOOKUP(A1711,Journal!$B$7:$L$84,11))</f>
        <v/>
      </c>
      <c r="I1711" s="84" t="str">
        <f>IF(B1711="","",VLOOKUP(A1711,Journal!$B$7:$M$84,12))</f>
        <v/>
      </c>
      <c r="J1711" s="105">
        <f>IF(B1711="Total",SUM(J$8:J1710)+0.0001,IF(OR(B1711="",I$2=I1711),0,VLOOKUP(A1711,Journal!$B$7:M$84,8)))</f>
        <v>0</v>
      </c>
      <c r="K1711" s="102">
        <f>IF(B1711="Total",SUM(K$8:K1710)+0.0001,IF(OR(B1711="",J1711&lt;&gt;0),0,VLOOKUP(A1711,Journal!$B$7:M$84,8)))</f>
        <v>0</v>
      </c>
      <c r="L1711" s="87">
        <f t="shared" si="201"/>
        <v>0</v>
      </c>
      <c r="P1711">
        <f t="shared" si="202"/>
        <v>1.0000000000000001E-5</v>
      </c>
      <c r="R1711" s="15">
        <f t="shared" si="203"/>
        <v>1704</v>
      </c>
      <c r="S1711" s="126">
        <f>IF(VLOOKUP(A1711,Journal!$A$7:$E$70,5)=0,S1710+1,VLOOKUP(A1711,Journal!$A$7:$E$70,5))</f>
        <v>47361</v>
      </c>
      <c r="T1711" s="125">
        <f>IF(H$2=VLOOKUP(A1711,Journal!$A$7:$F$70,6),VLOOKUP(A1711,Journal!$A$7:M$70,9),0)</f>
        <v>0</v>
      </c>
      <c r="U1711" s="125">
        <f>IF(H$2=VLOOKUP(A1711,Journal!$A$7:$G$70,7),VLOOKUP(A1711,Journal!$A$7:M$70,9),0)</f>
        <v>0</v>
      </c>
      <c r="V1711" s="125">
        <f t="shared" si="194"/>
        <v>40</v>
      </c>
      <c r="X1711">
        <f t="shared" si="204"/>
        <v>0</v>
      </c>
      <c r="Y1711" s="143">
        <f t="shared" si="193"/>
        <v>-955.2368421053344</v>
      </c>
    </row>
    <row r="1712" spans="1:25" x14ac:dyDescent="0.25">
      <c r="A1712">
        <f t="shared" si="200"/>
        <v>1705</v>
      </c>
      <c r="B1712" s="88" t="str">
        <f>IF(OR(B1711="Total",B1711=""),"",IF(VLOOKUP(A1712,Journal!$B$7:$E$84,4)=0,"Total",VLOOKUP(A1712,Journal!$B$7:$D$84,3)))</f>
        <v/>
      </c>
      <c r="C1712" s="86" t="str">
        <f>IF(B1712="","",VLOOKUP(A1712,Journal!$B$7:$E$84,4))</f>
        <v/>
      </c>
      <c r="D1712" s="114" t="str">
        <f>IF(B1712="","",VLOOKUP(A1712,Journal!$B$7:$J$84,9))</f>
        <v/>
      </c>
      <c r="E1712" s="116"/>
      <c r="F1712" s="116"/>
      <c r="G1712" s="115"/>
      <c r="H1712" s="84" t="str">
        <f>IF(B1712="","",VLOOKUP(A1712,Journal!$B$7:$L$84,11))</f>
        <v/>
      </c>
      <c r="I1712" s="84" t="str">
        <f>IF(B1712="","",VLOOKUP(A1712,Journal!$B$7:$M$84,12))</f>
        <v/>
      </c>
      <c r="J1712" s="105">
        <f>IF(B1712="Total",SUM(J$8:J1711)+0.0001,IF(OR(B1712="",I$2=I1712),0,VLOOKUP(A1712,Journal!$B$7:M$84,8)))</f>
        <v>0</v>
      </c>
      <c r="K1712" s="102">
        <f>IF(B1712="Total",SUM(K$8:K1711)+0.0001,IF(OR(B1712="",J1712&lt;&gt;0),0,VLOOKUP(A1712,Journal!$B$7:M$84,8)))</f>
        <v>0</v>
      </c>
      <c r="L1712" s="87">
        <f t="shared" si="201"/>
        <v>0</v>
      </c>
      <c r="P1712">
        <f t="shared" si="202"/>
        <v>1.0000000000000001E-5</v>
      </c>
      <c r="R1712" s="15">
        <f t="shared" si="203"/>
        <v>1705</v>
      </c>
      <c r="S1712" s="126">
        <f>IF(VLOOKUP(A1712,Journal!$A$7:$E$70,5)=0,S1711+1,VLOOKUP(A1712,Journal!$A$7:$E$70,5))</f>
        <v>47362</v>
      </c>
      <c r="T1712" s="125">
        <f>IF(H$2=VLOOKUP(A1712,Journal!$A$7:$F$70,6),VLOOKUP(A1712,Journal!$A$7:M$70,9),0)</f>
        <v>0</v>
      </c>
      <c r="U1712" s="125">
        <f>IF(H$2=VLOOKUP(A1712,Journal!$A$7:$G$70,7),VLOOKUP(A1712,Journal!$A$7:M$70,9),0)</f>
        <v>0</v>
      </c>
      <c r="V1712" s="125">
        <f t="shared" si="194"/>
        <v>40</v>
      </c>
      <c r="X1712">
        <f t="shared" si="204"/>
        <v>0</v>
      </c>
      <c r="Y1712" s="143">
        <f t="shared" si="193"/>
        <v>-955.21052631586076</v>
      </c>
    </row>
    <row r="1713" spans="1:25" x14ac:dyDescent="0.25">
      <c r="A1713">
        <f t="shared" si="200"/>
        <v>1706</v>
      </c>
      <c r="B1713" s="88" t="str">
        <f>IF(OR(B1712="Total",B1712=""),"",IF(VLOOKUP(A1713,Journal!$B$7:$E$84,4)=0,"Total",VLOOKUP(A1713,Journal!$B$7:$D$84,3)))</f>
        <v/>
      </c>
      <c r="C1713" s="86" t="str">
        <f>IF(B1713="","",VLOOKUP(A1713,Journal!$B$7:$E$84,4))</f>
        <v/>
      </c>
      <c r="D1713" s="114" t="str">
        <f>IF(B1713="","",VLOOKUP(A1713,Journal!$B$7:$J$84,9))</f>
        <v/>
      </c>
      <c r="E1713" s="116"/>
      <c r="F1713" s="116"/>
      <c r="G1713" s="115"/>
      <c r="H1713" s="84" t="str">
        <f>IF(B1713="","",VLOOKUP(A1713,Journal!$B$7:$L$84,11))</f>
        <v/>
      </c>
      <c r="I1713" s="84" t="str">
        <f>IF(B1713="","",VLOOKUP(A1713,Journal!$B$7:$M$84,12))</f>
        <v/>
      </c>
      <c r="J1713" s="105">
        <f>IF(B1713="Total",SUM(J$8:J1712)+0.0001,IF(OR(B1713="",I$2=I1713),0,VLOOKUP(A1713,Journal!$B$7:M$84,8)))</f>
        <v>0</v>
      </c>
      <c r="K1713" s="102">
        <f>IF(B1713="Total",SUM(K$8:K1712)+0.0001,IF(OR(B1713="",J1713&lt;&gt;0),0,VLOOKUP(A1713,Journal!$B$7:M$84,8)))</f>
        <v>0</v>
      </c>
      <c r="L1713" s="87">
        <f t="shared" si="201"/>
        <v>0</v>
      </c>
      <c r="P1713">
        <f t="shared" si="202"/>
        <v>1.0000000000000001E-5</v>
      </c>
      <c r="R1713" s="15">
        <f t="shared" si="203"/>
        <v>1706</v>
      </c>
      <c r="S1713" s="126">
        <f>IF(VLOOKUP(A1713,Journal!$A$7:$E$70,5)=0,S1712+1,VLOOKUP(A1713,Journal!$A$7:$E$70,5))</f>
        <v>47363</v>
      </c>
      <c r="T1713" s="125">
        <f>IF(H$2=VLOOKUP(A1713,Journal!$A$7:$F$70,6),VLOOKUP(A1713,Journal!$A$7:M$70,9),0)</f>
        <v>0</v>
      </c>
      <c r="U1713" s="125">
        <f>IF(H$2=VLOOKUP(A1713,Journal!$A$7:$G$70,7),VLOOKUP(A1713,Journal!$A$7:M$70,9),0)</f>
        <v>0</v>
      </c>
      <c r="V1713" s="125">
        <f t="shared" si="194"/>
        <v>40</v>
      </c>
      <c r="X1713">
        <f t="shared" si="204"/>
        <v>0</v>
      </c>
      <c r="Y1713" s="143">
        <f t="shared" si="193"/>
        <v>-955.18421052638712</v>
      </c>
    </row>
    <row r="1714" spans="1:25" x14ac:dyDescent="0.25">
      <c r="A1714">
        <f t="shared" si="200"/>
        <v>1707</v>
      </c>
      <c r="B1714" s="88" t="str">
        <f>IF(OR(B1713="Total",B1713=""),"",IF(VLOOKUP(A1714,Journal!$B$7:$E$84,4)=0,"Total",VLOOKUP(A1714,Journal!$B$7:$D$84,3)))</f>
        <v/>
      </c>
      <c r="C1714" s="86" t="str">
        <f>IF(B1714="","",VLOOKUP(A1714,Journal!$B$7:$E$84,4))</f>
        <v/>
      </c>
      <c r="D1714" s="114" t="str">
        <f>IF(B1714="","",VLOOKUP(A1714,Journal!$B$7:$J$84,9))</f>
        <v/>
      </c>
      <c r="E1714" s="116"/>
      <c r="F1714" s="116"/>
      <c r="G1714" s="115"/>
      <c r="H1714" s="84" t="str">
        <f>IF(B1714="","",VLOOKUP(A1714,Journal!$B$7:$L$84,11))</f>
        <v/>
      </c>
      <c r="I1714" s="84" t="str">
        <f>IF(B1714="","",VLOOKUP(A1714,Journal!$B$7:$M$84,12))</f>
        <v/>
      </c>
      <c r="J1714" s="105">
        <f>IF(B1714="Total",SUM(J$8:J1713)+0.0001,IF(OR(B1714="",I$2=I1714),0,VLOOKUP(A1714,Journal!$B$7:M$84,8)))</f>
        <v>0</v>
      </c>
      <c r="K1714" s="102">
        <f>IF(B1714="Total",SUM(K$8:K1713)+0.0001,IF(OR(B1714="",J1714&lt;&gt;0),0,VLOOKUP(A1714,Journal!$B$7:M$84,8)))</f>
        <v>0</v>
      </c>
      <c r="L1714" s="87">
        <f t="shared" si="201"/>
        <v>0</v>
      </c>
      <c r="P1714">
        <f t="shared" si="202"/>
        <v>1.0000000000000001E-5</v>
      </c>
      <c r="R1714" s="15">
        <f t="shared" si="203"/>
        <v>1707</v>
      </c>
      <c r="S1714" s="126">
        <f>IF(VLOOKUP(A1714,Journal!$A$7:$E$70,5)=0,S1713+1,VLOOKUP(A1714,Journal!$A$7:$E$70,5))</f>
        <v>47364</v>
      </c>
      <c r="T1714" s="125">
        <f>IF(H$2=VLOOKUP(A1714,Journal!$A$7:$F$70,6),VLOOKUP(A1714,Journal!$A$7:M$70,9),0)</f>
        <v>0</v>
      </c>
      <c r="U1714" s="125">
        <f>IF(H$2=VLOOKUP(A1714,Journal!$A$7:$G$70,7),VLOOKUP(A1714,Journal!$A$7:M$70,9),0)</f>
        <v>0</v>
      </c>
      <c r="V1714" s="125">
        <f t="shared" si="194"/>
        <v>40</v>
      </c>
      <c r="X1714">
        <f t="shared" si="204"/>
        <v>0</v>
      </c>
      <c r="Y1714" s="143">
        <f t="shared" si="193"/>
        <v>-955.15789473691348</v>
      </c>
    </row>
    <row r="1715" spans="1:25" x14ac:dyDescent="0.25">
      <c r="A1715">
        <f t="shared" si="200"/>
        <v>1708</v>
      </c>
      <c r="B1715" s="88" t="str">
        <f>IF(OR(B1714="Total",B1714=""),"",IF(VLOOKUP(A1715,Journal!$B$7:$E$84,4)=0,"Total",VLOOKUP(A1715,Journal!$B$7:$D$84,3)))</f>
        <v/>
      </c>
      <c r="C1715" s="86" t="str">
        <f>IF(B1715="","",VLOOKUP(A1715,Journal!$B$7:$E$84,4))</f>
        <v/>
      </c>
      <c r="D1715" s="114" t="str">
        <f>IF(B1715="","",VLOOKUP(A1715,Journal!$B$7:$J$84,9))</f>
        <v/>
      </c>
      <c r="E1715" s="116"/>
      <c r="F1715" s="116"/>
      <c r="G1715" s="115"/>
      <c r="H1715" s="84" t="str">
        <f>IF(B1715="","",VLOOKUP(A1715,Journal!$B$7:$L$84,11))</f>
        <v/>
      </c>
      <c r="I1715" s="84" t="str">
        <f>IF(B1715="","",VLOOKUP(A1715,Journal!$B$7:$M$84,12))</f>
        <v/>
      </c>
      <c r="J1715" s="105">
        <f>IF(B1715="Total",SUM(J$8:J1714)+0.0001,IF(OR(B1715="",I$2=I1715),0,VLOOKUP(A1715,Journal!$B$7:M$84,8)))</f>
        <v>0</v>
      </c>
      <c r="K1715" s="102">
        <f>IF(B1715="Total",SUM(K$8:K1714)+0.0001,IF(OR(B1715="",J1715&lt;&gt;0),0,VLOOKUP(A1715,Journal!$B$7:M$84,8)))</f>
        <v>0</v>
      </c>
      <c r="L1715" s="87">
        <f t="shared" si="201"/>
        <v>0</v>
      </c>
      <c r="P1715">
        <f t="shared" si="202"/>
        <v>1.0000000000000001E-5</v>
      </c>
      <c r="R1715" s="15">
        <f t="shared" si="203"/>
        <v>1708</v>
      </c>
      <c r="S1715" s="126">
        <f>IF(VLOOKUP(A1715,Journal!$A$7:$E$70,5)=0,S1714+1,VLOOKUP(A1715,Journal!$A$7:$E$70,5))</f>
        <v>47365</v>
      </c>
      <c r="T1715" s="125">
        <f>IF(H$2=VLOOKUP(A1715,Journal!$A$7:$F$70,6),VLOOKUP(A1715,Journal!$A$7:M$70,9),0)</f>
        <v>0</v>
      </c>
      <c r="U1715" s="125">
        <f>IF(H$2=VLOOKUP(A1715,Journal!$A$7:$G$70,7),VLOOKUP(A1715,Journal!$A$7:M$70,9),0)</f>
        <v>0</v>
      </c>
      <c r="V1715" s="125">
        <f t="shared" si="194"/>
        <v>40</v>
      </c>
      <c r="X1715">
        <f t="shared" si="204"/>
        <v>0</v>
      </c>
      <c r="Y1715" s="143">
        <f t="shared" si="193"/>
        <v>-955.13157894743983</v>
      </c>
    </row>
    <row r="1716" spans="1:25" x14ac:dyDescent="0.25">
      <c r="A1716">
        <f t="shared" si="200"/>
        <v>1709</v>
      </c>
      <c r="B1716" s="88" t="str">
        <f>IF(OR(B1715="Total",B1715=""),"",IF(VLOOKUP(A1716,Journal!$B$7:$E$84,4)=0,"Total",VLOOKUP(A1716,Journal!$B$7:$D$84,3)))</f>
        <v/>
      </c>
      <c r="C1716" s="86" t="str">
        <f>IF(B1716="","",VLOOKUP(A1716,Journal!$B$7:$E$84,4))</f>
        <v/>
      </c>
      <c r="D1716" s="114" t="str">
        <f>IF(B1716="","",VLOOKUP(A1716,Journal!$B$7:$J$84,9))</f>
        <v/>
      </c>
      <c r="E1716" s="116"/>
      <c r="F1716" s="116"/>
      <c r="G1716" s="115"/>
      <c r="H1716" s="84" t="str">
        <f>IF(B1716="","",VLOOKUP(A1716,Journal!$B$7:$L$84,11))</f>
        <v/>
      </c>
      <c r="I1716" s="84" t="str">
        <f>IF(B1716="","",VLOOKUP(A1716,Journal!$B$7:$M$84,12))</f>
        <v/>
      </c>
      <c r="J1716" s="105">
        <f>IF(B1716="Total",SUM(J$8:J1715)+0.0001,IF(OR(B1716="",I$2=I1716),0,VLOOKUP(A1716,Journal!$B$7:M$84,8)))</f>
        <v>0</v>
      </c>
      <c r="K1716" s="102">
        <f>IF(B1716="Total",SUM(K$8:K1715)+0.0001,IF(OR(B1716="",J1716&lt;&gt;0),0,VLOOKUP(A1716,Journal!$B$7:M$84,8)))</f>
        <v>0</v>
      </c>
      <c r="L1716" s="87">
        <f t="shared" si="201"/>
        <v>0</v>
      </c>
      <c r="P1716">
        <f t="shared" si="202"/>
        <v>1.0000000000000001E-5</v>
      </c>
      <c r="R1716" s="15">
        <f t="shared" si="203"/>
        <v>1709</v>
      </c>
      <c r="S1716" s="126">
        <f>IF(VLOOKUP(A1716,Journal!$A$7:$E$70,5)=0,S1715+1,VLOOKUP(A1716,Journal!$A$7:$E$70,5))</f>
        <v>47366</v>
      </c>
      <c r="T1716" s="125">
        <f>IF(H$2=VLOOKUP(A1716,Journal!$A$7:$F$70,6),VLOOKUP(A1716,Journal!$A$7:M$70,9),0)</f>
        <v>0</v>
      </c>
      <c r="U1716" s="125">
        <f>IF(H$2=VLOOKUP(A1716,Journal!$A$7:$G$70,7),VLOOKUP(A1716,Journal!$A$7:M$70,9),0)</f>
        <v>0</v>
      </c>
      <c r="V1716" s="125">
        <f t="shared" si="194"/>
        <v>40</v>
      </c>
      <c r="X1716">
        <f t="shared" si="204"/>
        <v>0</v>
      </c>
      <c r="Y1716" s="143">
        <f t="shared" si="193"/>
        <v>-955.10526315796619</v>
      </c>
    </row>
    <row r="1717" spans="1:25" x14ac:dyDescent="0.25">
      <c r="A1717">
        <f t="shared" si="200"/>
        <v>1710</v>
      </c>
      <c r="B1717" s="88" t="str">
        <f>IF(OR(B1716="Total",B1716=""),"",IF(VLOOKUP(A1717,Journal!$B$7:$E$84,4)=0,"Total",VLOOKUP(A1717,Journal!$B$7:$D$84,3)))</f>
        <v/>
      </c>
      <c r="C1717" s="86" t="str">
        <f>IF(B1717="","",VLOOKUP(A1717,Journal!$B$7:$E$84,4))</f>
        <v/>
      </c>
      <c r="D1717" s="114" t="str">
        <f>IF(B1717="","",VLOOKUP(A1717,Journal!$B$7:$J$84,9))</f>
        <v/>
      </c>
      <c r="E1717" s="116"/>
      <c r="F1717" s="116"/>
      <c r="G1717" s="115"/>
      <c r="H1717" s="84" t="str">
        <f>IF(B1717="","",VLOOKUP(A1717,Journal!$B$7:$L$84,11))</f>
        <v/>
      </c>
      <c r="I1717" s="84" t="str">
        <f>IF(B1717="","",VLOOKUP(A1717,Journal!$B$7:$M$84,12))</f>
        <v/>
      </c>
      <c r="J1717" s="105">
        <f>IF(B1717="Total",SUM(J$8:J1716)+0.0001,IF(OR(B1717="",I$2=I1717),0,VLOOKUP(A1717,Journal!$B$7:M$84,8)))</f>
        <v>0</v>
      </c>
      <c r="K1717" s="102">
        <f>IF(B1717="Total",SUM(K$8:K1716)+0.0001,IF(OR(B1717="",J1717&lt;&gt;0),0,VLOOKUP(A1717,Journal!$B$7:M$84,8)))</f>
        <v>0</v>
      </c>
      <c r="L1717" s="87">
        <f t="shared" si="201"/>
        <v>0</v>
      </c>
      <c r="P1717">
        <f t="shared" si="202"/>
        <v>1.0000000000000001E-5</v>
      </c>
      <c r="R1717" s="15">
        <f t="shared" si="203"/>
        <v>1710</v>
      </c>
      <c r="S1717" s="126">
        <f>IF(VLOOKUP(A1717,Journal!$A$7:$E$70,5)=0,S1716+1,VLOOKUP(A1717,Journal!$A$7:$E$70,5))</f>
        <v>47367</v>
      </c>
      <c r="T1717" s="125">
        <f>IF(H$2=VLOOKUP(A1717,Journal!$A$7:$F$70,6),VLOOKUP(A1717,Journal!$A$7:M$70,9),0)</f>
        <v>0</v>
      </c>
      <c r="U1717" s="125">
        <f>IF(H$2=VLOOKUP(A1717,Journal!$A$7:$G$70,7),VLOOKUP(A1717,Journal!$A$7:M$70,9),0)</f>
        <v>0</v>
      </c>
      <c r="V1717" s="125">
        <f t="shared" si="194"/>
        <v>40</v>
      </c>
      <c r="X1717">
        <f t="shared" si="204"/>
        <v>0</v>
      </c>
      <c r="Y1717" s="143">
        <f t="shared" si="193"/>
        <v>-955.07894736849255</v>
      </c>
    </row>
    <row r="1718" spans="1:25" x14ac:dyDescent="0.25">
      <c r="A1718">
        <f t="shared" si="200"/>
        <v>1711</v>
      </c>
      <c r="B1718" s="88" t="str">
        <f>IF(OR(B1717="Total",B1717=""),"",IF(VLOOKUP(A1718,Journal!$B$7:$E$84,4)=0,"Total",VLOOKUP(A1718,Journal!$B$7:$D$84,3)))</f>
        <v/>
      </c>
      <c r="C1718" s="86" t="str">
        <f>IF(B1718="","",VLOOKUP(A1718,Journal!$B$7:$E$84,4))</f>
        <v/>
      </c>
      <c r="D1718" s="114" t="str">
        <f>IF(B1718="","",VLOOKUP(A1718,Journal!$B$7:$J$84,9))</f>
        <v/>
      </c>
      <c r="E1718" s="116"/>
      <c r="F1718" s="116"/>
      <c r="G1718" s="115"/>
      <c r="H1718" s="84" t="str">
        <f>IF(B1718="","",VLOOKUP(A1718,Journal!$B$7:$L$84,11))</f>
        <v/>
      </c>
      <c r="I1718" s="84" t="str">
        <f>IF(B1718="","",VLOOKUP(A1718,Journal!$B$7:$M$84,12))</f>
        <v/>
      </c>
      <c r="J1718" s="105">
        <f>IF(B1718="Total",SUM(J$8:J1717)+0.0001,IF(OR(B1718="",I$2=I1718),0,VLOOKUP(A1718,Journal!$B$7:M$84,8)))</f>
        <v>0</v>
      </c>
      <c r="K1718" s="102">
        <f>IF(B1718="Total",SUM(K$8:K1717)+0.0001,IF(OR(B1718="",J1718&lt;&gt;0),0,VLOOKUP(A1718,Journal!$B$7:M$84,8)))</f>
        <v>0</v>
      </c>
      <c r="L1718" s="87">
        <f t="shared" si="201"/>
        <v>0</v>
      </c>
      <c r="P1718">
        <f t="shared" si="202"/>
        <v>1.0000000000000001E-5</v>
      </c>
      <c r="R1718" s="15">
        <f t="shared" si="203"/>
        <v>1711</v>
      </c>
      <c r="S1718" s="126">
        <f>IF(VLOOKUP(A1718,Journal!$A$7:$E$70,5)=0,S1717+1,VLOOKUP(A1718,Journal!$A$7:$E$70,5))</f>
        <v>47368</v>
      </c>
      <c r="T1718" s="125">
        <f>IF(H$2=VLOOKUP(A1718,Journal!$A$7:$F$70,6),VLOOKUP(A1718,Journal!$A$7:M$70,9),0)</f>
        <v>0</v>
      </c>
      <c r="U1718" s="125">
        <f>IF(H$2=VLOOKUP(A1718,Journal!$A$7:$G$70,7),VLOOKUP(A1718,Journal!$A$7:M$70,9),0)</f>
        <v>0</v>
      </c>
      <c r="V1718" s="125">
        <f t="shared" si="194"/>
        <v>40</v>
      </c>
      <c r="X1718">
        <f t="shared" si="204"/>
        <v>0</v>
      </c>
      <c r="Y1718" s="143">
        <f t="shared" si="193"/>
        <v>-955.05263157901891</v>
      </c>
    </row>
    <row r="1719" spans="1:25" x14ac:dyDescent="0.25">
      <c r="A1719">
        <f t="shared" si="200"/>
        <v>1712</v>
      </c>
      <c r="B1719" s="88" t="str">
        <f>IF(OR(B1718="Total",B1718=""),"",IF(VLOOKUP(A1719,Journal!$B$7:$E$84,4)=0,"Total",VLOOKUP(A1719,Journal!$B$7:$D$84,3)))</f>
        <v/>
      </c>
      <c r="C1719" s="86" t="str">
        <f>IF(B1719="","",VLOOKUP(A1719,Journal!$B$7:$E$84,4))</f>
        <v/>
      </c>
      <c r="D1719" s="114" t="str">
        <f>IF(B1719="","",VLOOKUP(A1719,Journal!$B$7:$J$84,9))</f>
        <v/>
      </c>
      <c r="E1719" s="116"/>
      <c r="F1719" s="116"/>
      <c r="G1719" s="115"/>
      <c r="H1719" s="84" t="str">
        <f>IF(B1719="","",VLOOKUP(A1719,Journal!$B$7:$L$84,11))</f>
        <v/>
      </c>
      <c r="I1719" s="84" t="str">
        <f>IF(B1719="","",VLOOKUP(A1719,Journal!$B$7:$M$84,12))</f>
        <v/>
      </c>
      <c r="J1719" s="105">
        <f>IF(B1719="Total",SUM(J$8:J1718)+0.0001,IF(OR(B1719="",I$2=I1719),0,VLOOKUP(A1719,Journal!$B$7:M$84,8)))</f>
        <v>0</v>
      </c>
      <c r="K1719" s="102">
        <f>IF(B1719="Total",SUM(K$8:K1718)+0.0001,IF(OR(B1719="",J1719&lt;&gt;0),0,VLOOKUP(A1719,Journal!$B$7:M$84,8)))</f>
        <v>0</v>
      </c>
      <c r="L1719" s="87">
        <f t="shared" si="201"/>
        <v>0</v>
      </c>
      <c r="P1719">
        <f t="shared" si="202"/>
        <v>1.0000000000000001E-5</v>
      </c>
      <c r="R1719" s="15">
        <f t="shared" si="203"/>
        <v>1712</v>
      </c>
      <c r="S1719" s="126">
        <f>IF(VLOOKUP(A1719,Journal!$A$7:$E$70,5)=0,S1718+1,VLOOKUP(A1719,Journal!$A$7:$E$70,5))</f>
        <v>47369</v>
      </c>
      <c r="T1719" s="125">
        <f>IF(H$2=VLOOKUP(A1719,Journal!$A$7:$F$70,6),VLOOKUP(A1719,Journal!$A$7:M$70,9),0)</f>
        <v>0</v>
      </c>
      <c r="U1719" s="125">
        <f>IF(H$2=VLOOKUP(A1719,Journal!$A$7:$G$70,7),VLOOKUP(A1719,Journal!$A$7:M$70,9),0)</f>
        <v>0</v>
      </c>
      <c r="V1719" s="125">
        <f t="shared" si="194"/>
        <v>40</v>
      </c>
      <c r="X1719">
        <f t="shared" si="204"/>
        <v>0</v>
      </c>
      <c r="Y1719" s="143">
        <f t="shared" si="193"/>
        <v>-955.02631578954527</v>
      </c>
    </row>
    <row r="1720" spans="1:25" x14ac:dyDescent="0.25">
      <c r="A1720">
        <f t="shared" si="200"/>
        <v>1713</v>
      </c>
      <c r="B1720" s="88" t="str">
        <f>IF(OR(B1719="Total",B1719=""),"",IF(VLOOKUP(A1720,Journal!$B$7:$E$84,4)=0,"Total",VLOOKUP(A1720,Journal!$B$7:$D$84,3)))</f>
        <v/>
      </c>
      <c r="C1720" s="86" t="str">
        <f>IF(B1720="","",VLOOKUP(A1720,Journal!$B$7:$E$84,4))</f>
        <v/>
      </c>
      <c r="D1720" s="114" t="str">
        <f>IF(B1720="","",VLOOKUP(A1720,Journal!$B$7:$J$84,9))</f>
        <v/>
      </c>
      <c r="E1720" s="116"/>
      <c r="F1720" s="116"/>
      <c r="G1720" s="115"/>
      <c r="H1720" s="84" t="str">
        <f>IF(B1720="","",VLOOKUP(A1720,Journal!$B$7:$L$84,11))</f>
        <v/>
      </c>
      <c r="I1720" s="84" t="str">
        <f>IF(B1720="","",VLOOKUP(A1720,Journal!$B$7:$M$84,12))</f>
        <v/>
      </c>
      <c r="J1720" s="105">
        <f>IF(B1720="Total",SUM(J$8:J1719)+0.0001,IF(OR(B1720="",I$2=I1720),0,VLOOKUP(A1720,Journal!$B$7:M$84,8)))</f>
        <v>0</v>
      </c>
      <c r="K1720" s="102">
        <f>IF(B1720="Total",SUM(K$8:K1719)+0.0001,IF(OR(B1720="",J1720&lt;&gt;0),0,VLOOKUP(A1720,Journal!$B$7:M$84,8)))</f>
        <v>0</v>
      </c>
      <c r="L1720" s="87">
        <f t="shared" si="201"/>
        <v>0</v>
      </c>
      <c r="P1720">
        <f t="shared" si="202"/>
        <v>1.0000000000000001E-5</v>
      </c>
      <c r="R1720" s="15">
        <f t="shared" si="203"/>
        <v>1713</v>
      </c>
      <c r="S1720" s="126">
        <f>IF(VLOOKUP(A1720,Journal!$A$7:$E$70,5)=0,S1719+1,VLOOKUP(A1720,Journal!$A$7:$E$70,5))</f>
        <v>47370</v>
      </c>
      <c r="T1720" s="125">
        <f>IF(H$2=VLOOKUP(A1720,Journal!$A$7:$F$70,6),VLOOKUP(A1720,Journal!$A$7:M$70,9),0)</f>
        <v>0</v>
      </c>
      <c r="U1720" s="125">
        <f>IF(H$2=VLOOKUP(A1720,Journal!$A$7:$G$70,7),VLOOKUP(A1720,Journal!$A$7:M$70,9),0)</f>
        <v>0</v>
      </c>
      <c r="V1720" s="125">
        <f t="shared" si="194"/>
        <v>40</v>
      </c>
      <c r="X1720">
        <f t="shared" si="204"/>
        <v>0</v>
      </c>
      <c r="Y1720" s="143">
        <f t="shared" si="193"/>
        <v>-955.00000000007162</v>
      </c>
    </row>
    <row r="1721" spans="1:25" x14ac:dyDescent="0.25">
      <c r="A1721">
        <f t="shared" ref="A1721:A1744" si="205">A1720+1</f>
        <v>1714</v>
      </c>
      <c r="B1721" s="88" t="str">
        <f>IF(OR(B1720="Total",B1720=""),"",IF(VLOOKUP(A1721,Journal!$B$7:$E$84,4)=0,"Total",VLOOKUP(A1721,Journal!$B$7:$D$84,3)))</f>
        <v/>
      </c>
      <c r="C1721" s="86" t="str">
        <f>IF(B1721="","",VLOOKUP(A1721,Journal!$B$7:$E$84,4))</f>
        <v/>
      </c>
      <c r="D1721" s="114" t="str">
        <f>IF(B1721="","",VLOOKUP(A1721,Journal!$B$7:$J$84,9))</f>
        <v/>
      </c>
      <c r="E1721" s="116"/>
      <c r="F1721" s="116"/>
      <c r="G1721" s="115"/>
      <c r="H1721" s="84" t="str">
        <f>IF(B1721="","",VLOOKUP(A1721,Journal!$B$7:$L$84,11))</f>
        <v/>
      </c>
      <c r="I1721" s="84" t="str">
        <f>IF(B1721="","",VLOOKUP(A1721,Journal!$B$7:$M$84,12))</f>
        <v/>
      </c>
      <c r="J1721" s="105">
        <f>IF(B1721="Total",SUM(J$8:J1720)+0.0001,IF(OR(B1721="",I$2=I1721),0,VLOOKUP(A1721,Journal!$B$7:M$84,8)))</f>
        <v>0</v>
      </c>
      <c r="K1721" s="102">
        <f>IF(B1721="Total",SUM(K$8:K1720)+0.0001,IF(OR(B1721="",J1721&lt;&gt;0),0,VLOOKUP(A1721,Journal!$B$7:M$84,8)))</f>
        <v>0</v>
      </c>
      <c r="L1721" s="87">
        <f t="shared" ref="L1721:L1741" si="206">IF(B1721="Total",L1720,IF(B1721="",0,IF($M$1=1,L1720+J1721-K1721,L1720-J1721+K1721)))</f>
        <v>0</v>
      </c>
      <c r="P1721">
        <f t="shared" ref="P1721:P1743" si="207">IF(L1720=L1721,L1720+0.00001,L1721)</f>
        <v>1.0000000000000001E-5</v>
      </c>
      <c r="R1721" s="15">
        <f t="shared" ref="R1721:R1784" si="208">R1720+1</f>
        <v>1714</v>
      </c>
      <c r="S1721" s="126">
        <f>IF(VLOOKUP(A1721,Journal!$A$7:$E$70,5)=0,S1720+1,VLOOKUP(A1721,Journal!$A$7:$E$70,5))</f>
        <v>47371</v>
      </c>
      <c r="T1721" s="125">
        <f>IF(H$2=VLOOKUP(A1721,Journal!$A$7:$F$70,6),VLOOKUP(A1721,Journal!$A$7:M$70,9),0)</f>
        <v>0</v>
      </c>
      <c r="U1721" s="125">
        <f>IF(H$2=VLOOKUP(A1721,Journal!$A$7:$G$70,7),VLOOKUP(A1721,Journal!$A$7:M$70,9),0)</f>
        <v>0</v>
      </c>
      <c r="V1721" s="125">
        <f t="shared" si="194"/>
        <v>40</v>
      </c>
      <c r="X1721">
        <f t="shared" ref="X1721:X1784" si="209">IF(J$2&gt;S1721,1,0)</f>
        <v>0</v>
      </c>
      <c r="Y1721" s="143">
        <f t="shared" si="193"/>
        <v>-954.97368421059798</v>
      </c>
    </row>
    <row r="1722" spans="1:25" x14ac:dyDescent="0.25">
      <c r="A1722">
        <f t="shared" si="205"/>
        <v>1715</v>
      </c>
      <c r="B1722" s="88" t="str">
        <f>IF(OR(B1721="Total",B1721=""),"",IF(VLOOKUP(A1722,Journal!$B$7:$E$84,4)=0,"Total",VLOOKUP(A1722,Journal!$B$7:$D$84,3)))</f>
        <v/>
      </c>
      <c r="C1722" s="86" t="str">
        <f>IF(B1722="","",VLOOKUP(A1722,Journal!$B$7:$E$84,4))</f>
        <v/>
      </c>
      <c r="D1722" s="114" t="str">
        <f>IF(B1722="","",VLOOKUP(A1722,Journal!$B$7:$J$84,9))</f>
        <v/>
      </c>
      <c r="E1722" s="116"/>
      <c r="F1722" s="116"/>
      <c r="G1722" s="115"/>
      <c r="H1722" s="84" t="str">
        <f>IF(B1722="","",VLOOKUP(A1722,Journal!$B$7:$L$84,11))</f>
        <v/>
      </c>
      <c r="I1722" s="84" t="str">
        <f>IF(B1722="","",VLOOKUP(A1722,Journal!$B$7:$M$84,12))</f>
        <v/>
      </c>
      <c r="J1722" s="105">
        <f>IF(B1722="Total",SUM(J$8:J1721)+0.0001,IF(OR(B1722="",I$2=I1722),0,VLOOKUP(A1722,Journal!$B$7:M$84,8)))</f>
        <v>0</v>
      </c>
      <c r="K1722" s="102">
        <f>IF(B1722="Total",SUM(K$8:K1721)+0.0001,IF(OR(B1722="",J1722&lt;&gt;0),0,VLOOKUP(A1722,Journal!$B$7:M$84,8)))</f>
        <v>0</v>
      </c>
      <c r="L1722" s="87">
        <f t="shared" si="206"/>
        <v>0</v>
      </c>
      <c r="P1722">
        <f t="shared" si="207"/>
        <v>1.0000000000000001E-5</v>
      </c>
      <c r="R1722" s="15">
        <f t="shared" si="208"/>
        <v>1715</v>
      </c>
      <c r="S1722" s="126">
        <f>IF(VLOOKUP(A1722,Journal!$A$7:$E$70,5)=0,S1721+1,VLOOKUP(A1722,Journal!$A$7:$E$70,5))</f>
        <v>47372</v>
      </c>
      <c r="T1722" s="125">
        <f>IF(H$2=VLOOKUP(A1722,Journal!$A$7:$F$70,6),VLOOKUP(A1722,Journal!$A$7:M$70,9),0)</f>
        <v>0</v>
      </c>
      <c r="U1722" s="125">
        <f>IF(H$2=VLOOKUP(A1722,Journal!$A$7:$G$70,7),VLOOKUP(A1722,Journal!$A$7:M$70,9),0)</f>
        <v>0</v>
      </c>
      <c r="V1722" s="125">
        <f t="shared" si="194"/>
        <v>40</v>
      </c>
      <c r="X1722">
        <f t="shared" si="209"/>
        <v>0</v>
      </c>
      <c r="Y1722" s="143">
        <f t="shared" si="193"/>
        <v>-954.94736842112434</v>
      </c>
    </row>
    <row r="1723" spans="1:25" x14ac:dyDescent="0.25">
      <c r="A1723">
        <f t="shared" si="205"/>
        <v>1716</v>
      </c>
      <c r="B1723" s="88" t="str">
        <f>IF(OR(B1722="Total",B1722=""),"",IF(VLOOKUP(A1723,Journal!$B$7:$E$84,4)=0,"Total",VLOOKUP(A1723,Journal!$B$7:$D$84,3)))</f>
        <v/>
      </c>
      <c r="C1723" s="86" t="str">
        <f>IF(B1723="","",VLOOKUP(A1723,Journal!$B$7:$E$84,4))</f>
        <v/>
      </c>
      <c r="D1723" s="114" t="str">
        <f>IF(B1723="","",VLOOKUP(A1723,Journal!$B$7:$J$84,9))</f>
        <v/>
      </c>
      <c r="E1723" s="116"/>
      <c r="F1723" s="116"/>
      <c r="G1723" s="115"/>
      <c r="H1723" s="84" t="str">
        <f>IF(B1723="","",VLOOKUP(A1723,Journal!$B$7:$L$84,11))</f>
        <v/>
      </c>
      <c r="I1723" s="84" t="str">
        <f>IF(B1723="","",VLOOKUP(A1723,Journal!$B$7:$M$84,12))</f>
        <v/>
      </c>
      <c r="J1723" s="105">
        <f>IF(B1723="Total",SUM(J$8:J1722)+0.0001,IF(OR(B1723="",I$2=I1723),0,VLOOKUP(A1723,Journal!$B$7:M$84,8)))</f>
        <v>0</v>
      </c>
      <c r="K1723" s="102">
        <f>IF(B1723="Total",SUM(K$8:K1722)+0.0001,IF(OR(B1723="",J1723&lt;&gt;0),0,VLOOKUP(A1723,Journal!$B$7:M$84,8)))</f>
        <v>0</v>
      </c>
      <c r="L1723" s="87">
        <f t="shared" si="206"/>
        <v>0</v>
      </c>
      <c r="P1723">
        <f t="shared" si="207"/>
        <v>1.0000000000000001E-5</v>
      </c>
      <c r="R1723" s="15">
        <f t="shared" si="208"/>
        <v>1716</v>
      </c>
      <c r="S1723" s="126">
        <f>IF(VLOOKUP(A1723,Journal!$A$7:$E$70,5)=0,S1722+1,VLOOKUP(A1723,Journal!$A$7:$E$70,5))</f>
        <v>47373</v>
      </c>
      <c r="T1723" s="125">
        <f>IF(H$2=VLOOKUP(A1723,Journal!$A$7:$F$70,6),VLOOKUP(A1723,Journal!$A$7:M$70,9),0)</f>
        <v>0</v>
      </c>
      <c r="U1723" s="125">
        <f>IF(H$2=VLOOKUP(A1723,Journal!$A$7:$G$70,7),VLOOKUP(A1723,Journal!$A$7:M$70,9),0)</f>
        <v>0</v>
      </c>
      <c r="V1723" s="125">
        <f t="shared" si="194"/>
        <v>40</v>
      </c>
      <c r="X1723">
        <f t="shared" si="209"/>
        <v>0</v>
      </c>
      <c r="Y1723" s="143">
        <f t="shared" si="193"/>
        <v>-954.9210526316507</v>
      </c>
    </row>
    <row r="1724" spans="1:25" x14ac:dyDescent="0.25">
      <c r="A1724">
        <f t="shared" si="205"/>
        <v>1717</v>
      </c>
      <c r="B1724" s="88" t="str">
        <f>IF(OR(B1723="Total",B1723=""),"",IF(VLOOKUP(A1724,Journal!$B$7:$E$84,4)=0,"Total",VLOOKUP(A1724,Journal!$B$7:$D$84,3)))</f>
        <v/>
      </c>
      <c r="C1724" s="86" t="str">
        <f>IF(B1724="","",VLOOKUP(A1724,Journal!$B$7:$E$84,4))</f>
        <v/>
      </c>
      <c r="D1724" s="114" t="str">
        <f>IF(B1724="","",VLOOKUP(A1724,Journal!$B$7:$J$84,9))</f>
        <v/>
      </c>
      <c r="E1724" s="116"/>
      <c r="F1724" s="116"/>
      <c r="G1724" s="115"/>
      <c r="H1724" s="84" t="str">
        <f>IF(B1724="","",VLOOKUP(A1724,Journal!$B$7:$L$84,11))</f>
        <v/>
      </c>
      <c r="I1724" s="84" t="str">
        <f>IF(B1724="","",VLOOKUP(A1724,Journal!$B$7:$M$84,12))</f>
        <v/>
      </c>
      <c r="J1724" s="105">
        <f>IF(B1724="Total",SUM(J$8:J1723)+0.0001,IF(OR(B1724="",I$2=I1724),0,VLOOKUP(A1724,Journal!$B$7:M$84,8)))</f>
        <v>0</v>
      </c>
      <c r="K1724" s="102">
        <f>IF(B1724="Total",SUM(K$8:K1723)+0.0001,IF(OR(B1724="",J1724&lt;&gt;0),0,VLOOKUP(A1724,Journal!$B$7:M$84,8)))</f>
        <v>0</v>
      </c>
      <c r="L1724" s="87">
        <f t="shared" si="206"/>
        <v>0</v>
      </c>
      <c r="P1724">
        <f t="shared" si="207"/>
        <v>1.0000000000000001E-5</v>
      </c>
      <c r="R1724" s="15">
        <f t="shared" si="208"/>
        <v>1717</v>
      </c>
      <c r="S1724" s="126">
        <f>IF(VLOOKUP(A1724,Journal!$A$7:$E$70,5)=0,S1723+1,VLOOKUP(A1724,Journal!$A$7:$E$70,5))</f>
        <v>47374</v>
      </c>
      <c r="T1724" s="125">
        <f>IF(H$2=VLOOKUP(A1724,Journal!$A$7:$F$70,6),VLOOKUP(A1724,Journal!$A$7:M$70,9),0)</f>
        <v>0</v>
      </c>
      <c r="U1724" s="125">
        <f>IF(H$2=VLOOKUP(A1724,Journal!$A$7:$G$70,7),VLOOKUP(A1724,Journal!$A$7:M$70,9),0)</f>
        <v>0</v>
      </c>
      <c r="V1724" s="125">
        <f t="shared" si="194"/>
        <v>40</v>
      </c>
      <c r="X1724">
        <f t="shared" si="209"/>
        <v>0</v>
      </c>
      <c r="Y1724" s="143">
        <f t="shared" si="193"/>
        <v>-954.89473684217705</v>
      </c>
    </row>
    <row r="1725" spans="1:25" x14ac:dyDescent="0.25">
      <c r="A1725">
        <f t="shared" si="205"/>
        <v>1718</v>
      </c>
      <c r="B1725" s="88" t="str">
        <f>IF(OR(B1724="Total",B1724=""),"",IF(VLOOKUP(A1725,Journal!$B$7:$E$84,4)=0,"Total",VLOOKUP(A1725,Journal!$B$7:$D$84,3)))</f>
        <v/>
      </c>
      <c r="C1725" s="86" t="str">
        <f>IF(B1725="","",VLOOKUP(A1725,Journal!$B$7:$E$84,4))</f>
        <v/>
      </c>
      <c r="D1725" s="114" t="str">
        <f>IF(B1725="","",VLOOKUP(A1725,Journal!$B$7:$J$84,9))</f>
        <v/>
      </c>
      <c r="E1725" s="116"/>
      <c r="F1725" s="116"/>
      <c r="G1725" s="115"/>
      <c r="H1725" s="84" t="str">
        <f>IF(B1725="","",VLOOKUP(A1725,Journal!$B$7:$L$84,11))</f>
        <v/>
      </c>
      <c r="I1725" s="84" t="str">
        <f>IF(B1725="","",VLOOKUP(A1725,Journal!$B$7:$M$84,12))</f>
        <v/>
      </c>
      <c r="J1725" s="105">
        <f>IF(B1725="Total",SUM(J$8:J1724)+0.0001,IF(OR(B1725="",I$2=I1725),0,VLOOKUP(A1725,Journal!$B$7:M$84,8)))</f>
        <v>0</v>
      </c>
      <c r="K1725" s="102">
        <f>IF(B1725="Total",SUM(K$8:K1724)+0.0001,IF(OR(B1725="",J1725&lt;&gt;0),0,VLOOKUP(A1725,Journal!$B$7:M$84,8)))</f>
        <v>0</v>
      </c>
      <c r="L1725" s="87">
        <f t="shared" si="206"/>
        <v>0</v>
      </c>
      <c r="P1725">
        <f t="shared" si="207"/>
        <v>1.0000000000000001E-5</v>
      </c>
      <c r="R1725" s="15">
        <f t="shared" si="208"/>
        <v>1718</v>
      </c>
      <c r="S1725" s="126">
        <f>IF(VLOOKUP(A1725,Journal!$A$7:$E$70,5)=0,S1724+1,VLOOKUP(A1725,Journal!$A$7:$E$70,5))</f>
        <v>47375</v>
      </c>
      <c r="T1725" s="125">
        <f>IF(H$2=VLOOKUP(A1725,Journal!$A$7:$F$70,6),VLOOKUP(A1725,Journal!$A$7:M$70,9),0)</f>
        <v>0</v>
      </c>
      <c r="U1725" s="125">
        <f>IF(H$2=VLOOKUP(A1725,Journal!$A$7:$G$70,7),VLOOKUP(A1725,Journal!$A$7:M$70,9),0)</f>
        <v>0</v>
      </c>
      <c r="V1725" s="125">
        <f t="shared" si="194"/>
        <v>40</v>
      </c>
      <c r="X1725">
        <f t="shared" si="209"/>
        <v>0</v>
      </c>
      <c r="Y1725" s="143">
        <f t="shared" si="193"/>
        <v>-954.86842105270341</v>
      </c>
    </row>
    <row r="1726" spans="1:25" x14ac:dyDescent="0.25">
      <c r="A1726">
        <f t="shared" si="205"/>
        <v>1719</v>
      </c>
      <c r="B1726" s="88" t="str">
        <f>IF(OR(B1725="Total",B1725=""),"",IF(VLOOKUP(A1726,Journal!$B$7:$E$84,4)=0,"Total",VLOOKUP(A1726,Journal!$B$7:$D$84,3)))</f>
        <v/>
      </c>
      <c r="C1726" s="86" t="str">
        <f>IF(B1726="","",VLOOKUP(A1726,Journal!$B$7:$E$84,4))</f>
        <v/>
      </c>
      <c r="D1726" s="114" t="str">
        <f>IF(B1726="","",VLOOKUP(A1726,Journal!$B$7:$J$84,9))</f>
        <v/>
      </c>
      <c r="E1726" s="116"/>
      <c r="F1726" s="116"/>
      <c r="G1726" s="115"/>
      <c r="H1726" s="84" t="str">
        <f>IF(B1726="","",VLOOKUP(A1726,Journal!$B$7:$L$84,11))</f>
        <v/>
      </c>
      <c r="I1726" s="84" t="str">
        <f>IF(B1726="","",VLOOKUP(A1726,Journal!$B$7:$M$84,12))</f>
        <v/>
      </c>
      <c r="J1726" s="105">
        <f>IF(B1726="Total",SUM(J$8:J1725)+0.0001,IF(OR(B1726="",I$2=I1726),0,VLOOKUP(A1726,Journal!$B$7:M$84,8)))</f>
        <v>0</v>
      </c>
      <c r="K1726" s="102">
        <f>IF(B1726="Total",SUM(K$8:K1725)+0.0001,IF(OR(B1726="",J1726&lt;&gt;0),0,VLOOKUP(A1726,Journal!$B$7:M$84,8)))</f>
        <v>0</v>
      </c>
      <c r="L1726" s="87">
        <f t="shared" si="206"/>
        <v>0</v>
      </c>
      <c r="P1726">
        <f t="shared" si="207"/>
        <v>1.0000000000000001E-5</v>
      </c>
      <c r="R1726" s="15">
        <f t="shared" si="208"/>
        <v>1719</v>
      </c>
      <c r="S1726" s="126">
        <f>IF(VLOOKUP(A1726,Journal!$A$7:$E$70,5)=0,S1725+1,VLOOKUP(A1726,Journal!$A$7:$E$70,5))</f>
        <v>47376</v>
      </c>
      <c r="T1726" s="125">
        <f>IF(H$2=VLOOKUP(A1726,Journal!$A$7:$F$70,6),VLOOKUP(A1726,Journal!$A$7:M$70,9),0)</f>
        <v>0</v>
      </c>
      <c r="U1726" s="125">
        <f>IF(H$2=VLOOKUP(A1726,Journal!$A$7:$G$70,7),VLOOKUP(A1726,Journal!$A$7:M$70,9),0)</f>
        <v>0</v>
      </c>
      <c r="V1726" s="125">
        <f t="shared" si="194"/>
        <v>40</v>
      </c>
      <c r="X1726">
        <f t="shared" si="209"/>
        <v>0</v>
      </c>
      <c r="Y1726" s="143">
        <f t="shared" si="193"/>
        <v>-954.84210526322977</v>
      </c>
    </row>
    <row r="1727" spans="1:25" x14ac:dyDescent="0.25">
      <c r="A1727">
        <f t="shared" si="205"/>
        <v>1720</v>
      </c>
      <c r="B1727" s="88" t="str">
        <f>IF(OR(B1726="Total",B1726=""),"",IF(VLOOKUP(A1727,Journal!$B$7:$E$84,4)=0,"Total",VLOOKUP(A1727,Journal!$B$7:$D$84,3)))</f>
        <v/>
      </c>
      <c r="C1727" s="86" t="str">
        <f>IF(B1727="","",VLOOKUP(A1727,Journal!$B$7:$E$84,4))</f>
        <v/>
      </c>
      <c r="D1727" s="114" t="str">
        <f>IF(B1727="","",VLOOKUP(A1727,Journal!$B$7:$J$84,9))</f>
        <v/>
      </c>
      <c r="E1727" s="116"/>
      <c r="F1727" s="116"/>
      <c r="G1727" s="115"/>
      <c r="H1727" s="84" t="str">
        <f>IF(B1727="","",VLOOKUP(A1727,Journal!$B$7:$L$84,11))</f>
        <v/>
      </c>
      <c r="I1727" s="84" t="str">
        <f>IF(B1727="","",VLOOKUP(A1727,Journal!$B$7:$M$84,12))</f>
        <v/>
      </c>
      <c r="J1727" s="105">
        <f>IF(B1727="Total",SUM(J$8:J1726)+0.0001,IF(OR(B1727="",I$2=I1727),0,VLOOKUP(A1727,Journal!$B$7:M$84,8)))</f>
        <v>0</v>
      </c>
      <c r="K1727" s="102">
        <f>IF(B1727="Total",SUM(K$8:K1726)+0.0001,IF(OR(B1727="",J1727&lt;&gt;0),0,VLOOKUP(A1727,Journal!$B$7:M$84,8)))</f>
        <v>0</v>
      </c>
      <c r="L1727" s="87">
        <f t="shared" si="206"/>
        <v>0</v>
      </c>
      <c r="P1727">
        <f t="shared" si="207"/>
        <v>1.0000000000000001E-5</v>
      </c>
      <c r="R1727" s="15">
        <f t="shared" si="208"/>
        <v>1720</v>
      </c>
      <c r="S1727" s="126">
        <f>IF(VLOOKUP(A1727,Journal!$A$7:$E$70,5)=0,S1726+1,VLOOKUP(A1727,Journal!$A$7:$E$70,5))</f>
        <v>47377</v>
      </c>
      <c r="T1727" s="125">
        <f>IF(H$2=VLOOKUP(A1727,Journal!$A$7:$F$70,6),VLOOKUP(A1727,Journal!$A$7:M$70,9),0)</f>
        <v>0</v>
      </c>
      <c r="U1727" s="125">
        <f>IF(H$2=VLOOKUP(A1727,Journal!$A$7:$G$70,7),VLOOKUP(A1727,Journal!$A$7:M$70,9),0)</f>
        <v>0</v>
      </c>
      <c r="V1727" s="125">
        <f t="shared" si="194"/>
        <v>40</v>
      </c>
      <c r="X1727">
        <f t="shared" si="209"/>
        <v>0</v>
      </c>
      <c r="Y1727" s="143">
        <f t="shared" si="193"/>
        <v>-954.81578947375613</v>
      </c>
    </row>
    <row r="1728" spans="1:25" x14ac:dyDescent="0.25">
      <c r="A1728">
        <f t="shared" si="205"/>
        <v>1721</v>
      </c>
      <c r="B1728" s="88" t="str">
        <f>IF(OR(B1727="Total",B1727=""),"",IF(VLOOKUP(A1728,Journal!$B$7:$E$84,4)=0,"Total",VLOOKUP(A1728,Journal!$B$7:$D$84,3)))</f>
        <v/>
      </c>
      <c r="C1728" s="86" t="str">
        <f>IF(B1728="","",VLOOKUP(A1728,Journal!$B$7:$E$84,4))</f>
        <v/>
      </c>
      <c r="D1728" s="114" t="str">
        <f>IF(B1728="","",VLOOKUP(A1728,Journal!$B$7:$J$84,9))</f>
        <v/>
      </c>
      <c r="E1728" s="116"/>
      <c r="F1728" s="116"/>
      <c r="G1728" s="115"/>
      <c r="H1728" s="84" t="str">
        <f>IF(B1728="","",VLOOKUP(A1728,Journal!$B$7:$L$84,11))</f>
        <v/>
      </c>
      <c r="I1728" s="84" t="str">
        <f>IF(B1728="","",VLOOKUP(A1728,Journal!$B$7:$M$84,12))</f>
        <v/>
      </c>
      <c r="J1728" s="105">
        <f>IF(B1728="Total",SUM(J$8:J1727)+0.0001,IF(OR(B1728="",I$2=I1728),0,VLOOKUP(A1728,Journal!$B$7:M$84,8)))</f>
        <v>0</v>
      </c>
      <c r="K1728" s="102">
        <f>IF(B1728="Total",SUM(K$8:K1727)+0.0001,IF(OR(B1728="",J1728&lt;&gt;0),0,VLOOKUP(A1728,Journal!$B$7:M$84,8)))</f>
        <v>0</v>
      </c>
      <c r="L1728" s="87">
        <f t="shared" si="206"/>
        <v>0</v>
      </c>
      <c r="P1728">
        <f t="shared" si="207"/>
        <v>1.0000000000000001E-5</v>
      </c>
      <c r="R1728" s="15">
        <f t="shared" si="208"/>
        <v>1721</v>
      </c>
      <c r="S1728" s="126">
        <f>IF(VLOOKUP(A1728,Journal!$A$7:$E$70,5)=0,S1727+1,VLOOKUP(A1728,Journal!$A$7:$E$70,5))</f>
        <v>47378</v>
      </c>
      <c r="T1728" s="125">
        <f>IF(H$2=VLOOKUP(A1728,Journal!$A$7:$F$70,6),VLOOKUP(A1728,Journal!$A$7:M$70,9),0)</f>
        <v>0</v>
      </c>
      <c r="U1728" s="125">
        <f>IF(H$2=VLOOKUP(A1728,Journal!$A$7:$G$70,7),VLOOKUP(A1728,Journal!$A$7:M$70,9),0)</f>
        <v>0</v>
      </c>
      <c r="V1728" s="125">
        <f t="shared" si="194"/>
        <v>40</v>
      </c>
      <c r="X1728">
        <f t="shared" si="209"/>
        <v>0</v>
      </c>
      <c r="Y1728" s="143">
        <f t="shared" si="193"/>
        <v>-954.78947368428248</v>
      </c>
    </row>
    <row r="1729" spans="1:25" x14ac:dyDescent="0.25">
      <c r="A1729">
        <f t="shared" si="205"/>
        <v>1722</v>
      </c>
      <c r="B1729" s="88" t="str">
        <f>IF(OR(B1728="Total",B1728=""),"",IF(VLOOKUP(A1729,Journal!$B$7:$E$84,4)=0,"Total",VLOOKUP(A1729,Journal!$B$7:$D$84,3)))</f>
        <v/>
      </c>
      <c r="C1729" s="86" t="str">
        <f>IF(B1729="","",VLOOKUP(A1729,Journal!$B$7:$E$84,4))</f>
        <v/>
      </c>
      <c r="D1729" s="114" t="str">
        <f>IF(B1729="","",VLOOKUP(A1729,Journal!$B$7:$J$84,9))</f>
        <v/>
      </c>
      <c r="E1729" s="116"/>
      <c r="F1729" s="116"/>
      <c r="G1729" s="115"/>
      <c r="H1729" s="84" t="str">
        <f>IF(B1729="","",VLOOKUP(A1729,Journal!$B$7:$L$84,11))</f>
        <v/>
      </c>
      <c r="I1729" s="84" t="str">
        <f>IF(B1729="","",VLOOKUP(A1729,Journal!$B$7:$M$84,12))</f>
        <v/>
      </c>
      <c r="J1729" s="105">
        <f>IF(B1729="Total",SUM(J$8:J1728)+0.0001,IF(OR(B1729="",I$2=I1729),0,VLOOKUP(A1729,Journal!$B$7:M$84,8)))</f>
        <v>0</v>
      </c>
      <c r="K1729" s="102">
        <f>IF(B1729="Total",SUM(K$8:K1728)+0.0001,IF(OR(B1729="",J1729&lt;&gt;0),0,VLOOKUP(A1729,Journal!$B$7:M$84,8)))</f>
        <v>0</v>
      </c>
      <c r="L1729" s="87">
        <f t="shared" si="206"/>
        <v>0</v>
      </c>
      <c r="P1729">
        <f t="shared" si="207"/>
        <v>1.0000000000000001E-5</v>
      </c>
      <c r="R1729" s="15">
        <f t="shared" si="208"/>
        <v>1722</v>
      </c>
      <c r="S1729" s="126">
        <f>IF(VLOOKUP(A1729,Journal!$A$7:$E$70,5)=0,S1728+1,VLOOKUP(A1729,Journal!$A$7:$E$70,5))</f>
        <v>47379</v>
      </c>
      <c r="T1729" s="125">
        <f>IF(H$2=VLOOKUP(A1729,Journal!$A$7:$F$70,6),VLOOKUP(A1729,Journal!$A$7:M$70,9),0)</f>
        <v>0</v>
      </c>
      <c r="U1729" s="125">
        <f>IF(H$2=VLOOKUP(A1729,Journal!$A$7:$G$70,7),VLOOKUP(A1729,Journal!$A$7:M$70,9),0)</f>
        <v>0</v>
      </c>
      <c r="V1729" s="125">
        <f t="shared" si="194"/>
        <v>40</v>
      </c>
      <c r="X1729">
        <f t="shared" si="209"/>
        <v>0</v>
      </c>
      <c r="Y1729" s="143">
        <f t="shared" si="193"/>
        <v>-954.76315789480884</v>
      </c>
    </row>
    <row r="1730" spans="1:25" x14ac:dyDescent="0.25">
      <c r="A1730">
        <f t="shared" si="205"/>
        <v>1723</v>
      </c>
      <c r="B1730" s="88" t="str">
        <f>IF(OR(B1729="Total",B1729=""),"",IF(VLOOKUP(A1730,Journal!$B$7:$E$84,4)=0,"Total",VLOOKUP(A1730,Journal!$B$7:$D$84,3)))</f>
        <v/>
      </c>
      <c r="C1730" s="86" t="str">
        <f>IF(B1730="","",VLOOKUP(A1730,Journal!$B$7:$E$84,4))</f>
        <v/>
      </c>
      <c r="D1730" s="114" t="str">
        <f>IF(B1730="","",VLOOKUP(A1730,Journal!$B$7:$J$84,9))</f>
        <v/>
      </c>
      <c r="E1730" s="116"/>
      <c r="F1730" s="116"/>
      <c r="G1730" s="115"/>
      <c r="H1730" s="84" t="str">
        <f>IF(B1730="","",VLOOKUP(A1730,Journal!$B$7:$L$84,11))</f>
        <v/>
      </c>
      <c r="I1730" s="84" t="str">
        <f>IF(B1730="","",VLOOKUP(A1730,Journal!$B$7:$M$84,12))</f>
        <v/>
      </c>
      <c r="J1730" s="105">
        <f>IF(B1730="Total",SUM(J$8:J1729)+0.0001,IF(OR(B1730="",I$2=I1730),0,VLOOKUP(A1730,Journal!$B$7:M$84,8)))</f>
        <v>0</v>
      </c>
      <c r="K1730" s="102">
        <f>IF(B1730="Total",SUM(K$8:K1729)+0.0001,IF(OR(B1730="",J1730&lt;&gt;0),0,VLOOKUP(A1730,Journal!$B$7:M$84,8)))</f>
        <v>0</v>
      </c>
      <c r="L1730" s="87">
        <f t="shared" si="206"/>
        <v>0</v>
      </c>
      <c r="P1730">
        <f t="shared" si="207"/>
        <v>1.0000000000000001E-5</v>
      </c>
      <c r="R1730" s="15">
        <f t="shared" si="208"/>
        <v>1723</v>
      </c>
      <c r="S1730" s="126">
        <f>IF(VLOOKUP(A1730,Journal!$A$7:$E$70,5)=0,S1729+1,VLOOKUP(A1730,Journal!$A$7:$E$70,5))</f>
        <v>47380</v>
      </c>
      <c r="T1730" s="125">
        <f>IF(H$2=VLOOKUP(A1730,Journal!$A$7:$F$70,6),VLOOKUP(A1730,Journal!$A$7:M$70,9),0)</f>
        <v>0</v>
      </c>
      <c r="U1730" s="125">
        <f>IF(H$2=VLOOKUP(A1730,Journal!$A$7:$G$70,7),VLOOKUP(A1730,Journal!$A$7:M$70,9),0)</f>
        <v>0</v>
      </c>
      <c r="V1730" s="125">
        <f t="shared" si="194"/>
        <v>40</v>
      </c>
      <c r="X1730">
        <f t="shared" si="209"/>
        <v>0</v>
      </c>
      <c r="Y1730" s="143">
        <f t="shared" si="193"/>
        <v>-954.7368421053352</v>
      </c>
    </row>
    <row r="1731" spans="1:25" x14ac:dyDescent="0.25">
      <c r="A1731">
        <f t="shared" si="205"/>
        <v>1724</v>
      </c>
      <c r="B1731" s="88" t="str">
        <f>IF(OR(B1730="Total",B1730=""),"",IF(VLOOKUP(A1731,Journal!$B$7:$E$84,4)=0,"Total",VLOOKUP(A1731,Journal!$B$7:$D$84,3)))</f>
        <v/>
      </c>
      <c r="C1731" s="86" t="str">
        <f>IF(B1731="","",VLOOKUP(A1731,Journal!$B$7:$E$84,4))</f>
        <v/>
      </c>
      <c r="D1731" s="114" t="str">
        <f>IF(B1731="","",VLOOKUP(A1731,Journal!$B$7:$J$84,9))</f>
        <v/>
      </c>
      <c r="E1731" s="116"/>
      <c r="F1731" s="116"/>
      <c r="G1731" s="115"/>
      <c r="H1731" s="84" t="str">
        <f>IF(B1731="","",VLOOKUP(A1731,Journal!$B$7:$L$84,11))</f>
        <v/>
      </c>
      <c r="I1731" s="84" t="str">
        <f>IF(B1731="","",VLOOKUP(A1731,Journal!$B$7:$M$84,12))</f>
        <v/>
      </c>
      <c r="J1731" s="105">
        <f>IF(B1731="Total",SUM(J$8:J1730)+0.0001,IF(OR(B1731="",I$2=I1731),0,VLOOKUP(A1731,Journal!$B$7:M$84,8)))</f>
        <v>0</v>
      </c>
      <c r="K1731" s="102">
        <f>IF(B1731="Total",SUM(K$8:K1730)+0.0001,IF(OR(B1731="",J1731&lt;&gt;0),0,VLOOKUP(A1731,Journal!$B$7:M$84,8)))</f>
        <v>0</v>
      </c>
      <c r="L1731" s="87">
        <f t="shared" si="206"/>
        <v>0</v>
      </c>
      <c r="P1731">
        <f t="shared" si="207"/>
        <v>1.0000000000000001E-5</v>
      </c>
      <c r="R1731" s="15">
        <f t="shared" si="208"/>
        <v>1724</v>
      </c>
      <c r="S1731" s="126">
        <f>IF(VLOOKUP(A1731,Journal!$A$7:$E$70,5)=0,S1730+1,VLOOKUP(A1731,Journal!$A$7:$E$70,5))</f>
        <v>47381</v>
      </c>
      <c r="T1731" s="125">
        <f>IF(H$2=VLOOKUP(A1731,Journal!$A$7:$F$70,6),VLOOKUP(A1731,Journal!$A$7:M$70,9),0)</f>
        <v>0</v>
      </c>
      <c r="U1731" s="125">
        <f>IF(H$2=VLOOKUP(A1731,Journal!$A$7:$G$70,7),VLOOKUP(A1731,Journal!$A$7:M$70,9),0)</f>
        <v>0</v>
      </c>
      <c r="V1731" s="125">
        <f t="shared" si="194"/>
        <v>40</v>
      </c>
      <c r="X1731">
        <f t="shared" si="209"/>
        <v>0</v>
      </c>
      <c r="Y1731" s="143">
        <f t="shared" si="193"/>
        <v>-954.71052631586156</v>
      </c>
    </row>
    <row r="1732" spans="1:25" x14ac:dyDescent="0.25">
      <c r="A1732">
        <f t="shared" si="205"/>
        <v>1725</v>
      </c>
      <c r="B1732" s="88" t="str">
        <f>IF(OR(B1731="Total",B1731=""),"",IF(VLOOKUP(A1732,Journal!$B$7:$E$84,4)=0,"Total",VLOOKUP(A1732,Journal!$B$7:$D$84,3)))</f>
        <v/>
      </c>
      <c r="C1732" s="86" t="str">
        <f>IF(B1732="","",VLOOKUP(A1732,Journal!$B$7:$E$84,4))</f>
        <v/>
      </c>
      <c r="D1732" s="114" t="str">
        <f>IF(B1732="","",VLOOKUP(A1732,Journal!$B$7:$J$84,9))</f>
        <v/>
      </c>
      <c r="E1732" s="116"/>
      <c r="F1732" s="116"/>
      <c r="G1732" s="115"/>
      <c r="H1732" s="84" t="str">
        <f>IF(B1732="","",VLOOKUP(A1732,Journal!$B$7:$L$84,11))</f>
        <v/>
      </c>
      <c r="I1732" s="84" t="str">
        <f>IF(B1732="","",VLOOKUP(A1732,Journal!$B$7:$M$84,12))</f>
        <v/>
      </c>
      <c r="J1732" s="105">
        <f>IF(B1732="Total",SUM(J$8:J1731)+0.0001,IF(OR(B1732="",I$2=I1732),0,VLOOKUP(A1732,Journal!$B$7:M$84,8)))</f>
        <v>0</v>
      </c>
      <c r="K1732" s="102">
        <f>IF(B1732="Total",SUM(K$8:K1731)+0.0001,IF(OR(B1732="",J1732&lt;&gt;0),0,VLOOKUP(A1732,Journal!$B$7:M$84,8)))</f>
        <v>0</v>
      </c>
      <c r="L1732" s="87">
        <f t="shared" si="206"/>
        <v>0</v>
      </c>
      <c r="P1732">
        <f t="shared" si="207"/>
        <v>1.0000000000000001E-5</v>
      </c>
      <c r="R1732" s="15">
        <f t="shared" si="208"/>
        <v>1725</v>
      </c>
      <c r="S1732" s="126">
        <f>IF(VLOOKUP(A1732,Journal!$A$7:$E$70,5)=0,S1731+1,VLOOKUP(A1732,Journal!$A$7:$E$70,5))</f>
        <v>47382</v>
      </c>
      <c r="T1732" s="125">
        <f>IF(H$2=VLOOKUP(A1732,Journal!$A$7:$F$70,6),VLOOKUP(A1732,Journal!$A$7:M$70,9),0)</f>
        <v>0</v>
      </c>
      <c r="U1732" s="125">
        <f>IF(H$2=VLOOKUP(A1732,Journal!$A$7:$G$70,7),VLOOKUP(A1732,Journal!$A$7:M$70,9),0)</f>
        <v>0</v>
      </c>
      <c r="V1732" s="125">
        <f t="shared" si="194"/>
        <v>40</v>
      </c>
      <c r="X1732">
        <f t="shared" si="209"/>
        <v>0</v>
      </c>
      <c r="Y1732" s="143">
        <f t="shared" si="193"/>
        <v>-954.68421052638791</v>
      </c>
    </row>
    <row r="1733" spans="1:25" x14ac:dyDescent="0.25">
      <c r="A1733">
        <f t="shared" si="205"/>
        <v>1726</v>
      </c>
      <c r="B1733" s="88" t="str">
        <f>IF(OR(B1732="Total",B1732=""),"",IF(VLOOKUP(A1733,Journal!$B$7:$E$84,4)=0,"Total",VLOOKUP(A1733,Journal!$B$7:$D$84,3)))</f>
        <v/>
      </c>
      <c r="C1733" s="86" t="str">
        <f>IF(B1733="","",VLOOKUP(A1733,Journal!$B$7:$E$84,4))</f>
        <v/>
      </c>
      <c r="D1733" s="114" t="str">
        <f>IF(B1733="","",VLOOKUP(A1733,Journal!$B$7:$J$84,9))</f>
        <v/>
      </c>
      <c r="E1733" s="116"/>
      <c r="F1733" s="116"/>
      <c r="G1733" s="115"/>
      <c r="H1733" s="84" t="str">
        <f>IF(B1733="","",VLOOKUP(A1733,Journal!$B$7:$L$84,11))</f>
        <v/>
      </c>
      <c r="I1733" s="84" t="str">
        <f>IF(B1733="","",VLOOKUP(A1733,Journal!$B$7:$M$84,12))</f>
        <v/>
      </c>
      <c r="J1733" s="105">
        <f>IF(B1733="Total",SUM(J$8:J1732)+0.0001,IF(OR(B1733="",I$2=I1733),0,VLOOKUP(A1733,Journal!$B$7:M$84,8)))</f>
        <v>0</v>
      </c>
      <c r="K1733" s="102">
        <f>IF(B1733="Total",SUM(K$8:K1732)+0.0001,IF(OR(B1733="",J1733&lt;&gt;0),0,VLOOKUP(A1733,Journal!$B$7:M$84,8)))</f>
        <v>0</v>
      </c>
      <c r="L1733" s="87">
        <f t="shared" si="206"/>
        <v>0</v>
      </c>
      <c r="P1733">
        <f t="shared" si="207"/>
        <v>1.0000000000000001E-5</v>
      </c>
      <c r="R1733" s="15">
        <f t="shared" si="208"/>
        <v>1726</v>
      </c>
      <c r="S1733" s="126">
        <f>IF(VLOOKUP(A1733,Journal!$A$7:$E$70,5)=0,S1732+1,VLOOKUP(A1733,Journal!$A$7:$E$70,5))</f>
        <v>47383</v>
      </c>
      <c r="T1733" s="125">
        <f>IF(H$2=VLOOKUP(A1733,Journal!$A$7:$F$70,6),VLOOKUP(A1733,Journal!$A$7:M$70,9),0)</f>
        <v>0</v>
      </c>
      <c r="U1733" s="125">
        <f>IF(H$2=VLOOKUP(A1733,Journal!$A$7:$G$70,7),VLOOKUP(A1733,Journal!$A$7:M$70,9),0)</f>
        <v>0</v>
      </c>
      <c r="V1733" s="125">
        <f t="shared" si="194"/>
        <v>40</v>
      </c>
      <c r="X1733">
        <f t="shared" si="209"/>
        <v>0</v>
      </c>
      <c r="Y1733" s="143">
        <f t="shared" si="193"/>
        <v>-954.65789473691427</v>
      </c>
    </row>
    <row r="1734" spans="1:25" x14ac:dyDescent="0.25">
      <c r="A1734">
        <f t="shared" si="205"/>
        <v>1727</v>
      </c>
      <c r="B1734" s="88" t="str">
        <f>IF(OR(B1733="Total",B1733=""),"",IF(VLOOKUP(A1734,Journal!$B$7:$E$84,4)=0,"Total",VLOOKUP(A1734,Journal!$B$7:$D$84,3)))</f>
        <v/>
      </c>
      <c r="C1734" s="86" t="str">
        <f>IF(B1734="","",VLOOKUP(A1734,Journal!$B$7:$E$84,4))</f>
        <v/>
      </c>
      <c r="D1734" s="114" t="str">
        <f>IF(B1734="","",VLOOKUP(A1734,Journal!$B$7:$J$84,9))</f>
        <v/>
      </c>
      <c r="E1734" s="116"/>
      <c r="F1734" s="116"/>
      <c r="G1734" s="115"/>
      <c r="H1734" s="84" t="str">
        <f>IF(B1734="","",VLOOKUP(A1734,Journal!$B$7:$L$84,11))</f>
        <v/>
      </c>
      <c r="I1734" s="84" t="str">
        <f>IF(B1734="","",VLOOKUP(A1734,Journal!$B$7:$M$84,12))</f>
        <v/>
      </c>
      <c r="J1734" s="105">
        <f>IF(B1734="Total",SUM(J$8:J1733)+0.0001,IF(OR(B1734="",I$2=I1734),0,VLOOKUP(A1734,Journal!$B$7:M$84,8)))</f>
        <v>0</v>
      </c>
      <c r="K1734" s="102">
        <f>IF(B1734="Total",SUM(K$8:K1733)+0.0001,IF(OR(B1734="",J1734&lt;&gt;0),0,VLOOKUP(A1734,Journal!$B$7:M$84,8)))</f>
        <v>0</v>
      </c>
      <c r="L1734" s="87">
        <f t="shared" si="206"/>
        <v>0</v>
      </c>
      <c r="P1734">
        <f t="shared" si="207"/>
        <v>1.0000000000000001E-5</v>
      </c>
      <c r="R1734" s="15">
        <f t="shared" si="208"/>
        <v>1727</v>
      </c>
      <c r="S1734" s="126">
        <f>IF(VLOOKUP(A1734,Journal!$A$7:$E$70,5)=0,S1733+1,VLOOKUP(A1734,Journal!$A$7:$E$70,5))</f>
        <v>47384</v>
      </c>
      <c r="T1734" s="125">
        <f>IF(H$2=VLOOKUP(A1734,Journal!$A$7:$F$70,6),VLOOKUP(A1734,Journal!$A$7:M$70,9),0)</f>
        <v>0</v>
      </c>
      <c r="U1734" s="125">
        <f>IF(H$2=VLOOKUP(A1734,Journal!$A$7:$G$70,7),VLOOKUP(A1734,Journal!$A$7:M$70,9),0)</f>
        <v>0</v>
      </c>
      <c r="V1734" s="125">
        <f t="shared" si="194"/>
        <v>40</v>
      </c>
      <c r="X1734">
        <f t="shared" si="209"/>
        <v>0</v>
      </c>
      <c r="Y1734" s="143">
        <f t="shared" si="193"/>
        <v>-954.63157894744063</v>
      </c>
    </row>
    <row r="1735" spans="1:25" x14ac:dyDescent="0.25">
      <c r="A1735">
        <f t="shared" si="205"/>
        <v>1728</v>
      </c>
      <c r="B1735" s="88" t="str">
        <f>IF(OR(B1734="Total",B1734=""),"",IF(VLOOKUP(A1735,Journal!$B$7:$E$84,4)=0,"Total",VLOOKUP(A1735,Journal!$B$7:$D$84,3)))</f>
        <v/>
      </c>
      <c r="C1735" s="86" t="str">
        <f>IF(B1735="","",VLOOKUP(A1735,Journal!$B$7:$E$84,4))</f>
        <v/>
      </c>
      <c r="D1735" s="114" t="str">
        <f>IF(B1735="","",VLOOKUP(A1735,Journal!$B$7:$J$84,9))</f>
        <v/>
      </c>
      <c r="E1735" s="116"/>
      <c r="F1735" s="116"/>
      <c r="G1735" s="115"/>
      <c r="H1735" s="84" t="str">
        <f>IF(B1735="","",VLOOKUP(A1735,Journal!$B$7:$L$84,11))</f>
        <v/>
      </c>
      <c r="I1735" s="84" t="str">
        <f>IF(B1735="","",VLOOKUP(A1735,Journal!$B$7:$M$84,12))</f>
        <v/>
      </c>
      <c r="J1735" s="105">
        <f>IF(B1735="Total",SUM(J$8:J1734)+0.0001,IF(OR(B1735="",I$2=I1735),0,VLOOKUP(A1735,Journal!$B$7:M$84,8)))</f>
        <v>0</v>
      </c>
      <c r="K1735" s="102">
        <f>IF(B1735="Total",SUM(K$8:K1734)+0.0001,IF(OR(B1735="",J1735&lt;&gt;0),0,VLOOKUP(A1735,Journal!$B$7:M$84,8)))</f>
        <v>0</v>
      </c>
      <c r="L1735" s="87">
        <f t="shared" si="206"/>
        <v>0</v>
      </c>
      <c r="P1735">
        <f t="shared" si="207"/>
        <v>1.0000000000000001E-5</v>
      </c>
      <c r="R1735" s="15">
        <f t="shared" si="208"/>
        <v>1728</v>
      </c>
      <c r="S1735" s="126">
        <f>IF(VLOOKUP(A1735,Journal!$A$7:$E$70,5)=0,S1734+1,VLOOKUP(A1735,Journal!$A$7:$E$70,5))</f>
        <v>47385</v>
      </c>
      <c r="T1735" s="125">
        <f>IF(H$2=VLOOKUP(A1735,Journal!$A$7:$F$70,6),VLOOKUP(A1735,Journal!$A$7:M$70,9),0)</f>
        <v>0</v>
      </c>
      <c r="U1735" s="125">
        <f>IF(H$2=VLOOKUP(A1735,Journal!$A$7:$G$70,7),VLOOKUP(A1735,Journal!$A$7:M$70,9),0)</f>
        <v>0</v>
      </c>
      <c r="V1735" s="125">
        <f t="shared" si="194"/>
        <v>40</v>
      </c>
      <c r="X1735">
        <f t="shared" si="209"/>
        <v>0</v>
      </c>
      <c r="Y1735" s="143">
        <f t="shared" si="193"/>
        <v>-954.60526315796699</v>
      </c>
    </row>
    <row r="1736" spans="1:25" x14ac:dyDescent="0.25">
      <c r="A1736">
        <f t="shared" si="205"/>
        <v>1729</v>
      </c>
      <c r="B1736" s="88" t="str">
        <f>IF(OR(B1735="Total",B1735=""),"",IF(VLOOKUP(A1736,Journal!$B$7:$E$84,4)=0,"Total",VLOOKUP(A1736,Journal!$B$7:$D$84,3)))</f>
        <v/>
      </c>
      <c r="C1736" s="86" t="str">
        <f>IF(B1736="","",VLOOKUP(A1736,Journal!$B$7:$E$84,4))</f>
        <v/>
      </c>
      <c r="D1736" s="114" t="str">
        <f>IF(B1736="","",VLOOKUP(A1736,Journal!$B$7:$J$84,9))</f>
        <v/>
      </c>
      <c r="E1736" s="116"/>
      <c r="F1736" s="116"/>
      <c r="G1736" s="115"/>
      <c r="H1736" s="84" t="str">
        <f>IF(B1736="","",VLOOKUP(A1736,Journal!$B$7:$L$84,11))</f>
        <v/>
      </c>
      <c r="I1736" s="84" t="str">
        <f>IF(B1736="","",VLOOKUP(A1736,Journal!$B$7:$M$84,12))</f>
        <v/>
      </c>
      <c r="J1736" s="105">
        <f>IF(B1736="Total",SUM(J$8:J1735)+0.0001,IF(OR(B1736="",I$2=I1736),0,VLOOKUP(A1736,Journal!$B$7:M$84,8)))</f>
        <v>0</v>
      </c>
      <c r="K1736" s="102">
        <f>IF(B1736="Total",SUM(K$8:K1735)+0.0001,IF(OR(B1736="",J1736&lt;&gt;0),0,VLOOKUP(A1736,Journal!$B$7:M$84,8)))</f>
        <v>0</v>
      </c>
      <c r="L1736" s="87">
        <f t="shared" si="206"/>
        <v>0</v>
      </c>
      <c r="P1736">
        <f t="shared" si="207"/>
        <v>1.0000000000000001E-5</v>
      </c>
      <c r="R1736" s="15">
        <f t="shared" si="208"/>
        <v>1729</v>
      </c>
      <c r="S1736" s="126">
        <f>IF(VLOOKUP(A1736,Journal!$A$7:$E$70,5)=0,S1735+1,VLOOKUP(A1736,Journal!$A$7:$E$70,5))</f>
        <v>47386</v>
      </c>
      <c r="T1736" s="125">
        <f>IF(H$2=VLOOKUP(A1736,Journal!$A$7:$F$70,6),VLOOKUP(A1736,Journal!$A$7:M$70,9),0)</f>
        <v>0</v>
      </c>
      <c r="U1736" s="125">
        <f>IF(H$2=VLOOKUP(A1736,Journal!$A$7:$G$70,7),VLOOKUP(A1736,Journal!$A$7:M$70,9),0)</f>
        <v>0</v>
      </c>
      <c r="V1736" s="125">
        <f t="shared" si="194"/>
        <v>40</v>
      </c>
      <c r="X1736">
        <f t="shared" si="209"/>
        <v>0</v>
      </c>
      <c r="Y1736" s="143">
        <f t="shared" ref="Y1736:Y1799" si="210">IF(B1735="Total",-1000,Y1735+Y$4)</f>
        <v>-954.57894736849335</v>
      </c>
    </row>
    <row r="1737" spans="1:25" x14ac:dyDescent="0.25">
      <c r="A1737">
        <f t="shared" si="205"/>
        <v>1730</v>
      </c>
      <c r="B1737" s="88" t="str">
        <f>IF(OR(B1736="Total",B1736=""),"",IF(VLOOKUP(A1737,Journal!$B$7:$E$84,4)=0,"Total",VLOOKUP(A1737,Journal!$B$7:$D$84,3)))</f>
        <v/>
      </c>
      <c r="C1737" s="86" t="str">
        <f>IF(B1737="","",VLOOKUP(A1737,Journal!$B$7:$E$84,4))</f>
        <v/>
      </c>
      <c r="D1737" s="114" t="str">
        <f>IF(B1737="","",VLOOKUP(A1737,Journal!$B$7:$J$84,9))</f>
        <v/>
      </c>
      <c r="E1737" s="116"/>
      <c r="F1737" s="116"/>
      <c r="G1737" s="115"/>
      <c r="H1737" s="84" t="str">
        <f>IF(B1737="","",VLOOKUP(A1737,Journal!$B$7:$L$84,11))</f>
        <v/>
      </c>
      <c r="I1737" s="84" t="str">
        <f>IF(B1737="","",VLOOKUP(A1737,Journal!$B$7:$M$84,12))</f>
        <v/>
      </c>
      <c r="J1737" s="105">
        <f>IF(B1737="Total",SUM(J$8:J1736)+0.0001,IF(OR(B1737="",I$2=I1737),0,VLOOKUP(A1737,Journal!$B$7:M$84,8)))</f>
        <v>0</v>
      </c>
      <c r="K1737" s="102">
        <f>IF(B1737="Total",SUM(K$8:K1736)+0.0001,IF(OR(B1737="",J1737&lt;&gt;0),0,VLOOKUP(A1737,Journal!$B$7:M$84,8)))</f>
        <v>0</v>
      </c>
      <c r="L1737" s="87">
        <f t="shared" si="206"/>
        <v>0</v>
      </c>
      <c r="P1737">
        <f t="shared" si="207"/>
        <v>1.0000000000000001E-5</v>
      </c>
      <c r="R1737" s="15">
        <f t="shared" si="208"/>
        <v>1730</v>
      </c>
      <c r="S1737" s="126">
        <f>IF(VLOOKUP(A1737,Journal!$A$7:$E$70,5)=0,S1736+1,VLOOKUP(A1737,Journal!$A$7:$E$70,5))</f>
        <v>47387</v>
      </c>
      <c r="T1737" s="125">
        <f>IF(H$2=VLOOKUP(A1737,Journal!$A$7:$F$70,6),VLOOKUP(A1737,Journal!$A$7:M$70,9),0)</f>
        <v>0</v>
      </c>
      <c r="U1737" s="125">
        <f>IF(H$2=VLOOKUP(A1737,Journal!$A$7:$G$70,7),VLOOKUP(A1737,Journal!$A$7:M$70,9),0)</f>
        <v>0</v>
      </c>
      <c r="V1737" s="125">
        <f t="shared" si="194"/>
        <v>40</v>
      </c>
      <c r="X1737">
        <f t="shared" si="209"/>
        <v>0</v>
      </c>
      <c r="Y1737" s="143">
        <f t="shared" si="210"/>
        <v>-954.5526315790197</v>
      </c>
    </row>
    <row r="1738" spans="1:25" x14ac:dyDescent="0.25">
      <c r="A1738">
        <f t="shared" si="205"/>
        <v>1731</v>
      </c>
      <c r="B1738" s="88" t="str">
        <f>IF(OR(B1737="Total",B1737=""),"",IF(VLOOKUP(A1738,Journal!$B$7:$E$84,4)=0,"Total",VLOOKUP(A1738,Journal!$B$7:$D$84,3)))</f>
        <v/>
      </c>
      <c r="C1738" s="86" t="str">
        <f>IF(B1738="","",VLOOKUP(A1738,Journal!$B$7:$E$84,4))</f>
        <v/>
      </c>
      <c r="D1738" s="114" t="str">
        <f>IF(B1738="","",VLOOKUP(A1738,Journal!$B$7:$J$84,9))</f>
        <v/>
      </c>
      <c r="E1738" s="116"/>
      <c r="F1738" s="116"/>
      <c r="G1738" s="115"/>
      <c r="H1738" s="84" t="str">
        <f>IF(B1738="","",VLOOKUP(A1738,Journal!$B$7:$L$84,11))</f>
        <v/>
      </c>
      <c r="I1738" s="84" t="str">
        <f>IF(B1738="","",VLOOKUP(A1738,Journal!$B$7:$M$84,12))</f>
        <v/>
      </c>
      <c r="J1738" s="105">
        <f>IF(B1738="Total",SUM(J$8:J1737)+0.0001,IF(OR(B1738="",I$2=I1738),0,VLOOKUP(A1738,Journal!$B$7:M$84,8)))</f>
        <v>0</v>
      </c>
      <c r="K1738" s="102">
        <f>IF(B1738="Total",SUM(K$8:K1737)+0.0001,IF(OR(B1738="",J1738&lt;&gt;0),0,VLOOKUP(A1738,Journal!$B$7:M$84,8)))</f>
        <v>0</v>
      </c>
      <c r="L1738" s="87">
        <f t="shared" si="206"/>
        <v>0</v>
      </c>
      <c r="P1738">
        <f t="shared" si="207"/>
        <v>1.0000000000000001E-5</v>
      </c>
      <c r="R1738" s="15">
        <f t="shared" si="208"/>
        <v>1731</v>
      </c>
      <c r="S1738" s="126">
        <f>IF(VLOOKUP(A1738,Journal!$A$7:$E$70,5)=0,S1737+1,VLOOKUP(A1738,Journal!$A$7:$E$70,5))</f>
        <v>47388</v>
      </c>
      <c r="T1738" s="125">
        <f>IF(H$2=VLOOKUP(A1738,Journal!$A$7:$F$70,6),VLOOKUP(A1738,Journal!$A$7:M$70,9),0)</f>
        <v>0</v>
      </c>
      <c r="U1738" s="125">
        <f>IF(H$2=VLOOKUP(A1738,Journal!$A$7:$G$70,7),VLOOKUP(A1738,Journal!$A$7:M$70,9),0)</f>
        <v>0</v>
      </c>
      <c r="V1738" s="125">
        <f t="shared" ref="V1738:V1801" si="211">IF($M$1=1,V1737+T1738-U1738,V1737-T1738+U1738)</f>
        <v>40</v>
      </c>
      <c r="X1738">
        <f t="shared" si="209"/>
        <v>0</v>
      </c>
      <c r="Y1738" s="143">
        <f t="shared" si="210"/>
        <v>-954.52631578954606</v>
      </c>
    </row>
    <row r="1739" spans="1:25" x14ac:dyDescent="0.25">
      <c r="A1739">
        <f t="shared" si="205"/>
        <v>1732</v>
      </c>
      <c r="B1739" s="88" t="str">
        <f>IF(OR(B1738="Total",B1738=""),"",IF(VLOOKUP(A1739,Journal!$B$7:$E$84,4)=0,"Total",VLOOKUP(A1739,Journal!$B$7:$D$84,3)))</f>
        <v/>
      </c>
      <c r="C1739" s="86" t="str">
        <f>IF(B1739="","",VLOOKUP(A1739,Journal!$B$7:$E$84,4))</f>
        <v/>
      </c>
      <c r="D1739" s="114" t="str">
        <f>IF(B1739="","",VLOOKUP(A1739,Journal!$B$7:$J$84,9))</f>
        <v/>
      </c>
      <c r="E1739" s="116"/>
      <c r="F1739" s="116"/>
      <c r="G1739" s="115"/>
      <c r="H1739" s="84" t="str">
        <f>IF(B1739="","",VLOOKUP(A1739,Journal!$B$7:$L$84,11))</f>
        <v/>
      </c>
      <c r="I1739" s="84" t="str">
        <f>IF(B1739="","",VLOOKUP(A1739,Journal!$B$7:$M$84,12))</f>
        <v/>
      </c>
      <c r="J1739" s="105">
        <f>IF(B1739="Total",SUM(J$8:J1738)+0.0001,IF(OR(B1739="",I$2=I1739),0,VLOOKUP(A1739,Journal!$B$7:M$84,8)))</f>
        <v>0</v>
      </c>
      <c r="K1739" s="102">
        <f>IF(B1739="Total",SUM(K$8:K1738)+0.0001,IF(OR(B1739="",J1739&lt;&gt;0),0,VLOOKUP(A1739,Journal!$B$7:M$84,8)))</f>
        <v>0</v>
      </c>
      <c r="L1739" s="87">
        <f t="shared" si="206"/>
        <v>0</v>
      </c>
      <c r="P1739">
        <f t="shared" si="207"/>
        <v>1.0000000000000001E-5</v>
      </c>
      <c r="R1739" s="15">
        <f t="shared" si="208"/>
        <v>1732</v>
      </c>
      <c r="S1739" s="126">
        <f>IF(VLOOKUP(A1739,Journal!$A$7:$E$70,5)=0,S1738+1,VLOOKUP(A1739,Journal!$A$7:$E$70,5))</f>
        <v>47389</v>
      </c>
      <c r="T1739" s="125">
        <f>IF(H$2=VLOOKUP(A1739,Journal!$A$7:$F$70,6),VLOOKUP(A1739,Journal!$A$7:M$70,9),0)</f>
        <v>0</v>
      </c>
      <c r="U1739" s="125">
        <f>IF(H$2=VLOOKUP(A1739,Journal!$A$7:$G$70,7),VLOOKUP(A1739,Journal!$A$7:M$70,9),0)</f>
        <v>0</v>
      </c>
      <c r="V1739" s="125">
        <f t="shared" si="211"/>
        <v>40</v>
      </c>
      <c r="X1739">
        <f t="shared" si="209"/>
        <v>0</v>
      </c>
      <c r="Y1739" s="143">
        <f t="shared" si="210"/>
        <v>-954.50000000007242</v>
      </c>
    </row>
    <row r="1740" spans="1:25" x14ac:dyDescent="0.25">
      <c r="A1740">
        <f t="shared" si="205"/>
        <v>1733</v>
      </c>
      <c r="B1740" s="88" t="str">
        <f>IF(OR(B1739="Total",B1739=""),"",IF(VLOOKUP(A1740,Journal!$B$7:$E$84,4)=0,"Total",VLOOKUP(A1740,Journal!$B$7:$D$84,3)))</f>
        <v/>
      </c>
      <c r="C1740" s="86" t="str">
        <f>IF(B1740="","",VLOOKUP(A1740,Journal!$B$7:$E$84,4))</f>
        <v/>
      </c>
      <c r="D1740" s="114" t="str">
        <f>IF(B1740="","",VLOOKUP(A1740,Journal!$B$7:$J$84,9))</f>
        <v/>
      </c>
      <c r="E1740" s="116"/>
      <c r="F1740" s="116"/>
      <c r="G1740" s="115"/>
      <c r="H1740" s="84" t="str">
        <f>IF(B1740="","",VLOOKUP(A1740,Journal!$B$7:$L$84,11))</f>
        <v/>
      </c>
      <c r="I1740" s="84" t="str">
        <f>IF(B1740="","",VLOOKUP(A1740,Journal!$B$7:$M$84,12))</f>
        <v/>
      </c>
      <c r="J1740" s="105">
        <f>IF(B1740="Total",SUM(J$8:J1739)+0.0001,IF(OR(B1740="",I$2=I1740),0,VLOOKUP(A1740,Journal!$B$7:M$84,8)))</f>
        <v>0</v>
      </c>
      <c r="K1740" s="102">
        <f>IF(B1740="Total",SUM(K$8:K1739)+0.0001,IF(OR(B1740="",J1740&lt;&gt;0),0,VLOOKUP(A1740,Journal!$B$7:M$84,8)))</f>
        <v>0</v>
      </c>
      <c r="L1740" s="87">
        <f t="shared" si="206"/>
        <v>0</v>
      </c>
      <c r="P1740">
        <f t="shared" si="207"/>
        <v>1.0000000000000001E-5</v>
      </c>
      <c r="R1740" s="15">
        <f t="shared" si="208"/>
        <v>1733</v>
      </c>
      <c r="S1740" s="126">
        <f>IF(VLOOKUP(A1740,Journal!$A$7:$E$70,5)=0,S1739+1,VLOOKUP(A1740,Journal!$A$7:$E$70,5))</f>
        <v>47390</v>
      </c>
      <c r="T1740" s="125">
        <f>IF(H$2=VLOOKUP(A1740,Journal!$A$7:$F$70,6),VLOOKUP(A1740,Journal!$A$7:M$70,9),0)</f>
        <v>0</v>
      </c>
      <c r="U1740" s="125">
        <f>IF(H$2=VLOOKUP(A1740,Journal!$A$7:$G$70,7),VLOOKUP(A1740,Journal!$A$7:M$70,9),0)</f>
        <v>0</v>
      </c>
      <c r="V1740" s="125">
        <f t="shared" si="211"/>
        <v>40</v>
      </c>
      <c r="X1740">
        <f t="shared" si="209"/>
        <v>0</v>
      </c>
      <c r="Y1740" s="143">
        <f t="shared" si="210"/>
        <v>-954.47368421059878</v>
      </c>
    </row>
    <row r="1741" spans="1:25" x14ac:dyDescent="0.25">
      <c r="A1741">
        <f t="shared" si="205"/>
        <v>1734</v>
      </c>
      <c r="B1741" s="88" t="str">
        <f>IF(OR(B1740="Total",B1740=""),"",IF(VLOOKUP(A1741,Journal!$B$7:$E$84,4)=0,"Total",VLOOKUP(A1741,Journal!$B$7:$D$84,3)))</f>
        <v/>
      </c>
      <c r="C1741" s="86" t="str">
        <f>IF(B1741="","",VLOOKUP(A1741,Journal!$B$7:$E$84,4))</f>
        <v/>
      </c>
      <c r="D1741" s="114" t="str">
        <f>IF(B1741="","",VLOOKUP(A1741,Journal!$B$7:$J$84,9))</f>
        <v/>
      </c>
      <c r="E1741" s="116"/>
      <c r="F1741" s="116"/>
      <c r="G1741" s="115"/>
      <c r="H1741" s="84" t="str">
        <f>IF(B1741="","",VLOOKUP(A1741,Journal!$B$7:$L$84,11))</f>
        <v/>
      </c>
      <c r="I1741" s="84" t="str">
        <f>IF(B1741="","",VLOOKUP(A1741,Journal!$B$7:$M$84,12))</f>
        <v/>
      </c>
      <c r="J1741" s="105">
        <f>IF(B1741="Total",SUM(J$8:J1740)+0.0001,IF(OR(B1741="",I$2=I1741),0,VLOOKUP(A1741,Journal!$B$7:M$84,8)))</f>
        <v>0</v>
      </c>
      <c r="K1741" s="102">
        <f>IF(B1741="Total",SUM(K$8:K1740)+0.0001,IF(OR(B1741="",J1741&lt;&gt;0),0,VLOOKUP(A1741,Journal!$B$7:M$84,8)))</f>
        <v>0</v>
      </c>
      <c r="L1741" s="87">
        <f t="shared" si="206"/>
        <v>0</v>
      </c>
      <c r="P1741">
        <f t="shared" si="207"/>
        <v>1.0000000000000001E-5</v>
      </c>
      <c r="R1741" s="15">
        <f t="shared" si="208"/>
        <v>1734</v>
      </c>
      <c r="S1741" s="126">
        <f>IF(VLOOKUP(A1741,Journal!$A$7:$E$70,5)=0,S1740+1,VLOOKUP(A1741,Journal!$A$7:$E$70,5))</f>
        <v>47391</v>
      </c>
      <c r="T1741" s="125">
        <f>IF(H$2=VLOOKUP(A1741,Journal!$A$7:$F$70,6),VLOOKUP(A1741,Journal!$A$7:M$70,9),0)</f>
        <v>0</v>
      </c>
      <c r="U1741" s="125">
        <f>IF(H$2=VLOOKUP(A1741,Journal!$A$7:$G$70,7),VLOOKUP(A1741,Journal!$A$7:M$70,9),0)</f>
        <v>0</v>
      </c>
      <c r="V1741" s="125">
        <f t="shared" si="211"/>
        <v>40</v>
      </c>
      <c r="X1741">
        <f t="shared" si="209"/>
        <v>0</v>
      </c>
      <c r="Y1741" s="143">
        <f t="shared" si="210"/>
        <v>-954.44736842112513</v>
      </c>
    </row>
    <row r="1742" spans="1:25" x14ac:dyDescent="0.25">
      <c r="A1742">
        <f t="shared" si="205"/>
        <v>1735</v>
      </c>
      <c r="B1742" s="88" t="str">
        <f>IF(OR(B1741="Total",B1741=""),"",IF(VLOOKUP(A1742,Journal!$B$7:$E$84,4)=0,"Total",VLOOKUP(A1742,Journal!$B$7:$D$84,3)))</f>
        <v/>
      </c>
      <c r="C1742" s="86" t="str">
        <f>IF(B1742="","",VLOOKUP(A1742,Journal!$B$7:$E$84,4))</f>
        <v/>
      </c>
      <c r="D1742" s="114" t="str">
        <f>IF(B1742="","",VLOOKUP(A1742,Journal!$B$7:$J$84,9))</f>
        <v/>
      </c>
      <c r="E1742" s="116"/>
      <c r="F1742" s="116"/>
      <c r="G1742" s="115"/>
      <c r="H1742" s="84" t="str">
        <f>IF(B1742="","",VLOOKUP(A1742,Journal!$B$7:$L$84,11))</f>
        <v/>
      </c>
      <c r="I1742" s="84" t="str">
        <f>IF(B1742="","",VLOOKUP(A1742,Journal!$B$7:$M$84,12))</f>
        <v/>
      </c>
      <c r="J1742" s="105">
        <f>IF(B1742="Total",SUM(J$8:J1741)+0.0001,IF(OR(B1742="",I$2=I1742),0,VLOOKUP(A1742,Journal!$B$7:M$84,8)))</f>
        <v>0</v>
      </c>
      <c r="K1742" s="102">
        <f>IF(B1742="Total",SUM(K$8:K1741)+0.0001,IF(OR(B1742="",J1742&lt;&gt;0),0,VLOOKUP(A1742,Journal!$B$7:M$84,8)))</f>
        <v>0</v>
      </c>
      <c r="L1742" s="87">
        <f t="shared" ref="L1742:L1805" si="212">IF(B1742="Total",L1741,IF(B1742="",0,IF($M$1=1,L1741+J1742-K1742,L1741-J1742+K1742)))</f>
        <v>0</v>
      </c>
      <c r="P1742">
        <f t="shared" si="207"/>
        <v>1.0000000000000001E-5</v>
      </c>
      <c r="R1742" s="15">
        <f t="shared" si="208"/>
        <v>1735</v>
      </c>
      <c r="S1742" s="126">
        <f>IF(VLOOKUP(A1742,Journal!$A$7:$E$70,5)=0,S1741+1,VLOOKUP(A1742,Journal!$A$7:$E$70,5))</f>
        <v>47392</v>
      </c>
      <c r="T1742" s="125">
        <f>IF(H$2=VLOOKUP(A1742,Journal!$A$7:$F$70,6),VLOOKUP(A1742,Journal!$A$7:M$70,9),0)</f>
        <v>0</v>
      </c>
      <c r="U1742" s="125">
        <f>IF(H$2=VLOOKUP(A1742,Journal!$A$7:$G$70,7),VLOOKUP(A1742,Journal!$A$7:M$70,9),0)</f>
        <v>0</v>
      </c>
      <c r="V1742" s="125">
        <f t="shared" si="211"/>
        <v>40</v>
      </c>
      <c r="X1742">
        <f t="shared" si="209"/>
        <v>0</v>
      </c>
      <c r="Y1742" s="143">
        <f t="shared" si="210"/>
        <v>-954.42105263165149</v>
      </c>
    </row>
    <row r="1743" spans="1:25" x14ac:dyDescent="0.25">
      <c r="A1743">
        <f t="shared" si="205"/>
        <v>1736</v>
      </c>
      <c r="B1743" s="88" t="str">
        <f>IF(OR(B1742="Total",B1742=""),"",IF(VLOOKUP(A1743,Journal!$B$7:$E$84,4)=0,"Total",VLOOKUP(A1743,Journal!$B$7:$D$84,3)))</f>
        <v/>
      </c>
      <c r="C1743" s="86" t="str">
        <f>IF(B1743="","",VLOOKUP(A1743,Journal!$B$7:$E$84,4))</f>
        <v/>
      </c>
      <c r="D1743" s="114" t="str">
        <f>IF(B1743="","",VLOOKUP(A1743,Journal!$B$7:$J$84,9))</f>
        <v/>
      </c>
      <c r="E1743" s="116"/>
      <c r="F1743" s="116"/>
      <c r="G1743" s="115"/>
      <c r="H1743" s="84" t="str">
        <f>IF(B1743="","",VLOOKUP(A1743,Journal!$B$7:$L$84,11))</f>
        <v/>
      </c>
      <c r="I1743" s="84" t="str">
        <f>IF(B1743="","",VLOOKUP(A1743,Journal!$B$7:$M$84,12))</f>
        <v/>
      </c>
      <c r="J1743" s="105">
        <f>IF(B1743="Total",SUM(J$8:J1742)+0.0001,IF(OR(B1743="",I$2=I1743),0,VLOOKUP(A1743,Journal!$B$7:M$84,8)))</f>
        <v>0</v>
      </c>
      <c r="K1743" s="102">
        <f>IF(B1743="Total",SUM(K$8:K1742)+0.0001,IF(OR(B1743="",J1743&lt;&gt;0),0,VLOOKUP(A1743,Journal!$B$7:M$84,8)))</f>
        <v>0</v>
      </c>
      <c r="L1743" s="87">
        <f t="shared" si="212"/>
        <v>0</v>
      </c>
      <c r="P1743">
        <f t="shared" si="207"/>
        <v>1.0000000000000001E-5</v>
      </c>
      <c r="R1743" s="15">
        <f t="shared" si="208"/>
        <v>1736</v>
      </c>
      <c r="S1743" s="126">
        <f>IF(VLOOKUP(A1743,Journal!$A$7:$E$70,5)=0,S1742+1,VLOOKUP(A1743,Journal!$A$7:$E$70,5))</f>
        <v>47393</v>
      </c>
      <c r="T1743" s="125">
        <f>IF(H$2=VLOOKUP(A1743,Journal!$A$7:$F$70,6),VLOOKUP(A1743,Journal!$A$7:M$70,9),0)</f>
        <v>0</v>
      </c>
      <c r="U1743" s="125">
        <f>IF(H$2=VLOOKUP(A1743,Journal!$A$7:$G$70,7),VLOOKUP(A1743,Journal!$A$7:M$70,9),0)</f>
        <v>0</v>
      </c>
      <c r="V1743" s="125">
        <f t="shared" si="211"/>
        <v>40</v>
      </c>
      <c r="X1743">
        <f t="shared" si="209"/>
        <v>0</v>
      </c>
      <c r="Y1743" s="143">
        <f t="shared" si="210"/>
        <v>-954.39473684217785</v>
      </c>
    </row>
    <row r="1744" spans="1:25" x14ac:dyDescent="0.25">
      <c r="A1744">
        <f t="shared" si="205"/>
        <v>1737</v>
      </c>
      <c r="B1744" s="88" t="str">
        <f>IF(OR(B1743="Total",B1743=""),"",IF(VLOOKUP(A1744,Journal!$B$7:$E$84,4)=0,"Total",VLOOKUP(A1744,Journal!$B$7:$D$84,3)))</f>
        <v/>
      </c>
      <c r="C1744" s="86" t="str">
        <f>IF(B1744="","",VLOOKUP(A1744,Journal!$B$7:$E$84,4))</f>
        <v/>
      </c>
      <c r="D1744" s="114" t="str">
        <f>IF(B1744="","",VLOOKUP(A1744,Journal!$B$7:$J$84,9))</f>
        <v/>
      </c>
      <c r="E1744" s="116"/>
      <c r="F1744" s="116"/>
      <c r="G1744" s="115"/>
      <c r="H1744" s="84" t="str">
        <f>IF(B1744="","",VLOOKUP(A1744,Journal!$B$7:$L$84,11))</f>
        <v/>
      </c>
      <c r="I1744" s="84" t="str">
        <f>IF(B1744="","",VLOOKUP(A1744,Journal!$B$7:$M$84,12))</f>
        <v/>
      </c>
      <c r="J1744" s="105">
        <f>IF(B1744="Total",SUM(J$8:J1743)+0.0001,IF(OR(B1744="",I$2=I1744),0,VLOOKUP(A1744,Journal!$B$7:M$84,8)))</f>
        <v>0</v>
      </c>
      <c r="K1744" s="102">
        <f>IF(B1744="Total",SUM(K$8:K1743)+0.0001,IF(OR(B1744="",J1744&lt;&gt;0),0,VLOOKUP(A1744,Journal!$B$7:M$84,8)))</f>
        <v>0</v>
      </c>
      <c r="L1744" s="87">
        <f t="shared" si="212"/>
        <v>0</v>
      </c>
      <c r="P1744">
        <f t="shared" ref="P1744:P1807" si="213">IF(L1743=L1744,L1743+0.00001,L1744)</f>
        <v>1.0000000000000001E-5</v>
      </c>
      <c r="R1744" s="15">
        <f t="shared" si="208"/>
        <v>1737</v>
      </c>
      <c r="S1744" s="126">
        <f>IF(VLOOKUP(A1744,Journal!$A$7:$E$70,5)=0,S1743+1,VLOOKUP(A1744,Journal!$A$7:$E$70,5))</f>
        <v>47394</v>
      </c>
      <c r="T1744" s="125">
        <f>IF(H$2=VLOOKUP(A1744,Journal!$A$7:$F$70,6),VLOOKUP(A1744,Journal!$A$7:M$70,9),0)</f>
        <v>0</v>
      </c>
      <c r="U1744" s="125">
        <f>IF(H$2=VLOOKUP(A1744,Journal!$A$7:$G$70,7),VLOOKUP(A1744,Journal!$A$7:M$70,9),0)</f>
        <v>0</v>
      </c>
      <c r="V1744" s="125">
        <f t="shared" si="211"/>
        <v>40</v>
      </c>
      <c r="X1744">
        <f t="shared" si="209"/>
        <v>0</v>
      </c>
      <c r="Y1744" s="143">
        <f t="shared" si="210"/>
        <v>-954.36842105270421</v>
      </c>
    </row>
    <row r="1745" spans="1:25" x14ac:dyDescent="0.25">
      <c r="A1745">
        <f t="shared" ref="A1745:A1808" si="214">A1744+1</f>
        <v>1738</v>
      </c>
      <c r="B1745" s="88" t="str">
        <f>IF(OR(B1744="Total",B1744=""),"",IF(VLOOKUP(A1745,Journal!$B$7:$E$84,4)=0,"Total",VLOOKUP(A1745,Journal!$B$7:$D$84,3)))</f>
        <v/>
      </c>
      <c r="C1745" s="86" t="str">
        <f>IF(B1745="","",VLOOKUP(A1745,Journal!$B$7:$E$84,4))</f>
        <v/>
      </c>
      <c r="D1745" s="114" t="str">
        <f>IF(B1745="","",VLOOKUP(A1745,Journal!$B$7:$J$84,9))</f>
        <v/>
      </c>
      <c r="E1745" s="116"/>
      <c r="F1745" s="116"/>
      <c r="G1745" s="115"/>
      <c r="H1745" s="84" t="str">
        <f>IF(B1745="","",VLOOKUP(A1745,Journal!$B$7:$L$84,11))</f>
        <v/>
      </c>
      <c r="I1745" s="84" t="str">
        <f>IF(B1745="","",VLOOKUP(A1745,Journal!$B$7:$M$84,12))</f>
        <v/>
      </c>
      <c r="J1745" s="105">
        <f>IF(B1745="Total",SUM(J$8:J1744)+0.0001,IF(OR(B1745="",I$2=I1745),0,VLOOKUP(A1745,Journal!$B$7:M$84,8)))</f>
        <v>0</v>
      </c>
      <c r="K1745" s="102">
        <f>IF(B1745="Total",SUM(K$8:K1744)+0.0001,IF(OR(B1745="",J1745&lt;&gt;0),0,VLOOKUP(A1745,Journal!$B$7:M$84,8)))</f>
        <v>0</v>
      </c>
      <c r="L1745" s="87">
        <f t="shared" si="212"/>
        <v>0</v>
      </c>
      <c r="P1745">
        <f t="shared" si="213"/>
        <v>1.0000000000000001E-5</v>
      </c>
      <c r="R1745" s="15">
        <f t="shared" si="208"/>
        <v>1738</v>
      </c>
      <c r="S1745" s="126">
        <f>IF(VLOOKUP(A1745,Journal!$A$7:$E$70,5)=0,S1744+1,VLOOKUP(A1745,Journal!$A$7:$E$70,5))</f>
        <v>47395</v>
      </c>
      <c r="T1745" s="125">
        <f>IF(H$2=VLOOKUP(A1745,Journal!$A$7:$F$70,6),VLOOKUP(A1745,Journal!$A$7:M$70,9),0)</f>
        <v>0</v>
      </c>
      <c r="U1745" s="125">
        <f>IF(H$2=VLOOKUP(A1745,Journal!$A$7:$G$70,7),VLOOKUP(A1745,Journal!$A$7:M$70,9),0)</f>
        <v>0</v>
      </c>
      <c r="V1745" s="125">
        <f t="shared" si="211"/>
        <v>40</v>
      </c>
      <c r="X1745">
        <f t="shared" si="209"/>
        <v>0</v>
      </c>
      <c r="Y1745" s="143">
        <f t="shared" si="210"/>
        <v>-954.34210526323056</v>
      </c>
    </row>
    <row r="1746" spans="1:25" x14ac:dyDescent="0.25">
      <c r="A1746">
        <f t="shared" si="214"/>
        <v>1739</v>
      </c>
      <c r="B1746" s="88" t="str">
        <f>IF(OR(B1745="Total",B1745=""),"",IF(VLOOKUP(A1746,Journal!$B$7:$E$84,4)=0,"Total",VLOOKUP(A1746,Journal!$B$7:$D$84,3)))</f>
        <v/>
      </c>
      <c r="C1746" s="86" t="str">
        <f>IF(B1746="","",VLOOKUP(A1746,Journal!$B$7:$E$84,4))</f>
        <v/>
      </c>
      <c r="D1746" s="114" t="str">
        <f>IF(B1746="","",VLOOKUP(A1746,Journal!$B$7:$J$84,9))</f>
        <v/>
      </c>
      <c r="E1746" s="116"/>
      <c r="F1746" s="116"/>
      <c r="G1746" s="115"/>
      <c r="H1746" s="84" t="str">
        <f>IF(B1746="","",VLOOKUP(A1746,Journal!$B$7:$L$84,11))</f>
        <v/>
      </c>
      <c r="I1746" s="84" t="str">
        <f>IF(B1746="","",VLOOKUP(A1746,Journal!$B$7:$M$84,12))</f>
        <v/>
      </c>
      <c r="J1746" s="105">
        <f>IF(B1746="Total",SUM(J$8:J1745)+0.0001,IF(OR(B1746="",I$2=I1746),0,VLOOKUP(A1746,Journal!$B$7:M$84,8)))</f>
        <v>0</v>
      </c>
      <c r="K1746" s="102">
        <f>IF(B1746="Total",SUM(K$8:K1745)+0.0001,IF(OR(B1746="",J1746&lt;&gt;0),0,VLOOKUP(A1746,Journal!$B$7:M$84,8)))</f>
        <v>0</v>
      </c>
      <c r="L1746" s="87">
        <f t="shared" si="212"/>
        <v>0</v>
      </c>
      <c r="P1746">
        <f t="shared" si="213"/>
        <v>1.0000000000000001E-5</v>
      </c>
      <c r="R1746" s="15">
        <f t="shared" si="208"/>
        <v>1739</v>
      </c>
      <c r="S1746" s="126">
        <f>IF(VLOOKUP(A1746,Journal!$A$7:$E$70,5)=0,S1745+1,VLOOKUP(A1746,Journal!$A$7:$E$70,5))</f>
        <v>47396</v>
      </c>
      <c r="T1746" s="125">
        <f>IF(H$2=VLOOKUP(A1746,Journal!$A$7:$F$70,6),VLOOKUP(A1746,Journal!$A$7:M$70,9),0)</f>
        <v>0</v>
      </c>
      <c r="U1746" s="125">
        <f>IF(H$2=VLOOKUP(A1746,Journal!$A$7:$G$70,7),VLOOKUP(A1746,Journal!$A$7:M$70,9),0)</f>
        <v>0</v>
      </c>
      <c r="V1746" s="125">
        <f t="shared" si="211"/>
        <v>40</v>
      </c>
      <c r="X1746">
        <f t="shared" si="209"/>
        <v>0</v>
      </c>
      <c r="Y1746" s="143">
        <f t="shared" si="210"/>
        <v>-954.31578947375692</v>
      </c>
    </row>
    <row r="1747" spans="1:25" x14ac:dyDescent="0.25">
      <c r="A1747">
        <f t="shared" si="214"/>
        <v>1740</v>
      </c>
      <c r="B1747" s="88" t="str">
        <f>IF(OR(B1746="Total",B1746=""),"",IF(VLOOKUP(A1747,Journal!$B$7:$E$84,4)=0,"Total",VLOOKUP(A1747,Journal!$B$7:$D$84,3)))</f>
        <v/>
      </c>
      <c r="C1747" s="86" t="str">
        <f>IF(B1747="","",VLOOKUP(A1747,Journal!$B$7:$E$84,4))</f>
        <v/>
      </c>
      <c r="D1747" s="114" t="str">
        <f>IF(B1747="","",VLOOKUP(A1747,Journal!$B$7:$J$84,9))</f>
        <v/>
      </c>
      <c r="E1747" s="116"/>
      <c r="F1747" s="116"/>
      <c r="G1747" s="115"/>
      <c r="H1747" s="84" t="str">
        <f>IF(B1747="","",VLOOKUP(A1747,Journal!$B$7:$L$84,11))</f>
        <v/>
      </c>
      <c r="I1747" s="84" t="str">
        <f>IF(B1747="","",VLOOKUP(A1747,Journal!$B$7:$M$84,12))</f>
        <v/>
      </c>
      <c r="J1747" s="105">
        <f>IF(B1747="Total",SUM(J$8:J1746)+0.0001,IF(OR(B1747="",I$2=I1747),0,VLOOKUP(A1747,Journal!$B$7:M$84,8)))</f>
        <v>0</v>
      </c>
      <c r="K1747" s="102">
        <f>IF(B1747="Total",SUM(K$8:K1746)+0.0001,IF(OR(B1747="",J1747&lt;&gt;0),0,VLOOKUP(A1747,Journal!$B$7:M$84,8)))</f>
        <v>0</v>
      </c>
      <c r="L1747" s="87">
        <f t="shared" si="212"/>
        <v>0</v>
      </c>
      <c r="P1747">
        <f t="shared" si="213"/>
        <v>1.0000000000000001E-5</v>
      </c>
      <c r="R1747" s="15">
        <f t="shared" si="208"/>
        <v>1740</v>
      </c>
      <c r="S1747" s="126">
        <f>IF(VLOOKUP(A1747,Journal!$A$7:$E$70,5)=0,S1746+1,VLOOKUP(A1747,Journal!$A$7:$E$70,5))</f>
        <v>47397</v>
      </c>
      <c r="T1747" s="125">
        <f>IF(H$2=VLOOKUP(A1747,Journal!$A$7:$F$70,6),VLOOKUP(A1747,Journal!$A$7:M$70,9),0)</f>
        <v>0</v>
      </c>
      <c r="U1747" s="125">
        <f>IF(H$2=VLOOKUP(A1747,Journal!$A$7:$G$70,7),VLOOKUP(A1747,Journal!$A$7:M$70,9),0)</f>
        <v>0</v>
      </c>
      <c r="V1747" s="125">
        <f t="shared" si="211"/>
        <v>40</v>
      </c>
      <c r="X1747">
        <f t="shared" si="209"/>
        <v>0</v>
      </c>
      <c r="Y1747" s="143">
        <f t="shared" si="210"/>
        <v>-954.28947368428328</v>
      </c>
    </row>
    <row r="1748" spans="1:25" x14ac:dyDescent="0.25">
      <c r="A1748">
        <f t="shared" si="214"/>
        <v>1741</v>
      </c>
      <c r="B1748" s="88" t="str">
        <f>IF(OR(B1747="Total",B1747=""),"",IF(VLOOKUP(A1748,Journal!$B$7:$E$84,4)=0,"Total",VLOOKUP(A1748,Journal!$B$7:$D$84,3)))</f>
        <v/>
      </c>
      <c r="C1748" s="86" t="str">
        <f>IF(B1748="","",VLOOKUP(A1748,Journal!$B$7:$E$84,4))</f>
        <v/>
      </c>
      <c r="D1748" s="114" t="str">
        <f>IF(B1748="","",VLOOKUP(A1748,Journal!$B$7:$J$84,9))</f>
        <v/>
      </c>
      <c r="E1748" s="116"/>
      <c r="F1748" s="116"/>
      <c r="G1748" s="115"/>
      <c r="H1748" s="84" t="str">
        <f>IF(B1748="","",VLOOKUP(A1748,Journal!$B$7:$L$84,11))</f>
        <v/>
      </c>
      <c r="I1748" s="84" t="str">
        <f>IF(B1748="","",VLOOKUP(A1748,Journal!$B$7:$M$84,12))</f>
        <v/>
      </c>
      <c r="J1748" s="105">
        <f>IF(B1748="Total",SUM(J$8:J1747)+0.0001,IF(OR(B1748="",I$2=I1748),0,VLOOKUP(A1748,Journal!$B$7:M$84,8)))</f>
        <v>0</v>
      </c>
      <c r="K1748" s="102">
        <f>IF(B1748="Total",SUM(K$8:K1747)+0.0001,IF(OR(B1748="",J1748&lt;&gt;0),0,VLOOKUP(A1748,Journal!$B$7:M$84,8)))</f>
        <v>0</v>
      </c>
      <c r="L1748" s="87">
        <f t="shared" si="212"/>
        <v>0</v>
      </c>
      <c r="P1748">
        <f t="shared" si="213"/>
        <v>1.0000000000000001E-5</v>
      </c>
      <c r="R1748" s="15">
        <f t="shared" si="208"/>
        <v>1741</v>
      </c>
      <c r="S1748" s="126">
        <f>IF(VLOOKUP(A1748,Journal!$A$7:$E$70,5)=0,S1747+1,VLOOKUP(A1748,Journal!$A$7:$E$70,5))</f>
        <v>47398</v>
      </c>
      <c r="T1748" s="125">
        <f>IF(H$2=VLOOKUP(A1748,Journal!$A$7:$F$70,6),VLOOKUP(A1748,Journal!$A$7:M$70,9),0)</f>
        <v>0</v>
      </c>
      <c r="U1748" s="125">
        <f>IF(H$2=VLOOKUP(A1748,Journal!$A$7:$G$70,7),VLOOKUP(A1748,Journal!$A$7:M$70,9),0)</f>
        <v>0</v>
      </c>
      <c r="V1748" s="125">
        <f t="shared" si="211"/>
        <v>40</v>
      </c>
      <c r="X1748">
        <f t="shared" si="209"/>
        <v>0</v>
      </c>
      <c r="Y1748" s="143">
        <f t="shared" si="210"/>
        <v>-954.26315789480964</v>
      </c>
    </row>
    <row r="1749" spans="1:25" x14ac:dyDescent="0.25">
      <c r="A1749">
        <f t="shared" si="214"/>
        <v>1742</v>
      </c>
      <c r="B1749" s="88" t="str">
        <f>IF(OR(B1748="Total",B1748=""),"",IF(VLOOKUP(A1749,Journal!$B$7:$E$84,4)=0,"Total",VLOOKUP(A1749,Journal!$B$7:$D$84,3)))</f>
        <v/>
      </c>
      <c r="C1749" s="86" t="str">
        <f>IF(B1749="","",VLOOKUP(A1749,Journal!$B$7:$E$84,4))</f>
        <v/>
      </c>
      <c r="D1749" s="114" t="str">
        <f>IF(B1749="","",VLOOKUP(A1749,Journal!$B$7:$J$84,9))</f>
        <v/>
      </c>
      <c r="E1749" s="116"/>
      <c r="F1749" s="116"/>
      <c r="G1749" s="115"/>
      <c r="H1749" s="84" t="str">
        <f>IF(B1749="","",VLOOKUP(A1749,Journal!$B$7:$L$84,11))</f>
        <v/>
      </c>
      <c r="I1749" s="84" t="str">
        <f>IF(B1749="","",VLOOKUP(A1749,Journal!$B$7:$M$84,12))</f>
        <v/>
      </c>
      <c r="J1749" s="105">
        <f>IF(B1749="Total",SUM(J$8:J1748)+0.0001,IF(OR(B1749="",I$2=I1749),0,VLOOKUP(A1749,Journal!$B$7:M$84,8)))</f>
        <v>0</v>
      </c>
      <c r="K1749" s="102">
        <f>IF(B1749="Total",SUM(K$8:K1748)+0.0001,IF(OR(B1749="",J1749&lt;&gt;0),0,VLOOKUP(A1749,Journal!$B$7:M$84,8)))</f>
        <v>0</v>
      </c>
      <c r="L1749" s="87">
        <f t="shared" si="212"/>
        <v>0</v>
      </c>
      <c r="P1749">
        <f t="shared" si="213"/>
        <v>1.0000000000000001E-5</v>
      </c>
      <c r="R1749" s="15">
        <f t="shared" si="208"/>
        <v>1742</v>
      </c>
      <c r="S1749" s="126">
        <f>IF(VLOOKUP(A1749,Journal!$A$7:$E$70,5)=0,S1748+1,VLOOKUP(A1749,Journal!$A$7:$E$70,5))</f>
        <v>47399</v>
      </c>
      <c r="T1749" s="125">
        <f>IF(H$2=VLOOKUP(A1749,Journal!$A$7:$F$70,6),VLOOKUP(A1749,Journal!$A$7:M$70,9),0)</f>
        <v>0</v>
      </c>
      <c r="U1749" s="125">
        <f>IF(H$2=VLOOKUP(A1749,Journal!$A$7:$G$70,7),VLOOKUP(A1749,Journal!$A$7:M$70,9),0)</f>
        <v>0</v>
      </c>
      <c r="V1749" s="125">
        <f t="shared" si="211"/>
        <v>40</v>
      </c>
      <c r="X1749">
        <f t="shared" si="209"/>
        <v>0</v>
      </c>
      <c r="Y1749" s="143">
        <f t="shared" si="210"/>
        <v>-954.236842105336</v>
      </c>
    </row>
    <row r="1750" spans="1:25" x14ac:dyDescent="0.25">
      <c r="A1750">
        <f t="shared" si="214"/>
        <v>1743</v>
      </c>
      <c r="B1750" s="88" t="str">
        <f>IF(OR(B1749="Total",B1749=""),"",IF(VLOOKUP(A1750,Journal!$B$7:$E$84,4)=0,"Total",VLOOKUP(A1750,Journal!$B$7:$D$84,3)))</f>
        <v/>
      </c>
      <c r="C1750" s="86" t="str">
        <f>IF(B1750="","",VLOOKUP(A1750,Journal!$B$7:$E$84,4))</f>
        <v/>
      </c>
      <c r="D1750" s="114" t="str">
        <f>IF(B1750="","",VLOOKUP(A1750,Journal!$B$7:$J$84,9))</f>
        <v/>
      </c>
      <c r="E1750" s="116"/>
      <c r="F1750" s="116"/>
      <c r="G1750" s="115"/>
      <c r="H1750" s="84" t="str">
        <f>IF(B1750="","",VLOOKUP(A1750,Journal!$B$7:$L$84,11))</f>
        <v/>
      </c>
      <c r="I1750" s="84" t="str">
        <f>IF(B1750="","",VLOOKUP(A1750,Journal!$B$7:$M$84,12))</f>
        <v/>
      </c>
      <c r="J1750" s="105">
        <f>IF(B1750="Total",SUM(J$8:J1749)+0.0001,IF(OR(B1750="",I$2=I1750),0,VLOOKUP(A1750,Journal!$B$7:M$84,8)))</f>
        <v>0</v>
      </c>
      <c r="K1750" s="102">
        <f>IF(B1750="Total",SUM(K$8:K1749)+0.0001,IF(OR(B1750="",J1750&lt;&gt;0),0,VLOOKUP(A1750,Journal!$B$7:M$84,8)))</f>
        <v>0</v>
      </c>
      <c r="L1750" s="87">
        <f t="shared" si="212"/>
        <v>0</v>
      </c>
      <c r="P1750">
        <f t="shared" si="213"/>
        <v>1.0000000000000001E-5</v>
      </c>
      <c r="R1750" s="15">
        <f t="shared" si="208"/>
        <v>1743</v>
      </c>
      <c r="S1750" s="126">
        <f>IF(VLOOKUP(A1750,Journal!$A$7:$E$70,5)=0,S1749+1,VLOOKUP(A1750,Journal!$A$7:$E$70,5))</f>
        <v>47400</v>
      </c>
      <c r="T1750" s="125">
        <f>IF(H$2=VLOOKUP(A1750,Journal!$A$7:$F$70,6),VLOOKUP(A1750,Journal!$A$7:M$70,9),0)</f>
        <v>0</v>
      </c>
      <c r="U1750" s="125">
        <f>IF(H$2=VLOOKUP(A1750,Journal!$A$7:$G$70,7),VLOOKUP(A1750,Journal!$A$7:M$70,9),0)</f>
        <v>0</v>
      </c>
      <c r="V1750" s="125">
        <f t="shared" si="211"/>
        <v>40</v>
      </c>
      <c r="X1750">
        <f t="shared" si="209"/>
        <v>0</v>
      </c>
      <c r="Y1750" s="143">
        <f t="shared" si="210"/>
        <v>-954.21052631586235</v>
      </c>
    </row>
    <row r="1751" spans="1:25" x14ac:dyDescent="0.25">
      <c r="A1751">
        <f t="shared" si="214"/>
        <v>1744</v>
      </c>
      <c r="B1751" s="88" t="str">
        <f>IF(OR(B1750="Total",B1750=""),"",IF(VLOOKUP(A1751,Journal!$B$7:$E$84,4)=0,"Total",VLOOKUP(A1751,Journal!$B$7:$D$84,3)))</f>
        <v/>
      </c>
      <c r="C1751" s="86" t="str">
        <f>IF(B1751="","",VLOOKUP(A1751,Journal!$B$7:$E$84,4))</f>
        <v/>
      </c>
      <c r="D1751" s="114" t="str">
        <f>IF(B1751="","",VLOOKUP(A1751,Journal!$B$7:$J$84,9))</f>
        <v/>
      </c>
      <c r="E1751" s="116"/>
      <c r="F1751" s="116"/>
      <c r="G1751" s="115"/>
      <c r="H1751" s="84" t="str">
        <f>IF(B1751="","",VLOOKUP(A1751,Journal!$B$7:$L$84,11))</f>
        <v/>
      </c>
      <c r="I1751" s="84" t="str">
        <f>IF(B1751="","",VLOOKUP(A1751,Journal!$B$7:$M$84,12))</f>
        <v/>
      </c>
      <c r="J1751" s="105">
        <f>IF(B1751="Total",SUM(J$8:J1750)+0.0001,IF(OR(B1751="",I$2=I1751),0,VLOOKUP(A1751,Journal!$B$7:M$84,8)))</f>
        <v>0</v>
      </c>
      <c r="K1751" s="102">
        <f>IF(B1751="Total",SUM(K$8:K1750)+0.0001,IF(OR(B1751="",J1751&lt;&gt;0),0,VLOOKUP(A1751,Journal!$B$7:M$84,8)))</f>
        <v>0</v>
      </c>
      <c r="L1751" s="87">
        <f t="shared" si="212"/>
        <v>0</v>
      </c>
      <c r="P1751">
        <f t="shared" si="213"/>
        <v>1.0000000000000001E-5</v>
      </c>
      <c r="R1751" s="15">
        <f t="shared" si="208"/>
        <v>1744</v>
      </c>
      <c r="S1751" s="126">
        <f>IF(VLOOKUP(A1751,Journal!$A$7:$E$70,5)=0,S1750+1,VLOOKUP(A1751,Journal!$A$7:$E$70,5))</f>
        <v>47401</v>
      </c>
      <c r="T1751" s="125">
        <f>IF(H$2=VLOOKUP(A1751,Journal!$A$7:$F$70,6),VLOOKUP(A1751,Journal!$A$7:M$70,9),0)</f>
        <v>0</v>
      </c>
      <c r="U1751" s="125">
        <f>IF(H$2=VLOOKUP(A1751,Journal!$A$7:$G$70,7),VLOOKUP(A1751,Journal!$A$7:M$70,9),0)</f>
        <v>0</v>
      </c>
      <c r="V1751" s="125">
        <f t="shared" si="211"/>
        <v>40</v>
      </c>
      <c r="X1751">
        <f t="shared" si="209"/>
        <v>0</v>
      </c>
      <c r="Y1751" s="143">
        <f t="shared" si="210"/>
        <v>-954.18421052638871</v>
      </c>
    </row>
    <row r="1752" spans="1:25" x14ac:dyDescent="0.25">
      <c r="A1752">
        <f t="shared" si="214"/>
        <v>1745</v>
      </c>
      <c r="B1752" s="88" t="str">
        <f>IF(OR(B1751="Total",B1751=""),"",IF(VLOOKUP(A1752,Journal!$B$7:$E$84,4)=0,"Total",VLOOKUP(A1752,Journal!$B$7:$D$84,3)))</f>
        <v/>
      </c>
      <c r="C1752" s="86" t="str">
        <f>IF(B1752="","",VLOOKUP(A1752,Journal!$B$7:$E$84,4))</f>
        <v/>
      </c>
      <c r="D1752" s="114" t="str">
        <f>IF(B1752="","",VLOOKUP(A1752,Journal!$B$7:$J$84,9))</f>
        <v/>
      </c>
      <c r="E1752" s="116"/>
      <c r="F1752" s="116"/>
      <c r="G1752" s="115"/>
      <c r="H1752" s="84" t="str">
        <f>IF(B1752="","",VLOOKUP(A1752,Journal!$B$7:$L$84,11))</f>
        <v/>
      </c>
      <c r="I1752" s="84" t="str">
        <f>IF(B1752="","",VLOOKUP(A1752,Journal!$B$7:$M$84,12))</f>
        <v/>
      </c>
      <c r="J1752" s="105">
        <f>IF(B1752="Total",SUM(J$8:J1751)+0.0001,IF(OR(B1752="",I$2=I1752),0,VLOOKUP(A1752,Journal!$B$7:M$84,8)))</f>
        <v>0</v>
      </c>
      <c r="K1752" s="102">
        <f>IF(B1752="Total",SUM(K$8:K1751)+0.0001,IF(OR(B1752="",J1752&lt;&gt;0),0,VLOOKUP(A1752,Journal!$B$7:M$84,8)))</f>
        <v>0</v>
      </c>
      <c r="L1752" s="87">
        <f t="shared" si="212"/>
        <v>0</v>
      </c>
      <c r="P1752">
        <f t="shared" si="213"/>
        <v>1.0000000000000001E-5</v>
      </c>
      <c r="R1752" s="15">
        <f t="shared" si="208"/>
        <v>1745</v>
      </c>
      <c r="S1752" s="126">
        <f>IF(VLOOKUP(A1752,Journal!$A$7:$E$70,5)=0,S1751+1,VLOOKUP(A1752,Journal!$A$7:$E$70,5))</f>
        <v>47402</v>
      </c>
      <c r="T1752" s="125">
        <f>IF(H$2=VLOOKUP(A1752,Journal!$A$7:$F$70,6),VLOOKUP(A1752,Journal!$A$7:M$70,9),0)</f>
        <v>0</v>
      </c>
      <c r="U1752" s="125">
        <f>IF(H$2=VLOOKUP(A1752,Journal!$A$7:$G$70,7),VLOOKUP(A1752,Journal!$A$7:M$70,9),0)</f>
        <v>0</v>
      </c>
      <c r="V1752" s="125">
        <f t="shared" si="211"/>
        <v>40</v>
      </c>
      <c r="X1752">
        <f t="shared" si="209"/>
        <v>0</v>
      </c>
      <c r="Y1752" s="143">
        <f t="shared" si="210"/>
        <v>-954.15789473691507</v>
      </c>
    </row>
    <row r="1753" spans="1:25" x14ac:dyDescent="0.25">
      <c r="A1753">
        <f t="shared" si="214"/>
        <v>1746</v>
      </c>
      <c r="B1753" s="88" t="str">
        <f>IF(OR(B1752="Total",B1752=""),"",IF(VLOOKUP(A1753,Journal!$B$7:$E$84,4)=0,"Total",VLOOKUP(A1753,Journal!$B$7:$D$84,3)))</f>
        <v/>
      </c>
      <c r="C1753" s="86" t="str">
        <f>IF(B1753="","",VLOOKUP(A1753,Journal!$B$7:$E$84,4))</f>
        <v/>
      </c>
      <c r="D1753" s="114" t="str">
        <f>IF(B1753="","",VLOOKUP(A1753,Journal!$B$7:$J$84,9))</f>
        <v/>
      </c>
      <c r="E1753" s="116"/>
      <c r="F1753" s="116"/>
      <c r="G1753" s="115"/>
      <c r="H1753" s="84" t="str">
        <f>IF(B1753="","",VLOOKUP(A1753,Journal!$B$7:$L$84,11))</f>
        <v/>
      </c>
      <c r="I1753" s="84" t="str">
        <f>IF(B1753="","",VLOOKUP(A1753,Journal!$B$7:$M$84,12))</f>
        <v/>
      </c>
      <c r="J1753" s="105">
        <f>IF(B1753="Total",SUM(J$8:J1752)+0.0001,IF(OR(B1753="",I$2=I1753),0,VLOOKUP(A1753,Journal!$B$7:M$84,8)))</f>
        <v>0</v>
      </c>
      <c r="K1753" s="102">
        <f>IF(B1753="Total",SUM(K$8:K1752)+0.0001,IF(OR(B1753="",J1753&lt;&gt;0),0,VLOOKUP(A1753,Journal!$B$7:M$84,8)))</f>
        <v>0</v>
      </c>
      <c r="L1753" s="87">
        <f t="shared" si="212"/>
        <v>0</v>
      </c>
      <c r="P1753">
        <f t="shared" si="213"/>
        <v>1.0000000000000001E-5</v>
      </c>
      <c r="R1753" s="15">
        <f t="shared" si="208"/>
        <v>1746</v>
      </c>
      <c r="S1753" s="126">
        <f>IF(VLOOKUP(A1753,Journal!$A$7:$E$70,5)=0,S1752+1,VLOOKUP(A1753,Journal!$A$7:$E$70,5))</f>
        <v>47403</v>
      </c>
      <c r="T1753" s="125">
        <f>IF(H$2=VLOOKUP(A1753,Journal!$A$7:$F$70,6),VLOOKUP(A1753,Journal!$A$7:M$70,9),0)</f>
        <v>0</v>
      </c>
      <c r="U1753" s="125">
        <f>IF(H$2=VLOOKUP(A1753,Journal!$A$7:$G$70,7),VLOOKUP(A1753,Journal!$A$7:M$70,9),0)</f>
        <v>0</v>
      </c>
      <c r="V1753" s="125">
        <f t="shared" si="211"/>
        <v>40</v>
      </c>
      <c r="X1753">
        <f t="shared" si="209"/>
        <v>0</v>
      </c>
      <c r="Y1753" s="143">
        <f t="shared" si="210"/>
        <v>-954.13157894744143</v>
      </c>
    </row>
    <row r="1754" spans="1:25" x14ac:dyDescent="0.25">
      <c r="A1754">
        <f t="shared" si="214"/>
        <v>1747</v>
      </c>
      <c r="B1754" s="88" t="str">
        <f>IF(OR(B1753="Total",B1753=""),"",IF(VLOOKUP(A1754,Journal!$B$7:$E$84,4)=0,"Total",VLOOKUP(A1754,Journal!$B$7:$D$84,3)))</f>
        <v/>
      </c>
      <c r="C1754" s="86" t="str">
        <f>IF(B1754="","",VLOOKUP(A1754,Journal!$B$7:$E$84,4))</f>
        <v/>
      </c>
      <c r="D1754" s="114" t="str">
        <f>IF(B1754="","",VLOOKUP(A1754,Journal!$B$7:$J$84,9))</f>
        <v/>
      </c>
      <c r="E1754" s="116"/>
      <c r="F1754" s="116"/>
      <c r="G1754" s="115"/>
      <c r="H1754" s="84" t="str">
        <f>IF(B1754="","",VLOOKUP(A1754,Journal!$B$7:$L$84,11))</f>
        <v/>
      </c>
      <c r="I1754" s="84" t="str">
        <f>IF(B1754="","",VLOOKUP(A1754,Journal!$B$7:$M$84,12))</f>
        <v/>
      </c>
      <c r="J1754" s="105">
        <f>IF(B1754="Total",SUM(J$8:J1753)+0.0001,IF(OR(B1754="",I$2=I1754),0,VLOOKUP(A1754,Journal!$B$7:M$84,8)))</f>
        <v>0</v>
      </c>
      <c r="K1754" s="102">
        <f>IF(B1754="Total",SUM(K$8:K1753)+0.0001,IF(OR(B1754="",J1754&lt;&gt;0),0,VLOOKUP(A1754,Journal!$B$7:M$84,8)))</f>
        <v>0</v>
      </c>
      <c r="L1754" s="87">
        <f t="shared" si="212"/>
        <v>0</v>
      </c>
      <c r="P1754">
        <f t="shared" si="213"/>
        <v>1.0000000000000001E-5</v>
      </c>
      <c r="R1754" s="15">
        <f t="shared" si="208"/>
        <v>1747</v>
      </c>
      <c r="S1754" s="126">
        <f>IF(VLOOKUP(A1754,Journal!$A$7:$E$70,5)=0,S1753+1,VLOOKUP(A1754,Journal!$A$7:$E$70,5))</f>
        <v>47404</v>
      </c>
      <c r="T1754" s="125">
        <f>IF(H$2=VLOOKUP(A1754,Journal!$A$7:$F$70,6),VLOOKUP(A1754,Journal!$A$7:M$70,9),0)</f>
        <v>0</v>
      </c>
      <c r="U1754" s="125">
        <f>IF(H$2=VLOOKUP(A1754,Journal!$A$7:$G$70,7),VLOOKUP(A1754,Journal!$A$7:M$70,9),0)</f>
        <v>0</v>
      </c>
      <c r="V1754" s="125">
        <f t="shared" si="211"/>
        <v>40</v>
      </c>
      <c r="X1754">
        <f t="shared" si="209"/>
        <v>0</v>
      </c>
      <c r="Y1754" s="143">
        <f t="shared" si="210"/>
        <v>-954.10526315796778</v>
      </c>
    </row>
    <row r="1755" spans="1:25" x14ac:dyDescent="0.25">
      <c r="A1755">
        <f t="shared" si="214"/>
        <v>1748</v>
      </c>
      <c r="B1755" s="88" t="str">
        <f>IF(OR(B1754="Total",B1754=""),"",IF(VLOOKUP(A1755,Journal!$B$7:$E$84,4)=0,"Total",VLOOKUP(A1755,Journal!$B$7:$D$84,3)))</f>
        <v/>
      </c>
      <c r="C1755" s="86" t="str">
        <f>IF(B1755="","",VLOOKUP(A1755,Journal!$B$7:$E$84,4))</f>
        <v/>
      </c>
      <c r="D1755" s="114" t="str">
        <f>IF(B1755="","",VLOOKUP(A1755,Journal!$B$7:$J$84,9))</f>
        <v/>
      </c>
      <c r="E1755" s="116"/>
      <c r="F1755" s="116"/>
      <c r="G1755" s="115"/>
      <c r="H1755" s="84" t="str">
        <f>IF(B1755="","",VLOOKUP(A1755,Journal!$B$7:$L$84,11))</f>
        <v/>
      </c>
      <c r="I1755" s="84" t="str">
        <f>IF(B1755="","",VLOOKUP(A1755,Journal!$B$7:$M$84,12))</f>
        <v/>
      </c>
      <c r="J1755" s="105">
        <f>IF(B1755="Total",SUM(J$8:J1754)+0.0001,IF(OR(B1755="",I$2=I1755),0,VLOOKUP(A1755,Journal!$B$7:M$84,8)))</f>
        <v>0</v>
      </c>
      <c r="K1755" s="102">
        <f>IF(B1755="Total",SUM(K$8:K1754)+0.0001,IF(OR(B1755="",J1755&lt;&gt;0),0,VLOOKUP(A1755,Journal!$B$7:M$84,8)))</f>
        <v>0</v>
      </c>
      <c r="L1755" s="87">
        <f t="shared" si="212"/>
        <v>0</v>
      </c>
      <c r="P1755">
        <f t="shared" si="213"/>
        <v>1.0000000000000001E-5</v>
      </c>
      <c r="R1755" s="15">
        <f t="shared" si="208"/>
        <v>1748</v>
      </c>
      <c r="S1755" s="126">
        <f>IF(VLOOKUP(A1755,Journal!$A$7:$E$70,5)=0,S1754+1,VLOOKUP(A1755,Journal!$A$7:$E$70,5))</f>
        <v>47405</v>
      </c>
      <c r="T1755" s="125">
        <f>IF(H$2=VLOOKUP(A1755,Journal!$A$7:$F$70,6),VLOOKUP(A1755,Journal!$A$7:M$70,9),0)</f>
        <v>0</v>
      </c>
      <c r="U1755" s="125">
        <f>IF(H$2=VLOOKUP(A1755,Journal!$A$7:$G$70,7),VLOOKUP(A1755,Journal!$A$7:M$70,9),0)</f>
        <v>0</v>
      </c>
      <c r="V1755" s="125">
        <f t="shared" si="211"/>
        <v>40</v>
      </c>
      <c r="X1755">
        <f t="shared" si="209"/>
        <v>0</v>
      </c>
      <c r="Y1755" s="143">
        <f t="shared" si="210"/>
        <v>-954.07894736849414</v>
      </c>
    </row>
    <row r="1756" spans="1:25" x14ac:dyDescent="0.25">
      <c r="A1756">
        <f t="shared" si="214"/>
        <v>1749</v>
      </c>
      <c r="B1756" s="88" t="str">
        <f>IF(OR(B1755="Total",B1755=""),"",IF(VLOOKUP(A1756,Journal!$B$7:$E$84,4)=0,"Total",VLOOKUP(A1756,Journal!$B$7:$D$84,3)))</f>
        <v/>
      </c>
      <c r="C1756" s="86" t="str">
        <f>IF(B1756="","",VLOOKUP(A1756,Journal!$B$7:$E$84,4))</f>
        <v/>
      </c>
      <c r="D1756" s="114" t="str">
        <f>IF(B1756="","",VLOOKUP(A1756,Journal!$B$7:$J$84,9))</f>
        <v/>
      </c>
      <c r="E1756" s="116"/>
      <c r="F1756" s="116"/>
      <c r="G1756" s="115"/>
      <c r="H1756" s="84" t="str">
        <f>IF(B1756="","",VLOOKUP(A1756,Journal!$B$7:$L$84,11))</f>
        <v/>
      </c>
      <c r="I1756" s="84" t="str">
        <f>IF(B1756="","",VLOOKUP(A1756,Journal!$B$7:$M$84,12))</f>
        <v/>
      </c>
      <c r="J1756" s="105">
        <f>IF(B1756="Total",SUM(J$8:J1755)+0.0001,IF(OR(B1756="",I$2=I1756),0,VLOOKUP(A1756,Journal!$B$7:M$84,8)))</f>
        <v>0</v>
      </c>
      <c r="K1756" s="102">
        <f>IF(B1756="Total",SUM(K$8:K1755)+0.0001,IF(OR(B1756="",J1756&lt;&gt;0),0,VLOOKUP(A1756,Journal!$B$7:M$84,8)))</f>
        <v>0</v>
      </c>
      <c r="L1756" s="87">
        <f t="shared" si="212"/>
        <v>0</v>
      </c>
      <c r="P1756">
        <f t="shared" si="213"/>
        <v>1.0000000000000001E-5</v>
      </c>
      <c r="R1756" s="15">
        <f t="shared" si="208"/>
        <v>1749</v>
      </c>
      <c r="S1756" s="126">
        <f>IF(VLOOKUP(A1756,Journal!$A$7:$E$70,5)=0,S1755+1,VLOOKUP(A1756,Journal!$A$7:$E$70,5))</f>
        <v>47406</v>
      </c>
      <c r="T1756" s="125">
        <f>IF(H$2=VLOOKUP(A1756,Journal!$A$7:$F$70,6),VLOOKUP(A1756,Journal!$A$7:M$70,9),0)</f>
        <v>0</v>
      </c>
      <c r="U1756" s="125">
        <f>IF(H$2=VLOOKUP(A1756,Journal!$A$7:$G$70,7),VLOOKUP(A1756,Journal!$A$7:M$70,9),0)</f>
        <v>0</v>
      </c>
      <c r="V1756" s="125">
        <f t="shared" si="211"/>
        <v>40</v>
      </c>
      <c r="X1756">
        <f t="shared" si="209"/>
        <v>0</v>
      </c>
      <c r="Y1756" s="143">
        <f t="shared" si="210"/>
        <v>-954.0526315790205</v>
      </c>
    </row>
    <row r="1757" spans="1:25" x14ac:dyDescent="0.25">
      <c r="A1757">
        <f t="shared" si="214"/>
        <v>1750</v>
      </c>
      <c r="B1757" s="88" t="str">
        <f>IF(OR(B1756="Total",B1756=""),"",IF(VLOOKUP(A1757,Journal!$B$7:$E$84,4)=0,"Total",VLOOKUP(A1757,Journal!$B$7:$D$84,3)))</f>
        <v/>
      </c>
      <c r="C1757" s="86" t="str">
        <f>IF(B1757="","",VLOOKUP(A1757,Journal!$B$7:$E$84,4))</f>
        <v/>
      </c>
      <c r="D1757" s="114" t="str">
        <f>IF(B1757="","",VLOOKUP(A1757,Journal!$B$7:$J$84,9))</f>
        <v/>
      </c>
      <c r="E1757" s="116"/>
      <c r="F1757" s="116"/>
      <c r="G1757" s="115"/>
      <c r="H1757" s="84" t="str">
        <f>IF(B1757="","",VLOOKUP(A1757,Journal!$B$7:$L$84,11))</f>
        <v/>
      </c>
      <c r="I1757" s="84" t="str">
        <f>IF(B1757="","",VLOOKUP(A1757,Journal!$B$7:$M$84,12))</f>
        <v/>
      </c>
      <c r="J1757" s="105">
        <f>IF(B1757="Total",SUM(J$8:J1756)+0.0001,IF(OR(B1757="",I$2=I1757),0,VLOOKUP(A1757,Journal!$B$7:M$84,8)))</f>
        <v>0</v>
      </c>
      <c r="K1757" s="102">
        <f>IF(B1757="Total",SUM(K$8:K1756)+0.0001,IF(OR(B1757="",J1757&lt;&gt;0),0,VLOOKUP(A1757,Journal!$B$7:M$84,8)))</f>
        <v>0</v>
      </c>
      <c r="L1757" s="87">
        <f t="shared" si="212"/>
        <v>0</v>
      </c>
      <c r="P1757">
        <f t="shared" si="213"/>
        <v>1.0000000000000001E-5</v>
      </c>
      <c r="R1757" s="15">
        <f t="shared" si="208"/>
        <v>1750</v>
      </c>
      <c r="S1757" s="126">
        <f>IF(VLOOKUP(A1757,Journal!$A$7:$E$70,5)=0,S1756+1,VLOOKUP(A1757,Journal!$A$7:$E$70,5))</f>
        <v>47407</v>
      </c>
      <c r="T1757" s="125">
        <f>IF(H$2=VLOOKUP(A1757,Journal!$A$7:$F$70,6),VLOOKUP(A1757,Journal!$A$7:M$70,9),0)</f>
        <v>0</v>
      </c>
      <c r="U1757" s="125">
        <f>IF(H$2=VLOOKUP(A1757,Journal!$A$7:$G$70,7),VLOOKUP(A1757,Journal!$A$7:M$70,9),0)</f>
        <v>0</v>
      </c>
      <c r="V1757" s="125">
        <f t="shared" si="211"/>
        <v>40</v>
      </c>
      <c r="X1757">
        <f t="shared" si="209"/>
        <v>0</v>
      </c>
      <c r="Y1757" s="143">
        <f t="shared" si="210"/>
        <v>-954.02631578954686</v>
      </c>
    </row>
    <row r="1758" spans="1:25" x14ac:dyDescent="0.25">
      <c r="A1758">
        <f t="shared" si="214"/>
        <v>1751</v>
      </c>
      <c r="B1758" s="88" t="str">
        <f>IF(OR(B1757="Total",B1757=""),"",IF(VLOOKUP(A1758,Journal!$B$7:$E$84,4)=0,"Total",VLOOKUP(A1758,Journal!$B$7:$D$84,3)))</f>
        <v/>
      </c>
      <c r="C1758" s="86" t="str">
        <f>IF(B1758="","",VLOOKUP(A1758,Journal!$B$7:$E$84,4))</f>
        <v/>
      </c>
      <c r="D1758" s="114" t="str">
        <f>IF(B1758="","",VLOOKUP(A1758,Journal!$B$7:$J$84,9))</f>
        <v/>
      </c>
      <c r="E1758" s="116"/>
      <c r="F1758" s="116"/>
      <c r="G1758" s="115"/>
      <c r="H1758" s="84" t="str">
        <f>IF(B1758="","",VLOOKUP(A1758,Journal!$B$7:$L$84,11))</f>
        <v/>
      </c>
      <c r="I1758" s="84" t="str">
        <f>IF(B1758="","",VLOOKUP(A1758,Journal!$B$7:$M$84,12))</f>
        <v/>
      </c>
      <c r="J1758" s="105">
        <f>IF(B1758="Total",SUM(J$8:J1757)+0.0001,IF(OR(B1758="",I$2=I1758),0,VLOOKUP(A1758,Journal!$B$7:M$84,8)))</f>
        <v>0</v>
      </c>
      <c r="K1758" s="102">
        <f>IF(B1758="Total",SUM(K$8:K1757)+0.0001,IF(OR(B1758="",J1758&lt;&gt;0),0,VLOOKUP(A1758,Journal!$B$7:M$84,8)))</f>
        <v>0</v>
      </c>
      <c r="L1758" s="87">
        <f t="shared" si="212"/>
        <v>0</v>
      </c>
      <c r="P1758">
        <f t="shared" si="213"/>
        <v>1.0000000000000001E-5</v>
      </c>
      <c r="R1758" s="15">
        <f t="shared" si="208"/>
        <v>1751</v>
      </c>
      <c r="S1758" s="126">
        <f>IF(VLOOKUP(A1758,Journal!$A$7:$E$70,5)=0,S1757+1,VLOOKUP(A1758,Journal!$A$7:$E$70,5))</f>
        <v>47408</v>
      </c>
      <c r="T1758" s="125">
        <f>IF(H$2=VLOOKUP(A1758,Journal!$A$7:$F$70,6),VLOOKUP(A1758,Journal!$A$7:M$70,9),0)</f>
        <v>0</v>
      </c>
      <c r="U1758" s="125">
        <f>IF(H$2=VLOOKUP(A1758,Journal!$A$7:$G$70,7),VLOOKUP(A1758,Journal!$A$7:M$70,9),0)</f>
        <v>0</v>
      </c>
      <c r="V1758" s="125">
        <f t="shared" si="211"/>
        <v>40</v>
      </c>
      <c r="X1758">
        <f t="shared" si="209"/>
        <v>0</v>
      </c>
      <c r="Y1758" s="143">
        <f t="shared" si="210"/>
        <v>-954.00000000007321</v>
      </c>
    </row>
    <row r="1759" spans="1:25" x14ac:dyDescent="0.25">
      <c r="A1759">
        <f t="shared" si="214"/>
        <v>1752</v>
      </c>
      <c r="B1759" s="88" t="str">
        <f>IF(OR(B1758="Total",B1758=""),"",IF(VLOOKUP(A1759,Journal!$B$7:$E$84,4)=0,"Total",VLOOKUP(A1759,Journal!$B$7:$D$84,3)))</f>
        <v/>
      </c>
      <c r="C1759" s="86" t="str">
        <f>IF(B1759="","",VLOOKUP(A1759,Journal!$B$7:$E$84,4))</f>
        <v/>
      </c>
      <c r="D1759" s="114" t="str">
        <f>IF(B1759="","",VLOOKUP(A1759,Journal!$B$7:$J$84,9))</f>
        <v/>
      </c>
      <c r="E1759" s="116"/>
      <c r="F1759" s="116"/>
      <c r="G1759" s="115"/>
      <c r="H1759" s="84" t="str">
        <f>IF(B1759="","",VLOOKUP(A1759,Journal!$B$7:$L$84,11))</f>
        <v/>
      </c>
      <c r="I1759" s="84" t="str">
        <f>IF(B1759="","",VLOOKUP(A1759,Journal!$B$7:$M$84,12))</f>
        <v/>
      </c>
      <c r="J1759" s="105">
        <f>IF(B1759="Total",SUM(J$8:J1758)+0.0001,IF(OR(B1759="",I$2=I1759),0,VLOOKUP(A1759,Journal!$B$7:M$84,8)))</f>
        <v>0</v>
      </c>
      <c r="K1759" s="102">
        <f>IF(B1759="Total",SUM(K$8:K1758)+0.0001,IF(OR(B1759="",J1759&lt;&gt;0),0,VLOOKUP(A1759,Journal!$B$7:M$84,8)))</f>
        <v>0</v>
      </c>
      <c r="L1759" s="87">
        <f t="shared" si="212"/>
        <v>0</v>
      </c>
      <c r="P1759">
        <f t="shared" si="213"/>
        <v>1.0000000000000001E-5</v>
      </c>
      <c r="R1759" s="15">
        <f t="shared" si="208"/>
        <v>1752</v>
      </c>
      <c r="S1759" s="126">
        <f>IF(VLOOKUP(A1759,Journal!$A$7:$E$70,5)=0,S1758+1,VLOOKUP(A1759,Journal!$A$7:$E$70,5))</f>
        <v>47409</v>
      </c>
      <c r="T1759" s="125">
        <f>IF(H$2=VLOOKUP(A1759,Journal!$A$7:$F$70,6),VLOOKUP(A1759,Journal!$A$7:M$70,9),0)</f>
        <v>0</v>
      </c>
      <c r="U1759" s="125">
        <f>IF(H$2=VLOOKUP(A1759,Journal!$A$7:$G$70,7),VLOOKUP(A1759,Journal!$A$7:M$70,9),0)</f>
        <v>0</v>
      </c>
      <c r="V1759" s="125">
        <f t="shared" si="211"/>
        <v>40</v>
      </c>
      <c r="X1759">
        <f t="shared" si="209"/>
        <v>0</v>
      </c>
      <c r="Y1759" s="143">
        <f t="shared" si="210"/>
        <v>-953.97368421059957</v>
      </c>
    </row>
    <row r="1760" spans="1:25" x14ac:dyDescent="0.25">
      <c r="A1760">
        <f t="shared" si="214"/>
        <v>1753</v>
      </c>
      <c r="B1760" s="88" t="str">
        <f>IF(OR(B1759="Total",B1759=""),"",IF(VLOOKUP(A1760,Journal!$B$7:$E$84,4)=0,"Total",VLOOKUP(A1760,Journal!$B$7:$D$84,3)))</f>
        <v/>
      </c>
      <c r="C1760" s="86" t="str">
        <f>IF(B1760="","",VLOOKUP(A1760,Journal!$B$7:$E$84,4))</f>
        <v/>
      </c>
      <c r="D1760" s="114" t="str">
        <f>IF(B1760="","",VLOOKUP(A1760,Journal!$B$7:$J$84,9))</f>
        <v/>
      </c>
      <c r="E1760" s="116"/>
      <c r="F1760" s="116"/>
      <c r="G1760" s="115"/>
      <c r="H1760" s="84" t="str">
        <f>IF(B1760="","",VLOOKUP(A1760,Journal!$B$7:$L$84,11))</f>
        <v/>
      </c>
      <c r="I1760" s="84" t="str">
        <f>IF(B1760="","",VLOOKUP(A1760,Journal!$B$7:$M$84,12))</f>
        <v/>
      </c>
      <c r="J1760" s="105">
        <f>IF(B1760="Total",SUM(J$8:J1759)+0.0001,IF(OR(B1760="",I$2=I1760),0,VLOOKUP(A1760,Journal!$B$7:M$84,8)))</f>
        <v>0</v>
      </c>
      <c r="K1760" s="102">
        <f>IF(B1760="Total",SUM(K$8:K1759)+0.0001,IF(OR(B1760="",J1760&lt;&gt;0),0,VLOOKUP(A1760,Journal!$B$7:M$84,8)))</f>
        <v>0</v>
      </c>
      <c r="L1760" s="87">
        <f t="shared" si="212"/>
        <v>0</v>
      </c>
      <c r="P1760">
        <f t="shared" si="213"/>
        <v>1.0000000000000001E-5</v>
      </c>
      <c r="R1760" s="15">
        <f t="shared" si="208"/>
        <v>1753</v>
      </c>
      <c r="S1760" s="126">
        <f>IF(VLOOKUP(A1760,Journal!$A$7:$E$70,5)=0,S1759+1,VLOOKUP(A1760,Journal!$A$7:$E$70,5))</f>
        <v>47410</v>
      </c>
      <c r="T1760" s="125">
        <f>IF(H$2=VLOOKUP(A1760,Journal!$A$7:$F$70,6),VLOOKUP(A1760,Journal!$A$7:M$70,9),0)</f>
        <v>0</v>
      </c>
      <c r="U1760" s="125">
        <f>IF(H$2=VLOOKUP(A1760,Journal!$A$7:$G$70,7),VLOOKUP(A1760,Journal!$A$7:M$70,9),0)</f>
        <v>0</v>
      </c>
      <c r="V1760" s="125">
        <f t="shared" si="211"/>
        <v>40</v>
      </c>
      <c r="X1760">
        <f t="shared" si="209"/>
        <v>0</v>
      </c>
      <c r="Y1760" s="143">
        <f t="shared" si="210"/>
        <v>-953.94736842112593</v>
      </c>
    </row>
    <row r="1761" spans="1:25" x14ac:dyDescent="0.25">
      <c r="A1761">
        <f t="shared" si="214"/>
        <v>1754</v>
      </c>
      <c r="B1761" s="88" t="str">
        <f>IF(OR(B1760="Total",B1760=""),"",IF(VLOOKUP(A1761,Journal!$B$7:$E$84,4)=0,"Total",VLOOKUP(A1761,Journal!$B$7:$D$84,3)))</f>
        <v/>
      </c>
      <c r="C1761" s="86" t="str">
        <f>IF(B1761="","",VLOOKUP(A1761,Journal!$B$7:$E$84,4))</f>
        <v/>
      </c>
      <c r="D1761" s="114" t="str">
        <f>IF(B1761="","",VLOOKUP(A1761,Journal!$B$7:$J$84,9))</f>
        <v/>
      </c>
      <c r="E1761" s="116"/>
      <c r="F1761" s="116"/>
      <c r="G1761" s="115"/>
      <c r="H1761" s="84" t="str">
        <f>IF(B1761="","",VLOOKUP(A1761,Journal!$B$7:$L$84,11))</f>
        <v/>
      </c>
      <c r="I1761" s="84" t="str">
        <f>IF(B1761="","",VLOOKUP(A1761,Journal!$B$7:$M$84,12))</f>
        <v/>
      </c>
      <c r="J1761" s="105">
        <f>IF(B1761="Total",SUM(J$8:J1760)+0.0001,IF(OR(B1761="",I$2=I1761),0,VLOOKUP(A1761,Journal!$B$7:M$84,8)))</f>
        <v>0</v>
      </c>
      <c r="K1761" s="102">
        <f>IF(B1761="Total",SUM(K$8:K1760)+0.0001,IF(OR(B1761="",J1761&lt;&gt;0),0,VLOOKUP(A1761,Journal!$B$7:M$84,8)))</f>
        <v>0</v>
      </c>
      <c r="L1761" s="87">
        <f t="shared" si="212"/>
        <v>0</v>
      </c>
      <c r="P1761">
        <f t="shared" si="213"/>
        <v>1.0000000000000001E-5</v>
      </c>
      <c r="R1761" s="15">
        <f t="shared" si="208"/>
        <v>1754</v>
      </c>
      <c r="S1761" s="126">
        <f>IF(VLOOKUP(A1761,Journal!$A$7:$E$70,5)=0,S1760+1,VLOOKUP(A1761,Journal!$A$7:$E$70,5))</f>
        <v>47411</v>
      </c>
      <c r="T1761" s="125">
        <f>IF(H$2=VLOOKUP(A1761,Journal!$A$7:$F$70,6),VLOOKUP(A1761,Journal!$A$7:M$70,9),0)</f>
        <v>0</v>
      </c>
      <c r="U1761" s="125">
        <f>IF(H$2=VLOOKUP(A1761,Journal!$A$7:$G$70,7),VLOOKUP(A1761,Journal!$A$7:M$70,9),0)</f>
        <v>0</v>
      </c>
      <c r="V1761" s="125">
        <f t="shared" si="211"/>
        <v>40</v>
      </c>
      <c r="X1761">
        <f t="shared" si="209"/>
        <v>0</v>
      </c>
      <c r="Y1761" s="143">
        <f t="shared" si="210"/>
        <v>-953.92105263165229</v>
      </c>
    </row>
    <row r="1762" spans="1:25" x14ac:dyDescent="0.25">
      <c r="A1762">
        <f t="shared" si="214"/>
        <v>1755</v>
      </c>
      <c r="B1762" s="88" t="str">
        <f>IF(OR(B1761="Total",B1761=""),"",IF(VLOOKUP(A1762,Journal!$B$7:$E$84,4)=0,"Total",VLOOKUP(A1762,Journal!$B$7:$D$84,3)))</f>
        <v/>
      </c>
      <c r="C1762" s="86" t="str">
        <f>IF(B1762="","",VLOOKUP(A1762,Journal!$B$7:$E$84,4))</f>
        <v/>
      </c>
      <c r="D1762" s="114" t="str">
        <f>IF(B1762="","",VLOOKUP(A1762,Journal!$B$7:$J$84,9))</f>
        <v/>
      </c>
      <c r="E1762" s="116"/>
      <c r="F1762" s="116"/>
      <c r="G1762" s="115"/>
      <c r="H1762" s="84" t="str">
        <f>IF(B1762="","",VLOOKUP(A1762,Journal!$B$7:$L$84,11))</f>
        <v/>
      </c>
      <c r="I1762" s="84" t="str">
        <f>IF(B1762="","",VLOOKUP(A1762,Journal!$B$7:$M$84,12))</f>
        <v/>
      </c>
      <c r="J1762" s="105">
        <f>IF(B1762="Total",SUM(J$8:J1761)+0.0001,IF(OR(B1762="",I$2=I1762),0,VLOOKUP(A1762,Journal!$B$7:M$84,8)))</f>
        <v>0</v>
      </c>
      <c r="K1762" s="102">
        <f>IF(B1762="Total",SUM(K$8:K1761)+0.0001,IF(OR(B1762="",J1762&lt;&gt;0),0,VLOOKUP(A1762,Journal!$B$7:M$84,8)))</f>
        <v>0</v>
      </c>
      <c r="L1762" s="87">
        <f t="shared" si="212"/>
        <v>0</v>
      </c>
      <c r="P1762">
        <f t="shared" si="213"/>
        <v>1.0000000000000001E-5</v>
      </c>
      <c r="R1762" s="15">
        <f t="shared" si="208"/>
        <v>1755</v>
      </c>
      <c r="S1762" s="126">
        <f>IF(VLOOKUP(A1762,Journal!$A$7:$E$70,5)=0,S1761+1,VLOOKUP(A1762,Journal!$A$7:$E$70,5))</f>
        <v>47412</v>
      </c>
      <c r="T1762" s="125">
        <f>IF(H$2=VLOOKUP(A1762,Journal!$A$7:$F$70,6),VLOOKUP(A1762,Journal!$A$7:M$70,9),0)</f>
        <v>0</v>
      </c>
      <c r="U1762" s="125">
        <f>IF(H$2=VLOOKUP(A1762,Journal!$A$7:$G$70,7),VLOOKUP(A1762,Journal!$A$7:M$70,9),0)</f>
        <v>0</v>
      </c>
      <c r="V1762" s="125">
        <f t="shared" si="211"/>
        <v>40</v>
      </c>
      <c r="X1762">
        <f t="shared" si="209"/>
        <v>0</v>
      </c>
      <c r="Y1762" s="143">
        <f t="shared" si="210"/>
        <v>-953.89473684217865</v>
      </c>
    </row>
    <row r="1763" spans="1:25" x14ac:dyDescent="0.25">
      <c r="A1763">
        <f t="shared" si="214"/>
        <v>1756</v>
      </c>
      <c r="B1763" s="88" t="str">
        <f>IF(OR(B1762="Total",B1762=""),"",IF(VLOOKUP(A1763,Journal!$B$7:$E$84,4)=0,"Total",VLOOKUP(A1763,Journal!$B$7:$D$84,3)))</f>
        <v/>
      </c>
      <c r="C1763" s="86" t="str">
        <f>IF(B1763="","",VLOOKUP(A1763,Journal!$B$7:$E$84,4))</f>
        <v/>
      </c>
      <c r="D1763" s="114" t="str">
        <f>IF(B1763="","",VLOOKUP(A1763,Journal!$B$7:$J$84,9))</f>
        <v/>
      </c>
      <c r="E1763" s="116"/>
      <c r="F1763" s="116"/>
      <c r="G1763" s="115"/>
      <c r="H1763" s="84" t="str">
        <f>IF(B1763="","",VLOOKUP(A1763,Journal!$B$7:$L$84,11))</f>
        <v/>
      </c>
      <c r="I1763" s="84" t="str">
        <f>IF(B1763="","",VLOOKUP(A1763,Journal!$B$7:$M$84,12))</f>
        <v/>
      </c>
      <c r="J1763" s="105">
        <f>IF(B1763="Total",SUM(J$8:J1762)+0.0001,IF(OR(B1763="",I$2=I1763),0,VLOOKUP(A1763,Journal!$B$7:M$84,8)))</f>
        <v>0</v>
      </c>
      <c r="K1763" s="102">
        <f>IF(B1763="Total",SUM(K$8:K1762)+0.0001,IF(OR(B1763="",J1763&lt;&gt;0),0,VLOOKUP(A1763,Journal!$B$7:M$84,8)))</f>
        <v>0</v>
      </c>
      <c r="L1763" s="87">
        <f t="shared" si="212"/>
        <v>0</v>
      </c>
      <c r="P1763">
        <f t="shared" si="213"/>
        <v>1.0000000000000001E-5</v>
      </c>
      <c r="R1763" s="15">
        <f t="shared" si="208"/>
        <v>1756</v>
      </c>
      <c r="S1763" s="126">
        <f>IF(VLOOKUP(A1763,Journal!$A$7:$E$70,5)=0,S1762+1,VLOOKUP(A1763,Journal!$A$7:$E$70,5))</f>
        <v>47413</v>
      </c>
      <c r="T1763" s="125">
        <f>IF(H$2=VLOOKUP(A1763,Journal!$A$7:$F$70,6),VLOOKUP(A1763,Journal!$A$7:M$70,9),0)</f>
        <v>0</v>
      </c>
      <c r="U1763" s="125">
        <f>IF(H$2=VLOOKUP(A1763,Journal!$A$7:$G$70,7),VLOOKUP(A1763,Journal!$A$7:M$70,9),0)</f>
        <v>0</v>
      </c>
      <c r="V1763" s="125">
        <f t="shared" si="211"/>
        <v>40</v>
      </c>
      <c r="X1763">
        <f t="shared" si="209"/>
        <v>0</v>
      </c>
      <c r="Y1763" s="143">
        <f t="shared" si="210"/>
        <v>-953.868421052705</v>
      </c>
    </row>
    <row r="1764" spans="1:25" x14ac:dyDescent="0.25">
      <c r="A1764">
        <f t="shared" si="214"/>
        <v>1757</v>
      </c>
      <c r="B1764" s="88" t="str">
        <f>IF(OR(B1763="Total",B1763=""),"",IF(VLOOKUP(A1764,Journal!$B$7:$E$84,4)=0,"Total",VLOOKUP(A1764,Journal!$B$7:$D$84,3)))</f>
        <v/>
      </c>
      <c r="C1764" s="86" t="str">
        <f>IF(B1764="","",VLOOKUP(A1764,Journal!$B$7:$E$84,4))</f>
        <v/>
      </c>
      <c r="D1764" s="114" t="str">
        <f>IF(B1764="","",VLOOKUP(A1764,Journal!$B$7:$J$84,9))</f>
        <v/>
      </c>
      <c r="E1764" s="116"/>
      <c r="F1764" s="116"/>
      <c r="G1764" s="115"/>
      <c r="H1764" s="84" t="str">
        <f>IF(B1764="","",VLOOKUP(A1764,Journal!$B$7:$L$84,11))</f>
        <v/>
      </c>
      <c r="I1764" s="84" t="str">
        <f>IF(B1764="","",VLOOKUP(A1764,Journal!$B$7:$M$84,12))</f>
        <v/>
      </c>
      <c r="J1764" s="105">
        <f>IF(B1764="Total",SUM(J$8:J1763)+0.0001,IF(OR(B1764="",I$2=I1764),0,VLOOKUP(A1764,Journal!$B$7:M$84,8)))</f>
        <v>0</v>
      </c>
      <c r="K1764" s="102">
        <f>IF(B1764="Total",SUM(K$8:K1763)+0.0001,IF(OR(B1764="",J1764&lt;&gt;0),0,VLOOKUP(A1764,Journal!$B$7:M$84,8)))</f>
        <v>0</v>
      </c>
      <c r="L1764" s="87">
        <f t="shared" si="212"/>
        <v>0</v>
      </c>
      <c r="P1764">
        <f t="shared" si="213"/>
        <v>1.0000000000000001E-5</v>
      </c>
      <c r="R1764" s="15">
        <f t="shared" si="208"/>
        <v>1757</v>
      </c>
      <c r="S1764" s="126">
        <f>IF(VLOOKUP(A1764,Journal!$A$7:$E$70,5)=0,S1763+1,VLOOKUP(A1764,Journal!$A$7:$E$70,5))</f>
        <v>47414</v>
      </c>
      <c r="T1764" s="125">
        <f>IF(H$2=VLOOKUP(A1764,Journal!$A$7:$F$70,6),VLOOKUP(A1764,Journal!$A$7:M$70,9),0)</f>
        <v>0</v>
      </c>
      <c r="U1764" s="125">
        <f>IF(H$2=VLOOKUP(A1764,Journal!$A$7:$G$70,7),VLOOKUP(A1764,Journal!$A$7:M$70,9),0)</f>
        <v>0</v>
      </c>
      <c r="V1764" s="125">
        <f t="shared" si="211"/>
        <v>40</v>
      </c>
      <c r="X1764">
        <f t="shared" si="209"/>
        <v>0</v>
      </c>
      <c r="Y1764" s="143">
        <f t="shared" si="210"/>
        <v>-953.84210526323136</v>
      </c>
    </row>
    <row r="1765" spans="1:25" x14ac:dyDescent="0.25">
      <c r="A1765">
        <f t="shared" si="214"/>
        <v>1758</v>
      </c>
      <c r="B1765" s="88" t="str">
        <f>IF(OR(B1764="Total",B1764=""),"",IF(VLOOKUP(A1765,Journal!$B$7:$E$84,4)=0,"Total",VLOOKUP(A1765,Journal!$B$7:$D$84,3)))</f>
        <v/>
      </c>
      <c r="C1765" s="86" t="str">
        <f>IF(B1765="","",VLOOKUP(A1765,Journal!$B$7:$E$84,4))</f>
        <v/>
      </c>
      <c r="D1765" s="114" t="str">
        <f>IF(B1765="","",VLOOKUP(A1765,Journal!$B$7:$J$84,9))</f>
        <v/>
      </c>
      <c r="E1765" s="116"/>
      <c r="F1765" s="116"/>
      <c r="G1765" s="115"/>
      <c r="H1765" s="84" t="str">
        <f>IF(B1765="","",VLOOKUP(A1765,Journal!$B$7:$L$84,11))</f>
        <v/>
      </c>
      <c r="I1765" s="84" t="str">
        <f>IF(B1765="","",VLOOKUP(A1765,Journal!$B$7:$M$84,12))</f>
        <v/>
      </c>
      <c r="J1765" s="105">
        <f>IF(B1765="Total",SUM(J$8:J1764)+0.0001,IF(OR(B1765="",I$2=I1765),0,VLOOKUP(A1765,Journal!$B$7:M$84,8)))</f>
        <v>0</v>
      </c>
      <c r="K1765" s="102">
        <f>IF(B1765="Total",SUM(K$8:K1764)+0.0001,IF(OR(B1765="",J1765&lt;&gt;0),0,VLOOKUP(A1765,Journal!$B$7:M$84,8)))</f>
        <v>0</v>
      </c>
      <c r="L1765" s="87">
        <f t="shared" si="212"/>
        <v>0</v>
      </c>
      <c r="P1765">
        <f t="shared" si="213"/>
        <v>1.0000000000000001E-5</v>
      </c>
      <c r="R1765" s="15">
        <f t="shared" si="208"/>
        <v>1758</v>
      </c>
      <c r="S1765" s="126">
        <f>IF(VLOOKUP(A1765,Journal!$A$7:$E$70,5)=0,S1764+1,VLOOKUP(A1765,Journal!$A$7:$E$70,5))</f>
        <v>47415</v>
      </c>
      <c r="T1765" s="125">
        <f>IF(H$2=VLOOKUP(A1765,Journal!$A$7:$F$70,6),VLOOKUP(A1765,Journal!$A$7:M$70,9),0)</f>
        <v>0</v>
      </c>
      <c r="U1765" s="125">
        <f>IF(H$2=VLOOKUP(A1765,Journal!$A$7:$G$70,7),VLOOKUP(A1765,Journal!$A$7:M$70,9),0)</f>
        <v>0</v>
      </c>
      <c r="V1765" s="125">
        <f t="shared" si="211"/>
        <v>40</v>
      </c>
      <c r="X1765">
        <f t="shared" si="209"/>
        <v>0</v>
      </c>
      <c r="Y1765" s="143">
        <f t="shared" si="210"/>
        <v>-953.81578947375772</v>
      </c>
    </row>
    <row r="1766" spans="1:25" x14ac:dyDescent="0.25">
      <c r="A1766">
        <f t="shared" si="214"/>
        <v>1759</v>
      </c>
      <c r="B1766" s="88" t="str">
        <f>IF(OR(B1765="Total",B1765=""),"",IF(VLOOKUP(A1766,Journal!$B$7:$E$84,4)=0,"Total",VLOOKUP(A1766,Journal!$B$7:$D$84,3)))</f>
        <v/>
      </c>
      <c r="C1766" s="86" t="str">
        <f>IF(B1766="","",VLOOKUP(A1766,Journal!$B$7:$E$84,4))</f>
        <v/>
      </c>
      <c r="D1766" s="114" t="str">
        <f>IF(B1766="","",VLOOKUP(A1766,Journal!$B$7:$J$84,9))</f>
        <v/>
      </c>
      <c r="E1766" s="116"/>
      <c r="F1766" s="116"/>
      <c r="G1766" s="115"/>
      <c r="H1766" s="84" t="str">
        <f>IF(B1766="","",VLOOKUP(A1766,Journal!$B$7:$L$84,11))</f>
        <v/>
      </c>
      <c r="I1766" s="84" t="str">
        <f>IF(B1766="","",VLOOKUP(A1766,Journal!$B$7:$M$84,12))</f>
        <v/>
      </c>
      <c r="J1766" s="105">
        <f>IF(B1766="Total",SUM(J$8:J1765)+0.0001,IF(OR(B1766="",I$2=I1766),0,VLOOKUP(A1766,Journal!$B$7:M$84,8)))</f>
        <v>0</v>
      </c>
      <c r="K1766" s="102">
        <f>IF(B1766="Total",SUM(K$8:K1765)+0.0001,IF(OR(B1766="",J1766&lt;&gt;0),0,VLOOKUP(A1766,Journal!$B$7:M$84,8)))</f>
        <v>0</v>
      </c>
      <c r="L1766" s="87">
        <f t="shared" si="212"/>
        <v>0</v>
      </c>
      <c r="P1766">
        <f t="shared" si="213"/>
        <v>1.0000000000000001E-5</v>
      </c>
      <c r="R1766" s="15">
        <f t="shared" si="208"/>
        <v>1759</v>
      </c>
      <c r="S1766" s="126">
        <f>IF(VLOOKUP(A1766,Journal!$A$7:$E$70,5)=0,S1765+1,VLOOKUP(A1766,Journal!$A$7:$E$70,5))</f>
        <v>47416</v>
      </c>
      <c r="T1766" s="125">
        <f>IF(H$2=VLOOKUP(A1766,Journal!$A$7:$F$70,6),VLOOKUP(A1766,Journal!$A$7:M$70,9),0)</f>
        <v>0</v>
      </c>
      <c r="U1766" s="125">
        <f>IF(H$2=VLOOKUP(A1766,Journal!$A$7:$G$70,7),VLOOKUP(A1766,Journal!$A$7:M$70,9),0)</f>
        <v>0</v>
      </c>
      <c r="V1766" s="125">
        <f t="shared" si="211"/>
        <v>40</v>
      </c>
      <c r="X1766">
        <f t="shared" si="209"/>
        <v>0</v>
      </c>
      <c r="Y1766" s="143">
        <f t="shared" si="210"/>
        <v>-953.78947368428408</v>
      </c>
    </row>
    <row r="1767" spans="1:25" x14ac:dyDescent="0.25">
      <c r="A1767">
        <f t="shared" si="214"/>
        <v>1760</v>
      </c>
      <c r="B1767" s="88" t="str">
        <f>IF(OR(B1766="Total",B1766=""),"",IF(VLOOKUP(A1767,Journal!$B$7:$E$84,4)=0,"Total",VLOOKUP(A1767,Journal!$B$7:$D$84,3)))</f>
        <v/>
      </c>
      <c r="C1767" s="86" t="str">
        <f>IF(B1767="","",VLOOKUP(A1767,Journal!$B$7:$E$84,4))</f>
        <v/>
      </c>
      <c r="D1767" s="114" t="str">
        <f>IF(B1767="","",VLOOKUP(A1767,Journal!$B$7:$J$84,9))</f>
        <v/>
      </c>
      <c r="E1767" s="116"/>
      <c r="F1767" s="116"/>
      <c r="G1767" s="115"/>
      <c r="H1767" s="84" t="str">
        <f>IF(B1767="","",VLOOKUP(A1767,Journal!$B$7:$L$84,11))</f>
        <v/>
      </c>
      <c r="I1767" s="84" t="str">
        <f>IF(B1767="","",VLOOKUP(A1767,Journal!$B$7:$M$84,12))</f>
        <v/>
      </c>
      <c r="J1767" s="105">
        <f>IF(B1767="Total",SUM(J$8:J1766)+0.0001,IF(OR(B1767="",I$2=I1767),0,VLOOKUP(A1767,Journal!$B$7:M$84,8)))</f>
        <v>0</v>
      </c>
      <c r="K1767" s="102">
        <f>IF(B1767="Total",SUM(K$8:K1766)+0.0001,IF(OR(B1767="",J1767&lt;&gt;0),0,VLOOKUP(A1767,Journal!$B$7:M$84,8)))</f>
        <v>0</v>
      </c>
      <c r="L1767" s="87">
        <f t="shared" si="212"/>
        <v>0</v>
      </c>
      <c r="P1767">
        <f t="shared" si="213"/>
        <v>1.0000000000000001E-5</v>
      </c>
      <c r="R1767" s="15">
        <f t="shared" si="208"/>
        <v>1760</v>
      </c>
      <c r="S1767" s="126">
        <f>IF(VLOOKUP(A1767,Journal!$A$7:$E$70,5)=0,S1766+1,VLOOKUP(A1767,Journal!$A$7:$E$70,5))</f>
        <v>47417</v>
      </c>
      <c r="T1767" s="125">
        <f>IF(H$2=VLOOKUP(A1767,Journal!$A$7:$F$70,6),VLOOKUP(A1767,Journal!$A$7:M$70,9),0)</f>
        <v>0</v>
      </c>
      <c r="U1767" s="125">
        <f>IF(H$2=VLOOKUP(A1767,Journal!$A$7:$G$70,7),VLOOKUP(A1767,Journal!$A$7:M$70,9),0)</f>
        <v>0</v>
      </c>
      <c r="V1767" s="125">
        <f t="shared" si="211"/>
        <v>40</v>
      </c>
      <c r="X1767">
        <f t="shared" si="209"/>
        <v>0</v>
      </c>
      <c r="Y1767" s="143">
        <f t="shared" si="210"/>
        <v>-953.76315789481043</v>
      </c>
    </row>
    <row r="1768" spans="1:25" x14ac:dyDescent="0.25">
      <c r="A1768">
        <f t="shared" si="214"/>
        <v>1761</v>
      </c>
      <c r="B1768" s="88" t="str">
        <f>IF(OR(B1767="Total",B1767=""),"",IF(VLOOKUP(A1768,Journal!$B$7:$E$84,4)=0,"Total",VLOOKUP(A1768,Journal!$B$7:$D$84,3)))</f>
        <v/>
      </c>
      <c r="C1768" s="86" t="str">
        <f>IF(B1768="","",VLOOKUP(A1768,Journal!$B$7:$E$84,4))</f>
        <v/>
      </c>
      <c r="D1768" s="114" t="str">
        <f>IF(B1768="","",VLOOKUP(A1768,Journal!$B$7:$J$84,9))</f>
        <v/>
      </c>
      <c r="E1768" s="116"/>
      <c r="F1768" s="116"/>
      <c r="G1768" s="115"/>
      <c r="H1768" s="84" t="str">
        <f>IF(B1768="","",VLOOKUP(A1768,Journal!$B$7:$L$84,11))</f>
        <v/>
      </c>
      <c r="I1768" s="84" t="str">
        <f>IF(B1768="","",VLOOKUP(A1768,Journal!$B$7:$M$84,12))</f>
        <v/>
      </c>
      <c r="J1768" s="105">
        <f>IF(B1768="Total",SUM(J$8:J1767)+0.0001,IF(OR(B1768="",I$2=I1768),0,VLOOKUP(A1768,Journal!$B$7:M$84,8)))</f>
        <v>0</v>
      </c>
      <c r="K1768" s="102">
        <f>IF(B1768="Total",SUM(K$8:K1767)+0.0001,IF(OR(B1768="",J1768&lt;&gt;0),0,VLOOKUP(A1768,Journal!$B$7:M$84,8)))</f>
        <v>0</v>
      </c>
      <c r="L1768" s="87">
        <f t="shared" si="212"/>
        <v>0</v>
      </c>
      <c r="P1768">
        <f t="shared" si="213"/>
        <v>1.0000000000000001E-5</v>
      </c>
      <c r="R1768" s="15">
        <f t="shared" si="208"/>
        <v>1761</v>
      </c>
      <c r="S1768" s="126">
        <f>IF(VLOOKUP(A1768,Journal!$A$7:$E$70,5)=0,S1767+1,VLOOKUP(A1768,Journal!$A$7:$E$70,5))</f>
        <v>47418</v>
      </c>
      <c r="T1768" s="125">
        <f>IF(H$2=VLOOKUP(A1768,Journal!$A$7:$F$70,6),VLOOKUP(A1768,Journal!$A$7:M$70,9),0)</f>
        <v>0</v>
      </c>
      <c r="U1768" s="125">
        <f>IF(H$2=VLOOKUP(A1768,Journal!$A$7:$G$70,7),VLOOKUP(A1768,Journal!$A$7:M$70,9),0)</f>
        <v>0</v>
      </c>
      <c r="V1768" s="125">
        <f t="shared" si="211"/>
        <v>40</v>
      </c>
      <c r="X1768">
        <f t="shared" si="209"/>
        <v>0</v>
      </c>
      <c r="Y1768" s="143">
        <f t="shared" si="210"/>
        <v>-953.73684210533679</v>
      </c>
    </row>
    <row r="1769" spans="1:25" x14ac:dyDescent="0.25">
      <c r="A1769">
        <f t="shared" si="214"/>
        <v>1762</v>
      </c>
      <c r="B1769" s="88" t="str">
        <f>IF(OR(B1768="Total",B1768=""),"",IF(VLOOKUP(A1769,Journal!$B$7:$E$84,4)=0,"Total",VLOOKUP(A1769,Journal!$B$7:$D$84,3)))</f>
        <v/>
      </c>
      <c r="C1769" s="86" t="str">
        <f>IF(B1769="","",VLOOKUP(A1769,Journal!$B$7:$E$84,4))</f>
        <v/>
      </c>
      <c r="D1769" s="114" t="str">
        <f>IF(B1769="","",VLOOKUP(A1769,Journal!$B$7:$J$84,9))</f>
        <v/>
      </c>
      <c r="E1769" s="116"/>
      <c r="F1769" s="116"/>
      <c r="G1769" s="115"/>
      <c r="H1769" s="84" t="str">
        <f>IF(B1769="","",VLOOKUP(A1769,Journal!$B$7:$L$84,11))</f>
        <v/>
      </c>
      <c r="I1769" s="84" t="str">
        <f>IF(B1769="","",VLOOKUP(A1769,Journal!$B$7:$M$84,12))</f>
        <v/>
      </c>
      <c r="J1769" s="105">
        <f>IF(B1769="Total",SUM(J$8:J1768)+0.0001,IF(OR(B1769="",I$2=I1769),0,VLOOKUP(A1769,Journal!$B$7:M$84,8)))</f>
        <v>0</v>
      </c>
      <c r="K1769" s="102">
        <f>IF(B1769="Total",SUM(K$8:K1768)+0.0001,IF(OR(B1769="",J1769&lt;&gt;0),0,VLOOKUP(A1769,Journal!$B$7:M$84,8)))</f>
        <v>0</v>
      </c>
      <c r="L1769" s="87">
        <f t="shared" si="212"/>
        <v>0</v>
      </c>
      <c r="P1769">
        <f t="shared" si="213"/>
        <v>1.0000000000000001E-5</v>
      </c>
      <c r="R1769" s="15">
        <f t="shared" si="208"/>
        <v>1762</v>
      </c>
      <c r="S1769" s="126">
        <f>IF(VLOOKUP(A1769,Journal!$A$7:$E$70,5)=0,S1768+1,VLOOKUP(A1769,Journal!$A$7:$E$70,5))</f>
        <v>47419</v>
      </c>
      <c r="T1769" s="125">
        <f>IF(H$2=VLOOKUP(A1769,Journal!$A$7:$F$70,6),VLOOKUP(A1769,Journal!$A$7:M$70,9),0)</f>
        <v>0</v>
      </c>
      <c r="U1769" s="125">
        <f>IF(H$2=VLOOKUP(A1769,Journal!$A$7:$G$70,7),VLOOKUP(A1769,Journal!$A$7:M$70,9),0)</f>
        <v>0</v>
      </c>
      <c r="V1769" s="125">
        <f t="shared" si="211"/>
        <v>40</v>
      </c>
      <c r="X1769">
        <f t="shared" si="209"/>
        <v>0</v>
      </c>
      <c r="Y1769" s="143">
        <f t="shared" si="210"/>
        <v>-953.71052631586315</v>
      </c>
    </row>
    <row r="1770" spans="1:25" x14ac:dyDescent="0.25">
      <c r="A1770">
        <f t="shared" si="214"/>
        <v>1763</v>
      </c>
      <c r="B1770" s="88" t="str">
        <f>IF(OR(B1769="Total",B1769=""),"",IF(VLOOKUP(A1770,Journal!$B$7:$E$84,4)=0,"Total",VLOOKUP(A1770,Journal!$B$7:$D$84,3)))</f>
        <v/>
      </c>
      <c r="C1770" s="86" t="str">
        <f>IF(B1770="","",VLOOKUP(A1770,Journal!$B$7:$E$84,4))</f>
        <v/>
      </c>
      <c r="D1770" s="114" t="str">
        <f>IF(B1770="","",VLOOKUP(A1770,Journal!$B$7:$J$84,9))</f>
        <v/>
      </c>
      <c r="E1770" s="116"/>
      <c r="F1770" s="116"/>
      <c r="G1770" s="115"/>
      <c r="H1770" s="84" t="str">
        <f>IF(B1770="","",VLOOKUP(A1770,Journal!$B$7:$L$84,11))</f>
        <v/>
      </c>
      <c r="I1770" s="84" t="str">
        <f>IF(B1770="","",VLOOKUP(A1770,Journal!$B$7:$M$84,12))</f>
        <v/>
      </c>
      <c r="J1770" s="105">
        <f>IF(B1770="Total",SUM(J$8:J1769)+0.0001,IF(OR(B1770="",I$2=I1770),0,VLOOKUP(A1770,Journal!$B$7:M$84,8)))</f>
        <v>0</v>
      </c>
      <c r="K1770" s="102">
        <f>IF(B1770="Total",SUM(K$8:K1769)+0.0001,IF(OR(B1770="",J1770&lt;&gt;0),0,VLOOKUP(A1770,Journal!$B$7:M$84,8)))</f>
        <v>0</v>
      </c>
      <c r="L1770" s="87">
        <f t="shared" si="212"/>
        <v>0</v>
      </c>
      <c r="P1770">
        <f t="shared" si="213"/>
        <v>1.0000000000000001E-5</v>
      </c>
      <c r="R1770" s="15">
        <f t="shared" si="208"/>
        <v>1763</v>
      </c>
      <c r="S1770" s="126">
        <f>IF(VLOOKUP(A1770,Journal!$A$7:$E$70,5)=0,S1769+1,VLOOKUP(A1770,Journal!$A$7:$E$70,5))</f>
        <v>47420</v>
      </c>
      <c r="T1770" s="125">
        <f>IF(H$2=VLOOKUP(A1770,Journal!$A$7:$F$70,6),VLOOKUP(A1770,Journal!$A$7:M$70,9),0)</f>
        <v>0</v>
      </c>
      <c r="U1770" s="125">
        <f>IF(H$2=VLOOKUP(A1770,Journal!$A$7:$G$70,7),VLOOKUP(A1770,Journal!$A$7:M$70,9),0)</f>
        <v>0</v>
      </c>
      <c r="V1770" s="125">
        <f t="shared" si="211"/>
        <v>40</v>
      </c>
      <c r="X1770">
        <f t="shared" si="209"/>
        <v>0</v>
      </c>
      <c r="Y1770" s="143">
        <f t="shared" si="210"/>
        <v>-953.68421052638951</v>
      </c>
    </row>
    <row r="1771" spans="1:25" x14ac:dyDescent="0.25">
      <c r="A1771">
        <f t="shared" si="214"/>
        <v>1764</v>
      </c>
      <c r="B1771" s="88" t="str">
        <f>IF(OR(B1770="Total",B1770=""),"",IF(VLOOKUP(A1771,Journal!$B$7:$E$84,4)=0,"Total",VLOOKUP(A1771,Journal!$B$7:$D$84,3)))</f>
        <v/>
      </c>
      <c r="C1771" s="86" t="str">
        <f>IF(B1771="","",VLOOKUP(A1771,Journal!$B$7:$E$84,4))</f>
        <v/>
      </c>
      <c r="D1771" s="114" t="str">
        <f>IF(B1771="","",VLOOKUP(A1771,Journal!$B$7:$J$84,9))</f>
        <v/>
      </c>
      <c r="E1771" s="116"/>
      <c r="F1771" s="116"/>
      <c r="G1771" s="115"/>
      <c r="H1771" s="84" t="str">
        <f>IF(B1771="","",VLOOKUP(A1771,Journal!$B$7:$L$84,11))</f>
        <v/>
      </c>
      <c r="I1771" s="84" t="str">
        <f>IF(B1771="","",VLOOKUP(A1771,Journal!$B$7:$M$84,12))</f>
        <v/>
      </c>
      <c r="J1771" s="105">
        <f>IF(B1771="Total",SUM(J$8:J1770)+0.0001,IF(OR(B1771="",I$2=I1771),0,VLOOKUP(A1771,Journal!$B$7:M$84,8)))</f>
        <v>0</v>
      </c>
      <c r="K1771" s="102">
        <f>IF(B1771="Total",SUM(K$8:K1770)+0.0001,IF(OR(B1771="",J1771&lt;&gt;0),0,VLOOKUP(A1771,Journal!$B$7:M$84,8)))</f>
        <v>0</v>
      </c>
      <c r="L1771" s="87">
        <f t="shared" si="212"/>
        <v>0</v>
      </c>
      <c r="P1771">
        <f t="shared" si="213"/>
        <v>1.0000000000000001E-5</v>
      </c>
      <c r="R1771" s="15">
        <f t="shared" si="208"/>
        <v>1764</v>
      </c>
      <c r="S1771" s="126">
        <f>IF(VLOOKUP(A1771,Journal!$A$7:$E$70,5)=0,S1770+1,VLOOKUP(A1771,Journal!$A$7:$E$70,5))</f>
        <v>47421</v>
      </c>
      <c r="T1771" s="125">
        <f>IF(H$2=VLOOKUP(A1771,Journal!$A$7:$F$70,6),VLOOKUP(A1771,Journal!$A$7:M$70,9),0)</f>
        <v>0</v>
      </c>
      <c r="U1771" s="125">
        <f>IF(H$2=VLOOKUP(A1771,Journal!$A$7:$G$70,7),VLOOKUP(A1771,Journal!$A$7:M$70,9),0)</f>
        <v>0</v>
      </c>
      <c r="V1771" s="125">
        <f t="shared" si="211"/>
        <v>40</v>
      </c>
      <c r="X1771">
        <f t="shared" si="209"/>
        <v>0</v>
      </c>
      <c r="Y1771" s="143">
        <f t="shared" si="210"/>
        <v>-953.65789473691586</v>
      </c>
    </row>
    <row r="1772" spans="1:25" x14ac:dyDescent="0.25">
      <c r="A1772">
        <f t="shared" si="214"/>
        <v>1765</v>
      </c>
      <c r="B1772" s="88" t="str">
        <f>IF(OR(B1771="Total",B1771=""),"",IF(VLOOKUP(A1772,Journal!$B$7:$E$84,4)=0,"Total",VLOOKUP(A1772,Journal!$B$7:$D$84,3)))</f>
        <v/>
      </c>
      <c r="C1772" s="86" t="str">
        <f>IF(B1772="","",VLOOKUP(A1772,Journal!$B$7:$E$84,4))</f>
        <v/>
      </c>
      <c r="D1772" s="114" t="str">
        <f>IF(B1772="","",VLOOKUP(A1772,Journal!$B$7:$J$84,9))</f>
        <v/>
      </c>
      <c r="E1772" s="116"/>
      <c r="F1772" s="116"/>
      <c r="G1772" s="115"/>
      <c r="H1772" s="84" t="str">
        <f>IF(B1772="","",VLOOKUP(A1772,Journal!$B$7:$L$84,11))</f>
        <v/>
      </c>
      <c r="I1772" s="84" t="str">
        <f>IF(B1772="","",VLOOKUP(A1772,Journal!$B$7:$M$84,12))</f>
        <v/>
      </c>
      <c r="J1772" s="105">
        <f>IF(B1772="Total",SUM(J$8:J1771)+0.0001,IF(OR(B1772="",I$2=I1772),0,VLOOKUP(A1772,Journal!$B$7:M$84,8)))</f>
        <v>0</v>
      </c>
      <c r="K1772" s="102">
        <f>IF(B1772="Total",SUM(K$8:K1771)+0.0001,IF(OR(B1772="",J1772&lt;&gt;0),0,VLOOKUP(A1772,Journal!$B$7:M$84,8)))</f>
        <v>0</v>
      </c>
      <c r="L1772" s="87">
        <f t="shared" si="212"/>
        <v>0</v>
      </c>
      <c r="P1772">
        <f t="shared" si="213"/>
        <v>1.0000000000000001E-5</v>
      </c>
      <c r="R1772" s="15">
        <f t="shared" si="208"/>
        <v>1765</v>
      </c>
      <c r="S1772" s="126">
        <f>IF(VLOOKUP(A1772,Journal!$A$7:$E$70,5)=0,S1771+1,VLOOKUP(A1772,Journal!$A$7:$E$70,5))</f>
        <v>47422</v>
      </c>
      <c r="T1772" s="125">
        <f>IF(H$2=VLOOKUP(A1772,Journal!$A$7:$F$70,6),VLOOKUP(A1772,Journal!$A$7:M$70,9),0)</f>
        <v>0</v>
      </c>
      <c r="U1772" s="125">
        <f>IF(H$2=VLOOKUP(A1772,Journal!$A$7:$G$70,7),VLOOKUP(A1772,Journal!$A$7:M$70,9),0)</f>
        <v>0</v>
      </c>
      <c r="V1772" s="125">
        <f t="shared" si="211"/>
        <v>40</v>
      </c>
      <c r="X1772">
        <f t="shared" si="209"/>
        <v>0</v>
      </c>
      <c r="Y1772" s="143">
        <f t="shared" si="210"/>
        <v>-953.63157894744222</v>
      </c>
    </row>
    <row r="1773" spans="1:25" x14ac:dyDescent="0.25">
      <c r="A1773">
        <f t="shared" si="214"/>
        <v>1766</v>
      </c>
      <c r="B1773" s="88" t="str">
        <f>IF(OR(B1772="Total",B1772=""),"",IF(VLOOKUP(A1773,Journal!$B$7:$E$84,4)=0,"Total",VLOOKUP(A1773,Journal!$B$7:$D$84,3)))</f>
        <v/>
      </c>
      <c r="C1773" s="86" t="str">
        <f>IF(B1773="","",VLOOKUP(A1773,Journal!$B$7:$E$84,4))</f>
        <v/>
      </c>
      <c r="D1773" s="114" t="str">
        <f>IF(B1773="","",VLOOKUP(A1773,Journal!$B$7:$J$84,9))</f>
        <v/>
      </c>
      <c r="E1773" s="116"/>
      <c r="F1773" s="116"/>
      <c r="G1773" s="115"/>
      <c r="H1773" s="84" t="str">
        <f>IF(B1773="","",VLOOKUP(A1773,Journal!$B$7:$L$84,11))</f>
        <v/>
      </c>
      <c r="I1773" s="84" t="str">
        <f>IF(B1773="","",VLOOKUP(A1773,Journal!$B$7:$M$84,12))</f>
        <v/>
      </c>
      <c r="J1773" s="105">
        <f>IF(B1773="Total",SUM(J$8:J1772)+0.0001,IF(OR(B1773="",I$2=I1773),0,VLOOKUP(A1773,Journal!$B$7:M$84,8)))</f>
        <v>0</v>
      </c>
      <c r="K1773" s="102">
        <f>IF(B1773="Total",SUM(K$8:K1772)+0.0001,IF(OR(B1773="",J1773&lt;&gt;0),0,VLOOKUP(A1773,Journal!$B$7:M$84,8)))</f>
        <v>0</v>
      </c>
      <c r="L1773" s="87">
        <f t="shared" si="212"/>
        <v>0</v>
      </c>
      <c r="P1773">
        <f t="shared" si="213"/>
        <v>1.0000000000000001E-5</v>
      </c>
      <c r="R1773" s="15">
        <f t="shared" si="208"/>
        <v>1766</v>
      </c>
      <c r="S1773" s="126">
        <f>IF(VLOOKUP(A1773,Journal!$A$7:$E$70,5)=0,S1772+1,VLOOKUP(A1773,Journal!$A$7:$E$70,5))</f>
        <v>47423</v>
      </c>
      <c r="T1773" s="125">
        <f>IF(H$2=VLOOKUP(A1773,Journal!$A$7:$F$70,6),VLOOKUP(A1773,Journal!$A$7:M$70,9),0)</f>
        <v>0</v>
      </c>
      <c r="U1773" s="125">
        <f>IF(H$2=VLOOKUP(A1773,Journal!$A$7:$G$70,7),VLOOKUP(A1773,Journal!$A$7:M$70,9),0)</f>
        <v>0</v>
      </c>
      <c r="V1773" s="125">
        <f t="shared" si="211"/>
        <v>40</v>
      </c>
      <c r="X1773">
        <f t="shared" si="209"/>
        <v>0</v>
      </c>
      <c r="Y1773" s="143">
        <f t="shared" si="210"/>
        <v>-953.60526315796858</v>
      </c>
    </row>
    <row r="1774" spans="1:25" x14ac:dyDescent="0.25">
      <c r="A1774">
        <f t="shared" si="214"/>
        <v>1767</v>
      </c>
      <c r="B1774" s="88" t="str">
        <f>IF(OR(B1773="Total",B1773=""),"",IF(VLOOKUP(A1774,Journal!$B$7:$E$84,4)=0,"Total",VLOOKUP(A1774,Journal!$B$7:$D$84,3)))</f>
        <v/>
      </c>
      <c r="C1774" s="86" t="str">
        <f>IF(B1774="","",VLOOKUP(A1774,Journal!$B$7:$E$84,4))</f>
        <v/>
      </c>
      <c r="D1774" s="114" t="str">
        <f>IF(B1774="","",VLOOKUP(A1774,Journal!$B$7:$J$84,9))</f>
        <v/>
      </c>
      <c r="E1774" s="116"/>
      <c r="F1774" s="116"/>
      <c r="G1774" s="115"/>
      <c r="H1774" s="84" t="str">
        <f>IF(B1774="","",VLOOKUP(A1774,Journal!$B$7:$L$84,11))</f>
        <v/>
      </c>
      <c r="I1774" s="84" t="str">
        <f>IF(B1774="","",VLOOKUP(A1774,Journal!$B$7:$M$84,12))</f>
        <v/>
      </c>
      <c r="J1774" s="105">
        <f>IF(B1774="Total",SUM(J$8:J1773)+0.0001,IF(OR(B1774="",I$2=I1774),0,VLOOKUP(A1774,Journal!$B$7:M$84,8)))</f>
        <v>0</v>
      </c>
      <c r="K1774" s="102">
        <f>IF(B1774="Total",SUM(K$8:K1773)+0.0001,IF(OR(B1774="",J1774&lt;&gt;0),0,VLOOKUP(A1774,Journal!$B$7:M$84,8)))</f>
        <v>0</v>
      </c>
      <c r="L1774" s="87">
        <f t="shared" si="212"/>
        <v>0</v>
      </c>
      <c r="P1774">
        <f t="shared" si="213"/>
        <v>1.0000000000000001E-5</v>
      </c>
      <c r="R1774" s="15">
        <f t="shared" si="208"/>
        <v>1767</v>
      </c>
      <c r="S1774" s="126">
        <f>IF(VLOOKUP(A1774,Journal!$A$7:$E$70,5)=0,S1773+1,VLOOKUP(A1774,Journal!$A$7:$E$70,5))</f>
        <v>47424</v>
      </c>
      <c r="T1774" s="125">
        <f>IF(H$2=VLOOKUP(A1774,Journal!$A$7:$F$70,6),VLOOKUP(A1774,Journal!$A$7:M$70,9),0)</f>
        <v>0</v>
      </c>
      <c r="U1774" s="125">
        <f>IF(H$2=VLOOKUP(A1774,Journal!$A$7:$G$70,7),VLOOKUP(A1774,Journal!$A$7:M$70,9),0)</f>
        <v>0</v>
      </c>
      <c r="V1774" s="125">
        <f t="shared" si="211"/>
        <v>40</v>
      </c>
      <c r="X1774">
        <f t="shared" si="209"/>
        <v>0</v>
      </c>
      <c r="Y1774" s="143">
        <f t="shared" si="210"/>
        <v>-953.57894736849494</v>
      </c>
    </row>
    <row r="1775" spans="1:25" x14ac:dyDescent="0.25">
      <c r="A1775">
        <f t="shared" si="214"/>
        <v>1768</v>
      </c>
      <c r="B1775" s="88" t="str">
        <f>IF(OR(B1774="Total",B1774=""),"",IF(VLOOKUP(A1775,Journal!$B$7:$E$84,4)=0,"Total",VLOOKUP(A1775,Journal!$B$7:$D$84,3)))</f>
        <v/>
      </c>
      <c r="C1775" s="86" t="str">
        <f>IF(B1775="","",VLOOKUP(A1775,Journal!$B$7:$E$84,4))</f>
        <v/>
      </c>
      <c r="D1775" s="114" t="str">
        <f>IF(B1775="","",VLOOKUP(A1775,Journal!$B$7:$J$84,9))</f>
        <v/>
      </c>
      <c r="E1775" s="116"/>
      <c r="F1775" s="116"/>
      <c r="G1775" s="115"/>
      <c r="H1775" s="84" t="str">
        <f>IF(B1775="","",VLOOKUP(A1775,Journal!$B$7:$L$84,11))</f>
        <v/>
      </c>
      <c r="I1775" s="84" t="str">
        <f>IF(B1775="","",VLOOKUP(A1775,Journal!$B$7:$M$84,12))</f>
        <v/>
      </c>
      <c r="J1775" s="105">
        <f>IF(B1775="Total",SUM(J$8:J1774)+0.0001,IF(OR(B1775="",I$2=I1775),0,VLOOKUP(A1775,Journal!$B$7:M$84,8)))</f>
        <v>0</v>
      </c>
      <c r="K1775" s="102">
        <f>IF(B1775="Total",SUM(K$8:K1774)+0.0001,IF(OR(B1775="",J1775&lt;&gt;0),0,VLOOKUP(A1775,Journal!$B$7:M$84,8)))</f>
        <v>0</v>
      </c>
      <c r="L1775" s="87">
        <f t="shared" si="212"/>
        <v>0</v>
      </c>
      <c r="P1775">
        <f t="shared" si="213"/>
        <v>1.0000000000000001E-5</v>
      </c>
      <c r="R1775" s="15">
        <f t="shared" si="208"/>
        <v>1768</v>
      </c>
      <c r="S1775" s="126">
        <f>IF(VLOOKUP(A1775,Journal!$A$7:$E$70,5)=0,S1774+1,VLOOKUP(A1775,Journal!$A$7:$E$70,5))</f>
        <v>47425</v>
      </c>
      <c r="T1775" s="125">
        <f>IF(H$2=VLOOKUP(A1775,Journal!$A$7:$F$70,6),VLOOKUP(A1775,Journal!$A$7:M$70,9),0)</f>
        <v>0</v>
      </c>
      <c r="U1775" s="125">
        <f>IF(H$2=VLOOKUP(A1775,Journal!$A$7:$G$70,7),VLOOKUP(A1775,Journal!$A$7:M$70,9),0)</f>
        <v>0</v>
      </c>
      <c r="V1775" s="125">
        <f t="shared" si="211"/>
        <v>40</v>
      </c>
      <c r="X1775">
        <f t="shared" si="209"/>
        <v>0</v>
      </c>
      <c r="Y1775" s="143">
        <f t="shared" si="210"/>
        <v>-953.55263157902129</v>
      </c>
    </row>
    <row r="1776" spans="1:25" x14ac:dyDescent="0.25">
      <c r="A1776">
        <f t="shared" si="214"/>
        <v>1769</v>
      </c>
      <c r="B1776" s="88" t="str">
        <f>IF(OR(B1775="Total",B1775=""),"",IF(VLOOKUP(A1776,Journal!$B$7:$E$84,4)=0,"Total",VLOOKUP(A1776,Journal!$B$7:$D$84,3)))</f>
        <v/>
      </c>
      <c r="C1776" s="86" t="str">
        <f>IF(B1776="","",VLOOKUP(A1776,Journal!$B$7:$E$84,4))</f>
        <v/>
      </c>
      <c r="D1776" s="114" t="str">
        <f>IF(B1776="","",VLOOKUP(A1776,Journal!$B$7:$J$84,9))</f>
        <v/>
      </c>
      <c r="E1776" s="116"/>
      <c r="F1776" s="116"/>
      <c r="G1776" s="115"/>
      <c r="H1776" s="84" t="str">
        <f>IF(B1776="","",VLOOKUP(A1776,Journal!$B$7:$L$84,11))</f>
        <v/>
      </c>
      <c r="I1776" s="84" t="str">
        <f>IF(B1776="","",VLOOKUP(A1776,Journal!$B$7:$M$84,12))</f>
        <v/>
      </c>
      <c r="J1776" s="105">
        <f>IF(B1776="Total",SUM(J$8:J1775)+0.0001,IF(OR(B1776="",I$2=I1776),0,VLOOKUP(A1776,Journal!$B$7:M$84,8)))</f>
        <v>0</v>
      </c>
      <c r="K1776" s="102">
        <f>IF(B1776="Total",SUM(K$8:K1775)+0.0001,IF(OR(B1776="",J1776&lt;&gt;0),0,VLOOKUP(A1776,Journal!$B$7:M$84,8)))</f>
        <v>0</v>
      </c>
      <c r="L1776" s="87">
        <f t="shared" si="212"/>
        <v>0</v>
      </c>
      <c r="P1776">
        <f t="shared" si="213"/>
        <v>1.0000000000000001E-5</v>
      </c>
      <c r="R1776" s="15">
        <f t="shared" si="208"/>
        <v>1769</v>
      </c>
      <c r="S1776" s="126">
        <f>IF(VLOOKUP(A1776,Journal!$A$7:$E$70,5)=0,S1775+1,VLOOKUP(A1776,Journal!$A$7:$E$70,5))</f>
        <v>47426</v>
      </c>
      <c r="T1776" s="125">
        <f>IF(H$2=VLOOKUP(A1776,Journal!$A$7:$F$70,6),VLOOKUP(A1776,Journal!$A$7:M$70,9),0)</f>
        <v>0</v>
      </c>
      <c r="U1776" s="125">
        <f>IF(H$2=VLOOKUP(A1776,Journal!$A$7:$G$70,7),VLOOKUP(A1776,Journal!$A$7:M$70,9),0)</f>
        <v>0</v>
      </c>
      <c r="V1776" s="125">
        <f t="shared" si="211"/>
        <v>40</v>
      </c>
      <c r="X1776">
        <f t="shared" si="209"/>
        <v>0</v>
      </c>
      <c r="Y1776" s="143">
        <f t="shared" si="210"/>
        <v>-953.52631578954765</v>
      </c>
    </row>
    <row r="1777" spans="1:25" x14ac:dyDescent="0.25">
      <c r="A1777">
        <f t="shared" si="214"/>
        <v>1770</v>
      </c>
      <c r="B1777" s="88" t="str">
        <f>IF(OR(B1776="Total",B1776=""),"",IF(VLOOKUP(A1777,Journal!$B$7:$E$84,4)=0,"Total",VLOOKUP(A1777,Journal!$B$7:$D$84,3)))</f>
        <v/>
      </c>
      <c r="C1777" s="86" t="str">
        <f>IF(B1777="","",VLOOKUP(A1777,Journal!$B$7:$E$84,4))</f>
        <v/>
      </c>
      <c r="D1777" s="114" t="str">
        <f>IF(B1777="","",VLOOKUP(A1777,Journal!$B$7:$J$84,9))</f>
        <v/>
      </c>
      <c r="E1777" s="116"/>
      <c r="F1777" s="116"/>
      <c r="G1777" s="115"/>
      <c r="H1777" s="84" t="str">
        <f>IF(B1777="","",VLOOKUP(A1777,Journal!$B$7:$L$84,11))</f>
        <v/>
      </c>
      <c r="I1777" s="84" t="str">
        <f>IF(B1777="","",VLOOKUP(A1777,Journal!$B$7:$M$84,12))</f>
        <v/>
      </c>
      <c r="J1777" s="105">
        <f>IF(B1777="Total",SUM(J$8:J1776)+0.0001,IF(OR(B1777="",I$2=I1777),0,VLOOKUP(A1777,Journal!$B$7:M$84,8)))</f>
        <v>0</v>
      </c>
      <c r="K1777" s="102">
        <f>IF(B1777="Total",SUM(K$8:K1776)+0.0001,IF(OR(B1777="",J1777&lt;&gt;0),0,VLOOKUP(A1777,Journal!$B$7:M$84,8)))</f>
        <v>0</v>
      </c>
      <c r="L1777" s="87">
        <f t="shared" si="212"/>
        <v>0</v>
      </c>
      <c r="P1777">
        <f t="shared" si="213"/>
        <v>1.0000000000000001E-5</v>
      </c>
      <c r="R1777" s="15">
        <f t="shared" si="208"/>
        <v>1770</v>
      </c>
      <c r="S1777" s="126">
        <f>IF(VLOOKUP(A1777,Journal!$A$7:$E$70,5)=0,S1776+1,VLOOKUP(A1777,Journal!$A$7:$E$70,5))</f>
        <v>47427</v>
      </c>
      <c r="T1777" s="125">
        <f>IF(H$2=VLOOKUP(A1777,Journal!$A$7:$F$70,6),VLOOKUP(A1777,Journal!$A$7:M$70,9),0)</f>
        <v>0</v>
      </c>
      <c r="U1777" s="125">
        <f>IF(H$2=VLOOKUP(A1777,Journal!$A$7:$G$70,7),VLOOKUP(A1777,Journal!$A$7:M$70,9),0)</f>
        <v>0</v>
      </c>
      <c r="V1777" s="125">
        <f t="shared" si="211"/>
        <v>40</v>
      </c>
      <c r="X1777">
        <f t="shared" si="209"/>
        <v>0</v>
      </c>
      <c r="Y1777" s="143">
        <f t="shared" si="210"/>
        <v>-953.50000000007401</v>
      </c>
    </row>
    <row r="1778" spans="1:25" x14ac:dyDescent="0.25">
      <c r="A1778">
        <f t="shared" si="214"/>
        <v>1771</v>
      </c>
      <c r="B1778" s="88" t="str">
        <f>IF(OR(B1777="Total",B1777=""),"",IF(VLOOKUP(A1778,Journal!$B$7:$E$84,4)=0,"Total",VLOOKUP(A1778,Journal!$B$7:$D$84,3)))</f>
        <v/>
      </c>
      <c r="C1778" s="86" t="str">
        <f>IF(B1778="","",VLOOKUP(A1778,Journal!$B$7:$E$84,4))</f>
        <v/>
      </c>
      <c r="D1778" s="114" t="str">
        <f>IF(B1778="","",VLOOKUP(A1778,Journal!$B$7:$J$84,9))</f>
        <v/>
      </c>
      <c r="E1778" s="116"/>
      <c r="F1778" s="116"/>
      <c r="G1778" s="115"/>
      <c r="H1778" s="84" t="str">
        <f>IF(B1778="","",VLOOKUP(A1778,Journal!$B$7:$L$84,11))</f>
        <v/>
      </c>
      <c r="I1778" s="84" t="str">
        <f>IF(B1778="","",VLOOKUP(A1778,Journal!$B$7:$M$84,12))</f>
        <v/>
      </c>
      <c r="J1778" s="105">
        <f>IF(B1778="Total",SUM(J$8:J1777)+0.0001,IF(OR(B1778="",I$2=I1778),0,VLOOKUP(A1778,Journal!$B$7:M$84,8)))</f>
        <v>0</v>
      </c>
      <c r="K1778" s="102">
        <f>IF(B1778="Total",SUM(K$8:K1777)+0.0001,IF(OR(B1778="",J1778&lt;&gt;0),0,VLOOKUP(A1778,Journal!$B$7:M$84,8)))</f>
        <v>0</v>
      </c>
      <c r="L1778" s="87">
        <f t="shared" si="212"/>
        <v>0</v>
      </c>
      <c r="P1778">
        <f t="shared" si="213"/>
        <v>1.0000000000000001E-5</v>
      </c>
      <c r="R1778" s="15">
        <f t="shared" si="208"/>
        <v>1771</v>
      </c>
      <c r="S1778" s="126">
        <f>IF(VLOOKUP(A1778,Journal!$A$7:$E$70,5)=0,S1777+1,VLOOKUP(A1778,Journal!$A$7:$E$70,5))</f>
        <v>47428</v>
      </c>
      <c r="T1778" s="125">
        <f>IF(H$2=VLOOKUP(A1778,Journal!$A$7:$F$70,6),VLOOKUP(A1778,Journal!$A$7:M$70,9),0)</f>
        <v>0</v>
      </c>
      <c r="U1778" s="125">
        <f>IF(H$2=VLOOKUP(A1778,Journal!$A$7:$G$70,7),VLOOKUP(A1778,Journal!$A$7:M$70,9),0)</f>
        <v>0</v>
      </c>
      <c r="V1778" s="125">
        <f t="shared" si="211"/>
        <v>40</v>
      </c>
      <c r="X1778">
        <f t="shared" si="209"/>
        <v>0</v>
      </c>
      <c r="Y1778" s="143">
        <f t="shared" si="210"/>
        <v>-953.47368421060037</v>
      </c>
    </row>
    <row r="1779" spans="1:25" x14ac:dyDescent="0.25">
      <c r="A1779">
        <f t="shared" si="214"/>
        <v>1772</v>
      </c>
      <c r="B1779" s="88" t="str">
        <f>IF(OR(B1778="Total",B1778=""),"",IF(VLOOKUP(A1779,Journal!$B$7:$E$84,4)=0,"Total",VLOOKUP(A1779,Journal!$B$7:$D$84,3)))</f>
        <v/>
      </c>
      <c r="C1779" s="86" t="str">
        <f>IF(B1779="","",VLOOKUP(A1779,Journal!$B$7:$E$84,4))</f>
        <v/>
      </c>
      <c r="D1779" s="114" t="str">
        <f>IF(B1779="","",VLOOKUP(A1779,Journal!$B$7:$J$84,9))</f>
        <v/>
      </c>
      <c r="E1779" s="116"/>
      <c r="F1779" s="116"/>
      <c r="G1779" s="115"/>
      <c r="H1779" s="84" t="str">
        <f>IF(B1779="","",VLOOKUP(A1779,Journal!$B$7:$L$84,11))</f>
        <v/>
      </c>
      <c r="I1779" s="84" t="str">
        <f>IF(B1779="","",VLOOKUP(A1779,Journal!$B$7:$M$84,12))</f>
        <v/>
      </c>
      <c r="J1779" s="105">
        <f>IF(B1779="Total",SUM(J$8:J1778)+0.0001,IF(OR(B1779="",I$2=I1779),0,VLOOKUP(A1779,Journal!$B$7:M$84,8)))</f>
        <v>0</v>
      </c>
      <c r="K1779" s="102">
        <f>IF(B1779="Total",SUM(K$8:K1778)+0.0001,IF(OR(B1779="",J1779&lt;&gt;0),0,VLOOKUP(A1779,Journal!$B$7:M$84,8)))</f>
        <v>0</v>
      </c>
      <c r="L1779" s="87">
        <f t="shared" si="212"/>
        <v>0</v>
      </c>
      <c r="P1779">
        <f t="shared" si="213"/>
        <v>1.0000000000000001E-5</v>
      </c>
      <c r="R1779" s="15">
        <f t="shared" si="208"/>
        <v>1772</v>
      </c>
      <c r="S1779" s="126">
        <f>IF(VLOOKUP(A1779,Journal!$A$7:$E$70,5)=0,S1778+1,VLOOKUP(A1779,Journal!$A$7:$E$70,5))</f>
        <v>47429</v>
      </c>
      <c r="T1779" s="125">
        <f>IF(H$2=VLOOKUP(A1779,Journal!$A$7:$F$70,6),VLOOKUP(A1779,Journal!$A$7:M$70,9),0)</f>
        <v>0</v>
      </c>
      <c r="U1779" s="125">
        <f>IF(H$2=VLOOKUP(A1779,Journal!$A$7:$G$70,7),VLOOKUP(A1779,Journal!$A$7:M$70,9),0)</f>
        <v>0</v>
      </c>
      <c r="V1779" s="125">
        <f t="shared" si="211"/>
        <v>40</v>
      </c>
      <c r="X1779">
        <f t="shared" si="209"/>
        <v>0</v>
      </c>
      <c r="Y1779" s="143">
        <f t="shared" si="210"/>
        <v>-953.44736842112673</v>
      </c>
    </row>
    <row r="1780" spans="1:25" x14ac:dyDescent="0.25">
      <c r="A1780">
        <f t="shared" si="214"/>
        <v>1773</v>
      </c>
      <c r="B1780" s="88" t="str">
        <f>IF(OR(B1779="Total",B1779=""),"",IF(VLOOKUP(A1780,Journal!$B$7:$E$84,4)=0,"Total",VLOOKUP(A1780,Journal!$B$7:$D$84,3)))</f>
        <v/>
      </c>
      <c r="C1780" s="86" t="str">
        <f>IF(B1780="","",VLOOKUP(A1780,Journal!$B$7:$E$84,4))</f>
        <v/>
      </c>
      <c r="D1780" s="114" t="str">
        <f>IF(B1780="","",VLOOKUP(A1780,Journal!$B$7:$J$84,9))</f>
        <v/>
      </c>
      <c r="E1780" s="116"/>
      <c r="F1780" s="116"/>
      <c r="G1780" s="115"/>
      <c r="H1780" s="84" t="str">
        <f>IF(B1780="","",VLOOKUP(A1780,Journal!$B$7:$L$84,11))</f>
        <v/>
      </c>
      <c r="I1780" s="84" t="str">
        <f>IF(B1780="","",VLOOKUP(A1780,Journal!$B$7:$M$84,12))</f>
        <v/>
      </c>
      <c r="J1780" s="105">
        <f>IF(B1780="Total",SUM(J$8:J1779)+0.0001,IF(OR(B1780="",I$2=I1780),0,VLOOKUP(A1780,Journal!$B$7:M$84,8)))</f>
        <v>0</v>
      </c>
      <c r="K1780" s="102">
        <f>IF(B1780="Total",SUM(K$8:K1779)+0.0001,IF(OR(B1780="",J1780&lt;&gt;0),0,VLOOKUP(A1780,Journal!$B$7:M$84,8)))</f>
        <v>0</v>
      </c>
      <c r="L1780" s="87">
        <f t="shared" si="212"/>
        <v>0</v>
      </c>
      <c r="P1780">
        <f t="shared" si="213"/>
        <v>1.0000000000000001E-5</v>
      </c>
      <c r="R1780" s="15">
        <f t="shared" si="208"/>
        <v>1773</v>
      </c>
      <c r="S1780" s="126">
        <f>IF(VLOOKUP(A1780,Journal!$A$7:$E$70,5)=0,S1779+1,VLOOKUP(A1780,Journal!$A$7:$E$70,5))</f>
        <v>47430</v>
      </c>
      <c r="T1780" s="125">
        <f>IF(H$2=VLOOKUP(A1780,Journal!$A$7:$F$70,6),VLOOKUP(A1780,Journal!$A$7:M$70,9),0)</f>
        <v>0</v>
      </c>
      <c r="U1780" s="125">
        <f>IF(H$2=VLOOKUP(A1780,Journal!$A$7:$G$70,7),VLOOKUP(A1780,Journal!$A$7:M$70,9),0)</f>
        <v>0</v>
      </c>
      <c r="V1780" s="125">
        <f t="shared" si="211"/>
        <v>40</v>
      </c>
      <c r="X1780">
        <f t="shared" si="209"/>
        <v>0</v>
      </c>
      <c r="Y1780" s="143">
        <f t="shared" si="210"/>
        <v>-953.42105263165308</v>
      </c>
    </row>
    <row r="1781" spans="1:25" x14ac:dyDescent="0.25">
      <c r="A1781">
        <f t="shared" si="214"/>
        <v>1774</v>
      </c>
      <c r="B1781" s="88" t="str">
        <f>IF(OR(B1780="Total",B1780=""),"",IF(VLOOKUP(A1781,Journal!$B$7:$E$84,4)=0,"Total",VLOOKUP(A1781,Journal!$B$7:$D$84,3)))</f>
        <v/>
      </c>
      <c r="C1781" s="86" t="str">
        <f>IF(B1781="","",VLOOKUP(A1781,Journal!$B$7:$E$84,4))</f>
        <v/>
      </c>
      <c r="D1781" s="114" t="str">
        <f>IF(B1781="","",VLOOKUP(A1781,Journal!$B$7:$J$84,9))</f>
        <v/>
      </c>
      <c r="E1781" s="116"/>
      <c r="F1781" s="116"/>
      <c r="G1781" s="115"/>
      <c r="H1781" s="84" t="str">
        <f>IF(B1781="","",VLOOKUP(A1781,Journal!$B$7:$L$84,11))</f>
        <v/>
      </c>
      <c r="I1781" s="84" t="str">
        <f>IF(B1781="","",VLOOKUP(A1781,Journal!$B$7:$M$84,12))</f>
        <v/>
      </c>
      <c r="J1781" s="105">
        <f>IF(B1781="Total",SUM(J$8:J1780)+0.0001,IF(OR(B1781="",I$2=I1781),0,VLOOKUP(A1781,Journal!$B$7:M$84,8)))</f>
        <v>0</v>
      </c>
      <c r="K1781" s="102">
        <f>IF(B1781="Total",SUM(K$8:K1780)+0.0001,IF(OR(B1781="",J1781&lt;&gt;0),0,VLOOKUP(A1781,Journal!$B$7:M$84,8)))</f>
        <v>0</v>
      </c>
      <c r="L1781" s="87">
        <f t="shared" si="212"/>
        <v>0</v>
      </c>
      <c r="P1781">
        <f t="shared" si="213"/>
        <v>1.0000000000000001E-5</v>
      </c>
      <c r="R1781" s="15">
        <f t="shared" si="208"/>
        <v>1774</v>
      </c>
      <c r="S1781" s="126">
        <f>IF(VLOOKUP(A1781,Journal!$A$7:$E$70,5)=0,S1780+1,VLOOKUP(A1781,Journal!$A$7:$E$70,5))</f>
        <v>47431</v>
      </c>
      <c r="T1781" s="125">
        <f>IF(H$2=VLOOKUP(A1781,Journal!$A$7:$F$70,6),VLOOKUP(A1781,Journal!$A$7:M$70,9),0)</f>
        <v>0</v>
      </c>
      <c r="U1781" s="125">
        <f>IF(H$2=VLOOKUP(A1781,Journal!$A$7:$G$70,7),VLOOKUP(A1781,Journal!$A$7:M$70,9),0)</f>
        <v>0</v>
      </c>
      <c r="V1781" s="125">
        <f t="shared" si="211"/>
        <v>40</v>
      </c>
      <c r="X1781">
        <f t="shared" si="209"/>
        <v>0</v>
      </c>
      <c r="Y1781" s="143">
        <f t="shared" si="210"/>
        <v>-953.39473684217944</v>
      </c>
    </row>
    <row r="1782" spans="1:25" x14ac:dyDescent="0.25">
      <c r="A1782">
        <f t="shared" si="214"/>
        <v>1775</v>
      </c>
      <c r="B1782" s="88" t="str">
        <f>IF(OR(B1781="Total",B1781=""),"",IF(VLOOKUP(A1782,Journal!$B$7:$E$84,4)=0,"Total",VLOOKUP(A1782,Journal!$B$7:$D$84,3)))</f>
        <v/>
      </c>
      <c r="C1782" s="86" t="str">
        <f>IF(B1782="","",VLOOKUP(A1782,Journal!$B$7:$E$84,4))</f>
        <v/>
      </c>
      <c r="D1782" s="114" t="str">
        <f>IF(B1782="","",VLOOKUP(A1782,Journal!$B$7:$J$84,9))</f>
        <v/>
      </c>
      <c r="E1782" s="116"/>
      <c r="F1782" s="116"/>
      <c r="G1782" s="115"/>
      <c r="H1782" s="84" t="str">
        <f>IF(B1782="","",VLOOKUP(A1782,Journal!$B$7:$L$84,11))</f>
        <v/>
      </c>
      <c r="I1782" s="84" t="str">
        <f>IF(B1782="","",VLOOKUP(A1782,Journal!$B$7:$M$84,12))</f>
        <v/>
      </c>
      <c r="J1782" s="105">
        <f>IF(B1782="Total",SUM(J$8:J1781)+0.0001,IF(OR(B1782="",I$2=I1782),0,VLOOKUP(A1782,Journal!$B$7:M$84,8)))</f>
        <v>0</v>
      </c>
      <c r="K1782" s="102">
        <f>IF(B1782="Total",SUM(K$8:K1781)+0.0001,IF(OR(B1782="",J1782&lt;&gt;0),0,VLOOKUP(A1782,Journal!$B$7:M$84,8)))</f>
        <v>0</v>
      </c>
      <c r="L1782" s="87">
        <f t="shared" si="212"/>
        <v>0</v>
      </c>
      <c r="P1782">
        <f t="shared" si="213"/>
        <v>1.0000000000000001E-5</v>
      </c>
      <c r="R1782" s="15">
        <f t="shared" si="208"/>
        <v>1775</v>
      </c>
      <c r="S1782" s="126">
        <f>IF(VLOOKUP(A1782,Journal!$A$7:$E$70,5)=0,S1781+1,VLOOKUP(A1782,Journal!$A$7:$E$70,5))</f>
        <v>47432</v>
      </c>
      <c r="T1782" s="125">
        <f>IF(H$2=VLOOKUP(A1782,Journal!$A$7:$F$70,6),VLOOKUP(A1782,Journal!$A$7:M$70,9),0)</f>
        <v>0</v>
      </c>
      <c r="U1782" s="125">
        <f>IF(H$2=VLOOKUP(A1782,Journal!$A$7:$G$70,7),VLOOKUP(A1782,Journal!$A$7:M$70,9),0)</f>
        <v>0</v>
      </c>
      <c r="V1782" s="125">
        <f t="shared" si="211"/>
        <v>40</v>
      </c>
      <c r="X1782">
        <f t="shared" si="209"/>
        <v>0</v>
      </c>
      <c r="Y1782" s="143">
        <f t="shared" si="210"/>
        <v>-953.3684210527058</v>
      </c>
    </row>
    <row r="1783" spans="1:25" x14ac:dyDescent="0.25">
      <c r="A1783">
        <f t="shared" si="214"/>
        <v>1776</v>
      </c>
      <c r="B1783" s="88" t="str">
        <f>IF(OR(B1782="Total",B1782=""),"",IF(VLOOKUP(A1783,Journal!$B$7:$E$84,4)=0,"Total",VLOOKUP(A1783,Journal!$B$7:$D$84,3)))</f>
        <v/>
      </c>
      <c r="C1783" s="86" t="str">
        <f>IF(B1783="","",VLOOKUP(A1783,Journal!$B$7:$E$84,4))</f>
        <v/>
      </c>
      <c r="D1783" s="114" t="str">
        <f>IF(B1783="","",VLOOKUP(A1783,Journal!$B$7:$J$84,9))</f>
        <v/>
      </c>
      <c r="E1783" s="116"/>
      <c r="F1783" s="116"/>
      <c r="G1783" s="115"/>
      <c r="H1783" s="84" t="str">
        <f>IF(B1783="","",VLOOKUP(A1783,Journal!$B$7:$L$84,11))</f>
        <v/>
      </c>
      <c r="I1783" s="84" t="str">
        <f>IF(B1783="","",VLOOKUP(A1783,Journal!$B$7:$M$84,12))</f>
        <v/>
      </c>
      <c r="J1783" s="105">
        <f>IF(B1783="Total",SUM(J$8:J1782)+0.0001,IF(OR(B1783="",I$2=I1783),0,VLOOKUP(A1783,Journal!$B$7:M$84,8)))</f>
        <v>0</v>
      </c>
      <c r="K1783" s="102">
        <f>IF(B1783="Total",SUM(K$8:K1782)+0.0001,IF(OR(B1783="",J1783&lt;&gt;0),0,VLOOKUP(A1783,Journal!$B$7:M$84,8)))</f>
        <v>0</v>
      </c>
      <c r="L1783" s="87">
        <f t="shared" si="212"/>
        <v>0</v>
      </c>
      <c r="P1783">
        <f t="shared" si="213"/>
        <v>1.0000000000000001E-5</v>
      </c>
      <c r="R1783" s="15">
        <f t="shared" si="208"/>
        <v>1776</v>
      </c>
      <c r="S1783" s="126">
        <f>IF(VLOOKUP(A1783,Journal!$A$7:$E$70,5)=0,S1782+1,VLOOKUP(A1783,Journal!$A$7:$E$70,5))</f>
        <v>47433</v>
      </c>
      <c r="T1783" s="125">
        <f>IF(H$2=VLOOKUP(A1783,Journal!$A$7:$F$70,6),VLOOKUP(A1783,Journal!$A$7:M$70,9),0)</f>
        <v>0</v>
      </c>
      <c r="U1783" s="125">
        <f>IF(H$2=VLOOKUP(A1783,Journal!$A$7:$G$70,7),VLOOKUP(A1783,Journal!$A$7:M$70,9),0)</f>
        <v>0</v>
      </c>
      <c r="V1783" s="125">
        <f t="shared" si="211"/>
        <v>40</v>
      </c>
      <c r="X1783">
        <f t="shared" si="209"/>
        <v>0</v>
      </c>
      <c r="Y1783" s="143">
        <f t="shared" si="210"/>
        <v>-953.34210526323216</v>
      </c>
    </row>
    <row r="1784" spans="1:25" x14ac:dyDescent="0.25">
      <c r="A1784">
        <f t="shared" si="214"/>
        <v>1777</v>
      </c>
      <c r="B1784" s="88" t="str">
        <f>IF(OR(B1783="Total",B1783=""),"",IF(VLOOKUP(A1784,Journal!$B$7:$E$84,4)=0,"Total",VLOOKUP(A1784,Journal!$B$7:$D$84,3)))</f>
        <v/>
      </c>
      <c r="C1784" s="86" t="str">
        <f>IF(B1784="","",VLOOKUP(A1784,Journal!$B$7:$E$84,4))</f>
        <v/>
      </c>
      <c r="D1784" s="114" t="str">
        <f>IF(B1784="","",VLOOKUP(A1784,Journal!$B$7:$J$84,9))</f>
        <v/>
      </c>
      <c r="E1784" s="116"/>
      <c r="F1784" s="116"/>
      <c r="G1784" s="115"/>
      <c r="H1784" s="84" t="str">
        <f>IF(B1784="","",VLOOKUP(A1784,Journal!$B$7:$L$84,11))</f>
        <v/>
      </c>
      <c r="I1784" s="84" t="str">
        <f>IF(B1784="","",VLOOKUP(A1784,Journal!$B$7:$M$84,12))</f>
        <v/>
      </c>
      <c r="J1784" s="105">
        <f>IF(B1784="Total",SUM(J$8:J1783)+0.0001,IF(OR(B1784="",I$2=I1784),0,VLOOKUP(A1784,Journal!$B$7:M$84,8)))</f>
        <v>0</v>
      </c>
      <c r="K1784" s="102">
        <f>IF(B1784="Total",SUM(K$8:K1783)+0.0001,IF(OR(B1784="",J1784&lt;&gt;0),0,VLOOKUP(A1784,Journal!$B$7:M$84,8)))</f>
        <v>0</v>
      </c>
      <c r="L1784" s="87">
        <f t="shared" si="212"/>
        <v>0</v>
      </c>
      <c r="P1784">
        <f t="shared" si="213"/>
        <v>1.0000000000000001E-5</v>
      </c>
      <c r="R1784" s="15">
        <f t="shared" si="208"/>
        <v>1777</v>
      </c>
      <c r="S1784" s="126">
        <f>IF(VLOOKUP(A1784,Journal!$A$7:$E$70,5)=0,S1783+1,VLOOKUP(A1784,Journal!$A$7:$E$70,5))</f>
        <v>47434</v>
      </c>
      <c r="T1784" s="125">
        <f>IF(H$2=VLOOKUP(A1784,Journal!$A$7:$F$70,6),VLOOKUP(A1784,Journal!$A$7:M$70,9),0)</f>
        <v>0</v>
      </c>
      <c r="U1784" s="125">
        <f>IF(H$2=VLOOKUP(A1784,Journal!$A$7:$G$70,7),VLOOKUP(A1784,Journal!$A$7:M$70,9),0)</f>
        <v>0</v>
      </c>
      <c r="V1784" s="125">
        <f t="shared" si="211"/>
        <v>40</v>
      </c>
      <c r="X1784">
        <f t="shared" si="209"/>
        <v>0</v>
      </c>
      <c r="Y1784" s="143">
        <f t="shared" si="210"/>
        <v>-953.31578947375851</v>
      </c>
    </row>
    <row r="1785" spans="1:25" x14ac:dyDescent="0.25">
      <c r="A1785">
        <f t="shared" si="214"/>
        <v>1778</v>
      </c>
      <c r="B1785" s="88" t="str">
        <f>IF(OR(B1784="Total",B1784=""),"",IF(VLOOKUP(A1785,Journal!$B$7:$E$84,4)=0,"Total",VLOOKUP(A1785,Journal!$B$7:$D$84,3)))</f>
        <v/>
      </c>
      <c r="C1785" s="86" t="str">
        <f>IF(B1785="","",VLOOKUP(A1785,Journal!$B$7:$E$84,4))</f>
        <v/>
      </c>
      <c r="D1785" s="114" t="str">
        <f>IF(B1785="","",VLOOKUP(A1785,Journal!$B$7:$J$84,9))</f>
        <v/>
      </c>
      <c r="E1785" s="116"/>
      <c r="F1785" s="116"/>
      <c r="G1785" s="115"/>
      <c r="H1785" s="84" t="str">
        <f>IF(B1785="","",VLOOKUP(A1785,Journal!$B$7:$L$84,11))</f>
        <v/>
      </c>
      <c r="I1785" s="84" t="str">
        <f>IF(B1785="","",VLOOKUP(A1785,Journal!$B$7:$M$84,12))</f>
        <v/>
      </c>
      <c r="J1785" s="105">
        <f>IF(B1785="Total",SUM(J$8:J1784)+0.0001,IF(OR(B1785="",I$2=I1785),0,VLOOKUP(A1785,Journal!$B$7:M$84,8)))</f>
        <v>0</v>
      </c>
      <c r="K1785" s="102">
        <f>IF(B1785="Total",SUM(K$8:K1784)+0.0001,IF(OR(B1785="",J1785&lt;&gt;0),0,VLOOKUP(A1785,Journal!$B$7:M$84,8)))</f>
        <v>0</v>
      </c>
      <c r="L1785" s="87">
        <f t="shared" si="212"/>
        <v>0</v>
      </c>
      <c r="P1785">
        <f t="shared" si="213"/>
        <v>1.0000000000000001E-5</v>
      </c>
      <c r="R1785" s="15">
        <f t="shared" ref="R1785:R1848" si="215">R1784+1</f>
        <v>1778</v>
      </c>
      <c r="S1785" s="126">
        <f>IF(VLOOKUP(A1785,Journal!$A$7:$E$70,5)=0,S1784+1,VLOOKUP(A1785,Journal!$A$7:$E$70,5))</f>
        <v>47435</v>
      </c>
      <c r="T1785" s="125">
        <f>IF(H$2=VLOOKUP(A1785,Journal!$A$7:$F$70,6),VLOOKUP(A1785,Journal!$A$7:M$70,9),0)</f>
        <v>0</v>
      </c>
      <c r="U1785" s="125">
        <f>IF(H$2=VLOOKUP(A1785,Journal!$A$7:$G$70,7),VLOOKUP(A1785,Journal!$A$7:M$70,9),0)</f>
        <v>0</v>
      </c>
      <c r="V1785" s="125">
        <f t="shared" si="211"/>
        <v>40</v>
      </c>
      <c r="X1785">
        <f t="shared" ref="X1785:X1848" si="216">IF(J$2&gt;S1785,1,0)</f>
        <v>0</v>
      </c>
      <c r="Y1785" s="143">
        <f t="shared" si="210"/>
        <v>-953.28947368428487</v>
      </c>
    </row>
    <row r="1786" spans="1:25" x14ac:dyDescent="0.25">
      <c r="A1786">
        <f t="shared" si="214"/>
        <v>1779</v>
      </c>
      <c r="B1786" s="88" t="str">
        <f>IF(OR(B1785="Total",B1785=""),"",IF(VLOOKUP(A1786,Journal!$B$7:$E$84,4)=0,"Total",VLOOKUP(A1786,Journal!$B$7:$D$84,3)))</f>
        <v/>
      </c>
      <c r="C1786" s="86" t="str">
        <f>IF(B1786="","",VLOOKUP(A1786,Journal!$B$7:$E$84,4))</f>
        <v/>
      </c>
      <c r="D1786" s="114" t="str">
        <f>IF(B1786="","",VLOOKUP(A1786,Journal!$B$7:$J$84,9))</f>
        <v/>
      </c>
      <c r="E1786" s="116"/>
      <c r="F1786" s="116"/>
      <c r="G1786" s="115"/>
      <c r="H1786" s="84" t="str">
        <f>IF(B1786="","",VLOOKUP(A1786,Journal!$B$7:$L$84,11))</f>
        <v/>
      </c>
      <c r="I1786" s="84" t="str">
        <f>IF(B1786="","",VLOOKUP(A1786,Journal!$B$7:$M$84,12))</f>
        <v/>
      </c>
      <c r="J1786" s="105">
        <f>IF(B1786="Total",SUM(J$8:J1785)+0.0001,IF(OR(B1786="",I$2=I1786),0,VLOOKUP(A1786,Journal!$B$7:M$84,8)))</f>
        <v>0</v>
      </c>
      <c r="K1786" s="102">
        <f>IF(B1786="Total",SUM(K$8:K1785)+0.0001,IF(OR(B1786="",J1786&lt;&gt;0),0,VLOOKUP(A1786,Journal!$B$7:M$84,8)))</f>
        <v>0</v>
      </c>
      <c r="L1786" s="87">
        <f t="shared" si="212"/>
        <v>0</v>
      </c>
      <c r="P1786">
        <f t="shared" si="213"/>
        <v>1.0000000000000001E-5</v>
      </c>
      <c r="R1786" s="15">
        <f t="shared" si="215"/>
        <v>1779</v>
      </c>
      <c r="S1786" s="126">
        <f>IF(VLOOKUP(A1786,Journal!$A$7:$E$70,5)=0,S1785+1,VLOOKUP(A1786,Journal!$A$7:$E$70,5))</f>
        <v>47436</v>
      </c>
      <c r="T1786" s="125">
        <f>IF(H$2=VLOOKUP(A1786,Journal!$A$7:$F$70,6),VLOOKUP(A1786,Journal!$A$7:M$70,9),0)</f>
        <v>0</v>
      </c>
      <c r="U1786" s="125">
        <f>IF(H$2=VLOOKUP(A1786,Journal!$A$7:$G$70,7),VLOOKUP(A1786,Journal!$A$7:M$70,9),0)</f>
        <v>0</v>
      </c>
      <c r="V1786" s="125">
        <f t="shared" si="211"/>
        <v>40</v>
      </c>
      <c r="X1786">
        <f t="shared" si="216"/>
        <v>0</v>
      </c>
      <c r="Y1786" s="143">
        <f t="shared" si="210"/>
        <v>-953.26315789481123</v>
      </c>
    </row>
    <row r="1787" spans="1:25" x14ac:dyDescent="0.25">
      <c r="A1787">
        <f t="shared" si="214"/>
        <v>1780</v>
      </c>
      <c r="B1787" s="88" t="str">
        <f>IF(OR(B1786="Total",B1786=""),"",IF(VLOOKUP(A1787,Journal!$B$7:$E$84,4)=0,"Total",VLOOKUP(A1787,Journal!$B$7:$D$84,3)))</f>
        <v/>
      </c>
      <c r="C1787" s="86" t="str">
        <f>IF(B1787="","",VLOOKUP(A1787,Journal!$B$7:$E$84,4))</f>
        <v/>
      </c>
      <c r="D1787" s="114" t="str">
        <f>IF(B1787="","",VLOOKUP(A1787,Journal!$B$7:$J$84,9))</f>
        <v/>
      </c>
      <c r="E1787" s="116"/>
      <c r="F1787" s="116"/>
      <c r="G1787" s="115"/>
      <c r="H1787" s="84" t="str">
        <f>IF(B1787="","",VLOOKUP(A1787,Journal!$B$7:$L$84,11))</f>
        <v/>
      </c>
      <c r="I1787" s="84" t="str">
        <f>IF(B1787="","",VLOOKUP(A1787,Journal!$B$7:$M$84,12))</f>
        <v/>
      </c>
      <c r="J1787" s="105">
        <f>IF(B1787="Total",SUM(J$8:J1786)+0.0001,IF(OR(B1787="",I$2=I1787),0,VLOOKUP(A1787,Journal!$B$7:M$84,8)))</f>
        <v>0</v>
      </c>
      <c r="K1787" s="102">
        <f>IF(B1787="Total",SUM(K$8:K1786)+0.0001,IF(OR(B1787="",J1787&lt;&gt;0),0,VLOOKUP(A1787,Journal!$B$7:M$84,8)))</f>
        <v>0</v>
      </c>
      <c r="L1787" s="87">
        <f t="shared" si="212"/>
        <v>0</v>
      </c>
      <c r="P1787">
        <f t="shared" si="213"/>
        <v>1.0000000000000001E-5</v>
      </c>
      <c r="R1787" s="15">
        <f t="shared" si="215"/>
        <v>1780</v>
      </c>
      <c r="S1787" s="126">
        <f>IF(VLOOKUP(A1787,Journal!$A$7:$E$70,5)=0,S1786+1,VLOOKUP(A1787,Journal!$A$7:$E$70,5))</f>
        <v>47437</v>
      </c>
      <c r="T1787" s="125">
        <f>IF(H$2=VLOOKUP(A1787,Journal!$A$7:$F$70,6),VLOOKUP(A1787,Journal!$A$7:M$70,9),0)</f>
        <v>0</v>
      </c>
      <c r="U1787" s="125">
        <f>IF(H$2=VLOOKUP(A1787,Journal!$A$7:$G$70,7),VLOOKUP(A1787,Journal!$A$7:M$70,9),0)</f>
        <v>0</v>
      </c>
      <c r="V1787" s="125">
        <f t="shared" si="211"/>
        <v>40</v>
      </c>
      <c r="X1787">
        <f t="shared" si="216"/>
        <v>0</v>
      </c>
      <c r="Y1787" s="143">
        <f t="shared" si="210"/>
        <v>-953.23684210533759</v>
      </c>
    </row>
    <row r="1788" spans="1:25" x14ac:dyDescent="0.25">
      <c r="A1788">
        <f t="shared" si="214"/>
        <v>1781</v>
      </c>
      <c r="B1788" s="88" t="str">
        <f>IF(OR(B1787="Total",B1787=""),"",IF(VLOOKUP(A1788,Journal!$B$7:$E$84,4)=0,"Total",VLOOKUP(A1788,Journal!$B$7:$D$84,3)))</f>
        <v/>
      </c>
      <c r="C1788" s="86" t="str">
        <f>IF(B1788="","",VLOOKUP(A1788,Journal!$B$7:$E$84,4))</f>
        <v/>
      </c>
      <c r="D1788" s="114" t="str">
        <f>IF(B1788="","",VLOOKUP(A1788,Journal!$B$7:$J$84,9))</f>
        <v/>
      </c>
      <c r="E1788" s="116"/>
      <c r="F1788" s="116"/>
      <c r="G1788" s="115"/>
      <c r="H1788" s="84" t="str">
        <f>IF(B1788="","",VLOOKUP(A1788,Journal!$B$7:$L$84,11))</f>
        <v/>
      </c>
      <c r="I1788" s="84" t="str">
        <f>IF(B1788="","",VLOOKUP(A1788,Journal!$B$7:$M$84,12))</f>
        <v/>
      </c>
      <c r="J1788" s="105">
        <f>IF(B1788="Total",SUM(J$8:J1787)+0.0001,IF(OR(B1788="",I$2=I1788),0,VLOOKUP(A1788,Journal!$B$7:M$84,8)))</f>
        <v>0</v>
      </c>
      <c r="K1788" s="102">
        <f>IF(B1788="Total",SUM(K$8:K1787)+0.0001,IF(OR(B1788="",J1788&lt;&gt;0),0,VLOOKUP(A1788,Journal!$B$7:M$84,8)))</f>
        <v>0</v>
      </c>
      <c r="L1788" s="87">
        <f t="shared" si="212"/>
        <v>0</v>
      </c>
      <c r="P1788">
        <f t="shared" si="213"/>
        <v>1.0000000000000001E-5</v>
      </c>
      <c r="R1788" s="15">
        <f t="shared" si="215"/>
        <v>1781</v>
      </c>
      <c r="S1788" s="126">
        <f>IF(VLOOKUP(A1788,Journal!$A$7:$E$70,5)=0,S1787+1,VLOOKUP(A1788,Journal!$A$7:$E$70,5))</f>
        <v>47438</v>
      </c>
      <c r="T1788" s="125">
        <f>IF(H$2=VLOOKUP(A1788,Journal!$A$7:$F$70,6),VLOOKUP(A1788,Journal!$A$7:M$70,9),0)</f>
        <v>0</v>
      </c>
      <c r="U1788" s="125">
        <f>IF(H$2=VLOOKUP(A1788,Journal!$A$7:$G$70,7),VLOOKUP(A1788,Journal!$A$7:M$70,9),0)</f>
        <v>0</v>
      </c>
      <c r="V1788" s="125">
        <f t="shared" si="211"/>
        <v>40</v>
      </c>
      <c r="X1788">
        <f t="shared" si="216"/>
        <v>0</v>
      </c>
      <c r="Y1788" s="143">
        <f t="shared" si="210"/>
        <v>-953.21052631586394</v>
      </c>
    </row>
    <row r="1789" spans="1:25" x14ac:dyDescent="0.25">
      <c r="A1789">
        <f t="shared" si="214"/>
        <v>1782</v>
      </c>
      <c r="B1789" s="88" t="str">
        <f>IF(OR(B1788="Total",B1788=""),"",IF(VLOOKUP(A1789,Journal!$B$7:$E$84,4)=0,"Total",VLOOKUP(A1789,Journal!$B$7:$D$84,3)))</f>
        <v/>
      </c>
      <c r="C1789" s="86" t="str">
        <f>IF(B1789="","",VLOOKUP(A1789,Journal!$B$7:$E$84,4))</f>
        <v/>
      </c>
      <c r="D1789" s="114" t="str">
        <f>IF(B1789="","",VLOOKUP(A1789,Journal!$B$7:$J$84,9))</f>
        <v/>
      </c>
      <c r="E1789" s="116"/>
      <c r="F1789" s="116"/>
      <c r="G1789" s="115"/>
      <c r="H1789" s="84" t="str">
        <f>IF(B1789="","",VLOOKUP(A1789,Journal!$B$7:$L$84,11))</f>
        <v/>
      </c>
      <c r="I1789" s="84" t="str">
        <f>IF(B1789="","",VLOOKUP(A1789,Journal!$B$7:$M$84,12))</f>
        <v/>
      </c>
      <c r="J1789" s="105">
        <f>IF(B1789="Total",SUM(J$8:J1788)+0.0001,IF(OR(B1789="",I$2=I1789),0,VLOOKUP(A1789,Journal!$B$7:M$84,8)))</f>
        <v>0</v>
      </c>
      <c r="K1789" s="102">
        <f>IF(B1789="Total",SUM(K$8:K1788)+0.0001,IF(OR(B1789="",J1789&lt;&gt;0),0,VLOOKUP(A1789,Journal!$B$7:M$84,8)))</f>
        <v>0</v>
      </c>
      <c r="L1789" s="87">
        <f t="shared" si="212"/>
        <v>0</v>
      </c>
      <c r="P1789">
        <f t="shared" si="213"/>
        <v>1.0000000000000001E-5</v>
      </c>
      <c r="R1789" s="15">
        <f t="shared" si="215"/>
        <v>1782</v>
      </c>
      <c r="S1789" s="126">
        <f>IF(VLOOKUP(A1789,Journal!$A$7:$E$70,5)=0,S1788+1,VLOOKUP(A1789,Journal!$A$7:$E$70,5))</f>
        <v>47439</v>
      </c>
      <c r="T1789" s="125">
        <f>IF(H$2=VLOOKUP(A1789,Journal!$A$7:$F$70,6),VLOOKUP(A1789,Journal!$A$7:M$70,9),0)</f>
        <v>0</v>
      </c>
      <c r="U1789" s="125">
        <f>IF(H$2=VLOOKUP(A1789,Journal!$A$7:$G$70,7),VLOOKUP(A1789,Journal!$A$7:M$70,9),0)</f>
        <v>0</v>
      </c>
      <c r="V1789" s="125">
        <f t="shared" si="211"/>
        <v>40</v>
      </c>
      <c r="X1789">
        <f t="shared" si="216"/>
        <v>0</v>
      </c>
      <c r="Y1789" s="143">
        <f t="shared" si="210"/>
        <v>-953.1842105263903</v>
      </c>
    </row>
    <row r="1790" spans="1:25" x14ac:dyDescent="0.25">
      <c r="A1790">
        <f t="shared" si="214"/>
        <v>1783</v>
      </c>
      <c r="B1790" s="88" t="str">
        <f>IF(OR(B1789="Total",B1789=""),"",IF(VLOOKUP(A1790,Journal!$B$7:$E$84,4)=0,"Total",VLOOKUP(A1790,Journal!$B$7:$D$84,3)))</f>
        <v/>
      </c>
      <c r="C1790" s="86" t="str">
        <f>IF(B1790="","",VLOOKUP(A1790,Journal!$B$7:$E$84,4))</f>
        <v/>
      </c>
      <c r="D1790" s="114" t="str">
        <f>IF(B1790="","",VLOOKUP(A1790,Journal!$B$7:$J$84,9))</f>
        <v/>
      </c>
      <c r="E1790" s="116"/>
      <c r="F1790" s="116"/>
      <c r="G1790" s="115"/>
      <c r="H1790" s="84" t="str">
        <f>IF(B1790="","",VLOOKUP(A1790,Journal!$B$7:$L$84,11))</f>
        <v/>
      </c>
      <c r="I1790" s="84" t="str">
        <f>IF(B1790="","",VLOOKUP(A1790,Journal!$B$7:$M$84,12))</f>
        <v/>
      </c>
      <c r="J1790" s="105">
        <f>IF(B1790="Total",SUM(J$8:J1789)+0.0001,IF(OR(B1790="",I$2=I1790),0,VLOOKUP(A1790,Journal!$B$7:M$84,8)))</f>
        <v>0</v>
      </c>
      <c r="K1790" s="102">
        <f>IF(B1790="Total",SUM(K$8:K1789)+0.0001,IF(OR(B1790="",J1790&lt;&gt;0),0,VLOOKUP(A1790,Journal!$B$7:M$84,8)))</f>
        <v>0</v>
      </c>
      <c r="L1790" s="87">
        <f t="shared" si="212"/>
        <v>0</v>
      </c>
      <c r="P1790">
        <f t="shared" si="213"/>
        <v>1.0000000000000001E-5</v>
      </c>
      <c r="R1790" s="15">
        <f t="shared" si="215"/>
        <v>1783</v>
      </c>
      <c r="S1790" s="126">
        <f>IF(VLOOKUP(A1790,Journal!$A$7:$E$70,5)=0,S1789+1,VLOOKUP(A1790,Journal!$A$7:$E$70,5))</f>
        <v>47440</v>
      </c>
      <c r="T1790" s="125">
        <f>IF(H$2=VLOOKUP(A1790,Journal!$A$7:$F$70,6),VLOOKUP(A1790,Journal!$A$7:M$70,9),0)</f>
        <v>0</v>
      </c>
      <c r="U1790" s="125">
        <f>IF(H$2=VLOOKUP(A1790,Journal!$A$7:$G$70,7),VLOOKUP(A1790,Journal!$A$7:M$70,9),0)</f>
        <v>0</v>
      </c>
      <c r="V1790" s="125">
        <f t="shared" si="211"/>
        <v>40</v>
      </c>
      <c r="X1790">
        <f t="shared" si="216"/>
        <v>0</v>
      </c>
      <c r="Y1790" s="143">
        <f t="shared" si="210"/>
        <v>-953.15789473691666</v>
      </c>
    </row>
    <row r="1791" spans="1:25" x14ac:dyDescent="0.25">
      <c r="A1791">
        <f t="shared" si="214"/>
        <v>1784</v>
      </c>
      <c r="B1791" s="88" t="str">
        <f>IF(OR(B1790="Total",B1790=""),"",IF(VLOOKUP(A1791,Journal!$B$7:$E$84,4)=0,"Total",VLOOKUP(A1791,Journal!$B$7:$D$84,3)))</f>
        <v/>
      </c>
      <c r="C1791" s="86" t="str">
        <f>IF(B1791="","",VLOOKUP(A1791,Journal!$B$7:$E$84,4))</f>
        <v/>
      </c>
      <c r="D1791" s="114" t="str">
        <f>IF(B1791="","",VLOOKUP(A1791,Journal!$B$7:$J$84,9))</f>
        <v/>
      </c>
      <c r="E1791" s="116"/>
      <c r="F1791" s="116"/>
      <c r="G1791" s="115"/>
      <c r="H1791" s="84" t="str">
        <f>IF(B1791="","",VLOOKUP(A1791,Journal!$B$7:$L$84,11))</f>
        <v/>
      </c>
      <c r="I1791" s="84" t="str">
        <f>IF(B1791="","",VLOOKUP(A1791,Journal!$B$7:$M$84,12))</f>
        <v/>
      </c>
      <c r="J1791" s="105">
        <f>IF(B1791="Total",SUM(J$8:J1790)+0.0001,IF(OR(B1791="",I$2=I1791),0,VLOOKUP(A1791,Journal!$B$7:M$84,8)))</f>
        <v>0</v>
      </c>
      <c r="K1791" s="102">
        <f>IF(B1791="Total",SUM(K$8:K1790)+0.0001,IF(OR(B1791="",J1791&lt;&gt;0),0,VLOOKUP(A1791,Journal!$B$7:M$84,8)))</f>
        <v>0</v>
      </c>
      <c r="L1791" s="87">
        <f t="shared" si="212"/>
        <v>0</v>
      </c>
      <c r="P1791">
        <f t="shared" si="213"/>
        <v>1.0000000000000001E-5</v>
      </c>
      <c r="R1791" s="15">
        <f t="shared" si="215"/>
        <v>1784</v>
      </c>
      <c r="S1791" s="126">
        <f>IF(VLOOKUP(A1791,Journal!$A$7:$E$70,5)=0,S1790+1,VLOOKUP(A1791,Journal!$A$7:$E$70,5))</f>
        <v>47441</v>
      </c>
      <c r="T1791" s="125">
        <f>IF(H$2=VLOOKUP(A1791,Journal!$A$7:$F$70,6),VLOOKUP(A1791,Journal!$A$7:M$70,9),0)</f>
        <v>0</v>
      </c>
      <c r="U1791" s="125">
        <f>IF(H$2=VLOOKUP(A1791,Journal!$A$7:$G$70,7),VLOOKUP(A1791,Journal!$A$7:M$70,9),0)</f>
        <v>0</v>
      </c>
      <c r="V1791" s="125">
        <f t="shared" si="211"/>
        <v>40</v>
      </c>
      <c r="X1791">
        <f t="shared" si="216"/>
        <v>0</v>
      </c>
      <c r="Y1791" s="143">
        <f t="shared" si="210"/>
        <v>-953.13157894744302</v>
      </c>
    </row>
    <row r="1792" spans="1:25" x14ac:dyDescent="0.25">
      <c r="A1792">
        <f t="shared" si="214"/>
        <v>1785</v>
      </c>
      <c r="B1792" s="88" t="str">
        <f>IF(OR(B1791="Total",B1791=""),"",IF(VLOOKUP(A1792,Journal!$B$7:$E$84,4)=0,"Total",VLOOKUP(A1792,Journal!$B$7:$D$84,3)))</f>
        <v/>
      </c>
      <c r="C1792" s="86" t="str">
        <f>IF(B1792="","",VLOOKUP(A1792,Journal!$B$7:$E$84,4))</f>
        <v/>
      </c>
      <c r="D1792" s="114" t="str">
        <f>IF(B1792="","",VLOOKUP(A1792,Journal!$B$7:$J$84,9))</f>
        <v/>
      </c>
      <c r="E1792" s="116"/>
      <c r="F1792" s="116"/>
      <c r="G1792" s="115"/>
      <c r="H1792" s="84" t="str">
        <f>IF(B1792="","",VLOOKUP(A1792,Journal!$B$7:$L$84,11))</f>
        <v/>
      </c>
      <c r="I1792" s="84" t="str">
        <f>IF(B1792="","",VLOOKUP(A1792,Journal!$B$7:$M$84,12))</f>
        <v/>
      </c>
      <c r="J1792" s="105">
        <f>IF(B1792="Total",SUM(J$8:J1791)+0.0001,IF(OR(B1792="",I$2=I1792),0,VLOOKUP(A1792,Journal!$B$7:M$84,8)))</f>
        <v>0</v>
      </c>
      <c r="K1792" s="102">
        <f>IF(B1792="Total",SUM(K$8:K1791)+0.0001,IF(OR(B1792="",J1792&lt;&gt;0),0,VLOOKUP(A1792,Journal!$B$7:M$84,8)))</f>
        <v>0</v>
      </c>
      <c r="L1792" s="87">
        <f t="shared" si="212"/>
        <v>0</v>
      </c>
      <c r="P1792">
        <f t="shared" si="213"/>
        <v>1.0000000000000001E-5</v>
      </c>
      <c r="R1792" s="15">
        <f t="shared" si="215"/>
        <v>1785</v>
      </c>
      <c r="S1792" s="126">
        <f>IF(VLOOKUP(A1792,Journal!$A$7:$E$70,5)=0,S1791+1,VLOOKUP(A1792,Journal!$A$7:$E$70,5))</f>
        <v>47442</v>
      </c>
      <c r="T1792" s="125">
        <f>IF(H$2=VLOOKUP(A1792,Journal!$A$7:$F$70,6),VLOOKUP(A1792,Journal!$A$7:M$70,9),0)</f>
        <v>0</v>
      </c>
      <c r="U1792" s="125">
        <f>IF(H$2=VLOOKUP(A1792,Journal!$A$7:$G$70,7),VLOOKUP(A1792,Journal!$A$7:M$70,9),0)</f>
        <v>0</v>
      </c>
      <c r="V1792" s="125">
        <f t="shared" si="211"/>
        <v>40</v>
      </c>
      <c r="X1792">
        <f t="shared" si="216"/>
        <v>0</v>
      </c>
      <c r="Y1792" s="143">
        <f t="shared" si="210"/>
        <v>-953.10526315796938</v>
      </c>
    </row>
    <row r="1793" spans="1:25" x14ac:dyDescent="0.25">
      <c r="A1793">
        <f t="shared" si="214"/>
        <v>1786</v>
      </c>
      <c r="B1793" s="88" t="str">
        <f>IF(OR(B1792="Total",B1792=""),"",IF(VLOOKUP(A1793,Journal!$B$7:$E$84,4)=0,"Total",VLOOKUP(A1793,Journal!$B$7:$D$84,3)))</f>
        <v/>
      </c>
      <c r="C1793" s="86" t="str">
        <f>IF(B1793="","",VLOOKUP(A1793,Journal!$B$7:$E$84,4))</f>
        <v/>
      </c>
      <c r="D1793" s="114" t="str">
        <f>IF(B1793="","",VLOOKUP(A1793,Journal!$B$7:$J$84,9))</f>
        <v/>
      </c>
      <c r="E1793" s="116"/>
      <c r="F1793" s="116"/>
      <c r="G1793" s="115"/>
      <c r="H1793" s="84" t="str">
        <f>IF(B1793="","",VLOOKUP(A1793,Journal!$B$7:$L$84,11))</f>
        <v/>
      </c>
      <c r="I1793" s="84" t="str">
        <f>IF(B1793="","",VLOOKUP(A1793,Journal!$B$7:$M$84,12))</f>
        <v/>
      </c>
      <c r="J1793" s="105">
        <f>IF(B1793="Total",SUM(J$8:J1792)+0.0001,IF(OR(B1793="",I$2=I1793),0,VLOOKUP(A1793,Journal!$B$7:M$84,8)))</f>
        <v>0</v>
      </c>
      <c r="K1793" s="102">
        <f>IF(B1793="Total",SUM(K$8:K1792)+0.0001,IF(OR(B1793="",J1793&lt;&gt;0),0,VLOOKUP(A1793,Journal!$B$7:M$84,8)))</f>
        <v>0</v>
      </c>
      <c r="L1793" s="87">
        <f t="shared" si="212"/>
        <v>0</v>
      </c>
      <c r="P1793">
        <f t="shared" si="213"/>
        <v>1.0000000000000001E-5</v>
      </c>
      <c r="R1793" s="15">
        <f t="shared" si="215"/>
        <v>1786</v>
      </c>
      <c r="S1793" s="126">
        <f>IF(VLOOKUP(A1793,Journal!$A$7:$E$70,5)=0,S1792+1,VLOOKUP(A1793,Journal!$A$7:$E$70,5))</f>
        <v>47443</v>
      </c>
      <c r="T1793" s="125">
        <f>IF(H$2=VLOOKUP(A1793,Journal!$A$7:$F$70,6),VLOOKUP(A1793,Journal!$A$7:M$70,9),0)</f>
        <v>0</v>
      </c>
      <c r="U1793" s="125">
        <f>IF(H$2=VLOOKUP(A1793,Journal!$A$7:$G$70,7),VLOOKUP(A1793,Journal!$A$7:M$70,9),0)</f>
        <v>0</v>
      </c>
      <c r="V1793" s="125">
        <f t="shared" si="211"/>
        <v>40</v>
      </c>
      <c r="X1793">
        <f t="shared" si="216"/>
        <v>0</v>
      </c>
      <c r="Y1793" s="143">
        <f t="shared" si="210"/>
        <v>-953.07894736849573</v>
      </c>
    </row>
    <row r="1794" spans="1:25" x14ac:dyDescent="0.25">
      <c r="A1794">
        <f t="shared" si="214"/>
        <v>1787</v>
      </c>
      <c r="B1794" s="88" t="str">
        <f>IF(OR(B1793="Total",B1793=""),"",IF(VLOOKUP(A1794,Journal!$B$7:$E$84,4)=0,"Total",VLOOKUP(A1794,Journal!$B$7:$D$84,3)))</f>
        <v/>
      </c>
      <c r="C1794" s="86" t="str">
        <f>IF(B1794="","",VLOOKUP(A1794,Journal!$B$7:$E$84,4))</f>
        <v/>
      </c>
      <c r="D1794" s="114" t="str">
        <f>IF(B1794="","",VLOOKUP(A1794,Journal!$B$7:$J$84,9))</f>
        <v/>
      </c>
      <c r="E1794" s="116"/>
      <c r="F1794" s="116"/>
      <c r="G1794" s="115"/>
      <c r="H1794" s="84" t="str">
        <f>IF(B1794="","",VLOOKUP(A1794,Journal!$B$7:$L$84,11))</f>
        <v/>
      </c>
      <c r="I1794" s="84" t="str">
        <f>IF(B1794="","",VLOOKUP(A1794,Journal!$B$7:$M$84,12))</f>
        <v/>
      </c>
      <c r="J1794" s="105">
        <f>IF(B1794="Total",SUM(J$8:J1793)+0.0001,IF(OR(B1794="",I$2=I1794),0,VLOOKUP(A1794,Journal!$B$7:M$84,8)))</f>
        <v>0</v>
      </c>
      <c r="K1794" s="102">
        <f>IF(B1794="Total",SUM(K$8:K1793)+0.0001,IF(OR(B1794="",J1794&lt;&gt;0),0,VLOOKUP(A1794,Journal!$B$7:M$84,8)))</f>
        <v>0</v>
      </c>
      <c r="L1794" s="87">
        <f t="shared" si="212"/>
        <v>0</v>
      </c>
      <c r="P1794">
        <f t="shared" si="213"/>
        <v>1.0000000000000001E-5</v>
      </c>
      <c r="R1794" s="15">
        <f t="shared" si="215"/>
        <v>1787</v>
      </c>
      <c r="S1794" s="126">
        <f>IF(VLOOKUP(A1794,Journal!$A$7:$E$70,5)=0,S1793+1,VLOOKUP(A1794,Journal!$A$7:$E$70,5))</f>
        <v>47444</v>
      </c>
      <c r="T1794" s="125">
        <f>IF(H$2=VLOOKUP(A1794,Journal!$A$7:$F$70,6),VLOOKUP(A1794,Journal!$A$7:M$70,9),0)</f>
        <v>0</v>
      </c>
      <c r="U1794" s="125">
        <f>IF(H$2=VLOOKUP(A1794,Journal!$A$7:$G$70,7),VLOOKUP(A1794,Journal!$A$7:M$70,9),0)</f>
        <v>0</v>
      </c>
      <c r="V1794" s="125">
        <f t="shared" si="211"/>
        <v>40</v>
      </c>
      <c r="X1794">
        <f t="shared" si="216"/>
        <v>0</v>
      </c>
      <c r="Y1794" s="143">
        <f t="shared" si="210"/>
        <v>-953.05263157902209</v>
      </c>
    </row>
    <row r="1795" spans="1:25" x14ac:dyDescent="0.25">
      <c r="A1795">
        <f t="shared" si="214"/>
        <v>1788</v>
      </c>
      <c r="B1795" s="88" t="str">
        <f>IF(OR(B1794="Total",B1794=""),"",IF(VLOOKUP(A1795,Journal!$B$7:$E$84,4)=0,"Total",VLOOKUP(A1795,Journal!$B$7:$D$84,3)))</f>
        <v/>
      </c>
      <c r="C1795" s="86" t="str">
        <f>IF(B1795="","",VLOOKUP(A1795,Journal!$B$7:$E$84,4))</f>
        <v/>
      </c>
      <c r="D1795" s="114" t="str">
        <f>IF(B1795="","",VLOOKUP(A1795,Journal!$B$7:$J$84,9))</f>
        <v/>
      </c>
      <c r="E1795" s="116"/>
      <c r="F1795" s="116"/>
      <c r="G1795" s="115"/>
      <c r="H1795" s="84" t="str">
        <f>IF(B1795="","",VLOOKUP(A1795,Journal!$B$7:$L$84,11))</f>
        <v/>
      </c>
      <c r="I1795" s="84" t="str">
        <f>IF(B1795="","",VLOOKUP(A1795,Journal!$B$7:$M$84,12))</f>
        <v/>
      </c>
      <c r="J1795" s="105">
        <f>IF(B1795="Total",SUM(J$8:J1794)+0.0001,IF(OR(B1795="",I$2=I1795),0,VLOOKUP(A1795,Journal!$B$7:M$84,8)))</f>
        <v>0</v>
      </c>
      <c r="K1795" s="102">
        <f>IF(B1795="Total",SUM(K$8:K1794)+0.0001,IF(OR(B1795="",J1795&lt;&gt;0),0,VLOOKUP(A1795,Journal!$B$7:M$84,8)))</f>
        <v>0</v>
      </c>
      <c r="L1795" s="87">
        <f t="shared" si="212"/>
        <v>0</v>
      </c>
      <c r="P1795">
        <f t="shared" si="213"/>
        <v>1.0000000000000001E-5</v>
      </c>
      <c r="R1795" s="15">
        <f t="shared" si="215"/>
        <v>1788</v>
      </c>
      <c r="S1795" s="126">
        <f>IF(VLOOKUP(A1795,Journal!$A$7:$E$70,5)=0,S1794+1,VLOOKUP(A1795,Journal!$A$7:$E$70,5))</f>
        <v>47445</v>
      </c>
      <c r="T1795" s="125">
        <f>IF(H$2=VLOOKUP(A1795,Journal!$A$7:$F$70,6),VLOOKUP(A1795,Journal!$A$7:M$70,9),0)</f>
        <v>0</v>
      </c>
      <c r="U1795" s="125">
        <f>IF(H$2=VLOOKUP(A1795,Journal!$A$7:$G$70,7),VLOOKUP(A1795,Journal!$A$7:M$70,9),0)</f>
        <v>0</v>
      </c>
      <c r="V1795" s="125">
        <f t="shared" si="211"/>
        <v>40</v>
      </c>
      <c r="X1795">
        <f t="shared" si="216"/>
        <v>0</v>
      </c>
      <c r="Y1795" s="143">
        <f t="shared" si="210"/>
        <v>-953.02631578954845</v>
      </c>
    </row>
    <row r="1796" spans="1:25" x14ac:dyDescent="0.25">
      <c r="A1796">
        <f t="shared" si="214"/>
        <v>1789</v>
      </c>
      <c r="B1796" s="88" t="str">
        <f>IF(OR(B1795="Total",B1795=""),"",IF(VLOOKUP(A1796,Journal!$B$7:$E$84,4)=0,"Total",VLOOKUP(A1796,Journal!$B$7:$D$84,3)))</f>
        <v/>
      </c>
      <c r="C1796" s="86" t="str">
        <f>IF(B1796="","",VLOOKUP(A1796,Journal!$B$7:$E$84,4))</f>
        <v/>
      </c>
      <c r="D1796" s="114" t="str">
        <f>IF(B1796="","",VLOOKUP(A1796,Journal!$B$7:$J$84,9))</f>
        <v/>
      </c>
      <c r="E1796" s="116"/>
      <c r="F1796" s="116"/>
      <c r="G1796" s="115"/>
      <c r="H1796" s="84" t="str">
        <f>IF(B1796="","",VLOOKUP(A1796,Journal!$B$7:$L$84,11))</f>
        <v/>
      </c>
      <c r="I1796" s="84" t="str">
        <f>IF(B1796="","",VLOOKUP(A1796,Journal!$B$7:$M$84,12))</f>
        <v/>
      </c>
      <c r="J1796" s="105">
        <f>IF(B1796="Total",SUM(J$8:J1795)+0.0001,IF(OR(B1796="",I$2=I1796),0,VLOOKUP(A1796,Journal!$B$7:M$84,8)))</f>
        <v>0</v>
      </c>
      <c r="K1796" s="102">
        <f>IF(B1796="Total",SUM(K$8:K1795)+0.0001,IF(OR(B1796="",J1796&lt;&gt;0),0,VLOOKUP(A1796,Journal!$B$7:M$84,8)))</f>
        <v>0</v>
      </c>
      <c r="L1796" s="87">
        <f t="shared" si="212"/>
        <v>0</v>
      </c>
      <c r="P1796">
        <f t="shared" si="213"/>
        <v>1.0000000000000001E-5</v>
      </c>
      <c r="R1796" s="15">
        <f t="shared" si="215"/>
        <v>1789</v>
      </c>
      <c r="S1796" s="126">
        <f>IF(VLOOKUP(A1796,Journal!$A$7:$E$70,5)=0,S1795+1,VLOOKUP(A1796,Journal!$A$7:$E$70,5))</f>
        <v>47446</v>
      </c>
      <c r="T1796" s="125">
        <f>IF(H$2=VLOOKUP(A1796,Journal!$A$7:$F$70,6),VLOOKUP(A1796,Journal!$A$7:M$70,9),0)</f>
        <v>0</v>
      </c>
      <c r="U1796" s="125">
        <f>IF(H$2=VLOOKUP(A1796,Journal!$A$7:$G$70,7),VLOOKUP(A1796,Journal!$A$7:M$70,9),0)</f>
        <v>0</v>
      </c>
      <c r="V1796" s="125">
        <f t="shared" si="211"/>
        <v>40</v>
      </c>
      <c r="X1796">
        <f t="shared" si="216"/>
        <v>0</v>
      </c>
      <c r="Y1796" s="143">
        <f t="shared" si="210"/>
        <v>-953.00000000007481</v>
      </c>
    </row>
    <row r="1797" spans="1:25" x14ac:dyDescent="0.25">
      <c r="A1797">
        <f t="shared" si="214"/>
        <v>1790</v>
      </c>
      <c r="B1797" s="88" t="str">
        <f>IF(OR(B1796="Total",B1796=""),"",IF(VLOOKUP(A1797,Journal!$B$7:$E$84,4)=0,"Total",VLOOKUP(A1797,Journal!$B$7:$D$84,3)))</f>
        <v/>
      </c>
      <c r="C1797" s="86" t="str">
        <f>IF(B1797="","",VLOOKUP(A1797,Journal!$B$7:$E$84,4))</f>
        <v/>
      </c>
      <c r="D1797" s="114" t="str">
        <f>IF(B1797="","",VLOOKUP(A1797,Journal!$B$7:$J$84,9))</f>
        <v/>
      </c>
      <c r="E1797" s="116"/>
      <c r="F1797" s="116"/>
      <c r="G1797" s="115"/>
      <c r="H1797" s="84" t="str">
        <f>IF(B1797="","",VLOOKUP(A1797,Journal!$B$7:$L$84,11))</f>
        <v/>
      </c>
      <c r="I1797" s="84" t="str">
        <f>IF(B1797="","",VLOOKUP(A1797,Journal!$B$7:$M$84,12))</f>
        <v/>
      </c>
      <c r="J1797" s="105">
        <f>IF(B1797="Total",SUM(J$8:J1796)+0.0001,IF(OR(B1797="",I$2=I1797),0,VLOOKUP(A1797,Journal!$B$7:M$84,8)))</f>
        <v>0</v>
      </c>
      <c r="K1797" s="102">
        <f>IF(B1797="Total",SUM(K$8:K1796)+0.0001,IF(OR(B1797="",J1797&lt;&gt;0),0,VLOOKUP(A1797,Journal!$B$7:M$84,8)))</f>
        <v>0</v>
      </c>
      <c r="L1797" s="87">
        <f t="shared" si="212"/>
        <v>0</v>
      </c>
      <c r="P1797">
        <f t="shared" si="213"/>
        <v>1.0000000000000001E-5</v>
      </c>
      <c r="R1797" s="15">
        <f t="shared" si="215"/>
        <v>1790</v>
      </c>
      <c r="S1797" s="126">
        <f>IF(VLOOKUP(A1797,Journal!$A$7:$E$70,5)=0,S1796+1,VLOOKUP(A1797,Journal!$A$7:$E$70,5))</f>
        <v>47447</v>
      </c>
      <c r="T1797" s="125">
        <f>IF(H$2=VLOOKUP(A1797,Journal!$A$7:$F$70,6),VLOOKUP(A1797,Journal!$A$7:M$70,9),0)</f>
        <v>0</v>
      </c>
      <c r="U1797" s="125">
        <f>IF(H$2=VLOOKUP(A1797,Journal!$A$7:$G$70,7),VLOOKUP(A1797,Journal!$A$7:M$70,9),0)</f>
        <v>0</v>
      </c>
      <c r="V1797" s="125">
        <f t="shared" si="211"/>
        <v>40</v>
      </c>
      <c r="X1797">
        <f t="shared" si="216"/>
        <v>0</v>
      </c>
      <c r="Y1797" s="143">
        <f t="shared" si="210"/>
        <v>-952.97368421060116</v>
      </c>
    </row>
    <row r="1798" spans="1:25" x14ac:dyDescent="0.25">
      <c r="A1798">
        <f t="shared" si="214"/>
        <v>1791</v>
      </c>
      <c r="B1798" s="88" t="str">
        <f>IF(OR(B1797="Total",B1797=""),"",IF(VLOOKUP(A1798,Journal!$B$7:$E$84,4)=0,"Total",VLOOKUP(A1798,Journal!$B$7:$D$84,3)))</f>
        <v/>
      </c>
      <c r="C1798" s="86" t="str">
        <f>IF(B1798="","",VLOOKUP(A1798,Journal!$B$7:$E$84,4))</f>
        <v/>
      </c>
      <c r="D1798" s="114" t="str">
        <f>IF(B1798="","",VLOOKUP(A1798,Journal!$B$7:$J$84,9))</f>
        <v/>
      </c>
      <c r="E1798" s="116"/>
      <c r="F1798" s="116"/>
      <c r="G1798" s="115"/>
      <c r="H1798" s="84" t="str">
        <f>IF(B1798="","",VLOOKUP(A1798,Journal!$B$7:$L$84,11))</f>
        <v/>
      </c>
      <c r="I1798" s="84" t="str">
        <f>IF(B1798="","",VLOOKUP(A1798,Journal!$B$7:$M$84,12))</f>
        <v/>
      </c>
      <c r="J1798" s="105">
        <f>IF(B1798="Total",SUM(J$8:J1797)+0.0001,IF(OR(B1798="",I$2=I1798),0,VLOOKUP(A1798,Journal!$B$7:M$84,8)))</f>
        <v>0</v>
      </c>
      <c r="K1798" s="102">
        <f>IF(B1798="Total",SUM(K$8:K1797)+0.0001,IF(OR(B1798="",J1798&lt;&gt;0),0,VLOOKUP(A1798,Journal!$B$7:M$84,8)))</f>
        <v>0</v>
      </c>
      <c r="L1798" s="87">
        <f t="shared" si="212"/>
        <v>0</v>
      </c>
      <c r="P1798">
        <f t="shared" si="213"/>
        <v>1.0000000000000001E-5</v>
      </c>
      <c r="R1798" s="15">
        <f t="shared" si="215"/>
        <v>1791</v>
      </c>
      <c r="S1798" s="126">
        <f>IF(VLOOKUP(A1798,Journal!$A$7:$E$70,5)=0,S1797+1,VLOOKUP(A1798,Journal!$A$7:$E$70,5))</f>
        <v>47448</v>
      </c>
      <c r="T1798" s="125">
        <f>IF(H$2=VLOOKUP(A1798,Journal!$A$7:$F$70,6),VLOOKUP(A1798,Journal!$A$7:M$70,9),0)</f>
        <v>0</v>
      </c>
      <c r="U1798" s="125">
        <f>IF(H$2=VLOOKUP(A1798,Journal!$A$7:$G$70,7),VLOOKUP(A1798,Journal!$A$7:M$70,9),0)</f>
        <v>0</v>
      </c>
      <c r="V1798" s="125">
        <f t="shared" si="211"/>
        <v>40</v>
      </c>
      <c r="X1798">
        <f t="shared" si="216"/>
        <v>0</v>
      </c>
      <c r="Y1798" s="143">
        <f t="shared" si="210"/>
        <v>-952.94736842112752</v>
      </c>
    </row>
    <row r="1799" spans="1:25" x14ac:dyDescent="0.25">
      <c r="A1799">
        <f t="shared" si="214"/>
        <v>1792</v>
      </c>
      <c r="B1799" s="88" t="str">
        <f>IF(OR(B1798="Total",B1798=""),"",IF(VLOOKUP(A1799,Journal!$B$7:$E$84,4)=0,"Total",VLOOKUP(A1799,Journal!$B$7:$D$84,3)))</f>
        <v/>
      </c>
      <c r="C1799" s="86" t="str">
        <f>IF(B1799="","",VLOOKUP(A1799,Journal!$B$7:$E$84,4))</f>
        <v/>
      </c>
      <c r="D1799" s="114" t="str">
        <f>IF(B1799="","",VLOOKUP(A1799,Journal!$B$7:$J$84,9))</f>
        <v/>
      </c>
      <c r="E1799" s="116"/>
      <c r="F1799" s="116"/>
      <c r="G1799" s="115"/>
      <c r="H1799" s="84" t="str">
        <f>IF(B1799="","",VLOOKUP(A1799,Journal!$B$7:$L$84,11))</f>
        <v/>
      </c>
      <c r="I1799" s="84" t="str">
        <f>IF(B1799="","",VLOOKUP(A1799,Journal!$B$7:$M$84,12))</f>
        <v/>
      </c>
      <c r="J1799" s="105">
        <f>IF(B1799="Total",SUM(J$8:J1798)+0.0001,IF(OR(B1799="",I$2=I1799),0,VLOOKUP(A1799,Journal!$B$7:M$84,8)))</f>
        <v>0</v>
      </c>
      <c r="K1799" s="102">
        <f>IF(B1799="Total",SUM(K$8:K1798)+0.0001,IF(OR(B1799="",J1799&lt;&gt;0),0,VLOOKUP(A1799,Journal!$B$7:M$84,8)))</f>
        <v>0</v>
      </c>
      <c r="L1799" s="87">
        <f t="shared" si="212"/>
        <v>0</v>
      </c>
      <c r="P1799">
        <f t="shared" si="213"/>
        <v>1.0000000000000001E-5</v>
      </c>
      <c r="R1799" s="15">
        <f t="shared" si="215"/>
        <v>1792</v>
      </c>
      <c r="S1799" s="126">
        <f>IF(VLOOKUP(A1799,Journal!$A$7:$E$70,5)=0,S1798+1,VLOOKUP(A1799,Journal!$A$7:$E$70,5))</f>
        <v>47449</v>
      </c>
      <c r="T1799" s="125">
        <f>IF(H$2=VLOOKUP(A1799,Journal!$A$7:$F$70,6),VLOOKUP(A1799,Journal!$A$7:M$70,9),0)</f>
        <v>0</v>
      </c>
      <c r="U1799" s="125">
        <f>IF(H$2=VLOOKUP(A1799,Journal!$A$7:$G$70,7),VLOOKUP(A1799,Journal!$A$7:M$70,9),0)</f>
        <v>0</v>
      </c>
      <c r="V1799" s="125">
        <f t="shared" si="211"/>
        <v>40</v>
      </c>
      <c r="X1799">
        <f t="shared" si="216"/>
        <v>0</v>
      </c>
      <c r="Y1799" s="143">
        <f t="shared" si="210"/>
        <v>-952.92105263165388</v>
      </c>
    </row>
    <row r="1800" spans="1:25" x14ac:dyDescent="0.25">
      <c r="A1800">
        <f t="shared" si="214"/>
        <v>1793</v>
      </c>
      <c r="B1800" s="88" t="str">
        <f>IF(OR(B1799="Total",B1799=""),"",IF(VLOOKUP(A1800,Journal!$B$7:$E$84,4)=0,"Total",VLOOKUP(A1800,Journal!$B$7:$D$84,3)))</f>
        <v/>
      </c>
      <c r="C1800" s="86" t="str">
        <f>IF(B1800="","",VLOOKUP(A1800,Journal!$B$7:$E$84,4))</f>
        <v/>
      </c>
      <c r="D1800" s="114" t="str">
        <f>IF(B1800="","",VLOOKUP(A1800,Journal!$B$7:$J$84,9))</f>
        <v/>
      </c>
      <c r="E1800" s="116"/>
      <c r="F1800" s="116"/>
      <c r="G1800" s="115"/>
      <c r="H1800" s="84" t="str">
        <f>IF(B1800="","",VLOOKUP(A1800,Journal!$B$7:$L$84,11))</f>
        <v/>
      </c>
      <c r="I1800" s="84" t="str">
        <f>IF(B1800="","",VLOOKUP(A1800,Journal!$B$7:$M$84,12))</f>
        <v/>
      </c>
      <c r="J1800" s="105">
        <f>IF(B1800="Total",SUM(J$8:J1799)+0.0001,IF(OR(B1800="",I$2=I1800),0,VLOOKUP(A1800,Journal!$B$7:M$84,8)))</f>
        <v>0</v>
      </c>
      <c r="K1800" s="102">
        <f>IF(B1800="Total",SUM(K$8:K1799)+0.0001,IF(OR(B1800="",J1800&lt;&gt;0),0,VLOOKUP(A1800,Journal!$B$7:M$84,8)))</f>
        <v>0</v>
      </c>
      <c r="L1800" s="87">
        <f t="shared" si="212"/>
        <v>0</v>
      </c>
      <c r="P1800">
        <f t="shared" si="213"/>
        <v>1.0000000000000001E-5</v>
      </c>
      <c r="R1800" s="15">
        <f t="shared" si="215"/>
        <v>1793</v>
      </c>
      <c r="S1800" s="126">
        <f>IF(VLOOKUP(A1800,Journal!$A$7:$E$70,5)=0,S1799+1,VLOOKUP(A1800,Journal!$A$7:$E$70,5))</f>
        <v>47450</v>
      </c>
      <c r="T1800" s="125">
        <f>IF(H$2=VLOOKUP(A1800,Journal!$A$7:$F$70,6),VLOOKUP(A1800,Journal!$A$7:M$70,9),0)</f>
        <v>0</v>
      </c>
      <c r="U1800" s="125">
        <f>IF(H$2=VLOOKUP(A1800,Journal!$A$7:$G$70,7),VLOOKUP(A1800,Journal!$A$7:M$70,9),0)</f>
        <v>0</v>
      </c>
      <c r="V1800" s="125">
        <f t="shared" si="211"/>
        <v>40</v>
      </c>
      <c r="X1800">
        <f t="shared" si="216"/>
        <v>0</v>
      </c>
      <c r="Y1800" s="143">
        <f t="shared" ref="Y1800:Y1855" si="217">IF(B1799="Total",-1000,Y1799+Y$4)</f>
        <v>-952.89473684218024</v>
      </c>
    </row>
    <row r="1801" spans="1:25" x14ac:dyDescent="0.25">
      <c r="A1801">
        <f t="shared" si="214"/>
        <v>1794</v>
      </c>
      <c r="B1801" s="88" t="str">
        <f>IF(OR(B1800="Total",B1800=""),"",IF(VLOOKUP(A1801,Journal!$B$7:$E$84,4)=0,"Total",VLOOKUP(A1801,Journal!$B$7:$D$84,3)))</f>
        <v/>
      </c>
      <c r="C1801" s="86" t="str">
        <f>IF(B1801="","",VLOOKUP(A1801,Journal!$B$7:$E$84,4))</f>
        <v/>
      </c>
      <c r="D1801" s="114" t="str">
        <f>IF(B1801="","",VLOOKUP(A1801,Journal!$B$7:$J$84,9))</f>
        <v/>
      </c>
      <c r="E1801" s="116"/>
      <c r="F1801" s="116"/>
      <c r="G1801" s="115"/>
      <c r="H1801" s="84" t="str">
        <f>IF(B1801="","",VLOOKUP(A1801,Journal!$B$7:$L$84,11))</f>
        <v/>
      </c>
      <c r="I1801" s="84" t="str">
        <f>IF(B1801="","",VLOOKUP(A1801,Journal!$B$7:$M$84,12))</f>
        <v/>
      </c>
      <c r="J1801" s="105">
        <f>IF(B1801="Total",SUM(J$8:J1800)+0.0001,IF(OR(B1801="",I$2=I1801),0,VLOOKUP(A1801,Journal!$B$7:M$84,8)))</f>
        <v>0</v>
      </c>
      <c r="K1801" s="102">
        <f>IF(B1801="Total",SUM(K$8:K1800)+0.0001,IF(OR(B1801="",J1801&lt;&gt;0),0,VLOOKUP(A1801,Journal!$B$7:M$84,8)))</f>
        <v>0</v>
      </c>
      <c r="L1801" s="87">
        <f t="shared" si="212"/>
        <v>0</v>
      </c>
      <c r="P1801">
        <f t="shared" si="213"/>
        <v>1.0000000000000001E-5</v>
      </c>
      <c r="R1801" s="15">
        <f t="shared" si="215"/>
        <v>1794</v>
      </c>
      <c r="S1801" s="126">
        <f>IF(VLOOKUP(A1801,Journal!$A$7:$E$70,5)=0,S1800+1,VLOOKUP(A1801,Journal!$A$7:$E$70,5))</f>
        <v>47451</v>
      </c>
      <c r="T1801" s="125">
        <f>IF(H$2=VLOOKUP(A1801,Journal!$A$7:$F$70,6),VLOOKUP(A1801,Journal!$A$7:M$70,9),0)</f>
        <v>0</v>
      </c>
      <c r="U1801" s="125">
        <f>IF(H$2=VLOOKUP(A1801,Journal!$A$7:$G$70,7),VLOOKUP(A1801,Journal!$A$7:M$70,9),0)</f>
        <v>0</v>
      </c>
      <c r="V1801" s="125">
        <f t="shared" si="211"/>
        <v>40</v>
      </c>
      <c r="X1801">
        <f t="shared" si="216"/>
        <v>0</v>
      </c>
      <c r="Y1801" s="143">
        <f t="shared" si="217"/>
        <v>-952.86842105270659</v>
      </c>
    </row>
    <row r="1802" spans="1:25" x14ac:dyDescent="0.25">
      <c r="A1802">
        <f t="shared" si="214"/>
        <v>1795</v>
      </c>
      <c r="B1802" s="88" t="str">
        <f>IF(OR(B1801="Total",B1801=""),"",IF(VLOOKUP(A1802,Journal!$B$7:$E$84,4)=0,"Total",VLOOKUP(A1802,Journal!$B$7:$D$84,3)))</f>
        <v/>
      </c>
      <c r="C1802" s="86" t="str">
        <f>IF(B1802="","",VLOOKUP(A1802,Journal!$B$7:$E$84,4))</f>
        <v/>
      </c>
      <c r="D1802" s="114" t="str">
        <f>IF(B1802="","",VLOOKUP(A1802,Journal!$B$7:$J$84,9))</f>
        <v/>
      </c>
      <c r="E1802" s="116"/>
      <c r="F1802" s="116"/>
      <c r="G1802" s="115"/>
      <c r="H1802" s="84" t="str">
        <f>IF(B1802="","",VLOOKUP(A1802,Journal!$B$7:$L$84,11))</f>
        <v/>
      </c>
      <c r="I1802" s="84" t="str">
        <f>IF(B1802="","",VLOOKUP(A1802,Journal!$B$7:$M$84,12))</f>
        <v/>
      </c>
      <c r="J1802" s="105">
        <f>IF(B1802="Total",SUM(J$8:J1801)+0.0001,IF(OR(B1802="",I$2=I1802),0,VLOOKUP(A1802,Journal!$B$7:M$84,8)))</f>
        <v>0</v>
      </c>
      <c r="K1802" s="102">
        <f>IF(B1802="Total",SUM(K$8:K1801)+0.0001,IF(OR(B1802="",J1802&lt;&gt;0),0,VLOOKUP(A1802,Journal!$B$7:M$84,8)))</f>
        <v>0</v>
      </c>
      <c r="L1802" s="87">
        <f t="shared" si="212"/>
        <v>0</v>
      </c>
      <c r="P1802">
        <f t="shared" si="213"/>
        <v>1.0000000000000001E-5</v>
      </c>
      <c r="R1802" s="15">
        <f t="shared" si="215"/>
        <v>1795</v>
      </c>
      <c r="S1802" s="126">
        <f>IF(VLOOKUP(A1802,Journal!$A$7:$E$70,5)=0,S1801+1,VLOOKUP(A1802,Journal!$A$7:$E$70,5))</f>
        <v>47452</v>
      </c>
      <c r="T1802" s="125">
        <f>IF(H$2=VLOOKUP(A1802,Journal!$A$7:$F$70,6),VLOOKUP(A1802,Journal!$A$7:M$70,9),0)</f>
        <v>0</v>
      </c>
      <c r="U1802" s="125">
        <f>IF(H$2=VLOOKUP(A1802,Journal!$A$7:$G$70,7),VLOOKUP(A1802,Journal!$A$7:M$70,9),0)</f>
        <v>0</v>
      </c>
      <c r="V1802" s="125">
        <f t="shared" ref="V1802:V1855" si="218">IF($M$1=1,V1801+T1802-U1802,V1801-T1802+U1802)</f>
        <v>40</v>
      </c>
      <c r="X1802">
        <f t="shared" si="216"/>
        <v>0</v>
      </c>
      <c r="Y1802" s="143">
        <f t="shared" si="217"/>
        <v>-952.84210526323295</v>
      </c>
    </row>
    <row r="1803" spans="1:25" x14ac:dyDescent="0.25">
      <c r="A1803">
        <f t="shared" si="214"/>
        <v>1796</v>
      </c>
      <c r="B1803" s="88" t="str">
        <f>IF(OR(B1802="Total",B1802=""),"",IF(VLOOKUP(A1803,Journal!$B$7:$E$84,4)=0,"Total",VLOOKUP(A1803,Journal!$B$7:$D$84,3)))</f>
        <v/>
      </c>
      <c r="C1803" s="86" t="str">
        <f>IF(B1803="","",VLOOKUP(A1803,Journal!$B$7:$E$84,4))</f>
        <v/>
      </c>
      <c r="D1803" s="114" t="str">
        <f>IF(B1803="","",VLOOKUP(A1803,Journal!$B$7:$J$84,9))</f>
        <v/>
      </c>
      <c r="E1803" s="116"/>
      <c r="F1803" s="116"/>
      <c r="G1803" s="115"/>
      <c r="H1803" s="84" t="str">
        <f>IF(B1803="","",VLOOKUP(A1803,Journal!$B$7:$L$84,11))</f>
        <v/>
      </c>
      <c r="I1803" s="84" t="str">
        <f>IF(B1803="","",VLOOKUP(A1803,Journal!$B$7:$M$84,12))</f>
        <v/>
      </c>
      <c r="J1803" s="105">
        <f>IF(B1803="Total",SUM(J$8:J1802)+0.0001,IF(OR(B1803="",I$2=I1803),0,VLOOKUP(A1803,Journal!$B$7:M$84,8)))</f>
        <v>0</v>
      </c>
      <c r="K1803" s="102">
        <f>IF(B1803="Total",SUM(K$8:K1802)+0.0001,IF(OR(B1803="",J1803&lt;&gt;0),0,VLOOKUP(A1803,Journal!$B$7:M$84,8)))</f>
        <v>0</v>
      </c>
      <c r="L1803" s="87">
        <f t="shared" si="212"/>
        <v>0</v>
      </c>
      <c r="P1803">
        <f t="shared" si="213"/>
        <v>1.0000000000000001E-5</v>
      </c>
      <c r="R1803" s="15">
        <f t="shared" si="215"/>
        <v>1796</v>
      </c>
      <c r="S1803" s="126">
        <f>IF(VLOOKUP(A1803,Journal!$A$7:$E$70,5)=0,S1802+1,VLOOKUP(A1803,Journal!$A$7:$E$70,5))</f>
        <v>47453</v>
      </c>
      <c r="T1803" s="125">
        <f>IF(H$2=VLOOKUP(A1803,Journal!$A$7:$F$70,6),VLOOKUP(A1803,Journal!$A$7:M$70,9),0)</f>
        <v>0</v>
      </c>
      <c r="U1803" s="125">
        <f>IF(H$2=VLOOKUP(A1803,Journal!$A$7:$G$70,7),VLOOKUP(A1803,Journal!$A$7:M$70,9),0)</f>
        <v>0</v>
      </c>
      <c r="V1803" s="125">
        <f t="shared" si="218"/>
        <v>40</v>
      </c>
      <c r="X1803">
        <f t="shared" si="216"/>
        <v>0</v>
      </c>
      <c r="Y1803" s="143">
        <f t="shared" si="217"/>
        <v>-952.81578947375931</v>
      </c>
    </row>
    <row r="1804" spans="1:25" x14ac:dyDescent="0.25">
      <c r="A1804">
        <f t="shared" si="214"/>
        <v>1797</v>
      </c>
      <c r="B1804" s="88" t="str">
        <f>IF(OR(B1803="Total",B1803=""),"",IF(VLOOKUP(A1804,Journal!$B$7:$E$84,4)=0,"Total",VLOOKUP(A1804,Journal!$B$7:$D$84,3)))</f>
        <v/>
      </c>
      <c r="C1804" s="86" t="str">
        <f>IF(B1804="","",VLOOKUP(A1804,Journal!$B$7:$E$84,4))</f>
        <v/>
      </c>
      <c r="D1804" s="114" t="str">
        <f>IF(B1804="","",VLOOKUP(A1804,Journal!$B$7:$J$84,9))</f>
        <v/>
      </c>
      <c r="E1804" s="116"/>
      <c r="F1804" s="116"/>
      <c r="G1804" s="115"/>
      <c r="H1804" s="84" t="str">
        <f>IF(B1804="","",VLOOKUP(A1804,Journal!$B$7:$L$84,11))</f>
        <v/>
      </c>
      <c r="I1804" s="84" t="str">
        <f>IF(B1804="","",VLOOKUP(A1804,Journal!$B$7:$M$84,12))</f>
        <v/>
      </c>
      <c r="J1804" s="105">
        <f>IF(B1804="Total",SUM(J$8:J1803)+0.0001,IF(OR(B1804="",I$2=I1804),0,VLOOKUP(A1804,Journal!$B$7:M$84,8)))</f>
        <v>0</v>
      </c>
      <c r="K1804" s="102">
        <f>IF(B1804="Total",SUM(K$8:K1803)+0.0001,IF(OR(B1804="",J1804&lt;&gt;0),0,VLOOKUP(A1804,Journal!$B$7:M$84,8)))</f>
        <v>0</v>
      </c>
      <c r="L1804" s="87">
        <f t="shared" si="212"/>
        <v>0</v>
      </c>
      <c r="P1804">
        <f t="shared" si="213"/>
        <v>1.0000000000000001E-5</v>
      </c>
      <c r="R1804" s="15">
        <f t="shared" si="215"/>
        <v>1797</v>
      </c>
      <c r="S1804" s="126">
        <f>IF(VLOOKUP(A1804,Journal!$A$7:$E$70,5)=0,S1803+1,VLOOKUP(A1804,Journal!$A$7:$E$70,5))</f>
        <v>47454</v>
      </c>
      <c r="T1804" s="125">
        <f>IF(H$2=VLOOKUP(A1804,Journal!$A$7:$F$70,6),VLOOKUP(A1804,Journal!$A$7:M$70,9),0)</f>
        <v>0</v>
      </c>
      <c r="U1804" s="125">
        <f>IF(H$2=VLOOKUP(A1804,Journal!$A$7:$G$70,7),VLOOKUP(A1804,Journal!$A$7:M$70,9),0)</f>
        <v>0</v>
      </c>
      <c r="V1804" s="125">
        <f t="shared" si="218"/>
        <v>40</v>
      </c>
      <c r="X1804">
        <f t="shared" si="216"/>
        <v>0</v>
      </c>
      <c r="Y1804" s="143">
        <f t="shared" si="217"/>
        <v>-952.78947368428567</v>
      </c>
    </row>
    <row r="1805" spans="1:25" x14ac:dyDescent="0.25">
      <c r="A1805">
        <f t="shared" si="214"/>
        <v>1798</v>
      </c>
      <c r="B1805" s="88" t="str">
        <f>IF(OR(B1804="Total",B1804=""),"",IF(VLOOKUP(A1805,Journal!$B$7:$E$84,4)=0,"Total",VLOOKUP(A1805,Journal!$B$7:$D$84,3)))</f>
        <v/>
      </c>
      <c r="C1805" s="86" t="str">
        <f>IF(B1805="","",VLOOKUP(A1805,Journal!$B$7:$E$84,4))</f>
        <v/>
      </c>
      <c r="D1805" s="114" t="str">
        <f>IF(B1805="","",VLOOKUP(A1805,Journal!$B$7:$J$84,9))</f>
        <v/>
      </c>
      <c r="E1805" s="116"/>
      <c r="F1805" s="116"/>
      <c r="G1805" s="115"/>
      <c r="H1805" s="84" t="str">
        <f>IF(B1805="","",VLOOKUP(A1805,Journal!$B$7:$L$84,11))</f>
        <v/>
      </c>
      <c r="I1805" s="84" t="str">
        <f>IF(B1805="","",VLOOKUP(A1805,Journal!$B$7:$M$84,12))</f>
        <v/>
      </c>
      <c r="J1805" s="105">
        <f>IF(B1805="Total",SUM(J$8:J1804)+0.0001,IF(OR(B1805="",I$2=I1805),0,VLOOKUP(A1805,Journal!$B$7:M$84,8)))</f>
        <v>0</v>
      </c>
      <c r="K1805" s="102">
        <f>IF(B1805="Total",SUM(K$8:K1804)+0.0001,IF(OR(B1805="",J1805&lt;&gt;0),0,VLOOKUP(A1805,Journal!$B$7:M$84,8)))</f>
        <v>0</v>
      </c>
      <c r="L1805" s="87">
        <f t="shared" si="212"/>
        <v>0</v>
      </c>
      <c r="P1805">
        <f t="shared" si="213"/>
        <v>1.0000000000000001E-5</v>
      </c>
      <c r="R1805" s="15">
        <f t="shared" si="215"/>
        <v>1798</v>
      </c>
      <c r="S1805" s="126">
        <f>IF(VLOOKUP(A1805,Journal!$A$7:$E$70,5)=0,S1804+1,VLOOKUP(A1805,Journal!$A$7:$E$70,5))</f>
        <v>47455</v>
      </c>
      <c r="T1805" s="125">
        <f>IF(H$2=VLOOKUP(A1805,Journal!$A$7:$F$70,6),VLOOKUP(A1805,Journal!$A$7:M$70,9),0)</f>
        <v>0</v>
      </c>
      <c r="U1805" s="125">
        <f>IF(H$2=VLOOKUP(A1805,Journal!$A$7:$G$70,7),VLOOKUP(A1805,Journal!$A$7:M$70,9),0)</f>
        <v>0</v>
      </c>
      <c r="V1805" s="125">
        <f t="shared" si="218"/>
        <v>40</v>
      </c>
      <c r="X1805">
        <f t="shared" si="216"/>
        <v>0</v>
      </c>
      <c r="Y1805" s="143">
        <f t="shared" si="217"/>
        <v>-952.76315789481203</v>
      </c>
    </row>
    <row r="1806" spans="1:25" x14ac:dyDescent="0.25">
      <c r="A1806">
        <f t="shared" si="214"/>
        <v>1799</v>
      </c>
      <c r="B1806" s="88" t="str">
        <f>IF(OR(B1805="Total",B1805=""),"",IF(VLOOKUP(A1806,Journal!$B$7:$E$84,4)=0,"Total",VLOOKUP(A1806,Journal!$B$7:$D$84,3)))</f>
        <v/>
      </c>
      <c r="C1806" s="86" t="str">
        <f>IF(B1806="","",VLOOKUP(A1806,Journal!$B$7:$E$84,4))</f>
        <v/>
      </c>
      <c r="D1806" s="114" t="str">
        <f>IF(B1806="","",VLOOKUP(A1806,Journal!$B$7:$J$84,9))</f>
        <v/>
      </c>
      <c r="E1806" s="116"/>
      <c r="F1806" s="116"/>
      <c r="G1806" s="115"/>
      <c r="H1806" s="84" t="str">
        <f>IF(B1806="","",VLOOKUP(A1806,Journal!$B$7:$L$84,11))</f>
        <v/>
      </c>
      <c r="I1806" s="84" t="str">
        <f>IF(B1806="","",VLOOKUP(A1806,Journal!$B$7:$M$84,12))</f>
        <v/>
      </c>
      <c r="J1806" s="105">
        <f>IF(B1806="Total",SUM(J$8:J1805)+0.0001,IF(OR(B1806="",I$2=I1806),0,VLOOKUP(A1806,Journal!$B$7:M$84,8)))</f>
        <v>0</v>
      </c>
      <c r="K1806" s="102">
        <f>IF(B1806="Total",SUM(K$8:K1805)+0.0001,IF(OR(B1806="",J1806&lt;&gt;0),0,VLOOKUP(A1806,Journal!$B$7:M$84,8)))</f>
        <v>0</v>
      </c>
      <c r="L1806" s="87">
        <f t="shared" ref="L1806:L1856" si="219">IF(B1806="Total",L1805,IF(B1806="",0,IF($M$1=1,L1805+J1806-K1806,L1805-J1806+K1806)))</f>
        <v>0</v>
      </c>
      <c r="P1806">
        <f t="shared" si="213"/>
        <v>1.0000000000000001E-5</v>
      </c>
      <c r="R1806" s="15">
        <f t="shared" si="215"/>
        <v>1799</v>
      </c>
      <c r="S1806" s="126">
        <f>IF(VLOOKUP(A1806,Journal!$A$7:$E$70,5)=0,S1805+1,VLOOKUP(A1806,Journal!$A$7:$E$70,5))</f>
        <v>47456</v>
      </c>
      <c r="T1806" s="125">
        <f>IF(H$2=VLOOKUP(A1806,Journal!$A$7:$F$70,6),VLOOKUP(A1806,Journal!$A$7:M$70,9),0)</f>
        <v>0</v>
      </c>
      <c r="U1806" s="125">
        <f>IF(H$2=VLOOKUP(A1806,Journal!$A$7:$G$70,7),VLOOKUP(A1806,Journal!$A$7:M$70,9),0)</f>
        <v>0</v>
      </c>
      <c r="V1806" s="125">
        <f t="shared" si="218"/>
        <v>40</v>
      </c>
      <c r="X1806">
        <f t="shared" si="216"/>
        <v>0</v>
      </c>
      <c r="Y1806" s="143">
        <f t="shared" si="217"/>
        <v>-952.73684210533838</v>
      </c>
    </row>
    <row r="1807" spans="1:25" x14ac:dyDescent="0.25">
      <c r="A1807">
        <f t="shared" si="214"/>
        <v>1800</v>
      </c>
      <c r="B1807" s="88" t="str">
        <f>IF(OR(B1806="Total",B1806=""),"",IF(VLOOKUP(A1807,Journal!$B$7:$E$84,4)=0,"Total",VLOOKUP(A1807,Journal!$B$7:$D$84,3)))</f>
        <v/>
      </c>
      <c r="C1807" s="86" t="str">
        <f>IF(B1807="","",VLOOKUP(A1807,Journal!$B$7:$E$84,4))</f>
        <v/>
      </c>
      <c r="D1807" s="114" t="str">
        <f>IF(B1807="","",VLOOKUP(A1807,Journal!$B$7:$J$84,9))</f>
        <v/>
      </c>
      <c r="E1807" s="116"/>
      <c r="F1807" s="116"/>
      <c r="G1807" s="115"/>
      <c r="H1807" s="84" t="str">
        <f>IF(B1807="","",VLOOKUP(A1807,Journal!$B$7:$L$84,11))</f>
        <v/>
      </c>
      <c r="I1807" s="84" t="str">
        <f>IF(B1807="","",VLOOKUP(A1807,Journal!$B$7:$M$84,12))</f>
        <v/>
      </c>
      <c r="J1807" s="105">
        <f>IF(B1807="Total",SUM(J$8:J1806)+0.0001,IF(OR(B1807="",I$2=I1807),0,VLOOKUP(A1807,Journal!$B$7:M$84,8)))</f>
        <v>0</v>
      </c>
      <c r="K1807" s="102">
        <f>IF(B1807="Total",SUM(K$8:K1806)+0.0001,IF(OR(B1807="",J1807&lt;&gt;0),0,VLOOKUP(A1807,Journal!$B$7:M$84,8)))</f>
        <v>0</v>
      </c>
      <c r="L1807" s="87">
        <f t="shared" si="219"/>
        <v>0</v>
      </c>
      <c r="P1807">
        <f t="shared" si="213"/>
        <v>1.0000000000000001E-5</v>
      </c>
      <c r="R1807" s="15">
        <f t="shared" si="215"/>
        <v>1800</v>
      </c>
      <c r="S1807" s="126">
        <f>IF(VLOOKUP(A1807,Journal!$A$7:$E$70,5)=0,S1806+1,VLOOKUP(A1807,Journal!$A$7:$E$70,5))</f>
        <v>47457</v>
      </c>
      <c r="T1807" s="125">
        <f>IF(H$2=VLOOKUP(A1807,Journal!$A$7:$F$70,6),VLOOKUP(A1807,Journal!$A$7:M$70,9),0)</f>
        <v>0</v>
      </c>
      <c r="U1807" s="125">
        <f>IF(H$2=VLOOKUP(A1807,Journal!$A$7:$G$70,7),VLOOKUP(A1807,Journal!$A$7:M$70,9),0)</f>
        <v>0</v>
      </c>
      <c r="V1807" s="125">
        <f t="shared" si="218"/>
        <v>40</v>
      </c>
      <c r="X1807">
        <f t="shared" si="216"/>
        <v>0</v>
      </c>
      <c r="Y1807" s="143">
        <f t="shared" si="217"/>
        <v>-952.71052631586474</v>
      </c>
    </row>
    <row r="1808" spans="1:25" x14ac:dyDescent="0.25">
      <c r="A1808">
        <f t="shared" si="214"/>
        <v>1801</v>
      </c>
      <c r="B1808" s="88" t="str">
        <f>IF(OR(B1807="Total",B1807=""),"",IF(VLOOKUP(A1808,Journal!$B$7:$E$84,4)=0,"Total",VLOOKUP(A1808,Journal!$B$7:$D$84,3)))</f>
        <v/>
      </c>
      <c r="C1808" s="86" t="str">
        <f>IF(B1808="","",VLOOKUP(A1808,Journal!$B$7:$E$84,4))</f>
        <v/>
      </c>
      <c r="D1808" s="114" t="str">
        <f>IF(B1808="","",VLOOKUP(A1808,Journal!$B$7:$J$84,9))</f>
        <v/>
      </c>
      <c r="E1808" s="116"/>
      <c r="F1808" s="116"/>
      <c r="G1808" s="115"/>
      <c r="H1808" s="84" t="str">
        <f>IF(B1808="","",VLOOKUP(A1808,Journal!$B$7:$L$84,11))</f>
        <v/>
      </c>
      <c r="I1808" s="84" t="str">
        <f>IF(B1808="","",VLOOKUP(A1808,Journal!$B$7:$M$84,12))</f>
        <v/>
      </c>
      <c r="J1808" s="105">
        <f>IF(B1808="Total",SUM(J$8:J1807)+0.0001,IF(OR(B1808="",I$2=I1808),0,VLOOKUP(A1808,Journal!$B$7:M$84,8)))</f>
        <v>0</v>
      </c>
      <c r="K1808" s="102">
        <f>IF(B1808="Total",SUM(K$8:K1807)+0.0001,IF(OR(B1808="",J1808&lt;&gt;0),0,VLOOKUP(A1808,Journal!$B$7:M$84,8)))</f>
        <v>0</v>
      </c>
      <c r="L1808" s="87">
        <f t="shared" si="219"/>
        <v>0</v>
      </c>
      <c r="P1808">
        <f t="shared" ref="P1808:P1857" si="220">IF(L1807=L1808,L1807+0.00001,L1808)</f>
        <v>1.0000000000000001E-5</v>
      </c>
      <c r="R1808" s="15">
        <f t="shared" si="215"/>
        <v>1801</v>
      </c>
      <c r="S1808" s="126">
        <f>IF(VLOOKUP(A1808,Journal!$A$7:$E$70,5)=0,S1807+1,VLOOKUP(A1808,Journal!$A$7:$E$70,5))</f>
        <v>47458</v>
      </c>
      <c r="T1808" s="125">
        <f>IF(H$2=VLOOKUP(A1808,Journal!$A$7:$F$70,6),VLOOKUP(A1808,Journal!$A$7:M$70,9),0)</f>
        <v>0</v>
      </c>
      <c r="U1808" s="125">
        <f>IF(H$2=VLOOKUP(A1808,Journal!$A$7:$G$70,7),VLOOKUP(A1808,Journal!$A$7:M$70,9),0)</f>
        <v>0</v>
      </c>
      <c r="V1808" s="125">
        <f t="shared" si="218"/>
        <v>40</v>
      </c>
      <c r="X1808">
        <f t="shared" si="216"/>
        <v>0</v>
      </c>
      <c r="Y1808" s="143">
        <f t="shared" si="217"/>
        <v>-952.6842105263911</v>
      </c>
    </row>
    <row r="1809" spans="1:25" x14ac:dyDescent="0.25">
      <c r="A1809">
        <f t="shared" ref="A1809:A1856" si="221">A1808+1</f>
        <v>1802</v>
      </c>
      <c r="B1809" s="88" t="str">
        <f>IF(OR(B1808="Total",B1808=""),"",IF(VLOOKUP(A1809,Journal!$B$7:$E$84,4)=0,"Total",VLOOKUP(A1809,Journal!$B$7:$D$84,3)))</f>
        <v/>
      </c>
      <c r="C1809" s="86" t="str">
        <f>IF(B1809="","",VLOOKUP(A1809,Journal!$B$7:$E$84,4))</f>
        <v/>
      </c>
      <c r="D1809" s="114" t="str">
        <f>IF(B1809="","",VLOOKUP(A1809,Journal!$B$7:$J$84,9))</f>
        <v/>
      </c>
      <c r="E1809" s="116"/>
      <c r="F1809" s="116"/>
      <c r="G1809" s="115"/>
      <c r="H1809" s="84" t="str">
        <f>IF(B1809="","",VLOOKUP(A1809,Journal!$B$7:$L$84,11))</f>
        <v/>
      </c>
      <c r="I1809" s="84" t="str">
        <f>IF(B1809="","",VLOOKUP(A1809,Journal!$B$7:$M$84,12))</f>
        <v/>
      </c>
      <c r="J1809" s="105">
        <f>IF(B1809="Total",SUM(J$8:J1808)+0.0001,IF(OR(B1809="",I$2=I1809),0,VLOOKUP(A1809,Journal!$B$7:M$84,8)))</f>
        <v>0</v>
      </c>
      <c r="K1809" s="102">
        <f>IF(B1809="Total",SUM(K$8:K1808)+0.0001,IF(OR(B1809="",J1809&lt;&gt;0),0,VLOOKUP(A1809,Journal!$B$7:M$84,8)))</f>
        <v>0</v>
      </c>
      <c r="L1809" s="87">
        <f t="shared" si="219"/>
        <v>0</v>
      </c>
      <c r="P1809">
        <f t="shared" si="220"/>
        <v>1.0000000000000001E-5</v>
      </c>
      <c r="R1809" s="15">
        <f t="shared" si="215"/>
        <v>1802</v>
      </c>
      <c r="S1809" s="126">
        <f>IF(VLOOKUP(A1809,Journal!$A$7:$E$70,5)=0,S1808+1,VLOOKUP(A1809,Journal!$A$7:$E$70,5))</f>
        <v>47459</v>
      </c>
      <c r="T1809" s="125">
        <f>IF(H$2=VLOOKUP(A1809,Journal!$A$7:$F$70,6),VLOOKUP(A1809,Journal!$A$7:M$70,9),0)</f>
        <v>0</v>
      </c>
      <c r="U1809" s="125">
        <f>IF(H$2=VLOOKUP(A1809,Journal!$A$7:$G$70,7),VLOOKUP(A1809,Journal!$A$7:M$70,9),0)</f>
        <v>0</v>
      </c>
      <c r="V1809" s="125">
        <f t="shared" si="218"/>
        <v>40</v>
      </c>
      <c r="X1809">
        <f t="shared" si="216"/>
        <v>0</v>
      </c>
      <c r="Y1809" s="143">
        <f t="shared" si="217"/>
        <v>-952.65789473691746</v>
      </c>
    </row>
    <row r="1810" spans="1:25" x14ac:dyDescent="0.25">
      <c r="A1810">
        <f t="shared" si="221"/>
        <v>1803</v>
      </c>
      <c r="B1810" s="88" t="str">
        <f>IF(OR(B1809="Total",B1809=""),"",IF(VLOOKUP(A1810,Journal!$B$7:$E$84,4)=0,"Total",VLOOKUP(A1810,Journal!$B$7:$D$84,3)))</f>
        <v/>
      </c>
      <c r="C1810" s="86" t="str">
        <f>IF(B1810="","",VLOOKUP(A1810,Journal!$B$7:$E$84,4))</f>
        <v/>
      </c>
      <c r="D1810" s="114" t="str">
        <f>IF(B1810="","",VLOOKUP(A1810,Journal!$B$7:$J$84,9))</f>
        <v/>
      </c>
      <c r="E1810" s="116"/>
      <c r="F1810" s="116"/>
      <c r="G1810" s="115"/>
      <c r="H1810" s="84" t="str">
        <f>IF(B1810="","",VLOOKUP(A1810,Journal!$B$7:$L$84,11))</f>
        <v/>
      </c>
      <c r="I1810" s="84" t="str">
        <f>IF(B1810="","",VLOOKUP(A1810,Journal!$B$7:$M$84,12))</f>
        <v/>
      </c>
      <c r="J1810" s="105">
        <f>IF(B1810="Total",SUM(J$8:J1809)+0.0001,IF(OR(B1810="",I$2=I1810),0,VLOOKUP(A1810,Journal!$B$7:M$84,8)))</f>
        <v>0</v>
      </c>
      <c r="K1810" s="102">
        <f>IF(B1810="Total",SUM(K$8:K1809)+0.0001,IF(OR(B1810="",J1810&lt;&gt;0),0,VLOOKUP(A1810,Journal!$B$7:M$84,8)))</f>
        <v>0</v>
      </c>
      <c r="L1810" s="87">
        <f t="shared" si="219"/>
        <v>0</v>
      </c>
      <c r="P1810">
        <f t="shared" si="220"/>
        <v>1.0000000000000001E-5</v>
      </c>
      <c r="R1810" s="15">
        <f t="shared" si="215"/>
        <v>1803</v>
      </c>
      <c r="S1810" s="126">
        <f>IF(VLOOKUP(A1810,Journal!$A$7:$E$70,5)=0,S1809+1,VLOOKUP(A1810,Journal!$A$7:$E$70,5))</f>
        <v>47460</v>
      </c>
      <c r="T1810" s="125">
        <f>IF(H$2=VLOOKUP(A1810,Journal!$A$7:$F$70,6),VLOOKUP(A1810,Journal!$A$7:M$70,9),0)</f>
        <v>0</v>
      </c>
      <c r="U1810" s="125">
        <f>IF(H$2=VLOOKUP(A1810,Journal!$A$7:$G$70,7),VLOOKUP(A1810,Journal!$A$7:M$70,9),0)</f>
        <v>0</v>
      </c>
      <c r="V1810" s="125">
        <f t="shared" si="218"/>
        <v>40</v>
      </c>
      <c r="X1810">
        <f t="shared" si="216"/>
        <v>0</v>
      </c>
      <c r="Y1810" s="143">
        <f t="shared" si="217"/>
        <v>-952.63157894744381</v>
      </c>
    </row>
    <row r="1811" spans="1:25" x14ac:dyDescent="0.25">
      <c r="A1811">
        <f t="shared" si="221"/>
        <v>1804</v>
      </c>
      <c r="B1811" s="88" t="str">
        <f>IF(OR(B1810="Total",B1810=""),"",IF(VLOOKUP(A1811,Journal!$B$7:$E$84,4)=0,"Total",VLOOKUP(A1811,Journal!$B$7:$D$84,3)))</f>
        <v/>
      </c>
      <c r="C1811" s="86" t="str">
        <f>IF(B1811="","",VLOOKUP(A1811,Journal!$B$7:$E$84,4))</f>
        <v/>
      </c>
      <c r="D1811" s="114" t="str">
        <f>IF(B1811="","",VLOOKUP(A1811,Journal!$B$7:$J$84,9))</f>
        <v/>
      </c>
      <c r="E1811" s="116"/>
      <c r="F1811" s="116"/>
      <c r="G1811" s="115"/>
      <c r="H1811" s="84" t="str">
        <f>IF(B1811="","",VLOOKUP(A1811,Journal!$B$7:$L$84,11))</f>
        <v/>
      </c>
      <c r="I1811" s="84" t="str">
        <f>IF(B1811="","",VLOOKUP(A1811,Journal!$B$7:$M$84,12))</f>
        <v/>
      </c>
      <c r="J1811" s="105">
        <f>IF(B1811="Total",SUM(J$8:J1810)+0.0001,IF(OR(B1811="",I$2=I1811),0,VLOOKUP(A1811,Journal!$B$7:M$84,8)))</f>
        <v>0</v>
      </c>
      <c r="K1811" s="102">
        <f>IF(B1811="Total",SUM(K$8:K1810)+0.0001,IF(OR(B1811="",J1811&lt;&gt;0),0,VLOOKUP(A1811,Journal!$B$7:M$84,8)))</f>
        <v>0</v>
      </c>
      <c r="L1811" s="87">
        <f t="shared" si="219"/>
        <v>0</v>
      </c>
      <c r="P1811">
        <f t="shared" si="220"/>
        <v>1.0000000000000001E-5</v>
      </c>
      <c r="R1811" s="15">
        <f t="shared" si="215"/>
        <v>1804</v>
      </c>
      <c r="S1811" s="126">
        <f>IF(VLOOKUP(A1811,Journal!$A$7:$E$70,5)=0,S1810+1,VLOOKUP(A1811,Journal!$A$7:$E$70,5))</f>
        <v>47461</v>
      </c>
      <c r="T1811" s="125">
        <f>IF(H$2=VLOOKUP(A1811,Journal!$A$7:$F$70,6),VLOOKUP(A1811,Journal!$A$7:M$70,9),0)</f>
        <v>0</v>
      </c>
      <c r="U1811" s="125">
        <f>IF(H$2=VLOOKUP(A1811,Journal!$A$7:$G$70,7),VLOOKUP(A1811,Journal!$A$7:M$70,9),0)</f>
        <v>0</v>
      </c>
      <c r="V1811" s="125">
        <f t="shared" si="218"/>
        <v>40</v>
      </c>
      <c r="X1811">
        <f t="shared" si="216"/>
        <v>0</v>
      </c>
      <c r="Y1811" s="143">
        <f t="shared" si="217"/>
        <v>-952.60526315797017</v>
      </c>
    </row>
    <row r="1812" spans="1:25" x14ac:dyDescent="0.25">
      <c r="A1812">
        <f t="shared" si="221"/>
        <v>1805</v>
      </c>
      <c r="B1812" s="88" t="str">
        <f>IF(OR(B1811="Total",B1811=""),"",IF(VLOOKUP(A1812,Journal!$B$7:$E$84,4)=0,"Total",VLOOKUP(A1812,Journal!$B$7:$D$84,3)))</f>
        <v/>
      </c>
      <c r="C1812" s="86" t="str">
        <f>IF(B1812="","",VLOOKUP(A1812,Journal!$B$7:$E$84,4))</f>
        <v/>
      </c>
      <c r="D1812" s="114" t="str">
        <f>IF(B1812="","",VLOOKUP(A1812,Journal!$B$7:$J$84,9))</f>
        <v/>
      </c>
      <c r="E1812" s="116"/>
      <c r="F1812" s="116"/>
      <c r="G1812" s="115"/>
      <c r="H1812" s="84" t="str">
        <f>IF(B1812="","",VLOOKUP(A1812,Journal!$B$7:$L$84,11))</f>
        <v/>
      </c>
      <c r="I1812" s="84" t="str">
        <f>IF(B1812="","",VLOOKUP(A1812,Journal!$B$7:$M$84,12))</f>
        <v/>
      </c>
      <c r="J1812" s="105">
        <f>IF(B1812="Total",SUM(J$8:J1811)+0.0001,IF(OR(B1812="",I$2=I1812),0,VLOOKUP(A1812,Journal!$B$7:M$84,8)))</f>
        <v>0</v>
      </c>
      <c r="K1812" s="102">
        <f>IF(B1812="Total",SUM(K$8:K1811)+0.0001,IF(OR(B1812="",J1812&lt;&gt;0),0,VLOOKUP(A1812,Journal!$B$7:M$84,8)))</f>
        <v>0</v>
      </c>
      <c r="L1812" s="87">
        <f t="shared" si="219"/>
        <v>0</v>
      </c>
      <c r="P1812">
        <f t="shared" si="220"/>
        <v>1.0000000000000001E-5</v>
      </c>
      <c r="R1812" s="15">
        <f t="shared" si="215"/>
        <v>1805</v>
      </c>
      <c r="S1812" s="126">
        <f>IF(VLOOKUP(A1812,Journal!$A$7:$E$70,5)=0,S1811+1,VLOOKUP(A1812,Journal!$A$7:$E$70,5))</f>
        <v>47462</v>
      </c>
      <c r="T1812" s="125">
        <f>IF(H$2=VLOOKUP(A1812,Journal!$A$7:$F$70,6),VLOOKUP(A1812,Journal!$A$7:M$70,9),0)</f>
        <v>0</v>
      </c>
      <c r="U1812" s="125">
        <f>IF(H$2=VLOOKUP(A1812,Journal!$A$7:$G$70,7),VLOOKUP(A1812,Journal!$A$7:M$70,9),0)</f>
        <v>0</v>
      </c>
      <c r="V1812" s="125">
        <f t="shared" si="218"/>
        <v>40</v>
      </c>
      <c r="X1812">
        <f t="shared" si="216"/>
        <v>0</v>
      </c>
      <c r="Y1812" s="143">
        <f t="shared" si="217"/>
        <v>-952.57894736849653</v>
      </c>
    </row>
    <row r="1813" spans="1:25" x14ac:dyDescent="0.25">
      <c r="A1813">
        <f t="shared" si="221"/>
        <v>1806</v>
      </c>
      <c r="B1813" s="88" t="str">
        <f>IF(OR(B1812="Total",B1812=""),"",IF(VLOOKUP(A1813,Journal!$B$7:$E$84,4)=0,"Total",VLOOKUP(A1813,Journal!$B$7:$D$84,3)))</f>
        <v/>
      </c>
      <c r="C1813" s="86" t="str">
        <f>IF(B1813="","",VLOOKUP(A1813,Journal!$B$7:$E$84,4))</f>
        <v/>
      </c>
      <c r="D1813" s="114" t="str">
        <f>IF(B1813="","",VLOOKUP(A1813,Journal!$B$7:$J$84,9))</f>
        <v/>
      </c>
      <c r="E1813" s="116"/>
      <c r="F1813" s="116"/>
      <c r="G1813" s="115"/>
      <c r="H1813" s="84" t="str">
        <f>IF(B1813="","",VLOOKUP(A1813,Journal!$B$7:$L$84,11))</f>
        <v/>
      </c>
      <c r="I1813" s="84" t="str">
        <f>IF(B1813="","",VLOOKUP(A1813,Journal!$B$7:$M$84,12))</f>
        <v/>
      </c>
      <c r="J1813" s="105">
        <f>IF(B1813="Total",SUM(J$8:J1812)+0.0001,IF(OR(B1813="",I$2=I1813),0,VLOOKUP(A1813,Journal!$B$7:M$84,8)))</f>
        <v>0</v>
      </c>
      <c r="K1813" s="102">
        <f>IF(B1813="Total",SUM(K$8:K1812)+0.0001,IF(OR(B1813="",J1813&lt;&gt;0),0,VLOOKUP(A1813,Journal!$B$7:M$84,8)))</f>
        <v>0</v>
      </c>
      <c r="L1813" s="87">
        <f t="shared" si="219"/>
        <v>0</v>
      </c>
      <c r="P1813">
        <f t="shared" si="220"/>
        <v>1.0000000000000001E-5</v>
      </c>
      <c r="R1813" s="15">
        <f t="shared" si="215"/>
        <v>1806</v>
      </c>
      <c r="S1813" s="126">
        <f>IF(VLOOKUP(A1813,Journal!$A$7:$E$70,5)=0,S1812+1,VLOOKUP(A1813,Journal!$A$7:$E$70,5))</f>
        <v>47463</v>
      </c>
      <c r="T1813" s="125">
        <f>IF(H$2=VLOOKUP(A1813,Journal!$A$7:$F$70,6),VLOOKUP(A1813,Journal!$A$7:M$70,9),0)</f>
        <v>0</v>
      </c>
      <c r="U1813" s="125">
        <f>IF(H$2=VLOOKUP(A1813,Journal!$A$7:$G$70,7),VLOOKUP(A1813,Journal!$A$7:M$70,9),0)</f>
        <v>0</v>
      </c>
      <c r="V1813" s="125">
        <f t="shared" si="218"/>
        <v>40</v>
      </c>
      <c r="X1813">
        <f t="shared" si="216"/>
        <v>0</v>
      </c>
      <c r="Y1813" s="143">
        <f t="shared" si="217"/>
        <v>-952.55263157902289</v>
      </c>
    </row>
    <row r="1814" spans="1:25" x14ac:dyDescent="0.25">
      <c r="A1814">
        <f t="shared" si="221"/>
        <v>1807</v>
      </c>
      <c r="B1814" s="88" t="str">
        <f>IF(OR(B1813="Total",B1813=""),"",IF(VLOOKUP(A1814,Journal!$B$7:$E$84,4)=0,"Total",VLOOKUP(A1814,Journal!$B$7:$D$84,3)))</f>
        <v/>
      </c>
      <c r="C1814" s="86" t="str">
        <f>IF(B1814="","",VLOOKUP(A1814,Journal!$B$7:$E$84,4))</f>
        <v/>
      </c>
      <c r="D1814" s="114" t="str">
        <f>IF(B1814="","",VLOOKUP(A1814,Journal!$B$7:$J$84,9))</f>
        <v/>
      </c>
      <c r="E1814" s="116"/>
      <c r="F1814" s="116"/>
      <c r="G1814" s="115"/>
      <c r="H1814" s="84" t="str">
        <f>IF(B1814="","",VLOOKUP(A1814,Journal!$B$7:$L$84,11))</f>
        <v/>
      </c>
      <c r="I1814" s="84" t="str">
        <f>IF(B1814="","",VLOOKUP(A1814,Journal!$B$7:$M$84,12))</f>
        <v/>
      </c>
      <c r="J1814" s="105">
        <f>IF(B1814="Total",SUM(J$8:J1813)+0.0001,IF(OR(B1814="",I$2=I1814),0,VLOOKUP(A1814,Journal!$B$7:M$84,8)))</f>
        <v>0</v>
      </c>
      <c r="K1814" s="102">
        <f>IF(B1814="Total",SUM(K$8:K1813)+0.0001,IF(OR(B1814="",J1814&lt;&gt;0),0,VLOOKUP(A1814,Journal!$B$7:M$84,8)))</f>
        <v>0</v>
      </c>
      <c r="L1814" s="87">
        <f t="shared" si="219"/>
        <v>0</v>
      </c>
      <c r="P1814">
        <f t="shared" si="220"/>
        <v>1.0000000000000001E-5</v>
      </c>
      <c r="R1814" s="15">
        <f t="shared" si="215"/>
        <v>1807</v>
      </c>
      <c r="S1814" s="126">
        <f>IF(VLOOKUP(A1814,Journal!$A$7:$E$70,5)=0,S1813+1,VLOOKUP(A1814,Journal!$A$7:$E$70,5))</f>
        <v>47464</v>
      </c>
      <c r="T1814" s="125">
        <f>IF(H$2=VLOOKUP(A1814,Journal!$A$7:$F$70,6),VLOOKUP(A1814,Journal!$A$7:M$70,9),0)</f>
        <v>0</v>
      </c>
      <c r="U1814" s="125">
        <f>IF(H$2=VLOOKUP(A1814,Journal!$A$7:$G$70,7),VLOOKUP(A1814,Journal!$A$7:M$70,9),0)</f>
        <v>0</v>
      </c>
      <c r="V1814" s="125">
        <f t="shared" si="218"/>
        <v>40</v>
      </c>
      <c r="X1814">
        <f t="shared" si="216"/>
        <v>0</v>
      </c>
      <c r="Y1814" s="143">
        <f t="shared" si="217"/>
        <v>-952.52631578954924</v>
      </c>
    </row>
    <row r="1815" spans="1:25" x14ac:dyDescent="0.25">
      <c r="A1815">
        <f t="shared" si="221"/>
        <v>1808</v>
      </c>
      <c r="B1815" s="88" t="str">
        <f>IF(OR(B1814="Total",B1814=""),"",IF(VLOOKUP(A1815,Journal!$B$7:$E$84,4)=0,"Total",VLOOKUP(A1815,Journal!$B$7:$D$84,3)))</f>
        <v/>
      </c>
      <c r="C1815" s="86" t="str">
        <f>IF(B1815="","",VLOOKUP(A1815,Journal!$B$7:$E$84,4))</f>
        <v/>
      </c>
      <c r="D1815" s="114" t="str">
        <f>IF(B1815="","",VLOOKUP(A1815,Journal!$B$7:$J$84,9))</f>
        <v/>
      </c>
      <c r="E1815" s="116"/>
      <c r="F1815" s="116"/>
      <c r="G1815" s="115"/>
      <c r="H1815" s="84" t="str">
        <f>IF(B1815="","",VLOOKUP(A1815,Journal!$B$7:$L$84,11))</f>
        <v/>
      </c>
      <c r="I1815" s="84" t="str">
        <f>IF(B1815="","",VLOOKUP(A1815,Journal!$B$7:$M$84,12))</f>
        <v/>
      </c>
      <c r="J1815" s="105">
        <f>IF(B1815="Total",SUM(J$8:J1814)+0.0001,IF(OR(B1815="",I$2=I1815),0,VLOOKUP(A1815,Journal!$B$7:M$84,8)))</f>
        <v>0</v>
      </c>
      <c r="K1815" s="102">
        <f>IF(B1815="Total",SUM(K$8:K1814)+0.0001,IF(OR(B1815="",J1815&lt;&gt;0),0,VLOOKUP(A1815,Journal!$B$7:M$84,8)))</f>
        <v>0</v>
      </c>
      <c r="L1815" s="87">
        <f t="shared" si="219"/>
        <v>0</v>
      </c>
      <c r="P1815">
        <f t="shared" si="220"/>
        <v>1.0000000000000001E-5</v>
      </c>
      <c r="R1815" s="15">
        <f t="shared" si="215"/>
        <v>1808</v>
      </c>
      <c r="S1815" s="126">
        <f>IF(VLOOKUP(A1815,Journal!$A$7:$E$70,5)=0,S1814+1,VLOOKUP(A1815,Journal!$A$7:$E$70,5))</f>
        <v>47465</v>
      </c>
      <c r="T1815" s="125">
        <f>IF(H$2=VLOOKUP(A1815,Journal!$A$7:$F$70,6),VLOOKUP(A1815,Journal!$A$7:M$70,9),0)</f>
        <v>0</v>
      </c>
      <c r="U1815" s="125">
        <f>IF(H$2=VLOOKUP(A1815,Journal!$A$7:$G$70,7),VLOOKUP(A1815,Journal!$A$7:M$70,9),0)</f>
        <v>0</v>
      </c>
      <c r="V1815" s="125">
        <f t="shared" si="218"/>
        <v>40</v>
      </c>
      <c r="X1815">
        <f t="shared" si="216"/>
        <v>0</v>
      </c>
      <c r="Y1815" s="143">
        <f t="shared" si="217"/>
        <v>-952.5000000000756</v>
      </c>
    </row>
    <row r="1816" spans="1:25" x14ac:dyDescent="0.25">
      <c r="A1816">
        <f t="shared" si="221"/>
        <v>1809</v>
      </c>
      <c r="B1816" s="88" t="str">
        <f>IF(OR(B1815="Total",B1815=""),"",IF(VLOOKUP(A1816,Journal!$B$7:$E$84,4)=0,"Total",VLOOKUP(A1816,Journal!$B$7:$D$84,3)))</f>
        <v/>
      </c>
      <c r="C1816" s="86" t="str">
        <f>IF(B1816="","",VLOOKUP(A1816,Journal!$B$7:$E$84,4))</f>
        <v/>
      </c>
      <c r="D1816" s="114" t="str">
        <f>IF(B1816="","",VLOOKUP(A1816,Journal!$B$7:$J$84,9))</f>
        <v/>
      </c>
      <c r="E1816" s="116"/>
      <c r="F1816" s="116"/>
      <c r="G1816" s="115"/>
      <c r="H1816" s="84" t="str">
        <f>IF(B1816="","",VLOOKUP(A1816,Journal!$B$7:$L$84,11))</f>
        <v/>
      </c>
      <c r="I1816" s="84" t="str">
        <f>IF(B1816="","",VLOOKUP(A1816,Journal!$B$7:$M$84,12))</f>
        <v/>
      </c>
      <c r="J1816" s="105">
        <f>IF(B1816="Total",SUM(J$8:J1815)+0.0001,IF(OR(B1816="",I$2=I1816),0,VLOOKUP(A1816,Journal!$B$7:M$84,8)))</f>
        <v>0</v>
      </c>
      <c r="K1816" s="102">
        <f>IF(B1816="Total",SUM(K$8:K1815)+0.0001,IF(OR(B1816="",J1816&lt;&gt;0),0,VLOOKUP(A1816,Journal!$B$7:M$84,8)))</f>
        <v>0</v>
      </c>
      <c r="L1816" s="87">
        <f t="shared" si="219"/>
        <v>0</v>
      </c>
      <c r="P1816">
        <f t="shared" si="220"/>
        <v>1.0000000000000001E-5</v>
      </c>
      <c r="R1816" s="15">
        <f t="shared" si="215"/>
        <v>1809</v>
      </c>
      <c r="S1816" s="126">
        <f>IF(VLOOKUP(A1816,Journal!$A$7:$E$70,5)=0,S1815+1,VLOOKUP(A1816,Journal!$A$7:$E$70,5))</f>
        <v>47466</v>
      </c>
      <c r="T1816" s="125">
        <f>IF(H$2=VLOOKUP(A1816,Journal!$A$7:$F$70,6),VLOOKUP(A1816,Journal!$A$7:M$70,9),0)</f>
        <v>0</v>
      </c>
      <c r="U1816" s="125">
        <f>IF(H$2=VLOOKUP(A1816,Journal!$A$7:$G$70,7),VLOOKUP(A1816,Journal!$A$7:M$70,9),0)</f>
        <v>0</v>
      </c>
      <c r="V1816" s="125">
        <f t="shared" si="218"/>
        <v>40</v>
      </c>
      <c r="X1816">
        <f t="shared" si="216"/>
        <v>0</v>
      </c>
      <c r="Y1816" s="143">
        <f t="shared" si="217"/>
        <v>-952.47368421060196</v>
      </c>
    </row>
    <row r="1817" spans="1:25" x14ac:dyDescent="0.25">
      <c r="A1817">
        <f t="shared" si="221"/>
        <v>1810</v>
      </c>
      <c r="B1817" s="88" t="str">
        <f>IF(OR(B1816="Total",B1816=""),"",IF(VLOOKUP(A1817,Journal!$B$7:$E$84,4)=0,"Total",VLOOKUP(A1817,Journal!$B$7:$D$84,3)))</f>
        <v/>
      </c>
      <c r="C1817" s="86" t="str">
        <f>IF(B1817="","",VLOOKUP(A1817,Journal!$B$7:$E$84,4))</f>
        <v/>
      </c>
      <c r="D1817" s="114" t="str">
        <f>IF(B1817="","",VLOOKUP(A1817,Journal!$B$7:$J$84,9))</f>
        <v/>
      </c>
      <c r="E1817" s="116"/>
      <c r="F1817" s="116"/>
      <c r="G1817" s="115"/>
      <c r="H1817" s="84" t="str">
        <f>IF(B1817="","",VLOOKUP(A1817,Journal!$B$7:$L$84,11))</f>
        <v/>
      </c>
      <c r="I1817" s="84" t="str">
        <f>IF(B1817="","",VLOOKUP(A1817,Journal!$B$7:$M$84,12))</f>
        <v/>
      </c>
      <c r="J1817" s="105">
        <f>IF(B1817="Total",SUM(J$8:J1816)+0.0001,IF(OR(B1817="",I$2=I1817),0,VLOOKUP(A1817,Journal!$B$7:M$84,8)))</f>
        <v>0</v>
      </c>
      <c r="K1817" s="102">
        <f>IF(B1817="Total",SUM(K$8:K1816)+0.0001,IF(OR(B1817="",J1817&lt;&gt;0),0,VLOOKUP(A1817,Journal!$B$7:M$84,8)))</f>
        <v>0</v>
      </c>
      <c r="L1817" s="87">
        <f t="shared" si="219"/>
        <v>0</v>
      </c>
      <c r="P1817">
        <f t="shared" si="220"/>
        <v>1.0000000000000001E-5</v>
      </c>
      <c r="R1817" s="15">
        <f t="shared" si="215"/>
        <v>1810</v>
      </c>
      <c r="S1817" s="126">
        <f>IF(VLOOKUP(A1817,Journal!$A$7:$E$70,5)=0,S1816+1,VLOOKUP(A1817,Journal!$A$7:$E$70,5))</f>
        <v>47467</v>
      </c>
      <c r="T1817" s="125">
        <f>IF(H$2=VLOOKUP(A1817,Journal!$A$7:$F$70,6),VLOOKUP(A1817,Journal!$A$7:M$70,9),0)</f>
        <v>0</v>
      </c>
      <c r="U1817" s="125">
        <f>IF(H$2=VLOOKUP(A1817,Journal!$A$7:$G$70,7),VLOOKUP(A1817,Journal!$A$7:M$70,9),0)</f>
        <v>0</v>
      </c>
      <c r="V1817" s="125">
        <f t="shared" si="218"/>
        <v>40</v>
      </c>
      <c r="X1817">
        <f t="shared" si="216"/>
        <v>0</v>
      </c>
      <c r="Y1817" s="143">
        <f t="shared" si="217"/>
        <v>-952.44736842112832</v>
      </c>
    </row>
    <row r="1818" spans="1:25" x14ac:dyDescent="0.25">
      <c r="A1818">
        <f t="shared" si="221"/>
        <v>1811</v>
      </c>
      <c r="B1818" s="88" t="str">
        <f>IF(OR(B1817="Total",B1817=""),"",IF(VLOOKUP(A1818,Journal!$B$7:$E$84,4)=0,"Total",VLOOKUP(A1818,Journal!$B$7:$D$84,3)))</f>
        <v/>
      </c>
      <c r="C1818" s="86" t="str">
        <f>IF(B1818="","",VLOOKUP(A1818,Journal!$B$7:$E$84,4))</f>
        <v/>
      </c>
      <c r="D1818" s="114" t="str">
        <f>IF(B1818="","",VLOOKUP(A1818,Journal!$B$7:$J$84,9))</f>
        <v/>
      </c>
      <c r="E1818" s="116"/>
      <c r="F1818" s="116"/>
      <c r="G1818" s="115"/>
      <c r="H1818" s="84" t="str">
        <f>IF(B1818="","",VLOOKUP(A1818,Journal!$B$7:$L$84,11))</f>
        <v/>
      </c>
      <c r="I1818" s="84" t="str">
        <f>IF(B1818="","",VLOOKUP(A1818,Journal!$B$7:$M$84,12))</f>
        <v/>
      </c>
      <c r="J1818" s="105">
        <f>IF(B1818="Total",SUM(J$8:J1817)+0.0001,IF(OR(B1818="",I$2=I1818),0,VLOOKUP(A1818,Journal!$B$7:M$84,8)))</f>
        <v>0</v>
      </c>
      <c r="K1818" s="102">
        <f>IF(B1818="Total",SUM(K$8:K1817)+0.0001,IF(OR(B1818="",J1818&lt;&gt;0),0,VLOOKUP(A1818,Journal!$B$7:M$84,8)))</f>
        <v>0</v>
      </c>
      <c r="L1818" s="87">
        <f t="shared" si="219"/>
        <v>0</v>
      </c>
      <c r="P1818">
        <f t="shared" si="220"/>
        <v>1.0000000000000001E-5</v>
      </c>
      <c r="R1818" s="15">
        <f t="shared" si="215"/>
        <v>1811</v>
      </c>
      <c r="S1818" s="126">
        <f>IF(VLOOKUP(A1818,Journal!$A$7:$E$70,5)=0,S1817+1,VLOOKUP(A1818,Journal!$A$7:$E$70,5))</f>
        <v>47468</v>
      </c>
      <c r="T1818" s="125">
        <f>IF(H$2=VLOOKUP(A1818,Journal!$A$7:$F$70,6),VLOOKUP(A1818,Journal!$A$7:M$70,9),0)</f>
        <v>0</v>
      </c>
      <c r="U1818" s="125">
        <f>IF(H$2=VLOOKUP(A1818,Journal!$A$7:$G$70,7),VLOOKUP(A1818,Journal!$A$7:M$70,9),0)</f>
        <v>0</v>
      </c>
      <c r="V1818" s="125">
        <f t="shared" si="218"/>
        <v>40</v>
      </c>
      <c r="X1818">
        <f t="shared" si="216"/>
        <v>0</v>
      </c>
      <c r="Y1818" s="143">
        <f t="shared" si="217"/>
        <v>-952.42105263165467</v>
      </c>
    </row>
    <row r="1819" spans="1:25" x14ac:dyDescent="0.25">
      <c r="A1819">
        <f t="shared" si="221"/>
        <v>1812</v>
      </c>
      <c r="B1819" s="88" t="str">
        <f>IF(OR(B1818="Total",B1818=""),"",IF(VLOOKUP(A1819,Journal!$B$7:$E$84,4)=0,"Total",VLOOKUP(A1819,Journal!$B$7:$D$84,3)))</f>
        <v/>
      </c>
      <c r="C1819" s="86" t="str">
        <f>IF(B1819="","",VLOOKUP(A1819,Journal!$B$7:$E$84,4))</f>
        <v/>
      </c>
      <c r="D1819" s="114" t="str">
        <f>IF(B1819="","",VLOOKUP(A1819,Journal!$B$7:$J$84,9))</f>
        <v/>
      </c>
      <c r="E1819" s="116"/>
      <c r="F1819" s="116"/>
      <c r="G1819" s="115"/>
      <c r="H1819" s="84" t="str">
        <f>IF(B1819="","",VLOOKUP(A1819,Journal!$B$7:$L$84,11))</f>
        <v/>
      </c>
      <c r="I1819" s="84" t="str">
        <f>IF(B1819="","",VLOOKUP(A1819,Journal!$B$7:$M$84,12))</f>
        <v/>
      </c>
      <c r="J1819" s="105">
        <f>IF(B1819="Total",SUM(J$8:J1818)+0.0001,IF(OR(B1819="",I$2=I1819),0,VLOOKUP(A1819,Journal!$B$7:M$84,8)))</f>
        <v>0</v>
      </c>
      <c r="K1819" s="102">
        <f>IF(B1819="Total",SUM(K$8:K1818)+0.0001,IF(OR(B1819="",J1819&lt;&gt;0),0,VLOOKUP(A1819,Journal!$B$7:M$84,8)))</f>
        <v>0</v>
      </c>
      <c r="L1819" s="87">
        <f t="shared" si="219"/>
        <v>0</v>
      </c>
      <c r="P1819">
        <f t="shared" si="220"/>
        <v>1.0000000000000001E-5</v>
      </c>
      <c r="R1819" s="15">
        <f t="shared" si="215"/>
        <v>1812</v>
      </c>
      <c r="S1819" s="126">
        <f>IF(VLOOKUP(A1819,Journal!$A$7:$E$70,5)=0,S1818+1,VLOOKUP(A1819,Journal!$A$7:$E$70,5))</f>
        <v>47469</v>
      </c>
      <c r="T1819" s="125">
        <f>IF(H$2=VLOOKUP(A1819,Journal!$A$7:$F$70,6),VLOOKUP(A1819,Journal!$A$7:M$70,9),0)</f>
        <v>0</v>
      </c>
      <c r="U1819" s="125">
        <f>IF(H$2=VLOOKUP(A1819,Journal!$A$7:$G$70,7),VLOOKUP(A1819,Journal!$A$7:M$70,9),0)</f>
        <v>0</v>
      </c>
      <c r="V1819" s="125">
        <f t="shared" si="218"/>
        <v>40</v>
      </c>
      <c r="X1819">
        <f t="shared" si="216"/>
        <v>0</v>
      </c>
      <c r="Y1819" s="143">
        <f t="shared" si="217"/>
        <v>-952.39473684218103</v>
      </c>
    </row>
    <row r="1820" spans="1:25" x14ac:dyDescent="0.25">
      <c r="A1820">
        <f t="shared" si="221"/>
        <v>1813</v>
      </c>
      <c r="B1820" s="88" t="str">
        <f>IF(OR(B1819="Total",B1819=""),"",IF(VLOOKUP(A1820,Journal!$B$7:$E$84,4)=0,"Total",VLOOKUP(A1820,Journal!$B$7:$D$84,3)))</f>
        <v/>
      </c>
      <c r="C1820" s="86" t="str">
        <f>IF(B1820="","",VLOOKUP(A1820,Journal!$B$7:$E$84,4))</f>
        <v/>
      </c>
      <c r="D1820" s="114" t="str">
        <f>IF(B1820="","",VLOOKUP(A1820,Journal!$B$7:$J$84,9))</f>
        <v/>
      </c>
      <c r="E1820" s="116"/>
      <c r="F1820" s="116"/>
      <c r="G1820" s="115"/>
      <c r="H1820" s="84" t="str">
        <f>IF(B1820="","",VLOOKUP(A1820,Journal!$B$7:$L$84,11))</f>
        <v/>
      </c>
      <c r="I1820" s="84" t="str">
        <f>IF(B1820="","",VLOOKUP(A1820,Journal!$B$7:$M$84,12))</f>
        <v/>
      </c>
      <c r="J1820" s="105">
        <f>IF(B1820="Total",SUM(J$8:J1819)+0.0001,IF(OR(B1820="",I$2=I1820),0,VLOOKUP(A1820,Journal!$B$7:M$84,8)))</f>
        <v>0</v>
      </c>
      <c r="K1820" s="102">
        <f>IF(B1820="Total",SUM(K$8:K1819)+0.0001,IF(OR(B1820="",J1820&lt;&gt;0),0,VLOOKUP(A1820,Journal!$B$7:M$84,8)))</f>
        <v>0</v>
      </c>
      <c r="L1820" s="87">
        <f t="shared" si="219"/>
        <v>0</v>
      </c>
      <c r="P1820">
        <f t="shared" si="220"/>
        <v>1.0000000000000001E-5</v>
      </c>
      <c r="R1820" s="15">
        <f t="shared" si="215"/>
        <v>1813</v>
      </c>
      <c r="S1820" s="126">
        <f>IF(VLOOKUP(A1820,Journal!$A$7:$E$70,5)=0,S1819+1,VLOOKUP(A1820,Journal!$A$7:$E$70,5))</f>
        <v>47470</v>
      </c>
      <c r="T1820" s="125">
        <f>IF(H$2=VLOOKUP(A1820,Journal!$A$7:$F$70,6),VLOOKUP(A1820,Journal!$A$7:M$70,9),0)</f>
        <v>0</v>
      </c>
      <c r="U1820" s="125">
        <f>IF(H$2=VLOOKUP(A1820,Journal!$A$7:$G$70,7),VLOOKUP(A1820,Journal!$A$7:M$70,9),0)</f>
        <v>0</v>
      </c>
      <c r="V1820" s="125">
        <f t="shared" si="218"/>
        <v>40</v>
      </c>
      <c r="X1820">
        <f t="shared" si="216"/>
        <v>0</v>
      </c>
      <c r="Y1820" s="143">
        <f t="shared" si="217"/>
        <v>-952.36842105270739</v>
      </c>
    </row>
    <row r="1821" spans="1:25" x14ac:dyDescent="0.25">
      <c r="A1821">
        <f t="shared" si="221"/>
        <v>1814</v>
      </c>
      <c r="B1821" s="88" t="str">
        <f>IF(OR(B1820="Total",B1820=""),"",IF(VLOOKUP(A1821,Journal!$B$7:$E$84,4)=0,"Total",VLOOKUP(A1821,Journal!$B$7:$D$84,3)))</f>
        <v/>
      </c>
      <c r="C1821" s="86" t="str">
        <f>IF(B1821="","",VLOOKUP(A1821,Journal!$B$7:$E$84,4))</f>
        <v/>
      </c>
      <c r="D1821" s="114" t="str">
        <f>IF(B1821="","",VLOOKUP(A1821,Journal!$B$7:$J$84,9))</f>
        <v/>
      </c>
      <c r="E1821" s="116"/>
      <c r="F1821" s="116"/>
      <c r="G1821" s="115"/>
      <c r="H1821" s="84" t="str">
        <f>IF(B1821="","",VLOOKUP(A1821,Journal!$B$7:$L$84,11))</f>
        <v/>
      </c>
      <c r="I1821" s="84" t="str">
        <f>IF(B1821="","",VLOOKUP(A1821,Journal!$B$7:$M$84,12))</f>
        <v/>
      </c>
      <c r="J1821" s="105">
        <f>IF(B1821="Total",SUM(J$8:J1820)+0.0001,IF(OR(B1821="",I$2=I1821),0,VLOOKUP(A1821,Journal!$B$7:M$84,8)))</f>
        <v>0</v>
      </c>
      <c r="K1821" s="102">
        <f>IF(B1821="Total",SUM(K$8:K1820)+0.0001,IF(OR(B1821="",J1821&lt;&gt;0),0,VLOOKUP(A1821,Journal!$B$7:M$84,8)))</f>
        <v>0</v>
      </c>
      <c r="L1821" s="87">
        <f t="shared" si="219"/>
        <v>0</v>
      </c>
      <c r="P1821">
        <f t="shared" si="220"/>
        <v>1.0000000000000001E-5</v>
      </c>
      <c r="R1821" s="15">
        <f t="shared" si="215"/>
        <v>1814</v>
      </c>
      <c r="S1821" s="126">
        <f>IF(VLOOKUP(A1821,Journal!$A$7:$E$70,5)=0,S1820+1,VLOOKUP(A1821,Journal!$A$7:$E$70,5))</f>
        <v>47471</v>
      </c>
      <c r="T1821" s="125">
        <f>IF(H$2=VLOOKUP(A1821,Journal!$A$7:$F$70,6),VLOOKUP(A1821,Journal!$A$7:M$70,9),0)</f>
        <v>0</v>
      </c>
      <c r="U1821" s="125">
        <f>IF(H$2=VLOOKUP(A1821,Journal!$A$7:$G$70,7),VLOOKUP(A1821,Journal!$A$7:M$70,9),0)</f>
        <v>0</v>
      </c>
      <c r="V1821" s="125">
        <f t="shared" si="218"/>
        <v>40</v>
      </c>
      <c r="X1821">
        <f t="shared" si="216"/>
        <v>0</v>
      </c>
      <c r="Y1821" s="143">
        <f t="shared" si="217"/>
        <v>-952.34210526323375</v>
      </c>
    </row>
    <row r="1822" spans="1:25" x14ac:dyDescent="0.25">
      <c r="A1822">
        <f t="shared" si="221"/>
        <v>1815</v>
      </c>
      <c r="B1822" s="88" t="str">
        <f>IF(OR(B1821="Total",B1821=""),"",IF(VLOOKUP(A1822,Journal!$B$7:$E$84,4)=0,"Total",VLOOKUP(A1822,Journal!$B$7:$D$84,3)))</f>
        <v/>
      </c>
      <c r="C1822" s="86" t="str">
        <f>IF(B1822="","",VLOOKUP(A1822,Journal!$B$7:$E$84,4))</f>
        <v/>
      </c>
      <c r="D1822" s="114" t="str">
        <f>IF(B1822="","",VLOOKUP(A1822,Journal!$B$7:$J$84,9))</f>
        <v/>
      </c>
      <c r="E1822" s="116"/>
      <c r="F1822" s="116"/>
      <c r="G1822" s="115"/>
      <c r="H1822" s="84" t="str">
        <f>IF(B1822="","",VLOOKUP(A1822,Journal!$B$7:$L$84,11))</f>
        <v/>
      </c>
      <c r="I1822" s="84" t="str">
        <f>IF(B1822="","",VLOOKUP(A1822,Journal!$B$7:$M$84,12))</f>
        <v/>
      </c>
      <c r="J1822" s="105">
        <f>IF(B1822="Total",SUM(J$8:J1821)+0.0001,IF(OR(B1822="",I$2=I1822),0,VLOOKUP(A1822,Journal!$B$7:M$84,8)))</f>
        <v>0</v>
      </c>
      <c r="K1822" s="102">
        <f>IF(B1822="Total",SUM(K$8:K1821)+0.0001,IF(OR(B1822="",J1822&lt;&gt;0),0,VLOOKUP(A1822,Journal!$B$7:M$84,8)))</f>
        <v>0</v>
      </c>
      <c r="L1822" s="87">
        <f t="shared" si="219"/>
        <v>0</v>
      </c>
      <c r="P1822">
        <f t="shared" si="220"/>
        <v>1.0000000000000001E-5</v>
      </c>
      <c r="R1822" s="15">
        <f t="shared" si="215"/>
        <v>1815</v>
      </c>
      <c r="S1822" s="126">
        <f>IF(VLOOKUP(A1822,Journal!$A$7:$E$70,5)=0,S1821+1,VLOOKUP(A1822,Journal!$A$7:$E$70,5))</f>
        <v>47472</v>
      </c>
      <c r="T1822" s="125">
        <f>IF(H$2=VLOOKUP(A1822,Journal!$A$7:$F$70,6),VLOOKUP(A1822,Journal!$A$7:M$70,9),0)</f>
        <v>0</v>
      </c>
      <c r="U1822" s="125">
        <f>IF(H$2=VLOOKUP(A1822,Journal!$A$7:$G$70,7),VLOOKUP(A1822,Journal!$A$7:M$70,9),0)</f>
        <v>0</v>
      </c>
      <c r="V1822" s="125">
        <f t="shared" si="218"/>
        <v>40</v>
      </c>
      <c r="X1822">
        <f t="shared" si="216"/>
        <v>0</v>
      </c>
      <c r="Y1822" s="143">
        <f t="shared" si="217"/>
        <v>-952.31578947376011</v>
      </c>
    </row>
    <row r="1823" spans="1:25" x14ac:dyDescent="0.25">
      <c r="A1823">
        <f t="shared" si="221"/>
        <v>1816</v>
      </c>
      <c r="B1823" s="88" t="str">
        <f>IF(OR(B1822="Total",B1822=""),"",IF(VLOOKUP(A1823,Journal!$B$7:$E$84,4)=0,"Total",VLOOKUP(A1823,Journal!$B$7:$D$84,3)))</f>
        <v/>
      </c>
      <c r="C1823" s="86" t="str">
        <f>IF(B1823="","",VLOOKUP(A1823,Journal!$B$7:$E$84,4))</f>
        <v/>
      </c>
      <c r="D1823" s="114" t="str">
        <f>IF(B1823="","",VLOOKUP(A1823,Journal!$B$7:$J$84,9))</f>
        <v/>
      </c>
      <c r="E1823" s="116"/>
      <c r="F1823" s="116"/>
      <c r="G1823" s="115"/>
      <c r="H1823" s="84" t="str">
        <f>IF(B1823="","",VLOOKUP(A1823,Journal!$B$7:$L$84,11))</f>
        <v/>
      </c>
      <c r="I1823" s="84" t="str">
        <f>IF(B1823="","",VLOOKUP(A1823,Journal!$B$7:$M$84,12))</f>
        <v/>
      </c>
      <c r="J1823" s="105">
        <f>IF(B1823="Total",SUM(J$8:J1822)+0.0001,IF(OR(B1823="",I$2=I1823),0,VLOOKUP(A1823,Journal!$B$7:M$84,8)))</f>
        <v>0</v>
      </c>
      <c r="K1823" s="102">
        <f>IF(B1823="Total",SUM(K$8:K1822)+0.0001,IF(OR(B1823="",J1823&lt;&gt;0),0,VLOOKUP(A1823,Journal!$B$7:M$84,8)))</f>
        <v>0</v>
      </c>
      <c r="L1823" s="87">
        <f t="shared" si="219"/>
        <v>0</v>
      </c>
      <c r="P1823">
        <f t="shared" si="220"/>
        <v>1.0000000000000001E-5</v>
      </c>
      <c r="R1823" s="15">
        <f t="shared" si="215"/>
        <v>1816</v>
      </c>
      <c r="S1823" s="126">
        <f>IF(VLOOKUP(A1823,Journal!$A$7:$E$70,5)=0,S1822+1,VLOOKUP(A1823,Journal!$A$7:$E$70,5))</f>
        <v>47473</v>
      </c>
      <c r="T1823" s="125">
        <f>IF(H$2=VLOOKUP(A1823,Journal!$A$7:$F$70,6),VLOOKUP(A1823,Journal!$A$7:M$70,9),0)</f>
        <v>0</v>
      </c>
      <c r="U1823" s="125">
        <f>IF(H$2=VLOOKUP(A1823,Journal!$A$7:$G$70,7),VLOOKUP(A1823,Journal!$A$7:M$70,9),0)</f>
        <v>0</v>
      </c>
      <c r="V1823" s="125">
        <f t="shared" si="218"/>
        <v>40</v>
      </c>
      <c r="X1823">
        <f t="shared" si="216"/>
        <v>0</v>
      </c>
      <c r="Y1823" s="143">
        <f t="shared" si="217"/>
        <v>-952.28947368428646</v>
      </c>
    </row>
    <row r="1824" spans="1:25" x14ac:dyDescent="0.25">
      <c r="A1824">
        <f t="shared" si="221"/>
        <v>1817</v>
      </c>
      <c r="B1824" s="88" t="str">
        <f>IF(OR(B1823="Total",B1823=""),"",IF(VLOOKUP(A1824,Journal!$B$7:$E$84,4)=0,"Total",VLOOKUP(A1824,Journal!$B$7:$D$84,3)))</f>
        <v/>
      </c>
      <c r="C1824" s="86" t="str">
        <f>IF(B1824="","",VLOOKUP(A1824,Journal!$B$7:$E$84,4))</f>
        <v/>
      </c>
      <c r="D1824" s="114" t="str">
        <f>IF(B1824="","",VLOOKUP(A1824,Journal!$B$7:$J$84,9))</f>
        <v/>
      </c>
      <c r="E1824" s="116"/>
      <c r="F1824" s="116"/>
      <c r="G1824" s="115"/>
      <c r="H1824" s="84" t="str">
        <f>IF(B1824="","",VLOOKUP(A1824,Journal!$B$7:$L$84,11))</f>
        <v/>
      </c>
      <c r="I1824" s="84" t="str">
        <f>IF(B1824="","",VLOOKUP(A1824,Journal!$B$7:$M$84,12))</f>
        <v/>
      </c>
      <c r="J1824" s="105">
        <f>IF(B1824="Total",SUM(J$8:J1823)+0.0001,IF(OR(B1824="",I$2=I1824),0,VLOOKUP(A1824,Journal!$B$7:M$84,8)))</f>
        <v>0</v>
      </c>
      <c r="K1824" s="102">
        <f>IF(B1824="Total",SUM(K$8:K1823)+0.0001,IF(OR(B1824="",J1824&lt;&gt;0),0,VLOOKUP(A1824,Journal!$B$7:M$84,8)))</f>
        <v>0</v>
      </c>
      <c r="L1824" s="87">
        <f t="shared" si="219"/>
        <v>0</v>
      </c>
      <c r="P1824">
        <f t="shared" si="220"/>
        <v>1.0000000000000001E-5</v>
      </c>
      <c r="R1824" s="15">
        <f t="shared" si="215"/>
        <v>1817</v>
      </c>
      <c r="S1824" s="126">
        <f>IF(VLOOKUP(A1824,Journal!$A$7:$E$70,5)=0,S1823+1,VLOOKUP(A1824,Journal!$A$7:$E$70,5))</f>
        <v>47474</v>
      </c>
      <c r="T1824" s="125">
        <f>IF(H$2=VLOOKUP(A1824,Journal!$A$7:$F$70,6),VLOOKUP(A1824,Journal!$A$7:M$70,9),0)</f>
        <v>0</v>
      </c>
      <c r="U1824" s="125">
        <f>IF(H$2=VLOOKUP(A1824,Journal!$A$7:$G$70,7),VLOOKUP(A1824,Journal!$A$7:M$70,9),0)</f>
        <v>0</v>
      </c>
      <c r="V1824" s="125">
        <f t="shared" si="218"/>
        <v>40</v>
      </c>
      <c r="X1824">
        <f t="shared" si="216"/>
        <v>0</v>
      </c>
      <c r="Y1824" s="143">
        <f t="shared" si="217"/>
        <v>-952.26315789481282</v>
      </c>
    </row>
    <row r="1825" spans="1:25" x14ac:dyDescent="0.25">
      <c r="A1825">
        <f t="shared" si="221"/>
        <v>1818</v>
      </c>
      <c r="B1825" s="88" t="str">
        <f>IF(OR(B1824="Total",B1824=""),"",IF(VLOOKUP(A1825,Journal!$B$7:$E$84,4)=0,"Total",VLOOKUP(A1825,Journal!$B$7:$D$84,3)))</f>
        <v/>
      </c>
      <c r="C1825" s="86" t="str">
        <f>IF(B1825="","",VLOOKUP(A1825,Journal!$B$7:$E$84,4))</f>
        <v/>
      </c>
      <c r="D1825" s="114" t="str">
        <f>IF(B1825="","",VLOOKUP(A1825,Journal!$B$7:$J$84,9))</f>
        <v/>
      </c>
      <c r="E1825" s="116"/>
      <c r="F1825" s="116"/>
      <c r="G1825" s="115"/>
      <c r="H1825" s="84" t="str">
        <f>IF(B1825="","",VLOOKUP(A1825,Journal!$B$7:$L$84,11))</f>
        <v/>
      </c>
      <c r="I1825" s="84" t="str">
        <f>IF(B1825="","",VLOOKUP(A1825,Journal!$B$7:$M$84,12))</f>
        <v/>
      </c>
      <c r="J1825" s="105">
        <f>IF(B1825="Total",SUM(J$8:J1824)+0.0001,IF(OR(B1825="",I$2=I1825),0,VLOOKUP(A1825,Journal!$B$7:M$84,8)))</f>
        <v>0</v>
      </c>
      <c r="K1825" s="102">
        <f>IF(B1825="Total",SUM(K$8:K1824)+0.0001,IF(OR(B1825="",J1825&lt;&gt;0),0,VLOOKUP(A1825,Journal!$B$7:M$84,8)))</f>
        <v>0</v>
      </c>
      <c r="L1825" s="87">
        <f t="shared" si="219"/>
        <v>0</v>
      </c>
      <c r="P1825">
        <f t="shared" si="220"/>
        <v>1.0000000000000001E-5</v>
      </c>
      <c r="R1825" s="15">
        <f t="shared" si="215"/>
        <v>1818</v>
      </c>
      <c r="S1825" s="126">
        <f>IF(VLOOKUP(A1825,Journal!$A$7:$E$70,5)=0,S1824+1,VLOOKUP(A1825,Journal!$A$7:$E$70,5))</f>
        <v>47475</v>
      </c>
      <c r="T1825" s="125">
        <f>IF(H$2=VLOOKUP(A1825,Journal!$A$7:$F$70,6),VLOOKUP(A1825,Journal!$A$7:M$70,9),0)</f>
        <v>0</v>
      </c>
      <c r="U1825" s="125">
        <f>IF(H$2=VLOOKUP(A1825,Journal!$A$7:$G$70,7),VLOOKUP(A1825,Journal!$A$7:M$70,9),0)</f>
        <v>0</v>
      </c>
      <c r="V1825" s="125">
        <f t="shared" si="218"/>
        <v>40</v>
      </c>
      <c r="X1825">
        <f t="shared" si="216"/>
        <v>0</v>
      </c>
      <c r="Y1825" s="143">
        <f t="shared" si="217"/>
        <v>-952.23684210533918</v>
      </c>
    </row>
    <row r="1826" spans="1:25" x14ac:dyDescent="0.25">
      <c r="A1826">
        <f t="shared" si="221"/>
        <v>1819</v>
      </c>
      <c r="B1826" s="88" t="str">
        <f>IF(OR(B1825="Total",B1825=""),"",IF(VLOOKUP(A1826,Journal!$B$7:$E$84,4)=0,"Total",VLOOKUP(A1826,Journal!$B$7:$D$84,3)))</f>
        <v/>
      </c>
      <c r="C1826" s="86" t="str">
        <f>IF(B1826="","",VLOOKUP(A1826,Journal!$B$7:$E$84,4))</f>
        <v/>
      </c>
      <c r="D1826" s="114" t="str">
        <f>IF(B1826="","",VLOOKUP(A1826,Journal!$B$7:$J$84,9))</f>
        <v/>
      </c>
      <c r="E1826" s="116"/>
      <c r="F1826" s="116"/>
      <c r="G1826" s="115"/>
      <c r="H1826" s="84" t="str">
        <f>IF(B1826="","",VLOOKUP(A1826,Journal!$B$7:$L$84,11))</f>
        <v/>
      </c>
      <c r="I1826" s="84" t="str">
        <f>IF(B1826="","",VLOOKUP(A1826,Journal!$B$7:$M$84,12))</f>
        <v/>
      </c>
      <c r="J1826" s="105">
        <f>IF(B1826="Total",SUM(J$8:J1825)+0.0001,IF(OR(B1826="",I$2=I1826),0,VLOOKUP(A1826,Journal!$B$7:M$84,8)))</f>
        <v>0</v>
      </c>
      <c r="K1826" s="102">
        <f>IF(B1826="Total",SUM(K$8:K1825)+0.0001,IF(OR(B1826="",J1826&lt;&gt;0),0,VLOOKUP(A1826,Journal!$B$7:M$84,8)))</f>
        <v>0</v>
      </c>
      <c r="L1826" s="87">
        <f t="shared" si="219"/>
        <v>0</v>
      </c>
      <c r="P1826">
        <f t="shared" si="220"/>
        <v>1.0000000000000001E-5</v>
      </c>
      <c r="R1826" s="15">
        <f t="shared" si="215"/>
        <v>1819</v>
      </c>
      <c r="S1826" s="126">
        <f>IF(VLOOKUP(A1826,Journal!$A$7:$E$70,5)=0,S1825+1,VLOOKUP(A1826,Journal!$A$7:$E$70,5))</f>
        <v>47476</v>
      </c>
      <c r="T1826" s="125">
        <f>IF(H$2=VLOOKUP(A1826,Journal!$A$7:$F$70,6),VLOOKUP(A1826,Journal!$A$7:M$70,9),0)</f>
        <v>0</v>
      </c>
      <c r="U1826" s="125">
        <f>IF(H$2=VLOOKUP(A1826,Journal!$A$7:$G$70,7),VLOOKUP(A1826,Journal!$A$7:M$70,9),0)</f>
        <v>0</v>
      </c>
      <c r="V1826" s="125">
        <f t="shared" si="218"/>
        <v>40</v>
      </c>
      <c r="X1826">
        <f t="shared" si="216"/>
        <v>0</v>
      </c>
      <c r="Y1826" s="143">
        <f t="shared" si="217"/>
        <v>-952.21052631586554</v>
      </c>
    </row>
    <row r="1827" spans="1:25" x14ac:dyDescent="0.25">
      <c r="A1827">
        <f t="shared" si="221"/>
        <v>1820</v>
      </c>
      <c r="B1827" s="88" t="str">
        <f>IF(OR(B1826="Total",B1826=""),"",IF(VLOOKUP(A1827,Journal!$B$7:$E$84,4)=0,"Total",VLOOKUP(A1827,Journal!$B$7:$D$84,3)))</f>
        <v/>
      </c>
      <c r="C1827" s="86" t="str">
        <f>IF(B1827="","",VLOOKUP(A1827,Journal!$B$7:$E$84,4))</f>
        <v/>
      </c>
      <c r="D1827" s="114" t="str">
        <f>IF(B1827="","",VLOOKUP(A1827,Journal!$B$7:$J$84,9))</f>
        <v/>
      </c>
      <c r="E1827" s="116"/>
      <c r="F1827" s="116"/>
      <c r="G1827" s="115"/>
      <c r="H1827" s="84" t="str">
        <f>IF(B1827="","",VLOOKUP(A1827,Journal!$B$7:$L$84,11))</f>
        <v/>
      </c>
      <c r="I1827" s="84" t="str">
        <f>IF(B1827="","",VLOOKUP(A1827,Journal!$B$7:$M$84,12))</f>
        <v/>
      </c>
      <c r="J1827" s="105">
        <f>IF(B1827="Total",SUM(J$8:J1826)+0.0001,IF(OR(B1827="",I$2=I1827),0,VLOOKUP(A1827,Journal!$B$7:M$84,8)))</f>
        <v>0</v>
      </c>
      <c r="K1827" s="102">
        <f>IF(B1827="Total",SUM(K$8:K1826)+0.0001,IF(OR(B1827="",J1827&lt;&gt;0),0,VLOOKUP(A1827,Journal!$B$7:M$84,8)))</f>
        <v>0</v>
      </c>
      <c r="L1827" s="87">
        <f t="shared" si="219"/>
        <v>0</v>
      </c>
      <c r="P1827">
        <f t="shared" si="220"/>
        <v>1.0000000000000001E-5</v>
      </c>
      <c r="R1827" s="15">
        <f t="shared" si="215"/>
        <v>1820</v>
      </c>
      <c r="S1827" s="126">
        <f>IF(VLOOKUP(A1827,Journal!$A$7:$E$70,5)=0,S1826+1,VLOOKUP(A1827,Journal!$A$7:$E$70,5))</f>
        <v>47477</v>
      </c>
      <c r="T1827" s="125">
        <f>IF(H$2=VLOOKUP(A1827,Journal!$A$7:$F$70,6),VLOOKUP(A1827,Journal!$A$7:M$70,9),0)</f>
        <v>0</v>
      </c>
      <c r="U1827" s="125">
        <f>IF(H$2=VLOOKUP(A1827,Journal!$A$7:$G$70,7),VLOOKUP(A1827,Journal!$A$7:M$70,9),0)</f>
        <v>0</v>
      </c>
      <c r="V1827" s="125">
        <f t="shared" si="218"/>
        <v>40</v>
      </c>
      <c r="X1827">
        <f t="shared" si="216"/>
        <v>0</v>
      </c>
      <c r="Y1827" s="143">
        <f t="shared" si="217"/>
        <v>-952.18421052639189</v>
      </c>
    </row>
    <row r="1828" spans="1:25" x14ac:dyDescent="0.25">
      <c r="A1828">
        <f t="shared" si="221"/>
        <v>1821</v>
      </c>
      <c r="B1828" s="88" t="str">
        <f>IF(OR(B1827="Total",B1827=""),"",IF(VLOOKUP(A1828,Journal!$B$7:$E$84,4)=0,"Total",VLOOKUP(A1828,Journal!$B$7:$D$84,3)))</f>
        <v/>
      </c>
      <c r="C1828" s="86" t="str">
        <f>IF(B1828="","",VLOOKUP(A1828,Journal!$B$7:$E$84,4))</f>
        <v/>
      </c>
      <c r="D1828" s="114" t="str">
        <f>IF(B1828="","",VLOOKUP(A1828,Journal!$B$7:$J$84,9))</f>
        <v/>
      </c>
      <c r="E1828" s="116"/>
      <c r="F1828" s="116"/>
      <c r="G1828" s="115"/>
      <c r="H1828" s="84" t="str">
        <f>IF(B1828="","",VLOOKUP(A1828,Journal!$B$7:$L$84,11))</f>
        <v/>
      </c>
      <c r="I1828" s="84" t="str">
        <f>IF(B1828="","",VLOOKUP(A1828,Journal!$B$7:$M$84,12))</f>
        <v/>
      </c>
      <c r="J1828" s="105">
        <f>IF(B1828="Total",SUM(J$8:J1827)+0.0001,IF(OR(B1828="",I$2=I1828),0,VLOOKUP(A1828,Journal!$B$7:M$84,8)))</f>
        <v>0</v>
      </c>
      <c r="K1828" s="102">
        <f>IF(B1828="Total",SUM(K$8:K1827)+0.0001,IF(OR(B1828="",J1828&lt;&gt;0),0,VLOOKUP(A1828,Journal!$B$7:M$84,8)))</f>
        <v>0</v>
      </c>
      <c r="L1828" s="87">
        <f t="shared" si="219"/>
        <v>0</v>
      </c>
      <c r="P1828">
        <f t="shared" si="220"/>
        <v>1.0000000000000001E-5</v>
      </c>
      <c r="R1828" s="15">
        <f t="shared" si="215"/>
        <v>1821</v>
      </c>
      <c r="S1828" s="126">
        <f>IF(VLOOKUP(A1828,Journal!$A$7:$E$70,5)=0,S1827+1,VLOOKUP(A1828,Journal!$A$7:$E$70,5))</f>
        <v>47478</v>
      </c>
      <c r="T1828" s="125">
        <f>IF(H$2=VLOOKUP(A1828,Journal!$A$7:$F$70,6),VLOOKUP(A1828,Journal!$A$7:M$70,9),0)</f>
        <v>0</v>
      </c>
      <c r="U1828" s="125">
        <f>IF(H$2=VLOOKUP(A1828,Journal!$A$7:$G$70,7),VLOOKUP(A1828,Journal!$A$7:M$70,9),0)</f>
        <v>0</v>
      </c>
      <c r="V1828" s="125">
        <f t="shared" si="218"/>
        <v>40</v>
      </c>
      <c r="X1828">
        <f t="shared" si="216"/>
        <v>0</v>
      </c>
      <c r="Y1828" s="143">
        <f t="shared" si="217"/>
        <v>-952.15789473691825</v>
      </c>
    </row>
    <row r="1829" spans="1:25" x14ac:dyDescent="0.25">
      <c r="A1829">
        <f t="shared" si="221"/>
        <v>1822</v>
      </c>
      <c r="B1829" s="88" t="str">
        <f>IF(OR(B1828="Total",B1828=""),"",IF(VLOOKUP(A1829,Journal!$B$7:$E$84,4)=0,"Total",VLOOKUP(A1829,Journal!$B$7:$D$84,3)))</f>
        <v/>
      </c>
      <c r="C1829" s="86" t="str">
        <f>IF(B1829="","",VLOOKUP(A1829,Journal!$B$7:$E$84,4))</f>
        <v/>
      </c>
      <c r="D1829" s="114" t="str">
        <f>IF(B1829="","",VLOOKUP(A1829,Journal!$B$7:$J$84,9))</f>
        <v/>
      </c>
      <c r="E1829" s="116"/>
      <c r="F1829" s="116"/>
      <c r="G1829" s="115"/>
      <c r="H1829" s="84" t="str">
        <f>IF(B1829="","",VLOOKUP(A1829,Journal!$B$7:$L$84,11))</f>
        <v/>
      </c>
      <c r="I1829" s="84" t="str">
        <f>IF(B1829="","",VLOOKUP(A1829,Journal!$B$7:$M$84,12))</f>
        <v/>
      </c>
      <c r="J1829" s="105">
        <f>IF(B1829="Total",SUM(J$8:J1828)+0.0001,IF(OR(B1829="",I$2=I1829),0,VLOOKUP(A1829,Journal!$B$7:M$84,8)))</f>
        <v>0</v>
      </c>
      <c r="K1829" s="102">
        <f>IF(B1829="Total",SUM(K$8:K1828)+0.0001,IF(OR(B1829="",J1829&lt;&gt;0),0,VLOOKUP(A1829,Journal!$B$7:M$84,8)))</f>
        <v>0</v>
      </c>
      <c r="L1829" s="87">
        <f t="shared" si="219"/>
        <v>0</v>
      </c>
      <c r="P1829">
        <f t="shared" si="220"/>
        <v>1.0000000000000001E-5</v>
      </c>
      <c r="R1829" s="15">
        <f t="shared" si="215"/>
        <v>1822</v>
      </c>
      <c r="S1829" s="126">
        <f>IF(VLOOKUP(A1829,Journal!$A$7:$E$70,5)=0,S1828+1,VLOOKUP(A1829,Journal!$A$7:$E$70,5))</f>
        <v>47479</v>
      </c>
      <c r="T1829" s="125">
        <f>IF(H$2=VLOOKUP(A1829,Journal!$A$7:$F$70,6),VLOOKUP(A1829,Journal!$A$7:M$70,9),0)</f>
        <v>0</v>
      </c>
      <c r="U1829" s="125">
        <f>IF(H$2=VLOOKUP(A1829,Journal!$A$7:$G$70,7),VLOOKUP(A1829,Journal!$A$7:M$70,9),0)</f>
        <v>0</v>
      </c>
      <c r="V1829" s="125">
        <f t="shared" si="218"/>
        <v>40</v>
      </c>
      <c r="X1829">
        <f t="shared" si="216"/>
        <v>0</v>
      </c>
      <c r="Y1829" s="143">
        <f t="shared" si="217"/>
        <v>-952.13157894744461</v>
      </c>
    </row>
    <row r="1830" spans="1:25" x14ac:dyDescent="0.25">
      <c r="A1830">
        <f t="shared" si="221"/>
        <v>1823</v>
      </c>
      <c r="B1830" s="88" t="str">
        <f>IF(OR(B1829="Total",B1829=""),"",IF(VLOOKUP(A1830,Journal!$B$7:$E$84,4)=0,"Total",VLOOKUP(A1830,Journal!$B$7:$D$84,3)))</f>
        <v/>
      </c>
      <c r="C1830" s="86" t="str">
        <f>IF(B1830="","",VLOOKUP(A1830,Journal!$B$7:$E$84,4))</f>
        <v/>
      </c>
      <c r="D1830" s="114" t="str">
        <f>IF(B1830="","",VLOOKUP(A1830,Journal!$B$7:$J$84,9))</f>
        <v/>
      </c>
      <c r="E1830" s="116"/>
      <c r="F1830" s="116"/>
      <c r="G1830" s="115"/>
      <c r="H1830" s="84" t="str">
        <f>IF(B1830="","",VLOOKUP(A1830,Journal!$B$7:$L$84,11))</f>
        <v/>
      </c>
      <c r="I1830" s="84" t="str">
        <f>IF(B1830="","",VLOOKUP(A1830,Journal!$B$7:$M$84,12))</f>
        <v/>
      </c>
      <c r="J1830" s="105">
        <f>IF(B1830="Total",SUM(J$8:J1829)+0.0001,IF(OR(B1830="",I$2=I1830),0,VLOOKUP(A1830,Journal!$B$7:M$84,8)))</f>
        <v>0</v>
      </c>
      <c r="K1830" s="102">
        <f>IF(B1830="Total",SUM(K$8:K1829)+0.0001,IF(OR(B1830="",J1830&lt;&gt;0),0,VLOOKUP(A1830,Journal!$B$7:M$84,8)))</f>
        <v>0</v>
      </c>
      <c r="L1830" s="87">
        <f t="shared" si="219"/>
        <v>0</v>
      </c>
      <c r="P1830">
        <f t="shared" si="220"/>
        <v>1.0000000000000001E-5</v>
      </c>
      <c r="R1830" s="15">
        <f t="shared" si="215"/>
        <v>1823</v>
      </c>
      <c r="S1830" s="126">
        <f>IF(VLOOKUP(A1830,Journal!$A$7:$E$70,5)=0,S1829+1,VLOOKUP(A1830,Journal!$A$7:$E$70,5))</f>
        <v>47480</v>
      </c>
      <c r="T1830" s="125">
        <f>IF(H$2=VLOOKUP(A1830,Journal!$A$7:$F$70,6),VLOOKUP(A1830,Journal!$A$7:M$70,9),0)</f>
        <v>0</v>
      </c>
      <c r="U1830" s="125">
        <f>IF(H$2=VLOOKUP(A1830,Journal!$A$7:$G$70,7),VLOOKUP(A1830,Journal!$A$7:M$70,9),0)</f>
        <v>0</v>
      </c>
      <c r="V1830" s="125">
        <f t="shared" si="218"/>
        <v>40</v>
      </c>
      <c r="X1830">
        <f t="shared" si="216"/>
        <v>0</v>
      </c>
      <c r="Y1830" s="143">
        <f t="shared" si="217"/>
        <v>-952.10526315797097</v>
      </c>
    </row>
    <row r="1831" spans="1:25" x14ac:dyDescent="0.25">
      <c r="A1831">
        <f t="shared" si="221"/>
        <v>1824</v>
      </c>
      <c r="B1831" s="88" t="str">
        <f>IF(OR(B1830="Total",B1830=""),"",IF(VLOOKUP(A1831,Journal!$B$7:$E$84,4)=0,"Total",VLOOKUP(A1831,Journal!$B$7:$D$84,3)))</f>
        <v/>
      </c>
      <c r="C1831" s="86" t="str">
        <f>IF(B1831="","",VLOOKUP(A1831,Journal!$B$7:$E$84,4))</f>
        <v/>
      </c>
      <c r="D1831" s="114" t="str">
        <f>IF(B1831="","",VLOOKUP(A1831,Journal!$B$7:$J$84,9))</f>
        <v/>
      </c>
      <c r="E1831" s="116"/>
      <c r="F1831" s="116"/>
      <c r="G1831" s="115"/>
      <c r="H1831" s="84" t="str">
        <f>IF(B1831="","",VLOOKUP(A1831,Journal!$B$7:$L$84,11))</f>
        <v/>
      </c>
      <c r="I1831" s="84" t="str">
        <f>IF(B1831="","",VLOOKUP(A1831,Journal!$B$7:$M$84,12))</f>
        <v/>
      </c>
      <c r="J1831" s="105">
        <f>IF(B1831="Total",SUM(J$8:J1830)+0.0001,IF(OR(B1831="",I$2=I1831),0,VLOOKUP(A1831,Journal!$B$7:M$84,8)))</f>
        <v>0</v>
      </c>
      <c r="K1831" s="102">
        <f>IF(B1831="Total",SUM(K$8:K1830)+0.0001,IF(OR(B1831="",J1831&lt;&gt;0),0,VLOOKUP(A1831,Journal!$B$7:M$84,8)))</f>
        <v>0</v>
      </c>
      <c r="L1831" s="87">
        <f t="shared" si="219"/>
        <v>0</v>
      </c>
      <c r="P1831">
        <f t="shared" si="220"/>
        <v>1.0000000000000001E-5</v>
      </c>
      <c r="R1831" s="15">
        <f t="shared" si="215"/>
        <v>1824</v>
      </c>
      <c r="S1831" s="126">
        <f>IF(VLOOKUP(A1831,Journal!$A$7:$E$70,5)=0,S1830+1,VLOOKUP(A1831,Journal!$A$7:$E$70,5))</f>
        <v>47481</v>
      </c>
      <c r="T1831" s="125">
        <f>IF(H$2=VLOOKUP(A1831,Journal!$A$7:$F$70,6),VLOOKUP(A1831,Journal!$A$7:M$70,9),0)</f>
        <v>0</v>
      </c>
      <c r="U1831" s="125">
        <f>IF(H$2=VLOOKUP(A1831,Journal!$A$7:$G$70,7),VLOOKUP(A1831,Journal!$A$7:M$70,9),0)</f>
        <v>0</v>
      </c>
      <c r="V1831" s="125">
        <f t="shared" si="218"/>
        <v>40</v>
      </c>
      <c r="X1831">
        <f t="shared" si="216"/>
        <v>0</v>
      </c>
      <c r="Y1831" s="143">
        <f t="shared" si="217"/>
        <v>-952.07894736849732</v>
      </c>
    </row>
    <row r="1832" spans="1:25" x14ac:dyDescent="0.25">
      <c r="A1832">
        <f t="shared" si="221"/>
        <v>1825</v>
      </c>
      <c r="B1832" s="88" t="str">
        <f>IF(OR(B1831="Total",B1831=""),"",IF(VLOOKUP(A1832,Journal!$B$7:$E$84,4)=0,"Total",VLOOKUP(A1832,Journal!$B$7:$D$84,3)))</f>
        <v/>
      </c>
      <c r="C1832" s="86" t="str">
        <f>IF(B1832="","",VLOOKUP(A1832,Journal!$B$7:$E$84,4))</f>
        <v/>
      </c>
      <c r="D1832" s="114" t="str">
        <f>IF(B1832="","",VLOOKUP(A1832,Journal!$B$7:$J$84,9))</f>
        <v/>
      </c>
      <c r="E1832" s="116"/>
      <c r="F1832" s="116"/>
      <c r="G1832" s="115"/>
      <c r="H1832" s="84" t="str">
        <f>IF(B1832="","",VLOOKUP(A1832,Journal!$B$7:$L$84,11))</f>
        <v/>
      </c>
      <c r="I1832" s="84" t="str">
        <f>IF(B1832="","",VLOOKUP(A1832,Journal!$B$7:$M$84,12))</f>
        <v/>
      </c>
      <c r="J1832" s="105">
        <f>IF(B1832="Total",SUM(J$8:J1831)+0.0001,IF(OR(B1832="",I$2=I1832),0,VLOOKUP(A1832,Journal!$B$7:M$84,8)))</f>
        <v>0</v>
      </c>
      <c r="K1832" s="102">
        <f>IF(B1832="Total",SUM(K$8:K1831)+0.0001,IF(OR(B1832="",J1832&lt;&gt;0),0,VLOOKUP(A1832,Journal!$B$7:M$84,8)))</f>
        <v>0</v>
      </c>
      <c r="L1832" s="87">
        <f t="shared" si="219"/>
        <v>0</v>
      </c>
      <c r="P1832">
        <f t="shared" si="220"/>
        <v>1.0000000000000001E-5</v>
      </c>
      <c r="R1832" s="15">
        <f t="shared" si="215"/>
        <v>1825</v>
      </c>
      <c r="S1832" s="126">
        <f>IF(VLOOKUP(A1832,Journal!$A$7:$E$70,5)=0,S1831+1,VLOOKUP(A1832,Journal!$A$7:$E$70,5))</f>
        <v>47482</v>
      </c>
      <c r="T1832" s="125">
        <f>IF(H$2=VLOOKUP(A1832,Journal!$A$7:$F$70,6),VLOOKUP(A1832,Journal!$A$7:M$70,9),0)</f>
        <v>0</v>
      </c>
      <c r="U1832" s="125">
        <f>IF(H$2=VLOOKUP(A1832,Journal!$A$7:$G$70,7),VLOOKUP(A1832,Journal!$A$7:M$70,9),0)</f>
        <v>0</v>
      </c>
      <c r="V1832" s="125">
        <f t="shared" si="218"/>
        <v>40</v>
      </c>
      <c r="X1832">
        <f t="shared" si="216"/>
        <v>0</v>
      </c>
      <c r="Y1832" s="143">
        <f t="shared" si="217"/>
        <v>-952.05263157902368</v>
      </c>
    </row>
    <row r="1833" spans="1:25" x14ac:dyDescent="0.25">
      <c r="A1833">
        <f t="shared" si="221"/>
        <v>1826</v>
      </c>
      <c r="B1833" s="88" t="str">
        <f>IF(OR(B1832="Total",B1832=""),"",IF(VLOOKUP(A1833,Journal!$B$7:$E$84,4)=0,"Total",VLOOKUP(A1833,Journal!$B$7:$D$84,3)))</f>
        <v/>
      </c>
      <c r="C1833" s="86" t="str">
        <f>IF(B1833="","",VLOOKUP(A1833,Journal!$B$7:$E$84,4))</f>
        <v/>
      </c>
      <c r="D1833" s="114" t="str">
        <f>IF(B1833="","",VLOOKUP(A1833,Journal!$B$7:$J$84,9))</f>
        <v/>
      </c>
      <c r="E1833" s="116"/>
      <c r="F1833" s="116"/>
      <c r="G1833" s="115"/>
      <c r="H1833" s="84" t="str">
        <f>IF(B1833="","",VLOOKUP(A1833,Journal!$B$7:$L$84,11))</f>
        <v/>
      </c>
      <c r="I1833" s="84" t="str">
        <f>IF(B1833="","",VLOOKUP(A1833,Journal!$B$7:$M$84,12))</f>
        <v/>
      </c>
      <c r="J1833" s="105">
        <f>IF(B1833="Total",SUM(J$8:J1832)+0.0001,IF(OR(B1833="",I$2=I1833),0,VLOOKUP(A1833,Journal!$B$7:M$84,8)))</f>
        <v>0</v>
      </c>
      <c r="K1833" s="102">
        <f>IF(B1833="Total",SUM(K$8:K1832)+0.0001,IF(OR(B1833="",J1833&lt;&gt;0),0,VLOOKUP(A1833,Journal!$B$7:M$84,8)))</f>
        <v>0</v>
      </c>
      <c r="L1833" s="87">
        <f t="shared" si="219"/>
        <v>0</v>
      </c>
      <c r="P1833">
        <f t="shared" si="220"/>
        <v>1.0000000000000001E-5</v>
      </c>
      <c r="R1833" s="15">
        <f t="shared" si="215"/>
        <v>1826</v>
      </c>
      <c r="S1833" s="126">
        <f>IF(VLOOKUP(A1833,Journal!$A$7:$E$70,5)=0,S1832+1,VLOOKUP(A1833,Journal!$A$7:$E$70,5))</f>
        <v>47483</v>
      </c>
      <c r="T1833" s="125">
        <f>IF(H$2=VLOOKUP(A1833,Journal!$A$7:$F$70,6),VLOOKUP(A1833,Journal!$A$7:M$70,9),0)</f>
        <v>0</v>
      </c>
      <c r="U1833" s="125">
        <f>IF(H$2=VLOOKUP(A1833,Journal!$A$7:$G$70,7),VLOOKUP(A1833,Journal!$A$7:M$70,9),0)</f>
        <v>0</v>
      </c>
      <c r="V1833" s="125">
        <f t="shared" si="218"/>
        <v>40</v>
      </c>
      <c r="X1833">
        <f t="shared" si="216"/>
        <v>0</v>
      </c>
      <c r="Y1833" s="143">
        <f t="shared" si="217"/>
        <v>-952.02631578955004</v>
      </c>
    </row>
    <row r="1834" spans="1:25" x14ac:dyDescent="0.25">
      <c r="A1834">
        <f t="shared" si="221"/>
        <v>1827</v>
      </c>
      <c r="B1834" s="88" t="str">
        <f>IF(OR(B1833="Total",B1833=""),"",IF(VLOOKUP(A1834,Journal!$B$7:$E$84,4)=0,"Total",VLOOKUP(A1834,Journal!$B$7:$D$84,3)))</f>
        <v/>
      </c>
      <c r="C1834" s="86" t="str">
        <f>IF(B1834="","",VLOOKUP(A1834,Journal!$B$7:$E$84,4))</f>
        <v/>
      </c>
      <c r="D1834" s="114" t="str">
        <f>IF(B1834="","",VLOOKUP(A1834,Journal!$B$7:$J$84,9))</f>
        <v/>
      </c>
      <c r="E1834" s="116"/>
      <c r="F1834" s="116"/>
      <c r="G1834" s="115"/>
      <c r="H1834" s="84" t="str">
        <f>IF(B1834="","",VLOOKUP(A1834,Journal!$B$7:$L$84,11))</f>
        <v/>
      </c>
      <c r="I1834" s="84" t="str">
        <f>IF(B1834="","",VLOOKUP(A1834,Journal!$B$7:$M$84,12))</f>
        <v/>
      </c>
      <c r="J1834" s="105">
        <f>IF(B1834="Total",SUM(J$8:J1833)+0.0001,IF(OR(B1834="",I$2=I1834),0,VLOOKUP(A1834,Journal!$B$7:M$84,8)))</f>
        <v>0</v>
      </c>
      <c r="K1834" s="102">
        <f>IF(B1834="Total",SUM(K$8:K1833)+0.0001,IF(OR(B1834="",J1834&lt;&gt;0),0,VLOOKUP(A1834,Journal!$B$7:M$84,8)))</f>
        <v>0</v>
      </c>
      <c r="L1834" s="87">
        <f t="shared" si="219"/>
        <v>0</v>
      </c>
      <c r="P1834">
        <f t="shared" si="220"/>
        <v>1.0000000000000001E-5</v>
      </c>
      <c r="R1834" s="15">
        <f t="shared" si="215"/>
        <v>1827</v>
      </c>
      <c r="S1834" s="126">
        <f>IF(VLOOKUP(A1834,Journal!$A$7:$E$70,5)=0,S1833+1,VLOOKUP(A1834,Journal!$A$7:$E$70,5))</f>
        <v>47484</v>
      </c>
      <c r="T1834" s="125">
        <f>IF(H$2=VLOOKUP(A1834,Journal!$A$7:$F$70,6),VLOOKUP(A1834,Journal!$A$7:M$70,9),0)</f>
        <v>0</v>
      </c>
      <c r="U1834" s="125">
        <f>IF(H$2=VLOOKUP(A1834,Journal!$A$7:$G$70,7),VLOOKUP(A1834,Journal!$A$7:M$70,9),0)</f>
        <v>0</v>
      </c>
      <c r="V1834" s="125">
        <f t="shared" si="218"/>
        <v>40</v>
      </c>
      <c r="X1834">
        <f t="shared" si="216"/>
        <v>0</v>
      </c>
      <c r="Y1834" s="143">
        <f t="shared" si="217"/>
        <v>-952.0000000000764</v>
      </c>
    </row>
    <row r="1835" spans="1:25" x14ac:dyDescent="0.25">
      <c r="A1835">
        <f t="shared" si="221"/>
        <v>1828</v>
      </c>
      <c r="B1835" s="88" t="str">
        <f>IF(OR(B1834="Total",B1834=""),"",IF(VLOOKUP(A1835,Journal!$B$7:$E$84,4)=0,"Total",VLOOKUP(A1835,Journal!$B$7:$D$84,3)))</f>
        <v/>
      </c>
      <c r="C1835" s="86" t="str">
        <f>IF(B1835="","",VLOOKUP(A1835,Journal!$B$7:$E$84,4))</f>
        <v/>
      </c>
      <c r="D1835" s="114" t="str">
        <f>IF(B1835="","",VLOOKUP(A1835,Journal!$B$7:$J$84,9))</f>
        <v/>
      </c>
      <c r="E1835" s="116"/>
      <c r="F1835" s="116"/>
      <c r="G1835" s="115"/>
      <c r="H1835" s="84" t="str">
        <f>IF(B1835="","",VLOOKUP(A1835,Journal!$B$7:$L$84,11))</f>
        <v/>
      </c>
      <c r="I1835" s="84" t="str">
        <f>IF(B1835="","",VLOOKUP(A1835,Journal!$B$7:$M$84,12))</f>
        <v/>
      </c>
      <c r="J1835" s="105">
        <f>IF(B1835="Total",SUM(J$8:J1834)+0.0001,IF(OR(B1835="",I$2=I1835),0,VLOOKUP(A1835,Journal!$B$7:M$84,8)))</f>
        <v>0</v>
      </c>
      <c r="K1835" s="102">
        <f>IF(B1835="Total",SUM(K$8:K1834)+0.0001,IF(OR(B1835="",J1835&lt;&gt;0),0,VLOOKUP(A1835,Journal!$B$7:M$84,8)))</f>
        <v>0</v>
      </c>
      <c r="L1835" s="87">
        <f t="shared" si="219"/>
        <v>0</v>
      </c>
      <c r="P1835">
        <f t="shared" si="220"/>
        <v>1.0000000000000001E-5</v>
      </c>
      <c r="R1835" s="15">
        <f t="shared" si="215"/>
        <v>1828</v>
      </c>
      <c r="S1835" s="126">
        <f>IF(VLOOKUP(A1835,Journal!$A$7:$E$70,5)=0,S1834+1,VLOOKUP(A1835,Journal!$A$7:$E$70,5))</f>
        <v>47485</v>
      </c>
      <c r="T1835" s="125">
        <f>IF(H$2=VLOOKUP(A1835,Journal!$A$7:$F$70,6),VLOOKUP(A1835,Journal!$A$7:M$70,9),0)</f>
        <v>0</v>
      </c>
      <c r="U1835" s="125">
        <f>IF(H$2=VLOOKUP(A1835,Journal!$A$7:$G$70,7),VLOOKUP(A1835,Journal!$A$7:M$70,9),0)</f>
        <v>0</v>
      </c>
      <c r="V1835" s="125">
        <f t="shared" si="218"/>
        <v>40</v>
      </c>
      <c r="X1835">
        <f t="shared" si="216"/>
        <v>0</v>
      </c>
      <c r="Y1835" s="143">
        <f t="shared" si="217"/>
        <v>-951.97368421060276</v>
      </c>
    </row>
    <row r="1836" spans="1:25" x14ac:dyDescent="0.25">
      <c r="A1836">
        <f t="shared" si="221"/>
        <v>1829</v>
      </c>
      <c r="B1836" s="88" t="str">
        <f>IF(OR(B1835="Total",B1835=""),"",IF(VLOOKUP(A1836,Journal!$B$7:$E$84,4)=0,"Total",VLOOKUP(A1836,Journal!$B$7:$D$84,3)))</f>
        <v/>
      </c>
      <c r="C1836" s="86" t="str">
        <f>IF(B1836="","",VLOOKUP(A1836,Journal!$B$7:$E$84,4))</f>
        <v/>
      </c>
      <c r="D1836" s="114" t="str">
        <f>IF(B1836="","",VLOOKUP(A1836,Journal!$B$7:$J$84,9))</f>
        <v/>
      </c>
      <c r="E1836" s="116"/>
      <c r="F1836" s="116"/>
      <c r="G1836" s="115"/>
      <c r="H1836" s="84" t="str">
        <f>IF(B1836="","",VLOOKUP(A1836,Journal!$B$7:$L$84,11))</f>
        <v/>
      </c>
      <c r="I1836" s="84" t="str">
        <f>IF(B1836="","",VLOOKUP(A1836,Journal!$B$7:$M$84,12))</f>
        <v/>
      </c>
      <c r="J1836" s="105">
        <f>IF(B1836="Total",SUM(J$8:J1835)+0.0001,IF(OR(B1836="",I$2=I1836),0,VLOOKUP(A1836,Journal!$B$7:M$84,8)))</f>
        <v>0</v>
      </c>
      <c r="K1836" s="102">
        <f>IF(B1836="Total",SUM(K$8:K1835)+0.0001,IF(OR(B1836="",J1836&lt;&gt;0),0,VLOOKUP(A1836,Journal!$B$7:M$84,8)))</f>
        <v>0</v>
      </c>
      <c r="L1836" s="87">
        <f t="shared" si="219"/>
        <v>0</v>
      </c>
      <c r="P1836">
        <f t="shared" si="220"/>
        <v>1.0000000000000001E-5</v>
      </c>
      <c r="R1836" s="15">
        <f t="shared" si="215"/>
        <v>1829</v>
      </c>
      <c r="S1836" s="126">
        <f>IF(VLOOKUP(A1836,Journal!$A$7:$E$70,5)=0,S1835+1,VLOOKUP(A1836,Journal!$A$7:$E$70,5))</f>
        <v>47486</v>
      </c>
      <c r="T1836" s="125">
        <f>IF(H$2=VLOOKUP(A1836,Journal!$A$7:$F$70,6),VLOOKUP(A1836,Journal!$A$7:M$70,9),0)</f>
        <v>0</v>
      </c>
      <c r="U1836" s="125">
        <f>IF(H$2=VLOOKUP(A1836,Journal!$A$7:$G$70,7),VLOOKUP(A1836,Journal!$A$7:M$70,9),0)</f>
        <v>0</v>
      </c>
      <c r="V1836" s="125">
        <f t="shared" si="218"/>
        <v>40</v>
      </c>
      <c r="X1836">
        <f t="shared" si="216"/>
        <v>0</v>
      </c>
      <c r="Y1836" s="143">
        <f t="shared" si="217"/>
        <v>-951.94736842112911</v>
      </c>
    </row>
    <row r="1837" spans="1:25" x14ac:dyDescent="0.25">
      <c r="A1837">
        <f t="shared" si="221"/>
        <v>1830</v>
      </c>
      <c r="B1837" s="88" t="str">
        <f>IF(OR(B1836="Total",B1836=""),"",IF(VLOOKUP(A1837,Journal!$B$7:$E$84,4)=0,"Total",VLOOKUP(A1837,Journal!$B$7:$D$84,3)))</f>
        <v/>
      </c>
      <c r="C1837" s="86" t="str">
        <f>IF(B1837="","",VLOOKUP(A1837,Journal!$B$7:$E$84,4))</f>
        <v/>
      </c>
      <c r="D1837" s="114" t="str">
        <f>IF(B1837="","",VLOOKUP(A1837,Journal!$B$7:$J$84,9))</f>
        <v/>
      </c>
      <c r="E1837" s="116"/>
      <c r="F1837" s="116"/>
      <c r="G1837" s="115"/>
      <c r="H1837" s="84" t="str">
        <f>IF(B1837="","",VLOOKUP(A1837,Journal!$B$7:$L$84,11))</f>
        <v/>
      </c>
      <c r="I1837" s="84" t="str">
        <f>IF(B1837="","",VLOOKUP(A1837,Journal!$B$7:$M$84,12))</f>
        <v/>
      </c>
      <c r="J1837" s="105">
        <f>IF(B1837="Total",SUM(J$8:J1836)+0.0001,IF(OR(B1837="",I$2=I1837),0,VLOOKUP(A1837,Journal!$B$7:M$84,8)))</f>
        <v>0</v>
      </c>
      <c r="K1837" s="102">
        <f>IF(B1837="Total",SUM(K$8:K1836)+0.0001,IF(OR(B1837="",J1837&lt;&gt;0),0,VLOOKUP(A1837,Journal!$B$7:M$84,8)))</f>
        <v>0</v>
      </c>
      <c r="L1837" s="87">
        <f t="shared" si="219"/>
        <v>0</v>
      </c>
      <c r="P1837">
        <f t="shared" si="220"/>
        <v>1.0000000000000001E-5</v>
      </c>
      <c r="R1837" s="15">
        <f t="shared" si="215"/>
        <v>1830</v>
      </c>
      <c r="S1837" s="126">
        <f>IF(VLOOKUP(A1837,Journal!$A$7:$E$70,5)=0,S1836+1,VLOOKUP(A1837,Journal!$A$7:$E$70,5))</f>
        <v>47487</v>
      </c>
      <c r="T1837" s="125">
        <f>IF(H$2=VLOOKUP(A1837,Journal!$A$7:$F$70,6),VLOOKUP(A1837,Journal!$A$7:M$70,9),0)</f>
        <v>0</v>
      </c>
      <c r="U1837" s="125">
        <f>IF(H$2=VLOOKUP(A1837,Journal!$A$7:$G$70,7),VLOOKUP(A1837,Journal!$A$7:M$70,9),0)</f>
        <v>0</v>
      </c>
      <c r="V1837" s="125">
        <f t="shared" si="218"/>
        <v>40</v>
      </c>
      <c r="X1837">
        <f t="shared" si="216"/>
        <v>0</v>
      </c>
      <c r="Y1837" s="143">
        <f t="shared" si="217"/>
        <v>-951.92105263165547</v>
      </c>
    </row>
    <row r="1838" spans="1:25" x14ac:dyDescent="0.25">
      <c r="A1838">
        <f t="shared" si="221"/>
        <v>1831</v>
      </c>
      <c r="B1838" s="88" t="str">
        <f>IF(OR(B1837="Total",B1837=""),"",IF(VLOOKUP(A1838,Journal!$B$7:$E$84,4)=0,"Total",VLOOKUP(A1838,Journal!$B$7:$D$84,3)))</f>
        <v/>
      </c>
      <c r="C1838" s="86" t="str">
        <f>IF(B1838="","",VLOOKUP(A1838,Journal!$B$7:$E$84,4))</f>
        <v/>
      </c>
      <c r="D1838" s="114" t="str">
        <f>IF(B1838="","",VLOOKUP(A1838,Journal!$B$7:$J$84,9))</f>
        <v/>
      </c>
      <c r="E1838" s="116"/>
      <c r="F1838" s="116"/>
      <c r="G1838" s="115"/>
      <c r="H1838" s="84" t="str">
        <f>IF(B1838="","",VLOOKUP(A1838,Journal!$B$7:$L$84,11))</f>
        <v/>
      </c>
      <c r="I1838" s="84" t="str">
        <f>IF(B1838="","",VLOOKUP(A1838,Journal!$B$7:$M$84,12))</f>
        <v/>
      </c>
      <c r="J1838" s="105">
        <f>IF(B1838="Total",SUM(J$8:J1837)+0.0001,IF(OR(B1838="",I$2=I1838),0,VLOOKUP(A1838,Journal!$B$7:M$84,8)))</f>
        <v>0</v>
      </c>
      <c r="K1838" s="102">
        <f>IF(B1838="Total",SUM(K$8:K1837)+0.0001,IF(OR(B1838="",J1838&lt;&gt;0),0,VLOOKUP(A1838,Journal!$B$7:M$84,8)))</f>
        <v>0</v>
      </c>
      <c r="L1838" s="87">
        <f t="shared" si="219"/>
        <v>0</v>
      </c>
      <c r="P1838">
        <f t="shared" si="220"/>
        <v>1.0000000000000001E-5</v>
      </c>
      <c r="R1838" s="15">
        <f t="shared" si="215"/>
        <v>1831</v>
      </c>
      <c r="S1838" s="126">
        <f>IF(VLOOKUP(A1838,Journal!$A$7:$E$70,5)=0,S1837+1,VLOOKUP(A1838,Journal!$A$7:$E$70,5))</f>
        <v>47488</v>
      </c>
      <c r="T1838" s="125">
        <f>IF(H$2=VLOOKUP(A1838,Journal!$A$7:$F$70,6),VLOOKUP(A1838,Journal!$A$7:M$70,9),0)</f>
        <v>0</v>
      </c>
      <c r="U1838" s="125">
        <f>IF(H$2=VLOOKUP(A1838,Journal!$A$7:$G$70,7),VLOOKUP(A1838,Journal!$A$7:M$70,9),0)</f>
        <v>0</v>
      </c>
      <c r="V1838" s="125">
        <f t="shared" si="218"/>
        <v>40</v>
      </c>
      <c r="X1838">
        <f t="shared" si="216"/>
        <v>0</v>
      </c>
      <c r="Y1838" s="143">
        <f t="shared" si="217"/>
        <v>-951.89473684218183</v>
      </c>
    </row>
    <row r="1839" spans="1:25" x14ac:dyDescent="0.25">
      <c r="A1839">
        <f t="shared" si="221"/>
        <v>1832</v>
      </c>
      <c r="B1839" s="88" t="str">
        <f>IF(OR(B1838="Total",B1838=""),"",IF(VLOOKUP(A1839,Journal!$B$7:$E$84,4)=0,"Total",VLOOKUP(A1839,Journal!$B$7:$D$84,3)))</f>
        <v/>
      </c>
      <c r="C1839" s="86" t="str">
        <f>IF(B1839="","",VLOOKUP(A1839,Journal!$B$7:$E$84,4))</f>
        <v/>
      </c>
      <c r="D1839" s="114" t="str">
        <f>IF(B1839="","",VLOOKUP(A1839,Journal!$B$7:$J$84,9))</f>
        <v/>
      </c>
      <c r="E1839" s="116"/>
      <c r="F1839" s="116"/>
      <c r="G1839" s="115"/>
      <c r="H1839" s="84" t="str">
        <f>IF(B1839="","",VLOOKUP(A1839,Journal!$B$7:$L$84,11))</f>
        <v/>
      </c>
      <c r="I1839" s="84" t="str">
        <f>IF(B1839="","",VLOOKUP(A1839,Journal!$B$7:$M$84,12))</f>
        <v/>
      </c>
      <c r="J1839" s="105">
        <f>IF(B1839="Total",SUM(J$8:J1838)+0.0001,IF(OR(B1839="",I$2=I1839),0,VLOOKUP(A1839,Journal!$B$7:M$84,8)))</f>
        <v>0</v>
      </c>
      <c r="K1839" s="102">
        <f>IF(B1839="Total",SUM(K$8:K1838)+0.0001,IF(OR(B1839="",J1839&lt;&gt;0),0,VLOOKUP(A1839,Journal!$B$7:M$84,8)))</f>
        <v>0</v>
      </c>
      <c r="L1839" s="87">
        <f t="shared" si="219"/>
        <v>0</v>
      </c>
      <c r="P1839">
        <f t="shared" si="220"/>
        <v>1.0000000000000001E-5</v>
      </c>
      <c r="R1839" s="15">
        <f t="shared" si="215"/>
        <v>1832</v>
      </c>
      <c r="S1839" s="126">
        <f>IF(VLOOKUP(A1839,Journal!$A$7:$E$70,5)=0,S1838+1,VLOOKUP(A1839,Journal!$A$7:$E$70,5))</f>
        <v>47489</v>
      </c>
      <c r="T1839" s="125">
        <f>IF(H$2=VLOOKUP(A1839,Journal!$A$7:$F$70,6),VLOOKUP(A1839,Journal!$A$7:M$70,9),0)</f>
        <v>0</v>
      </c>
      <c r="U1839" s="125">
        <f>IF(H$2=VLOOKUP(A1839,Journal!$A$7:$G$70,7),VLOOKUP(A1839,Journal!$A$7:M$70,9),0)</f>
        <v>0</v>
      </c>
      <c r="V1839" s="125">
        <f t="shared" si="218"/>
        <v>40</v>
      </c>
      <c r="X1839">
        <f t="shared" si="216"/>
        <v>0</v>
      </c>
      <c r="Y1839" s="143">
        <f t="shared" si="217"/>
        <v>-951.86842105270819</v>
      </c>
    </row>
    <row r="1840" spans="1:25" x14ac:dyDescent="0.25">
      <c r="A1840">
        <f t="shared" si="221"/>
        <v>1833</v>
      </c>
      <c r="B1840" s="88" t="str">
        <f>IF(OR(B1839="Total",B1839=""),"",IF(VLOOKUP(A1840,Journal!$B$7:$E$84,4)=0,"Total",VLOOKUP(A1840,Journal!$B$7:$D$84,3)))</f>
        <v/>
      </c>
      <c r="C1840" s="86" t="str">
        <f>IF(B1840="","",VLOOKUP(A1840,Journal!$B$7:$E$84,4))</f>
        <v/>
      </c>
      <c r="D1840" s="114" t="str">
        <f>IF(B1840="","",VLOOKUP(A1840,Journal!$B$7:$J$84,9))</f>
        <v/>
      </c>
      <c r="E1840" s="116"/>
      <c r="F1840" s="116"/>
      <c r="G1840" s="115"/>
      <c r="H1840" s="84" t="str">
        <f>IF(B1840="","",VLOOKUP(A1840,Journal!$B$7:$L$84,11))</f>
        <v/>
      </c>
      <c r="I1840" s="84" t="str">
        <f>IF(B1840="","",VLOOKUP(A1840,Journal!$B$7:$M$84,12))</f>
        <v/>
      </c>
      <c r="J1840" s="105">
        <f>IF(B1840="Total",SUM(J$8:J1839)+0.0001,IF(OR(B1840="",I$2=I1840),0,VLOOKUP(A1840,Journal!$B$7:M$84,8)))</f>
        <v>0</v>
      </c>
      <c r="K1840" s="102">
        <f>IF(B1840="Total",SUM(K$8:K1839)+0.0001,IF(OR(B1840="",J1840&lt;&gt;0),0,VLOOKUP(A1840,Journal!$B$7:M$84,8)))</f>
        <v>0</v>
      </c>
      <c r="L1840" s="87">
        <f t="shared" si="219"/>
        <v>0</v>
      </c>
      <c r="P1840">
        <f t="shared" si="220"/>
        <v>1.0000000000000001E-5</v>
      </c>
      <c r="R1840" s="15">
        <f t="shared" si="215"/>
        <v>1833</v>
      </c>
      <c r="S1840" s="126">
        <f>IF(VLOOKUP(A1840,Journal!$A$7:$E$70,5)=0,S1839+1,VLOOKUP(A1840,Journal!$A$7:$E$70,5))</f>
        <v>47490</v>
      </c>
      <c r="T1840" s="125">
        <f>IF(H$2=VLOOKUP(A1840,Journal!$A$7:$F$70,6),VLOOKUP(A1840,Journal!$A$7:M$70,9),0)</f>
        <v>0</v>
      </c>
      <c r="U1840" s="125">
        <f>IF(H$2=VLOOKUP(A1840,Journal!$A$7:$G$70,7),VLOOKUP(A1840,Journal!$A$7:M$70,9),0)</f>
        <v>0</v>
      </c>
      <c r="V1840" s="125">
        <f t="shared" si="218"/>
        <v>40</v>
      </c>
      <c r="X1840">
        <f t="shared" si="216"/>
        <v>0</v>
      </c>
      <c r="Y1840" s="143">
        <f t="shared" si="217"/>
        <v>-951.84210526323454</v>
      </c>
    </row>
    <row r="1841" spans="1:25" x14ac:dyDescent="0.25">
      <c r="A1841">
        <f t="shared" si="221"/>
        <v>1834</v>
      </c>
      <c r="B1841" s="88" t="str">
        <f>IF(OR(B1840="Total",B1840=""),"",IF(VLOOKUP(A1841,Journal!$B$7:$E$84,4)=0,"Total",VLOOKUP(A1841,Journal!$B$7:$D$84,3)))</f>
        <v/>
      </c>
      <c r="C1841" s="86" t="str">
        <f>IF(B1841="","",VLOOKUP(A1841,Journal!$B$7:$E$84,4))</f>
        <v/>
      </c>
      <c r="D1841" s="114" t="str">
        <f>IF(B1841="","",VLOOKUP(A1841,Journal!$B$7:$J$84,9))</f>
        <v/>
      </c>
      <c r="E1841" s="116"/>
      <c r="F1841" s="116"/>
      <c r="G1841" s="115"/>
      <c r="H1841" s="84" t="str">
        <f>IF(B1841="","",VLOOKUP(A1841,Journal!$B$7:$L$84,11))</f>
        <v/>
      </c>
      <c r="I1841" s="84" t="str">
        <f>IF(B1841="","",VLOOKUP(A1841,Journal!$B$7:$M$84,12))</f>
        <v/>
      </c>
      <c r="J1841" s="105">
        <f>IF(B1841="Total",SUM(J$8:J1840)+0.0001,IF(OR(B1841="",I$2=I1841),0,VLOOKUP(A1841,Journal!$B$7:M$84,8)))</f>
        <v>0</v>
      </c>
      <c r="K1841" s="102">
        <f>IF(B1841="Total",SUM(K$8:K1840)+0.0001,IF(OR(B1841="",J1841&lt;&gt;0),0,VLOOKUP(A1841,Journal!$B$7:M$84,8)))</f>
        <v>0</v>
      </c>
      <c r="L1841" s="87">
        <f t="shared" si="219"/>
        <v>0</v>
      </c>
      <c r="P1841">
        <f t="shared" si="220"/>
        <v>1.0000000000000001E-5</v>
      </c>
      <c r="R1841" s="15">
        <f t="shared" si="215"/>
        <v>1834</v>
      </c>
      <c r="S1841" s="126">
        <f>IF(VLOOKUP(A1841,Journal!$A$7:$E$70,5)=0,S1840+1,VLOOKUP(A1841,Journal!$A$7:$E$70,5))</f>
        <v>47491</v>
      </c>
      <c r="T1841" s="125">
        <f>IF(H$2=VLOOKUP(A1841,Journal!$A$7:$F$70,6),VLOOKUP(A1841,Journal!$A$7:M$70,9),0)</f>
        <v>0</v>
      </c>
      <c r="U1841" s="125">
        <f>IF(H$2=VLOOKUP(A1841,Journal!$A$7:$G$70,7),VLOOKUP(A1841,Journal!$A$7:M$70,9),0)</f>
        <v>0</v>
      </c>
      <c r="V1841" s="125">
        <f t="shared" si="218"/>
        <v>40</v>
      </c>
      <c r="X1841">
        <f t="shared" si="216"/>
        <v>0</v>
      </c>
      <c r="Y1841" s="143">
        <f t="shared" si="217"/>
        <v>-951.8157894737609</v>
      </c>
    </row>
    <row r="1842" spans="1:25" x14ac:dyDescent="0.25">
      <c r="A1842">
        <f t="shared" si="221"/>
        <v>1835</v>
      </c>
      <c r="B1842" s="88" t="str">
        <f>IF(OR(B1841="Total",B1841=""),"",IF(VLOOKUP(A1842,Journal!$B$7:$E$84,4)=0,"Total",VLOOKUP(A1842,Journal!$B$7:$D$84,3)))</f>
        <v/>
      </c>
      <c r="C1842" s="86" t="str">
        <f>IF(B1842="","",VLOOKUP(A1842,Journal!$B$7:$E$84,4))</f>
        <v/>
      </c>
      <c r="D1842" s="114" t="str">
        <f>IF(B1842="","",VLOOKUP(A1842,Journal!$B$7:$J$84,9))</f>
        <v/>
      </c>
      <c r="E1842" s="116"/>
      <c r="F1842" s="116"/>
      <c r="G1842" s="115"/>
      <c r="H1842" s="84" t="str">
        <f>IF(B1842="","",VLOOKUP(A1842,Journal!$B$7:$L$84,11))</f>
        <v/>
      </c>
      <c r="I1842" s="84" t="str">
        <f>IF(B1842="","",VLOOKUP(A1842,Journal!$B$7:$M$84,12))</f>
        <v/>
      </c>
      <c r="J1842" s="105">
        <f>IF(B1842="Total",SUM(J$8:J1841)+0.0001,IF(OR(B1842="",I$2=I1842),0,VLOOKUP(A1842,Journal!$B$7:M$84,8)))</f>
        <v>0</v>
      </c>
      <c r="K1842" s="102">
        <f>IF(B1842="Total",SUM(K$8:K1841)+0.0001,IF(OR(B1842="",J1842&lt;&gt;0),0,VLOOKUP(A1842,Journal!$B$7:M$84,8)))</f>
        <v>0</v>
      </c>
      <c r="L1842" s="87">
        <f t="shared" si="219"/>
        <v>0</v>
      </c>
      <c r="P1842">
        <f t="shared" si="220"/>
        <v>1.0000000000000001E-5</v>
      </c>
      <c r="R1842" s="15">
        <f t="shared" si="215"/>
        <v>1835</v>
      </c>
      <c r="S1842" s="126">
        <f>IF(VLOOKUP(A1842,Journal!$A$7:$E$70,5)=0,S1841+1,VLOOKUP(A1842,Journal!$A$7:$E$70,5))</f>
        <v>47492</v>
      </c>
      <c r="T1842" s="125">
        <f>IF(H$2=VLOOKUP(A1842,Journal!$A$7:$F$70,6),VLOOKUP(A1842,Journal!$A$7:M$70,9),0)</f>
        <v>0</v>
      </c>
      <c r="U1842" s="125">
        <f>IF(H$2=VLOOKUP(A1842,Journal!$A$7:$G$70,7),VLOOKUP(A1842,Journal!$A$7:M$70,9),0)</f>
        <v>0</v>
      </c>
      <c r="V1842" s="125">
        <f t="shared" si="218"/>
        <v>40</v>
      </c>
      <c r="X1842">
        <f t="shared" si="216"/>
        <v>0</v>
      </c>
      <c r="Y1842" s="143">
        <f t="shared" si="217"/>
        <v>-951.78947368428726</v>
      </c>
    </row>
    <row r="1843" spans="1:25" x14ac:dyDescent="0.25">
      <c r="A1843">
        <f t="shared" si="221"/>
        <v>1836</v>
      </c>
      <c r="B1843" s="88" t="str">
        <f>IF(OR(B1842="Total",B1842=""),"",IF(VLOOKUP(A1843,Journal!$B$7:$E$84,4)=0,"Total",VLOOKUP(A1843,Journal!$B$7:$D$84,3)))</f>
        <v/>
      </c>
      <c r="C1843" s="86" t="str">
        <f>IF(B1843="","",VLOOKUP(A1843,Journal!$B$7:$E$84,4))</f>
        <v/>
      </c>
      <c r="D1843" s="114" t="str">
        <f>IF(B1843="","",VLOOKUP(A1843,Journal!$B$7:$J$84,9))</f>
        <v/>
      </c>
      <c r="E1843" s="116"/>
      <c r="F1843" s="116"/>
      <c r="G1843" s="115"/>
      <c r="H1843" s="84" t="str">
        <f>IF(B1843="","",VLOOKUP(A1843,Journal!$B$7:$L$84,11))</f>
        <v/>
      </c>
      <c r="I1843" s="84" t="str">
        <f>IF(B1843="","",VLOOKUP(A1843,Journal!$B$7:$M$84,12))</f>
        <v/>
      </c>
      <c r="J1843" s="105">
        <f>IF(B1843="Total",SUM(J$8:J1842)+0.0001,IF(OR(B1843="",I$2=I1843),0,VLOOKUP(A1843,Journal!$B$7:M$84,8)))</f>
        <v>0</v>
      </c>
      <c r="K1843" s="102">
        <f>IF(B1843="Total",SUM(K$8:K1842)+0.0001,IF(OR(B1843="",J1843&lt;&gt;0),0,VLOOKUP(A1843,Journal!$B$7:M$84,8)))</f>
        <v>0</v>
      </c>
      <c r="L1843" s="87">
        <f t="shared" si="219"/>
        <v>0</v>
      </c>
      <c r="P1843">
        <f t="shared" si="220"/>
        <v>1.0000000000000001E-5</v>
      </c>
      <c r="R1843" s="15">
        <f t="shared" si="215"/>
        <v>1836</v>
      </c>
      <c r="S1843" s="126">
        <f>IF(VLOOKUP(A1843,Journal!$A$7:$E$70,5)=0,S1842+1,VLOOKUP(A1843,Journal!$A$7:$E$70,5))</f>
        <v>47493</v>
      </c>
      <c r="T1843" s="125">
        <f>IF(H$2=VLOOKUP(A1843,Journal!$A$7:$F$70,6),VLOOKUP(A1843,Journal!$A$7:M$70,9),0)</f>
        <v>0</v>
      </c>
      <c r="U1843" s="125">
        <f>IF(H$2=VLOOKUP(A1843,Journal!$A$7:$G$70,7),VLOOKUP(A1843,Journal!$A$7:M$70,9),0)</f>
        <v>0</v>
      </c>
      <c r="V1843" s="125">
        <f t="shared" si="218"/>
        <v>40</v>
      </c>
      <c r="X1843">
        <f t="shared" si="216"/>
        <v>0</v>
      </c>
      <c r="Y1843" s="143">
        <f t="shared" si="217"/>
        <v>-951.76315789481362</v>
      </c>
    </row>
    <row r="1844" spans="1:25" x14ac:dyDescent="0.25">
      <c r="A1844">
        <f t="shared" si="221"/>
        <v>1837</v>
      </c>
      <c r="B1844" s="88" t="str">
        <f>IF(OR(B1843="Total",B1843=""),"",IF(VLOOKUP(A1844,Journal!$B$7:$E$84,4)=0,"Total",VLOOKUP(A1844,Journal!$B$7:$D$84,3)))</f>
        <v/>
      </c>
      <c r="C1844" s="86" t="str">
        <f>IF(B1844="","",VLOOKUP(A1844,Journal!$B$7:$E$84,4))</f>
        <v/>
      </c>
      <c r="D1844" s="114" t="str">
        <f>IF(B1844="","",VLOOKUP(A1844,Journal!$B$7:$J$84,9))</f>
        <v/>
      </c>
      <c r="E1844" s="116"/>
      <c r="F1844" s="116"/>
      <c r="G1844" s="115"/>
      <c r="H1844" s="84" t="str">
        <f>IF(B1844="","",VLOOKUP(A1844,Journal!$B$7:$L$84,11))</f>
        <v/>
      </c>
      <c r="I1844" s="84" t="str">
        <f>IF(B1844="","",VLOOKUP(A1844,Journal!$B$7:$M$84,12))</f>
        <v/>
      </c>
      <c r="J1844" s="105">
        <f>IF(B1844="Total",SUM(J$8:J1843)+0.0001,IF(OR(B1844="",I$2=I1844),0,VLOOKUP(A1844,Journal!$B$7:M$84,8)))</f>
        <v>0</v>
      </c>
      <c r="K1844" s="102">
        <f>IF(B1844="Total",SUM(K$8:K1843)+0.0001,IF(OR(B1844="",J1844&lt;&gt;0),0,VLOOKUP(A1844,Journal!$B$7:M$84,8)))</f>
        <v>0</v>
      </c>
      <c r="L1844" s="87">
        <f t="shared" si="219"/>
        <v>0</v>
      </c>
      <c r="P1844">
        <f t="shared" si="220"/>
        <v>1.0000000000000001E-5</v>
      </c>
      <c r="R1844" s="15">
        <f t="shared" si="215"/>
        <v>1837</v>
      </c>
      <c r="S1844" s="126">
        <f>IF(VLOOKUP(A1844,Journal!$A$7:$E$70,5)=0,S1843+1,VLOOKUP(A1844,Journal!$A$7:$E$70,5))</f>
        <v>47494</v>
      </c>
      <c r="T1844" s="125">
        <f>IF(H$2=VLOOKUP(A1844,Journal!$A$7:$F$70,6),VLOOKUP(A1844,Journal!$A$7:M$70,9),0)</f>
        <v>0</v>
      </c>
      <c r="U1844" s="125">
        <f>IF(H$2=VLOOKUP(A1844,Journal!$A$7:$G$70,7),VLOOKUP(A1844,Journal!$A$7:M$70,9),0)</f>
        <v>0</v>
      </c>
      <c r="V1844" s="125">
        <f t="shared" si="218"/>
        <v>40</v>
      </c>
      <c r="X1844">
        <f t="shared" si="216"/>
        <v>0</v>
      </c>
      <c r="Y1844" s="143">
        <f t="shared" si="217"/>
        <v>-951.73684210533997</v>
      </c>
    </row>
    <row r="1845" spans="1:25" x14ac:dyDescent="0.25">
      <c r="A1845">
        <f t="shared" si="221"/>
        <v>1838</v>
      </c>
      <c r="B1845" s="88" t="str">
        <f>IF(OR(B1844="Total",B1844=""),"",IF(VLOOKUP(A1845,Journal!$B$7:$E$84,4)=0,"Total",VLOOKUP(A1845,Journal!$B$7:$D$84,3)))</f>
        <v/>
      </c>
      <c r="C1845" s="86" t="str">
        <f>IF(B1845="","",VLOOKUP(A1845,Journal!$B$7:$E$84,4))</f>
        <v/>
      </c>
      <c r="D1845" s="114" t="str">
        <f>IF(B1845="","",VLOOKUP(A1845,Journal!$B$7:$J$84,9))</f>
        <v/>
      </c>
      <c r="E1845" s="116"/>
      <c r="F1845" s="116"/>
      <c r="G1845" s="115"/>
      <c r="H1845" s="84" t="str">
        <f>IF(B1845="","",VLOOKUP(A1845,Journal!$B$7:$L$84,11))</f>
        <v/>
      </c>
      <c r="I1845" s="84" t="str">
        <f>IF(B1845="","",VLOOKUP(A1845,Journal!$B$7:$M$84,12))</f>
        <v/>
      </c>
      <c r="J1845" s="105">
        <f>IF(B1845="Total",SUM(J$8:J1844)+0.0001,IF(OR(B1845="",I$2=I1845),0,VLOOKUP(A1845,Journal!$B$7:M$84,8)))</f>
        <v>0</v>
      </c>
      <c r="K1845" s="102">
        <f>IF(B1845="Total",SUM(K$8:K1844)+0.0001,IF(OR(B1845="",J1845&lt;&gt;0),0,VLOOKUP(A1845,Journal!$B$7:M$84,8)))</f>
        <v>0</v>
      </c>
      <c r="L1845" s="87">
        <f t="shared" si="219"/>
        <v>0</v>
      </c>
      <c r="P1845">
        <f t="shared" si="220"/>
        <v>1.0000000000000001E-5</v>
      </c>
      <c r="R1845" s="15">
        <f t="shared" si="215"/>
        <v>1838</v>
      </c>
      <c r="S1845" s="126">
        <f>IF(VLOOKUP(A1845,Journal!$A$7:$E$70,5)=0,S1844+1,VLOOKUP(A1845,Journal!$A$7:$E$70,5))</f>
        <v>47495</v>
      </c>
      <c r="T1845" s="125">
        <f>IF(H$2=VLOOKUP(A1845,Journal!$A$7:$F$70,6),VLOOKUP(A1845,Journal!$A$7:M$70,9),0)</f>
        <v>0</v>
      </c>
      <c r="U1845" s="125">
        <f>IF(H$2=VLOOKUP(A1845,Journal!$A$7:$G$70,7),VLOOKUP(A1845,Journal!$A$7:M$70,9),0)</f>
        <v>0</v>
      </c>
      <c r="V1845" s="125">
        <f t="shared" si="218"/>
        <v>40</v>
      </c>
      <c r="X1845">
        <f t="shared" si="216"/>
        <v>0</v>
      </c>
      <c r="Y1845" s="143">
        <f t="shared" si="217"/>
        <v>-951.71052631586633</v>
      </c>
    </row>
    <row r="1846" spans="1:25" x14ac:dyDescent="0.25">
      <c r="A1846">
        <f t="shared" si="221"/>
        <v>1839</v>
      </c>
      <c r="B1846" s="88" t="str">
        <f>IF(OR(B1845="Total",B1845=""),"",IF(VLOOKUP(A1846,Journal!$B$7:$E$84,4)=0,"Total",VLOOKUP(A1846,Journal!$B$7:$D$84,3)))</f>
        <v/>
      </c>
      <c r="C1846" s="86" t="str">
        <f>IF(B1846="","",VLOOKUP(A1846,Journal!$B$7:$E$84,4))</f>
        <v/>
      </c>
      <c r="D1846" s="114" t="str">
        <f>IF(B1846="","",VLOOKUP(A1846,Journal!$B$7:$J$84,9))</f>
        <v/>
      </c>
      <c r="E1846" s="116"/>
      <c r="F1846" s="116"/>
      <c r="G1846" s="115"/>
      <c r="H1846" s="84" t="str">
        <f>IF(B1846="","",VLOOKUP(A1846,Journal!$B$7:$L$84,11))</f>
        <v/>
      </c>
      <c r="I1846" s="84" t="str">
        <f>IF(B1846="","",VLOOKUP(A1846,Journal!$B$7:$M$84,12))</f>
        <v/>
      </c>
      <c r="J1846" s="105">
        <f>IF(B1846="Total",SUM(J$8:J1845)+0.0001,IF(OR(B1846="",I$2=I1846),0,VLOOKUP(A1846,Journal!$B$7:M$84,8)))</f>
        <v>0</v>
      </c>
      <c r="K1846" s="102">
        <f>IF(B1846="Total",SUM(K$8:K1845)+0.0001,IF(OR(B1846="",J1846&lt;&gt;0),0,VLOOKUP(A1846,Journal!$B$7:M$84,8)))</f>
        <v>0</v>
      </c>
      <c r="L1846" s="87">
        <f t="shared" si="219"/>
        <v>0</v>
      </c>
      <c r="P1846">
        <f t="shared" si="220"/>
        <v>1.0000000000000001E-5</v>
      </c>
      <c r="R1846" s="15">
        <f t="shared" si="215"/>
        <v>1839</v>
      </c>
      <c r="S1846" s="126">
        <f>IF(VLOOKUP(A1846,Journal!$A$7:$E$70,5)=0,S1845+1,VLOOKUP(A1846,Journal!$A$7:$E$70,5))</f>
        <v>47496</v>
      </c>
      <c r="T1846" s="125">
        <f>IF(H$2=VLOOKUP(A1846,Journal!$A$7:$F$70,6),VLOOKUP(A1846,Journal!$A$7:M$70,9),0)</f>
        <v>0</v>
      </c>
      <c r="U1846" s="125">
        <f>IF(H$2=VLOOKUP(A1846,Journal!$A$7:$G$70,7),VLOOKUP(A1846,Journal!$A$7:M$70,9),0)</f>
        <v>0</v>
      </c>
      <c r="V1846" s="125">
        <f t="shared" si="218"/>
        <v>40</v>
      </c>
      <c r="X1846">
        <f t="shared" si="216"/>
        <v>0</v>
      </c>
      <c r="Y1846" s="143">
        <f t="shared" si="217"/>
        <v>-951.68421052639269</v>
      </c>
    </row>
    <row r="1847" spans="1:25" x14ac:dyDescent="0.25">
      <c r="A1847">
        <f t="shared" si="221"/>
        <v>1840</v>
      </c>
      <c r="B1847" s="88" t="str">
        <f>IF(OR(B1846="Total",B1846=""),"",IF(VLOOKUP(A1847,Journal!$B$7:$E$84,4)=0,"Total",VLOOKUP(A1847,Journal!$B$7:$D$84,3)))</f>
        <v/>
      </c>
      <c r="C1847" s="86" t="str">
        <f>IF(B1847="","",VLOOKUP(A1847,Journal!$B$7:$E$84,4))</f>
        <v/>
      </c>
      <c r="D1847" s="114" t="str">
        <f>IF(B1847="","",VLOOKUP(A1847,Journal!$B$7:$J$84,9))</f>
        <v/>
      </c>
      <c r="E1847" s="116"/>
      <c r="F1847" s="116"/>
      <c r="G1847" s="115"/>
      <c r="H1847" s="84" t="str">
        <f>IF(B1847="","",VLOOKUP(A1847,Journal!$B$7:$L$84,11))</f>
        <v/>
      </c>
      <c r="I1847" s="84" t="str">
        <f>IF(B1847="","",VLOOKUP(A1847,Journal!$B$7:$M$84,12))</f>
        <v/>
      </c>
      <c r="J1847" s="105">
        <f>IF(B1847="Total",SUM(J$8:J1846)+0.0001,IF(OR(B1847="",I$2=I1847),0,VLOOKUP(A1847,Journal!$B$7:M$84,8)))</f>
        <v>0</v>
      </c>
      <c r="K1847" s="102">
        <f>IF(B1847="Total",SUM(K$8:K1846)+0.0001,IF(OR(B1847="",J1847&lt;&gt;0),0,VLOOKUP(A1847,Journal!$B$7:M$84,8)))</f>
        <v>0</v>
      </c>
      <c r="L1847" s="87">
        <f t="shared" si="219"/>
        <v>0</v>
      </c>
      <c r="P1847">
        <f t="shared" si="220"/>
        <v>1.0000000000000001E-5</v>
      </c>
      <c r="R1847" s="15">
        <f t="shared" si="215"/>
        <v>1840</v>
      </c>
      <c r="S1847" s="126">
        <f>IF(VLOOKUP(A1847,Journal!$A$7:$E$70,5)=0,S1846+1,VLOOKUP(A1847,Journal!$A$7:$E$70,5))</f>
        <v>47497</v>
      </c>
      <c r="T1847" s="125">
        <f>IF(H$2=VLOOKUP(A1847,Journal!$A$7:$F$70,6),VLOOKUP(A1847,Journal!$A$7:M$70,9),0)</f>
        <v>0</v>
      </c>
      <c r="U1847" s="125">
        <f>IF(H$2=VLOOKUP(A1847,Journal!$A$7:$G$70,7),VLOOKUP(A1847,Journal!$A$7:M$70,9),0)</f>
        <v>0</v>
      </c>
      <c r="V1847" s="125">
        <f t="shared" si="218"/>
        <v>40</v>
      </c>
      <c r="X1847">
        <f t="shared" si="216"/>
        <v>0</v>
      </c>
      <c r="Y1847" s="143">
        <f t="shared" si="217"/>
        <v>-951.65789473691905</v>
      </c>
    </row>
    <row r="1848" spans="1:25" x14ac:dyDescent="0.25">
      <c r="A1848">
        <f t="shared" si="221"/>
        <v>1841</v>
      </c>
      <c r="B1848" s="88" t="str">
        <f>IF(OR(B1847="Total",B1847=""),"",IF(VLOOKUP(A1848,Journal!$B$7:$E$84,4)=0,"Total",VLOOKUP(A1848,Journal!$B$7:$D$84,3)))</f>
        <v/>
      </c>
      <c r="C1848" s="86" t="str">
        <f>IF(B1848="","",VLOOKUP(A1848,Journal!$B$7:$E$84,4))</f>
        <v/>
      </c>
      <c r="D1848" s="114" t="str">
        <f>IF(B1848="","",VLOOKUP(A1848,Journal!$B$7:$J$84,9))</f>
        <v/>
      </c>
      <c r="E1848" s="116"/>
      <c r="F1848" s="116"/>
      <c r="G1848" s="115"/>
      <c r="H1848" s="84" t="str">
        <f>IF(B1848="","",VLOOKUP(A1848,Journal!$B$7:$L$84,11))</f>
        <v/>
      </c>
      <c r="I1848" s="84" t="str">
        <f>IF(B1848="","",VLOOKUP(A1848,Journal!$B$7:$M$84,12))</f>
        <v/>
      </c>
      <c r="J1848" s="105">
        <f>IF(B1848="Total",SUM(J$8:J1847)+0.0001,IF(OR(B1848="",I$2=I1848),0,VLOOKUP(A1848,Journal!$B$7:M$84,8)))</f>
        <v>0</v>
      </c>
      <c r="K1848" s="102">
        <f>IF(B1848="Total",SUM(K$8:K1847)+0.0001,IF(OR(B1848="",J1848&lt;&gt;0),0,VLOOKUP(A1848,Journal!$B$7:M$84,8)))</f>
        <v>0</v>
      </c>
      <c r="L1848" s="87">
        <f t="shared" si="219"/>
        <v>0</v>
      </c>
      <c r="P1848">
        <f t="shared" si="220"/>
        <v>1.0000000000000001E-5</v>
      </c>
      <c r="R1848" s="15">
        <f t="shared" si="215"/>
        <v>1841</v>
      </c>
      <c r="S1848" s="126">
        <f>IF(VLOOKUP(A1848,Journal!$A$7:$E$70,5)=0,S1847+1,VLOOKUP(A1848,Journal!$A$7:$E$70,5))</f>
        <v>47498</v>
      </c>
      <c r="T1848" s="125">
        <f>IF(H$2=VLOOKUP(A1848,Journal!$A$7:$F$70,6),VLOOKUP(A1848,Journal!$A$7:M$70,9),0)</f>
        <v>0</v>
      </c>
      <c r="U1848" s="125">
        <f>IF(H$2=VLOOKUP(A1848,Journal!$A$7:$G$70,7),VLOOKUP(A1848,Journal!$A$7:M$70,9),0)</f>
        <v>0</v>
      </c>
      <c r="V1848" s="125">
        <f t="shared" si="218"/>
        <v>40</v>
      </c>
      <c r="X1848">
        <f t="shared" si="216"/>
        <v>0</v>
      </c>
      <c r="Y1848" s="143">
        <f t="shared" si="217"/>
        <v>-951.6315789474454</v>
      </c>
    </row>
    <row r="1849" spans="1:25" x14ac:dyDescent="0.25">
      <c r="A1849">
        <f t="shared" si="221"/>
        <v>1842</v>
      </c>
      <c r="B1849" s="88" t="str">
        <f>IF(OR(B1848="Total",B1848=""),"",IF(VLOOKUP(A1849,Journal!$B$7:$E$84,4)=0,"Total",VLOOKUP(A1849,Journal!$B$7:$D$84,3)))</f>
        <v/>
      </c>
      <c r="C1849" s="86" t="str">
        <f>IF(B1849="","",VLOOKUP(A1849,Journal!$B$7:$E$84,4))</f>
        <v/>
      </c>
      <c r="D1849" s="114" t="str">
        <f>IF(B1849="","",VLOOKUP(A1849,Journal!$B$7:$J$84,9))</f>
        <v/>
      </c>
      <c r="E1849" s="116"/>
      <c r="F1849" s="116"/>
      <c r="G1849" s="115"/>
      <c r="H1849" s="84" t="str">
        <f>IF(B1849="","",VLOOKUP(A1849,Journal!$B$7:$L$84,11))</f>
        <v/>
      </c>
      <c r="I1849" s="84" t="str">
        <f>IF(B1849="","",VLOOKUP(A1849,Journal!$B$7:$M$84,12))</f>
        <v/>
      </c>
      <c r="J1849" s="105">
        <f>IF(B1849="Total",SUM(J$8:J1848)+0.0001,IF(OR(B1849="",I$2=I1849),0,VLOOKUP(A1849,Journal!$B$7:M$84,8)))</f>
        <v>0</v>
      </c>
      <c r="K1849" s="102">
        <f>IF(B1849="Total",SUM(K$8:K1848)+0.0001,IF(OR(B1849="",J1849&lt;&gt;0),0,VLOOKUP(A1849,Journal!$B$7:M$84,8)))</f>
        <v>0</v>
      </c>
      <c r="L1849" s="87">
        <f t="shared" si="219"/>
        <v>0</v>
      </c>
      <c r="P1849">
        <f t="shared" si="220"/>
        <v>1.0000000000000001E-5</v>
      </c>
      <c r="R1849" s="15">
        <f t="shared" ref="R1849:R1855" si="222">R1848+1</f>
        <v>1842</v>
      </c>
      <c r="S1849" s="126">
        <f>IF(VLOOKUP(A1849,Journal!$A$7:$E$70,5)=0,S1848+1,VLOOKUP(A1849,Journal!$A$7:$E$70,5))</f>
        <v>47499</v>
      </c>
      <c r="T1849" s="125">
        <f>IF(H$2=VLOOKUP(A1849,Journal!$A$7:$F$70,6),VLOOKUP(A1849,Journal!$A$7:M$70,9),0)</f>
        <v>0</v>
      </c>
      <c r="U1849" s="125">
        <f>IF(H$2=VLOOKUP(A1849,Journal!$A$7:$G$70,7),VLOOKUP(A1849,Journal!$A$7:M$70,9),0)</f>
        <v>0</v>
      </c>
      <c r="V1849" s="125">
        <f t="shared" si="218"/>
        <v>40</v>
      </c>
      <c r="X1849">
        <f t="shared" ref="X1849:X1855" si="223">IF(J$2&gt;S1849,1,0)</f>
        <v>0</v>
      </c>
      <c r="Y1849" s="143">
        <f t="shared" si="217"/>
        <v>-951.60526315797176</v>
      </c>
    </row>
    <row r="1850" spans="1:25" x14ac:dyDescent="0.25">
      <c r="A1850">
        <f t="shared" si="221"/>
        <v>1843</v>
      </c>
      <c r="B1850" s="88" t="str">
        <f>IF(OR(B1849="Total",B1849=""),"",IF(VLOOKUP(A1850,Journal!$B$7:$E$84,4)=0,"Total",VLOOKUP(A1850,Journal!$B$7:$D$84,3)))</f>
        <v/>
      </c>
      <c r="C1850" s="86" t="str">
        <f>IF(B1850="","",VLOOKUP(A1850,Journal!$B$7:$E$84,4))</f>
        <v/>
      </c>
      <c r="D1850" s="114" t="str">
        <f>IF(B1850="","",VLOOKUP(A1850,Journal!$B$7:$J$84,9))</f>
        <v/>
      </c>
      <c r="E1850" s="116"/>
      <c r="F1850" s="116"/>
      <c r="G1850" s="115"/>
      <c r="H1850" s="84" t="str">
        <f>IF(B1850="","",VLOOKUP(A1850,Journal!$B$7:$L$84,11))</f>
        <v/>
      </c>
      <c r="I1850" s="84" t="str">
        <f>IF(B1850="","",VLOOKUP(A1850,Journal!$B$7:$M$84,12))</f>
        <v/>
      </c>
      <c r="J1850" s="105">
        <f>IF(B1850="Total",SUM(J$8:J1849)+0.0001,IF(OR(B1850="",I$2=I1850),0,VLOOKUP(A1850,Journal!$B$7:M$84,8)))</f>
        <v>0</v>
      </c>
      <c r="K1850" s="102">
        <f>IF(B1850="Total",SUM(K$8:K1849)+0.0001,IF(OR(B1850="",J1850&lt;&gt;0),0,VLOOKUP(A1850,Journal!$B$7:M$84,8)))</f>
        <v>0</v>
      </c>
      <c r="L1850" s="87">
        <f t="shared" si="219"/>
        <v>0</v>
      </c>
      <c r="P1850">
        <f t="shared" si="220"/>
        <v>1.0000000000000001E-5</v>
      </c>
      <c r="R1850" s="15">
        <f t="shared" si="222"/>
        <v>1843</v>
      </c>
      <c r="S1850" s="126">
        <f>IF(VLOOKUP(A1850,Journal!$A$7:$E$70,5)=0,S1849+1,VLOOKUP(A1850,Journal!$A$7:$E$70,5))</f>
        <v>47500</v>
      </c>
      <c r="T1850" s="125">
        <f>IF(H$2=VLOOKUP(A1850,Journal!$A$7:$F$70,6),VLOOKUP(A1850,Journal!$A$7:M$70,9),0)</f>
        <v>0</v>
      </c>
      <c r="U1850" s="125">
        <f>IF(H$2=VLOOKUP(A1850,Journal!$A$7:$G$70,7),VLOOKUP(A1850,Journal!$A$7:M$70,9),0)</f>
        <v>0</v>
      </c>
      <c r="V1850" s="125">
        <f t="shared" si="218"/>
        <v>40</v>
      </c>
      <c r="X1850">
        <f t="shared" si="223"/>
        <v>0</v>
      </c>
      <c r="Y1850" s="143">
        <f t="shared" si="217"/>
        <v>-951.57894736849812</v>
      </c>
    </row>
    <row r="1851" spans="1:25" x14ac:dyDescent="0.25">
      <c r="A1851">
        <f t="shared" si="221"/>
        <v>1844</v>
      </c>
      <c r="B1851" s="88" t="str">
        <f>IF(OR(B1850="Total",B1850=""),"",IF(VLOOKUP(A1851,Journal!$B$7:$E$84,4)=0,"Total",VLOOKUP(A1851,Journal!$B$7:$D$84,3)))</f>
        <v/>
      </c>
      <c r="C1851" s="86" t="str">
        <f>IF(B1851="","",VLOOKUP(A1851,Journal!$B$7:$E$84,4))</f>
        <v/>
      </c>
      <c r="D1851" s="114" t="str">
        <f>IF(B1851="","",VLOOKUP(A1851,Journal!$B$7:$J$84,9))</f>
        <v/>
      </c>
      <c r="E1851" s="116"/>
      <c r="F1851" s="116"/>
      <c r="G1851" s="115"/>
      <c r="H1851" s="84" t="str">
        <f>IF(B1851="","",VLOOKUP(A1851,Journal!$B$7:$L$84,11))</f>
        <v/>
      </c>
      <c r="I1851" s="84" t="str">
        <f>IF(B1851="","",VLOOKUP(A1851,Journal!$B$7:$M$84,12))</f>
        <v/>
      </c>
      <c r="J1851" s="105">
        <f>IF(B1851="Total",SUM(J$8:J1850)+0.0001,IF(OR(B1851="",I$2=I1851),0,VLOOKUP(A1851,Journal!$B$7:M$84,8)))</f>
        <v>0</v>
      </c>
      <c r="K1851" s="102">
        <f>IF(B1851="Total",SUM(K$8:K1850)+0.0001,IF(OR(B1851="",J1851&lt;&gt;0),0,VLOOKUP(A1851,Journal!$B$7:M$84,8)))</f>
        <v>0</v>
      </c>
      <c r="L1851" s="87">
        <f t="shared" si="219"/>
        <v>0</v>
      </c>
      <c r="P1851">
        <f t="shared" si="220"/>
        <v>1.0000000000000001E-5</v>
      </c>
      <c r="R1851" s="15">
        <f t="shared" si="222"/>
        <v>1844</v>
      </c>
      <c r="S1851" s="126">
        <f>IF(VLOOKUP(A1851,Journal!$A$7:$E$70,5)=0,S1850+1,VLOOKUP(A1851,Journal!$A$7:$E$70,5))</f>
        <v>47501</v>
      </c>
      <c r="T1851" s="125">
        <f>IF(H$2=VLOOKUP(A1851,Journal!$A$7:$F$70,6),VLOOKUP(A1851,Journal!$A$7:M$70,9),0)</f>
        <v>0</v>
      </c>
      <c r="U1851" s="125">
        <f>IF(H$2=VLOOKUP(A1851,Journal!$A$7:$G$70,7),VLOOKUP(A1851,Journal!$A$7:M$70,9),0)</f>
        <v>0</v>
      </c>
      <c r="V1851" s="125">
        <f t="shared" si="218"/>
        <v>40</v>
      </c>
      <c r="X1851">
        <f t="shared" si="223"/>
        <v>0</v>
      </c>
      <c r="Y1851" s="143">
        <f t="shared" si="217"/>
        <v>-951.55263157902448</v>
      </c>
    </row>
    <row r="1852" spans="1:25" x14ac:dyDescent="0.25">
      <c r="A1852">
        <f t="shared" si="221"/>
        <v>1845</v>
      </c>
      <c r="B1852" s="88" t="str">
        <f>IF(OR(B1851="Total",B1851=""),"",IF(VLOOKUP(A1852,Journal!$B$7:$E$84,4)=0,"Total",VLOOKUP(A1852,Journal!$B$7:$D$84,3)))</f>
        <v/>
      </c>
      <c r="C1852" s="86" t="str">
        <f>IF(B1852="","",VLOOKUP(A1852,Journal!$B$7:$E$84,4))</f>
        <v/>
      </c>
      <c r="D1852" s="114" t="str">
        <f>IF(B1852="","",VLOOKUP(A1852,Journal!$B$7:$J$84,9))</f>
        <v/>
      </c>
      <c r="E1852" s="116"/>
      <c r="F1852" s="116"/>
      <c r="G1852" s="115"/>
      <c r="H1852" s="84" t="str">
        <f>IF(B1852="","",VLOOKUP(A1852,Journal!$B$7:$L$84,11))</f>
        <v/>
      </c>
      <c r="I1852" s="84" t="str">
        <f>IF(B1852="","",VLOOKUP(A1852,Journal!$B$7:$M$84,12))</f>
        <v/>
      </c>
      <c r="J1852" s="105">
        <f>IF(B1852="Total",SUM(J$8:J1851)+0.0001,IF(OR(B1852="",I$2=I1852),0,VLOOKUP(A1852,Journal!$B$7:M$84,8)))</f>
        <v>0</v>
      </c>
      <c r="K1852" s="102">
        <f>IF(B1852="Total",SUM(K$8:K1851)+0.0001,IF(OR(B1852="",J1852&lt;&gt;0),0,VLOOKUP(A1852,Journal!$B$7:M$84,8)))</f>
        <v>0</v>
      </c>
      <c r="L1852" s="87">
        <f t="shared" si="219"/>
        <v>0</v>
      </c>
      <c r="P1852">
        <f t="shared" si="220"/>
        <v>1.0000000000000001E-5</v>
      </c>
      <c r="R1852" s="15">
        <f t="shared" si="222"/>
        <v>1845</v>
      </c>
      <c r="S1852" s="126">
        <f>IF(VLOOKUP(A1852,Journal!$A$7:$E$70,5)=0,S1851+1,VLOOKUP(A1852,Journal!$A$7:$E$70,5))</f>
        <v>47502</v>
      </c>
      <c r="T1852" s="125">
        <f>IF(H$2=VLOOKUP(A1852,Journal!$A$7:$F$70,6),VLOOKUP(A1852,Journal!$A$7:M$70,9),0)</f>
        <v>0</v>
      </c>
      <c r="U1852" s="125">
        <f>IF(H$2=VLOOKUP(A1852,Journal!$A$7:$G$70,7),VLOOKUP(A1852,Journal!$A$7:M$70,9),0)</f>
        <v>0</v>
      </c>
      <c r="V1852" s="125">
        <f t="shared" si="218"/>
        <v>40</v>
      </c>
      <c r="X1852">
        <f t="shared" si="223"/>
        <v>0</v>
      </c>
      <c r="Y1852" s="143">
        <f t="shared" si="217"/>
        <v>-951.52631578955084</v>
      </c>
    </row>
    <row r="1853" spans="1:25" x14ac:dyDescent="0.25">
      <c r="A1853">
        <f t="shared" si="221"/>
        <v>1846</v>
      </c>
      <c r="B1853" s="88" t="str">
        <f>IF(OR(B1852="Total",B1852=""),"",IF(VLOOKUP(A1853,Journal!$B$7:$E$84,4)=0,"Total",VLOOKUP(A1853,Journal!$B$7:$D$84,3)))</f>
        <v/>
      </c>
      <c r="C1853" s="86" t="str">
        <f>IF(B1853="","",VLOOKUP(A1853,Journal!$B$7:$E$84,4))</f>
        <v/>
      </c>
      <c r="D1853" s="114" t="str">
        <f>IF(B1853="","",VLOOKUP(A1853,Journal!$B$7:$J$84,9))</f>
        <v/>
      </c>
      <c r="E1853" s="116"/>
      <c r="F1853" s="116"/>
      <c r="G1853" s="115"/>
      <c r="H1853" s="84" t="str">
        <f>IF(B1853="","",VLOOKUP(A1853,Journal!$B$7:$L$84,11))</f>
        <v/>
      </c>
      <c r="I1853" s="84" t="str">
        <f>IF(B1853="","",VLOOKUP(A1853,Journal!$B$7:$M$84,12))</f>
        <v/>
      </c>
      <c r="J1853" s="105">
        <f>IF(B1853="Total",SUM(J$8:J1852)+0.0001,IF(OR(B1853="",I$2=I1853),0,VLOOKUP(A1853,Journal!$B$7:M$84,8)))</f>
        <v>0</v>
      </c>
      <c r="K1853" s="102">
        <f>IF(B1853="Total",SUM(K$8:K1852)+0.0001,IF(OR(B1853="",J1853&lt;&gt;0),0,VLOOKUP(A1853,Journal!$B$7:M$84,8)))</f>
        <v>0</v>
      </c>
      <c r="L1853" s="87">
        <f t="shared" si="219"/>
        <v>0</v>
      </c>
      <c r="P1853">
        <f t="shared" si="220"/>
        <v>1.0000000000000001E-5</v>
      </c>
      <c r="R1853" s="15">
        <f t="shared" si="222"/>
        <v>1846</v>
      </c>
      <c r="S1853" s="126">
        <f>IF(VLOOKUP(A1853,Journal!$A$7:$E$70,5)=0,S1852+1,VLOOKUP(A1853,Journal!$A$7:$E$70,5))</f>
        <v>47503</v>
      </c>
      <c r="T1853" s="125">
        <f>IF(H$2=VLOOKUP(A1853,Journal!$A$7:$F$70,6),VLOOKUP(A1853,Journal!$A$7:M$70,9),0)</f>
        <v>0</v>
      </c>
      <c r="U1853" s="125">
        <f>IF(H$2=VLOOKUP(A1853,Journal!$A$7:$G$70,7),VLOOKUP(A1853,Journal!$A$7:M$70,9),0)</f>
        <v>0</v>
      </c>
      <c r="V1853" s="125">
        <f t="shared" si="218"/>
        <v>40</v>
      </c>
      <c r="X1853">
        <f t="shared" si="223"/>
        <v>0</v>
      </c>
      <c r="Y1853" s="143">
        <f t="shared" si="217"/>
        <v>-951.50000000007719</v>
      </c>
    </row>
    <row r="1854" spans="1:25" x14ac:dyDescent="0.25">
      <c r="A1854">
        <f t="shared" si="221"/>
        <v>1847</v>
      </c>
      <c r="B1854" s="88" t="str">
        <f>IF(OR(B1853="Total",B1853=""),"",IF(VLOOKUP(A1854,Journal!$B$7:$E$84,4)=0,"Total",VLOOKUP(A1854,Journal!$B$7:$D$84,3)))</f>
        <v/>
      </c>
      <c r="C1854" s="86" t="str">
        <f>IF(B1854="","",VLOOKUP(A1854,Journal!$B$7:$E$84,4))</f>
        <v/>
      </c>
      <c r="D1854" s="114" t="str">
        <f>IF(B1854="","",VLOOKUP(A1854,Journal!$B$7:$J$84,9))</f>
        <v/>
      </c>
      <c r="E1854" s="116"/>
      <c r="F1854" s="116"/>
      <c r="G1854" s="115"/>
      <c r="H1854" s="84" t="str">
        <f>IF(B1854="","",VLOOKUP(A1854,Journal!$B$7:$L$84,11))</f>
        <v/>
      </c>
      <c r="I1854" s="84" t="str">
        <f>IF(B1854="","",VLOOKUP(A1854,Journal!$B$7:$M$84,12))</f>
        <v/>
      </c>
      <c r="J1854" s="105">
        <f>IF(B1854="Total",SUM(J$8:J1853)+0.0001,IF(OR(B1854="",I$2=I1854),0,VLOOKUP(A1854,Journal!$B$7:M$84,8)))</f>
        <v>0</v>
      </c>
      <c r="K1854" s="102">
        <f>IF(B1854="Total",SUM(K$8:K1853)+0.0001,IF(OR(B1854="",J1854&lt;&gt;0),0,VLOOKUP(A1854,Journal!$B$7:M$84,8)))</f>
        <v>0</v>
      </c>
      <c r="L1854" s="87">
        <f t="shared" si="219"/>
        <v>0</v>
      </c>
      <c r="P1854">
        <f t="shared" si="220"/>
        <v>1.0000000000000001E-5</v>
      </c>
      <c r="R1854" s="15">
        <f t="shared" si="222"/>
        <v>1847</v>
      </c>
      <c r="S1854" s="126">
        <f>IF(VLOOKUP(A1854,Journal!$A$7:$E$70,5)=0,S1853+1,VLOOKUP(A1854,Journal!$A$7:$E$70,5))</f>
        <v>47504</v>
      </c>
      <c r="T1854" s="125">
        <f>IF(H$2=VLOOKUP(A1854,Journal!$A$7:$F$70,6),VLOOKUP(A1854,Journal!$A$7:M$70,9),0)</f>
        <v>0</v>
      </c>
      <c r="U1854" s="125">
        <f>IF(H$2=VLOOKUP(A1854,Journal!$A$7:$G$70,7),VLOOKUP(A1854,Journal!$A$7:M$70,9),0)</f>
        <v>0</v>
      </c>
      <c r="V1854" s="125">
        <f t="shared" si="218"/>
        <v>40</v>
      </c>
      <c r="X1854">
        <f t="shared" si="223"/>
        <v>0</v>
      </c>
      <c r="Y1854" s="143">
        <f t="shared" si="217"/>
        <v>-951.47368421060355</v>
      </c>
    </row>
    <row r="1855" spans="1:25" x14ac:dyDescent="0.25">
      <c r="A1855">
        <f t="shared" si="221"/>
        <v>1848</v>
      </c>
      <c r="B1855" s="88" t="str">
        <f>IF(OR(B1854="Total",B1854=""),"",IF(VLOOKUP(A1855,Journal!$B$7:$E$84,4)=0,"Total",VLOOKUP(A1855,Journal!$B$7:$D$84,3)))</f>
        <v/>
      </c>
      <c r="C1855" s="86" t="str">
        <f>IF(B1855="","",VLOOKUP(A1855,Journal!$B$7:$E$84,4))</f>
        <v/>
      </c>
      <c r="D1855" s="114" t="str">
        <f>IF(B1855="","",VLOOKUP(A1855,Journal!$B$7:$J$84,9))</f>
        <v/>
      </c>
      <c r="E1855" s="116"/>
      <c r="F1855" s="116"/>
      <c r="G1855" s="115"/>
      <c r="H1855" s="84" t="str">
        <f>IF(B1855="","",VLOOKUP(A1855,Journal!$B$7:$L$84,11))</f>
        <v/>
      </c>
      <c r="I1855" s="84" t="str">
        <f>IF(B1855="","",VLOOKUP(A1855,Journal!$B$7:$M$84,12))</f>
        <v/>
      </c>
      <c r="J1855" s="105">
        <f>IF(B1855="Total",SUM(J$8:J1854)+0.0001,IF(OR(B1855="",I$2=I1855),0,VLOOKUP(A1855,Journal!$B$7:M$84,8)))</f>
        <v>0</v>
      </c>
      <c r="K1855" s="102">
        <f>IF(B1855="Total",SUM(K$8:K1854)+0.0001,IF(OR(B1855="",J1855&lt;&gt;0),0,VLOOKUP(A1855,Journal!$B$7:M$84,8)))</f>
        <v>0</v>
      </c>
      <c r="L1855" s="87">
        <f t="shared" si="219"/>
        <v>0</v>
      </c>
      <c r="P1855">
        <f t="shared" si="220"/>
        <v>1.0000000000000001E-5</v>
      </c>
      <c r="R1855" s="15">
        <f t="shared" si="222"/>
        <v>1848</v>
      </c>
      <c r="S1855" s="126">
        <f>IF(VLOOKUP(A1855,Journal!$A$7:$E$70,5)=0,S1854+1,VLOOKUP(A1855,Journal!$A$7:$E$70,5))</f>
        <v>47505</v>
      </c>
      <c r="T1855" s="125">
        <f>IF(H$2=VLOOKUP(A1855,Journal!$A$7:$F$70,6),VLOOKUP(A1855,Journal!$A$7:M$70,9),0)</f>
        <v>0</v>
      </c>
      <c r="U1855" s="125">
        <f>IF(H$2=VLOOKUP(A1855,Journal!$A$7:$G$70,7),VLOOKUP(A1855,Journal!$A$7:M$70,9),0)</f>
        <v>0</v>
      </c>
      <c r="V1855" s="125">
        <f t="shared" si="218"/>
        <v>40</v>
      </c>
      <c r="X1855">
        <f t="shared" si="223"/>
        <v>0</v>
      </c>
      <c r="Y1855" s="143">
        <f t="shared" si="217"/>
        <v>-951.44736842112991</v>
      </c>
    </row>
    <row r="1856" spans="1:25" x14ac:dyDescent="0.25">
      <c r="A1856">
        <f t="shared" si="221"/>
        <v>1849</v>
      </c>
      <c r="B1856" s="88" t="str">
        <f>IF(OR(B1855="Total",B1855=""),"",IF(VLOOKUP(A1856,Journal!$B$7:$E$84,4)=0,"Total",VLOOKUP(A1856,Journal!$B$7:$D$84,3)))</f>
        <v/>
      </c>
      <c r="C1856" s="86" t="str">
        <f>IF(B1856="","",VLOOKUP(A1856,Journal!$B$7:$E$84,4))</f>
        <v/>
      </c>
      <c r="D1856" s="114" t="str">
        <f>IF(B1856="","",VLOOKUP(A1856,Journal!$B$7:$J$84,9))</f>
        <v/>
      </c>
      <c r="E1856" s="116"/>
      <c r="F1856" s="116"/>
      <c r="G1856" s="115"/>
      <c r="H1856" s="84" t="str">
        <f>IF(B1856="","",VLOOKUP(A1856,Journal!$B$7:$L$84,11))</f>
        <v/>
      </c>
      <c r="I1856" s="84" t="str">
        <f>IF(B1856="","",VLOOKUP(A1856,Journal!$B$7:$M$84,12))</f>
        <v/>
      </c>
      <c r="J1856" s="105">
        <f>IF(B1856="Total",SUM(J$8:J1855)+0.0001,IF(OR(B1856="",I$2=I1856),0,VLOOKUP(A1856,Journal!$B$7:M$84,8)))</f>
        <v>0</v>
      </c>
      <c r="K1856" s="102">
        <f>IF(B1856="Total",SUM(K$8:K1855)+0.0001,IF(OR(B1856="",J1856&lt;&gt;0),0,VLOOKUP(A1856,Journal!$B$7:M$84,8)))</f>
        <v>0</v>
      </c>
      <c r="L1856" s="87">
        <f t="shared" si="219"/>
        <v>0</v>
      </c>
      <c r="P1856">
        <f t="shared" si="220"/>
        <v>1.0000000000000001E-5</v>
      </c>
    </row>
    <row r="1857" spans="2:16" x14ac:dyDescent="0.25">
      <c r="B1857" s="84" t="s">
        <v>81</v>
      </c>
      <c r="C1857" s="86"/>
      <c r="D1857" s="89" t="s">
        <v>65</v>
      </c>
      <c r="E1857" s="89"/>
      <c r="F1857" s="89"/>
      <c r="G1857" s="89"/>
      <c r="H1857" s="84"/>
      <c r="I1857" s="84"/>
      <c r="J1857" s="87">
        <f>SUM(J8:J1856)/2+0.00005</f>
        <v>40.000100000000003</v>
      </c>
      <c r="K1857" s="87">
        <f>SUM(K8:K1856)/2+0.00005</f>
        <v>1E-4</v>
      </c>
      <c r="L1857" s="90">
        <f>L1856</f>
        <v>0</v>
      </c>
      <c r="P1857">
        <f t="shared" si="220"/>
        <v>1.0000000000000001E-5</v>
      </c>
    </row>
    <row r="1858" spans="2:16" x14ac:dyDescent="0.25">
      <c r="D1858" t="str">
        <f>IF(H1858="","",Journal!J88)</f>
        <v/>
      </c>
      <c r="H1858" t="str">
        <f>IF(AND(J1858=0,K1858=0),"",Journal!L88)</f>
        <v/>
      </c>
      <c r="I1858" t="str">
        <f>IF(H1858="","",Journal!M88)</f>
        <v/>
      </c>
      <c r="J1858" s="70"/>
      <c r="K1858" s="70"/>
      <c r="L1858" s="70"/>
    </row>
    <row r="1859" spans="2:16" x14ac:dyDescent="0.25">
      <c r="D1859" t="str">
        <f>IF(H1859="","",Journal!J89)</f>
        <v/>
      </c>
      <c r="H1859" t="str">
        <f>IF(AND(J1859=0,K1859=0),"",Journal!L89)</f>
        <v/>
      </c>
      <c r="I1859" t="str">
        <f>IF(H1859="","",Journal!M89)</f>
        <v/>
      </c>
      <c r="J1859" s="70"/>
      <c r="K1859" s="70"/>
      <c r="L1859" s="70"/>
    </row>
    <row r="1860" spans="2:16" x14ac:dyDescent="0.25">
      <c r="D1860" t="str">
        <f>IF(H1860="","",Journal!J90)</f>
        <v/>
      </c>
      <c r="H1860" t="str">
        <f>IF(AND(J1860=0,K1860=0),"",Journal!L90)</f>
        <v/>
      </c>
      <c r="I1860" t="str">
        <f>IF(H1860="","",Journal!M90)</f>
        <v/>
      </c>
      <c r="J1860" s="70"/>
      <c r="K1860" s="70"/>
      <c r="L1860" s="70"/>
    </row>
    <row r="1861" spans="2:16" x14ac:dyDescent="0.25">
      <c r="D1861" t="str">
        <f>IF(H1861="","",Journal!J91)</f>
        <v/>
      </c>
      <c r="H1861" t="str">
        <f>IF(AND(J1861=0,K1861=0),"",Journal!L91)</f>
        <v/>
      </c>
      <c r="I1861" t="str">
        <f>IF(H1861="","",Journal!M91)</f>
        <v/>
      </c>
      <c r="J1861" s="70"/>
      <c r="K1861" s="70"/>
      <c r="L1861" s="70"/>
    </row>
  </sheetData>
  <sheetProtection sheet="1" formatCells="0" formatColumns="0" formatRows="0" autoFilter="0"/>
  <autoFilter ref="B7:L7" xr:uid="{00000000-0001-0000-0800-000000000000}"/>
  <mergeCells count="5">
    <mergeCell ref="B4:L4"/>
    <mergeCell ref="H5:I5"/>
    <mergeCell ref="J5:K5"/>
    <mergeCell ref="B1:G2"/>
    <mergeCell ref="I3:L3"/>
  </mergeCells>
  <phoneticPr fontId="6" type="noConversion"/>
  <conditionalFormatting sqref="B8">
    <cfRule type="cellIs" dxfId="24" priority="45" stopIfTrue="1" operator="equal">
      <formula>"Total"</formula>
    </cfRule>
  </conditionalFormatting>
  <conditionalFormatting sqref="B9:B1856">
    <cfRule type="cellIs" dxfId="23" priority="4" stopIfTrue="1" operator="equal">
      <formula>"Total"</formula>
    </cfRule>
  </conditionalFormatting>
  <conditionalFormatting sqref="B1:G2">
    <cfRule type="cellIs" dxfId="22" priority="85" stopIfTrue="1" operator="equal">
      <formula>$N$14</formula>
    </cfRule>
  </conditionalFormatting>
  <conditionalFormatting sqref="B4:L4">
    <cfRule type="cellIs" dxfId="21" priority="59" stopIfTrue="1" operator="notEqual">
      <formula>$P$3</formula>
    </cfRule>
  </conditionalFormatting>
  <conditionalFormatting sqref="C8:G1856">
    <cfRule type="cellIs" dxfId="20" priority="3" stopIfTrue="1" operator="equal">
      <formula>0</formula>
    </cfRule>
  </conditionalFormatting>
  <conditionalFormatting sqref="H7:I1857">
    <cfRule type="cellIs" dxfId="19" priority="6" stopIfTrue="1" operator="equal">
      <formula>$I$2</formula>
    </cfRule>
  </conditionalFormatting>
  <conditionalFormatting sqref="I8:I1856">
    <cfRule type="cellIs" dxfId="18" priority="8" stopIfTrue="1" operator="equal">
      <formula>0</formula>
    </cfRule>
  </conditionalFormatting>
  <conditionalFormatting sqref="J8:J1856">
    <cfRule type="cellIs" dxfId="17" priority="2" stopIfTrue="1" operator="equal">
      <formula>$J$1857</formula>
    </cfRule>
  </conditionalFormatting>
  <conditionalFormatting sqref="K8:K1856">
    <cfRule type="cellIs" dxfId="16" priority="1" stopIfTrue="1" operator="equal">
      <formula>$K$1857</formula>
    </cfRule>
  </conditionalFormatting>
  <conditionalFormatting sqref="L7">
    <cfRule type="cellIs" dxfId="15" priority="37" stopIfTrue="1" operator="equal">
      <formula>#REF!</formula>
    </cfRule>
  </conditionalFormatting>
  <conditionalFormatting sqref="L8:L1856">
    <cfRule type="cellIs" dxfId="14" priority="5" stopIfTrue="1" operator="equal">
      <formula>L7</formula>
    </cfRule>
  </conditionalFormatting>
  <conditionalFormatting sqref="L1858:L1861">
    <cfRule type="cellIs" dxfId="13" priority="35" stopIfTrue="1" operator="equal">
      <formula>L1857</formula>
    </cfRule>
  </conditionalFormatting>
  <pageMargins left="0.59055118110236227" right="0.59055118110236227" top="0.39370078740157483" bottom="0.59055118110236227" header="0.51181102362204722" footer="0.51181102362204722"/>
  <pageSetup paperSize="9" fitToHeight="0" orientation="landscape" r:id="rId1"/>
  <headerFooter alignWithMargins="0">
    <oddFooter>&amp;L&amp;8Ausdruck vom &amp;D, &amp;T&amp;C&amp;8vereinsbuchhaltung.ch&amp;R&amp;8Seite &amp;P/&amp;N</oddFooter>
  </headerFooter>
  <rowBreaks count="48" manualBreakCount="48">
    <brk id="39" min="1" max="11" man="1"/>
    <brk id="77" min="1" max="11" man="1"/>
    <brk id="115" min="1" max="11" man="1"/>
    <brk id="153" min="1" max="11" man="1"/>
    <brk id="191" min="1" max="11" man="1"/>
    <brk id="229" min="1" max="11" man="1"/>
    <brk id="267" min="1" max="11" man="1"/>
    <brk id="305" min="1" max="11" man="1"/>
    <brk id="343" min="1" max="11" man="1"/>
    <brk id="381" min="1" max="11" man="1"/>
    <brk id="419" min="1" max="11" man="1"/>
    <brk id="457" min="1" max="11" man="1"/>
    <brk id="495" min="1" max="11" man="1"/>
    <brk id="533" min="1" max="11" man="1"/>
    <brk id="571" min="1" max="11" man="1"/>
    <brk id="609" min="1" max="11" man="1"/>
    <brk id="647" min="1" max="11" man="1"/>
    <brk id="685" min="1" max="11" man="1"/>
    <brk id="723" min="1" max="11" man="1"/>
    <brk id="761" min="1" max="11" man="1"/>
    <brk id="799" min="1" max="11" man="1"/>
    <brk id="837" min="1" max="11" man="1"/>
    <brk id="875" min="1" max="11" man="1"/>
    <brk id="913" min="1" max="11" man="1"/>
    <brk id="951" min="1" max="11" man="1"/>
    <brk id="989" min="1" max="11" man="1"/>
    <brk id="1027" min="1" max="11" man="1"/>
    <brk id="1065" min="1" max="11" man="1"/>
    <brk id="1103" min="1" max="11" man="1"/>
    <brk id="1141" min="1" max="11" man="1"/>
    <brk id="1179" min="1" max="11" man="1"/>
    <brk id="1217" min="1" max="11" man="1"/>
    <brk id="1255" min="1" max="11" man="1"/>
    <brk id="1293" min="1" max="11" man="1"/>
    <brk id="1331" min="1" max="11" man="1"/>
    <brk id="1369" min="1" max="11" man="1"/>
    <brk id="1407" min="1" max="11" man="1"/>
    <brk id="1445" min="1" max="11" man="1"/>
    <brk id="1483" min="1" max="11" man="1"/>
    <brk id="1521" min="1" max="11" man="1"/>
    <brk id="1559" min="1" max="11" man="1"/>
    <brk id="1597" min="1" max="11" man="1"/>
    <brk id="1635" min="1" max="11" man="1"/>
    <brk id="1673" min="1" max="11" man="1"/>
    <brk id="1711" min="1" max="11" man="1"/>
    <brk id="1749" min="1" max="11" man="1"/>
    <brk id="1787" min="1" max="11" man="1"/>
    <brk id="1825" min="1"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T1023"/>
  <sheetViews>
    <sheetView topLeftCell="B1" workbookViewId="0">
      <pane ySplit="7" topLeftCell="A8" activePane="bottomLeft" state="frozen"/>
      <selection activeCell="B1" sqref="B1"/>
      <selection pane="bottomLeft" activeCell="F2" sqref="F2"/>
    </sheetView>
  </sheetViews>
  <sheetFormatPr baseColWidth="10" defaultRowHeight="12.5" x14ac:dyDescent="0.25"/>
  <cols>
    <col min="1" max="1" width="0" hidden="1" customWidth="1"/>
    <col min="2" max="2" width="6.54296875" customWidth="1"/>
    <col min="3" max="3" width="9.54296875" customWidth="1"/>
    <col min="4" max="4" width="42.7265625" customWidth="1"/>
    <col min="5" max="6" width="20.54296875" customWidth="1"/>
    <col min="7" max="8" width="11.26953125" customWidth="1"/>
    <col min="9" max="9" width="16.26953125" customWidth="1"/>
    <col min="10" max="10" width="7.1796875" customWidth="1"/>
    <col min="11" max="11" width="15.1796875" hidden="1" customWidth="1"/>
    <col min="12" max="14" width="14.81640625" hidden="1" customWidth="1"/>
    <col min="15" max="16" width="11.453125" hidden="1" customWidth="1"/>
    <col min="17" max="17" width="12" hidden="1" customWidth="1"/>
    <col min="18" max="18" width="11.453125" hidden="1" customWidth="1"/>
    <col min="19" max="19" width="4.90625" hidden="1" customWidth="1"/>
    <col min="20" max="20" width="87.453125" hidden="1" customWidth="1"/>
    <col min="21" max="23" width="11.453125" customWidth="1"/>
  </cols>
  <sheetData>
    <row r="1" spans="1:20" ht="13" x14ac:dyDescent="0.3">
      <c r="B1" s="319" t="str">
        <f>IF(F1="Bitte Kontenplan vervollständigen","","Nummer des ersten Erfolgskontos gem. Kontenplan: ")</f>
        <v xml:space="preserve">Nummer des ersten Erfolgskontos gem. Kontenplan: </v>
      </c>
      <c r="C1" s="319"/>
      <c r="D1" s="319"/>
      <c r="E1" s="319"/>
      <c r="F1" s="11">
        <f>IF(Kontenplan!AG8="","Bitte Kontenplan vervollständigen",Kontenplan!AJ8)</f>
        <v>3000</v>
      </c>
    </row>
    <row r="2" spans="1:20" ht="108" customHeight="1" thickBot="1" x14ac:dyDescent="0.35">
      <c r="A2" s="13"/>
      <c r="B2" s="320" t="str">
        <f>IF(B41&lt;&gt;"",P2,IF(AND(Journal!F7&lt;&gt;"",B8="Total"),"Sollten in der Projekabrechnung Buchungen fehlen, prüfen Sie bitte die im hellgelben Feld nebenan eingegebene Nummer. Sind auf diese korrekte Projektnummer bereits Buchungen erfolgt, prüfen Sie bitte im Journal, ob jeder Buchungssatz ein Datum hat.","Diese Projektabrechnung können Sie problemlos ausdrucken. 
Hinweis: Es werden lediglich Aufwände und Erträge betragsmässig berücksichtigt."))</f>
        <v>Sollten in der Projekabrechnung Buchungen fehlen, prüfen Sie bitte die im hellgelben Feld nebenan eingegebene Nummer. Sind auf diese korrekte Projektnummer bereits Buchungen erfolgt, prüfen Sie bitte im Journal, ob jeder Buchungssatz ein Datum hat.</v>
      </c>
      <c r="C2" s="320"/>
      <c r="D2" s="320"/>
      <c r="E2" s="75" t="s">
        <v>95</v>
      </c>
      <c r="F2" s="66">
        <v>1</v>
      </c>
      <c r="G2" s="137" t="str">
        <f>VLOOKUP(F2,Projektliste!C4:E184,2)</f>
        <v>Projekt 1</v>
      </c>
      <c r="H2" s="165"/>
      <c r="I2" s="137"/>
      <c r="J2" s="13"/>
      <c r="K2" s="13"/>
      <c r="L2" s="11"/>
      <c r="M2" s="11"/>
      <c r="N2" s="11"/>
      <c r="O2" s="13"/>
      <c r="P2" s="13" t="s">
        <v>0</v>
      </c>
      <c r="Q2" s="13"/>
      <c r="R2" s="13"/>
    </row>
    <row r="3" spans="1:20" s="15" customFormat="1" ht="15" customHeight="1" thickBot="1" x14ac:dyDescent="0.25">
      <c r="B3" s="94" t="str">
        <f>Calc!J2</f>
        <v/>
      </c>
      <c r="C3" s="95"/>
      <c r="D3" s="95"/>
      <c r="E3" s="96" t="str">
        <f>CONCATENATE("Abrechnung für Projekt ",G2)</f>
        <v>Abrechnung für Projekt Projekt 1</v>
      </c>
      <c r="F3" s="95"/>
      <c r="G3" s="97"/>
      <c r="H3" s="97"/>
      <c r="I3" s="98" t="str">
        <f>CONCATENATE(Journal!D1,": Geschäftsjahr ",Journal!D2)</f>
        <v>Hier Vereins-/ oder Firmennamen eingeben: Geschäftsjahr 20XX</v>
      </c>
      <c r="P3" s="15" t="str">
        <f>CONCATENATE(F2,": ",G2)</f>
        <v>1: Projekt 1</v>
      </c>
    </row>
    <row r="4" spans="1:20" ht="30.75" customHeight="1" x14ac:dyDescent="0.25">
      <c r="A4" s="13"/>
      <c r="B4" s="321" t="str">
        <f>IF(AND(Projektliste!C4="",Projektliste!D4=""),"Bitte Projektliste (korrekt) erstellen",IF(F2="","Bitte gültige Projektnummer im hellgelben Feld oben eingeben. Die #NV-Zeichen werden dann verschwinden",IF(AND(B8="Total",F2=P4),CONCATENATE("Keine Buchungen vorhanden für Projekt ",F2,": ",G2),IF(F2=P4,CONCATENATE(F2,": ",G2),CONCATENATE("Bitte Eingabe im hellgelben Feld oben prüfen. Die Projektnummer ",F2," existiert nicht in der Projektliste")))))</f>
        <v>Keine Buchungen vorhanden für Projekt 1: Projekt 1</v>
      </c>
      <c r="C4" s="321"/>
      <c r="D4" s="321"/>
      <c r="E4" s="321"/>
      <c r="F4" s="321"/>
      <c r="G4" s="321"/>
      <c r="H4" s="321"/>
      <c r="I4" s="321"/>
      <c r="J4" s="13"/>
      <c r="K4" s="13"/>
      <c r="L4" s="13"/>
      <c r="M4" s="13"/>
      <c r="N4" s="13"/>
      <c r="O4" s="13"/>
      <c r="P4" s="13">
        <f>VLOOKUP(F2,Projektliste!T4:T260,1)</f>
        <v>1</v>
      </c>
      <c r="Q4" s="13"/>
      <c r="R4" s="13"/>
    </row>
    <row r="5" spans="1:20" ht="15.75" customHeight="1" x14ac:dyDescent="0.3">
      <c r="A5" s="13" t="s">
        <v>58</v>
      </c>
      <c r="B5" s="91" t="s">
        <v>58</v>
      </c>
      <c r="C5" s="91" t="s">
        <v>62</v>
      </c>
      <c r="D5" s="91" t="s">
        <v>65</v>
      </c>
      <c r="E5" s="309" t="s">
        <v>63</v>
      </c>
      <c r="F5" s="309"/>
      <c r="G5" s="309" t="s">
        <v>64</v>
      </c>
      <c r="H5" s="309"/>
      <c r="I5" s="91" t="s">
        <v>82</v>
      </c>
      <c r="J5" s="69"/>
      <c r="K5" s="69"/>
      <c r="L5" s="108"/>
      <c r="M5" s="108"/>
      <c r="N5" s="108"/>
      <c r="O5" s="13"/>
      <c r="P5" s="13"/>
      <c r="Q5" s="13"/>
      <c r="R5" s="13"/>
    </row>
    <row r="6" spans="1:20" ht="13" x14ac:dyDescent="0.3">
      <c r="A6" s="13"/>
      <c r="B6" s="84"/>
      <c r="C6" s="84"/>
      <c r="D6" s="84"/>
      <c r="E6" s="104" t="s">
        <v>66</v>
      </c>
      <c r="F6" s="104" t="s">
        <v>67</v>
      </c>
      <c r="G6" s="107" t="s">
        <v>100</v>
      </c>
      <c r="H6" s="107" t="s">
        <v>101</v>
      </c>
      <c r="I6" s="85"/>
      <c r="J6" s="108"/>
      <c r="K6" s="108" t="s">
        <v>1</v>
      </c>
      <c r="L6" s="108" t="s">
        <v>2</v>
      </c>
      <c r="M6" s="140" t="s">
        <v>100</v>
      </c>
      <c r="N6" s="140" t="s">
        <v>101</v>
      </c>
      <c r="O6" s="13"/>
      <c r="P6" s="13"/>
      <c r="Q6" s="13"/>
      <c r="R6" s="13"/>
    </row>
    <row r="7" spans="1:20" ht="11.5" customHeight="1" x14ac:dyDescent="0.25">
      <c r="A7" s="13"/>
      <c r="B7" s="84"/>
      <c r="C7" s="86"/>
      <c r="D7" s="84"/>
      <c r="E7" s="84"/>
      <c r="F7" s="84"/>
      <c r="G7" s="87"/>
      <c r="H7" s="87"/>
      <c r="I7" s="87"/>
      <c r="J7" s="108"/>
      <c r="K7" s="108"/>
      <c r="L7" s="108"/>
      <c r="M7" s="108"/>
      <c r="N7" s="108"/>
      <c r="O7" s="13"/>
      <c r="P7" s="13"/>
      <c r="Q7" s="13"/>
      <c r="R7" s="13"/>
    </row>
    <row r="8" spans="1:20" x14ac:dyDescent="0.25">
      <c r="A8" s="13">
        <v>1</v>
      </c>
      <c r="B8" s="88" t="str">
        <f>IF(F2&lt;&gt;P4,"",IF(VLOOKUP(A8,Journal!$C$7:$E$84,3)=0,"Total",VLOOKUP(A8,Journal!$C$7:$D$84,2)))</f>
        <v>Total</v>
      </c>
      <c r="C8" s="86">
        <f>IF(B8="","",VLOOKUP(A8,Journal!$C$7:$E$84,3))</f>
        <v>0</v>
      </c>
      <c r="D8" s="84">
        <f>IF(B8="","",VLOOKUP(A8,Journal!$C$7:$J$84,8))</f>
        <v>0</v>
      </c>
      <c r="E8" s="84" t="str">
        <f>IF(B8="","",VLOOKUP(A8,Journal!$C$7:$L$84,10))</f>
        <v/>
      </c>
      <c r="F8" s="84" t="str">
        <f>IF(B8="","",VLOOKUP(A8,Journal!$C$7:$M$84,11))</f>
        <v/>
      </c>
      <c r="G8" s="102">
        <f>IF(B8="Total",0.0001,IF(OR(B8="",M8=0),0,VLOOKUP(A8,Journal!$C$7:M$84,7)))</f>
        <v>1E-4</v>
      </c>
      <c r="H8" s="102">
        <f>IF(B8="Total",0.0001,IF(OR(B8="",N8=0),0,VLOOKUP(A8,Journal!$C$7:M$84,7)))</f>
        <v>1E-4</v>
      </c>
      <c r="I8" s="87">
        <f>IF(B8="Total",I7,IF(B8="",0,I7+G8-H8))</f>
        <v>0</v>
      </c>
      <c r="J8" s="138"/>
      <c r="K8" s="13">
        <f>VLOOKUP(A8,Journal!$C$7:$M$84,4)</f>
        <v>0</v>
      </c>
      <c r="L8" s="13">
        <f>VLOOKUP(A8,Journal!$C$7:$M$84,5)</f>
        <v>0</v>
      </c>
      <c r="M8" s="13">
        <f>IF(AND(L8&gt;=$F$1,L8&lt;9999),1,0)</f>
        <v>0</v>
      </c>
      <c r="N8" s="13">
        <f>IF(AND(K8&gt;=$F$1,K8&lt;9999),1,0)</f>
        <v>0</v>
      </c>
      <c r="O8" s="13"/>
      <c r="P8" s="13"/>
      <c r="Q8" s="13"/>
      <c r="R8" s="13"/>
      <c r="T8" t="str">
        <f>IF(AND(G8&lt;&gt;0,B8&lt;&gt;"Total",G8=H8),"Beide Konten sind Erfolgskonten, weshalb Saldo gleich bleibt","")</f>
        <v/>
      </c>
    </row>
    <row r="9" spans="1:20" x14ac:dyDescent="0.25">
      <c r="A9" s="13">
        <f>A8+1</f>
        <v>2</v>
      </c>
      <c r="B9" s="88" t="str">
        <f>IF(OR(B8="Total",B8=""),"",IF(VLOOKUP(A9,Journal!$C$7:$E$84,3)=0,"Total",VLOOKUP(A9,Journal!$C$7:$D$84,2)))</f>
        <v/>
      </c>
      <c r="C9" s="86" t="str">
        <f>IF(B9="","",VLOOKUP(A9,Journal!$C$7:$E$84,3))</f>
        <v/>
      </c>
      <c r="D9" s="84" t="str">
        <f>IF(B9="","",VLOOKUP(A9,Journal!$C$7:$J$84,8))</f>
        <v/>
      </c>
      <c r="E9" s="84" t="str">
        <f>IF(B9="","",VLOOKUP(A9,Journal!$C$7:$L$84,10))</f>
        <v/>
      </c>
      <c r="F9" s="84" t="str">
        <f>IF(B9="","",VLOOKUP(A9,Journal!$C$7:$M$84,11))</f>
        <v/>
      </c>
      <c r="G9" s="102">
        <f>IF(B9="Total",SUM(G$8:G8)+0.0001,IF(OR(B9="",M9=0),0,VLOOKUP(A9,Journal!$C$7:M$84,7)))</f>
        <v>0</v>
      </c>
      <c r="H9" s="102">
        <f>IF(B9="Total",SUM(H8:H$8)+0.0001,IF(OR(B9="",N9=0),0,VLOOKUP(A9,Journal!$C$7:M$84,7)))</f>
        <v>0</v>
      </c>
      <c r="I9" s="87">
        <f>IF(B9="Total",I8,IF(B9="",0,I8+G9-H9))</f>
        <v>0</v>
      </c>
      <c r="J9" s="138"/>
      <c r="K9" s="13">
        <f>VLOOKUP(A9,Journal!$C$7:$M$84,4)</f>
        <v>0</v>
      </c>
      <c r="L9" s="13">
        <f>VLOOKUP(A9,Journal!$C$7:$M$84,5)</f>
        <v>0</v>
      </c>
      <c r="M9" s="13">
        <f>IF(AND(L9&gt;=$F$1,L9&lt;9999),1,0)</f>
        <v>0</v>
      </c>
      <c r="N9" s="13">
        <f t="shared" ref="N9:N24" si="0">IF(AND(K9&gt;=$F$1,K9&lt;9999),1,0)</f>
        <v>0</v>
      </c>
      <c r="O9" s="13"/>
      <c r="P9" s="13">
        <f>IF(I8=I9,I8+0.00001,I9)</f>
        <v>1.0000000000000001E-5</v>
      </c>
      <c r="Q9" s="13"/>
      <c r="R9" s="13"/>
      <c r="T9" t="str">
        <f t="shared" ref="T9:T72" si="1">IF(AND(G9&lt;&gt;0,B9&lt;&gt;"Total",G9=H9),"Beide Konten sind Erfolgskonten, weshalb Saldo gleich bleibt","")</f>
        <v/>
      </c>
    </row>
    <row r="10" spans="1:20" x14ac:dyDescent="0.25">
      <c r="A10" s="13">
        <f>A9+1</f>
        <v>3</v>
      </c>
      <c r="B10" s="88" t="str">
        <f>IF(OR(B9="Total",B9=""),"",IF(VLOOKUP(A10,Journal!$C$7:$E$84,3)=0,"Total",VLOOKUP(A10,Journal!$C$7:$D$84,2)))</f>
        <v/>
      </c>
      <c r="C10" s="86" t="str">
        <f>IF(B10="","",VLOOKUP(A10,Journal!$C$7:$E$84,3))</f>
        <v/>
      </c>
      <c r="D10" s="84" t="str">
        <f>IF(B10="","",VLOOKUP(A10,Journal!$C$7:$J$84,8))</f>
        <v/>
      </c>
      <c r="E10" s="84" t="str">
        <f>IF(B10="","",VLOOKUP(A10,Journal!$C$7:$L$84,10))</f>
        <v/>
      </c>
      <c r="F10" s="84" t="str">
        <f>IF(B10="","",VLOOKUP(A10,Journal!$C$7:$M$84,11))</f>
        <v/>
      </c>
      <c r="G10" s="102">
        <f>IF(B10="Total",SUM(G$8:G9)+0.0001,IF(OR(B10="",M10=0),0,VLOOKUP(A10,Journal!$C$7:M$84,7)))</f>
        <v>0</v>
      </c>
      <c r="H10" s="102">
        <f>IF(B10="Total",SUM(H$8:H9)+0.0001,IF(OR(B10="",N10=0),0,VLOOKUP(A10,Journal!$C$7:M$84,7)))</f>
        <v>0</v>
      </c>
      <c r="I10" s="87">
        <f t="shared" ref="I10:I73" si="2">IF(B10="Total",I9,IF(B10="",0,I9+G10-H10))</f>
        <v>0</v>
      </c>
      <c r="J10" s="138"/>
      <c r="K10" s="13">
        <f>VLOOKUP(A10,Journal!$C$7:$M$84,4)</f>
        <v>0</v>
      </c>
      <c r="L10" s="13">
        <f>VLOOKUP(A10,Journal!$C$7:$M$84,5)</f>
        <v>0</v>
      </c>
      <c r="M10" s="13">
        <f t="shared" ref="M10:M24" si="3">IF(AND(L10&gt;=$F$1,L10&lt;9999),1,0)</f>
        <v>0</v>
      </c>
      <c r="N10" s="13">
        <f t="shared" si="0"/>
        <v>0</v>
      </c>
      <c r="O10" s="13"/>
      <c r="P10" s="13">
        <f t="shared" ref="P10:P24" si="4">IF(I9=I10,I9+0.00001,I10)</f>
        <v>1.0000000000000001E-5</v>
      </c>
      <c r="Q10" s="13"/>
      <c r="R10" s="13"/>
      <c r="T10" t="str">
        <f t="shared" si="1"/>
        <v/>
      </c>
    </row>
    <row r="11" spans="1:20" x14ac:dyDescent="0.25">
      <c r="A11" s="13">
        <f t="shared" ref="A11:A74" si="5">A10+1</f>
        <v>4</v>
      </c>
      <c r="B11" s="88" t="str">
        <f>IF(OR(B10="Total",B10=""),"",IF(VLOOKUP(A11,Journal!$C$7:$E$84,3)=0,"Total",VLOOKUP(A11,Journal!$C$7:$D$84,2)))</f>
        <v/>
      </c>
      <c r="C11" s="86" t="str">
        <f>IF(B11="","",VLOOKUP(A11,Journal!$C$7:$E$84,3))</f>
        <v/>
      </c>
      <c r="D11" s="84" t="str">
        <f>IF(B11="","",VLOOKUP(A11,Journal!$C$7:$J$84,8))</f>
        <v/>
      </c>
      <c r="E11" s="84" t="str">
        <f>IF(B11="","",VLOOKUP(A11,Journal!$C$7:$L$84,10))</f>
        <v/>
      </c>
      <c r="F11" s="84" t="str">
        <f>IF(B11="","",VLOOKUP(A11,Journal!$C$7:$M$84,11))</f>
        <v/>
      </c>
      <c r="G11" s="102">
        <f>IF(B11="Total",SUM(G$8:G10)+0.0001,IF(OR(B11="",M11=0),0,VLOOKUP(A11,Journal!$C$7:M$84,7)))</f>
        <v>0</v>
      </c>
      <c r="H11" s="102">
        <f>IF(B11="Total",SUM(H$8:H10)+0.0001,IF(OR(B11="",N11=0),0,VLOOKUP(A11,Journal!$C$7:M$84,7)))</f>
        <v>0</v>
      </c>
      <c r="I11" s="87">
        <f t="shared" si="2"/>
        <v>0</v>
      </c>
      <c r="J11" s="138"/>
      <c r="K11" s="13">
        <f>VLOOKUP(A11,Journal!$C$7:$M$84,4)</f>
        <v>0</v>
      </c>
      <c r="L11" s="13">
        <f>VLOOKUP(A11,Journal!$C$7:$M$84,5)</f>
        <v>0</v>
      </c>
      <c r="M11" s="13">
        <f t="shared" si="3"/>
        <v>0</v>
      </c>
      <c r="N11" s="13">
        <f t="shared" si="0"/>
        <v>0</v>
      </c>
      <c r="O11" s="13"/>
      <c r="P11" s="13">
        <f t="shared" si="4"/>
        <v>1.0000000000000001E-5</v>
      </c>
      <c r="Q11" s="13"/>
      <c r="R11" s="13"/>
      <c r="T11" t="str">
        <f t="shared" si="1"/>
        <v/>
      </c>
    </row>
    <row r="12" spans="1:20" x14ac:dyDescent="0.25">
      <c r="A12" s="13">
        <f t="shared" si="5"/>
        <v>5</v>
      </c>
      <c r="B12" s="88" t="str">
        <f>IF(OR(B11="Total",B11=""),"",IF(VLOOKUP(A12,Journal!$C$7:$E$84,3)=0,"Total",VLOOKUP(A12,Journal!$C$7:$D$84,2)))</f>
        <v/>
      </c>
      <c r="C12" s="86" t="str">
        <f>IF(B12="","",VLOOKUP(A12,Journal!$C$7:$E$84,3))</f>
        <v/>
      </c>
      <c r="D12" s="84" t="str">
        <f>IF(B12="","",VLOOKUP(A12,Journal!$C$7:$J$84,8))</f>
        <v/>
      </c>
      <c r="E12" s="84" t="str">
        <f>IF(B12="","",VLOOKUP(A12,Journal!$C$7:$L$84,10))</f>
        <v/>
      </c>
      <c r="F12" s="84" t="str">
        <f>IF(B12="","",VLOOKUP(A12,Journal!$C$7:$M$84,11))</f>
        <v/>
      </c>
      <c r="G12" s="102">
        <f>IF(B12="Total",SUM(G$8:G11)+0.0001,IF(OR(B12="",M12=0),0,VLOOKUP(A12,Journal!$C$7:M$84,7)))</f>
        <v>0</v>
      </c>
      <c r="H12" s="102">
        <f>IF(B12="Total",SUM(H$8:H11)+0.0001,IF(OR(B12="",N12=0),0,VLOOKUP(A12,Journal!$C$7:M$84,7)))</f>
        <v>0</v>
      </c>
      <c r="I12" s="87">
        <f t="shared" si="2"/>
        <v>0</v>
      </c>
      <c r="J12" s="138"/>
      <c r="K12" s="13">
        <f>VLOOKUP(A12,Journal!$C$7:$M$84,4)</f>
        <v>0</v>
      </c>
      <c r="L12" s="13">
        <f>VLOOKUP(A12,Journal!$C$7:$M$84,5)</f>
        <v>0</v>
      </c>
      <c r="M12" s="13">
        <f t="shared" si="3"/>
        <v>0</v>
      </c>
      <c r="N12" s="13">
        <f t="shared" si="0"/>
        <v>0</v>
      </c>
      <c r="O12" s="13"/>
      <c r="P12" s="13">
        <f t="shared" si="4"/>
        <v>1.0000000000000001E-5</v>
      </c>
      <c r="Q12" s="13"/>
      <c r="R12" s="13"/>
      <c r="T12" t="str">
        <f t="shared" si="1"/>
        <v/>
      </c>
    </row>
    <row r="13" spans="1:20" x14ac:dyDescent="0.25">
      <c r="A13" s="13">
        <f t="shared" si="5"/>
        <v>6</v>
      </c>
      <c r="B13" s="88" t="str">
        <f>IF(OR(B12="Total",B12=""),"",IF(VLOOKUP(A13,Journal!$C$7:$E$84,3)=0,"Total",VLOOKUP(A13,Journal!$C$7:$D$84,2)))</f>
        <v/>
      </c>
      <c r="C13" s="86" t="str">
        <f>IF(B13="","",VLOOKUP(A13,Journal!$C$7:$E$84,3))</f>
        <v/>
      </c>
      <c r="D13" s="84" t="str">
        <f>IF(B13="","",VLOOKUP(A13,Journal!$C$7:$J$84,8))</f>
        <v/>
      </c>
      <c r="E13" s="84" t="str">
        <f>IF(B13="","",VLOOKUP(A13,Journal!$C$7:$L$84,10))</f>
        <v/>
      </c>
      <c r="F13" s="84" t="str">
        <f>IF(B13="","",VLOOKUP(A13,Journal!$C$7:$M$84,11))</f>
        <v/>
      </c>
      <c r="G13" s="102">
        <f>IF(B13="Total",SUM(G$8:G12)+0.0001,IF(OR(B13="",M13=0),0,VLOOKUP(A13,Journal!$C$7:M$84,7)))</f>
        <v>0</v>
      </c>
      <c r="H13" s="102">
        <f>IF(B13="Total",SUM(H$8:H12)+0.0001,IF(OR(B13="",N13=0),0,VLOOKUP(A13,Journal!$C$7:M$84,7)))</f>
        <v>0</v>
      </c>
      <c r="I13" s="87">
        <f t="shared" si="2"/>
        <v>0</v>
      </c>
      <c r="J13" s="138"/>
      <c r="K13" s="13">
        <f>VLOOKUP(A13,Journal!$C$7:$M$84,4)</f>
        <v>0</v>
      </c>
      <c r="L13" s="13">
        <f>VLOOKUP(A13,Journal!$C$7:$M$84,5)</f>
        <v>0</v>
      </c>
      <c r="M13" s="13">
        <f t="shared" si="3"/>
        <v>0</v>
      </c>
      <c r="N13" s="13">
        <f t="shared" si="0"/>
        <v>0</v>
      </c>
      <c r="O13" s="13"/>
      <c r="P13" s="13">
        <f t="shared" si="4"/>
        <v>1.0000000000000001E-5</v>
      </c>
      <c r="Q13" s="13"/>
      <c r="R13" s="13"/>
      <c r="T13" t="str">
        <f t="shared" si="1"/>
        <v/>
      </c>
    </row>
    <row r="14" spans="1:20" x14ac:dyDescent="0.25">
      <c r="A14" s="13">
        <f t="shared" si="5"/>
        <v>7</v>
      </c>
      <c r="B14" s="88" t="str">
        <f>IF(OR(B13="Total",B13=""),"",IF(VLOOKUP(A14,Journal!$C$7:$E$84,3)=0,"Total",VLOOKUP(A14,Journal!$C$7:$D$84,2)))</f>
        <v/>
      </c>
      <c r="C14" s="86" t="str">
        <f>IF(B14="","",VLOOKUP(A14,Journal!$C$7:$E$84,3))</f>
        <v/>
      </c>
      <c r="D14" s="84" t="str">
        <f>IF(B14="","",VLOOKUP(A14,Journal!$C$7:$J$84,8))</f>
        <v/>
      </c>
      <c r="E14" s="84" t="str">
        <f>IF(B14="","",VLOOKUP(A14,Journal!$C$7:$L$84,10))</f>
        <v/>
      </c>
      <c r="F14" s="84" t="str">
        <f>IF(B14="","",VLOOKUP(A14,Journal!$C$7:$M$84,11))</f>
        <v/>
      </c>
      <c r="G14" s="102">
        <f>IF(B14="Total",SUM(G$8:G13)+0.0001,IF(OR(B14="",M14=0),0,VLOOKUP(A14,Journal!$C$7:M$84,7)))</f>
        <v>0</v>
      </c>
      <c r="H14" s="102">
        <f>IF(B14="Total",SUM(H$8:H13)+0.0001,IF(OR(B14="",N14=0),0,VLOOKUP(A14,Journal!$C$7:M$84,7)))</f>
        <v>0</v>
      </c>
      <c r="I14" s="87">
        <f t="shared" si="2"/>
        <v>0</v>
      </c>
      <c r="J14" s="138"/>
      <c r="K14" s="13">
        <f>VLOOKUP(A14,Journal!$C$7:$M$84,4)</f>
        <v>0</v>
      </c>
      <c r="L14" s="13">
        <f>VLOOKUP(A14,Journal!$C$7:$M$84,5)</f>
        <v>0</v>
      </c>
      <c r="M14" s="13">
        <f t="shared" si="3"/>
        <v>0</v>
      </c>
      <c r="N14" s="13">
        <f t="shared" si="0"/>
        <v>0</v>
      </c>
      <c r="O14" s="13"/>
      <c r="P14" s="13">
        <f t="shared" si="4"/>
        <v>1.0000000000000001E-5</v>
      </c>
      <c r="Q14" s="13"/>
      <c r="R14" s="13"/>
      <c r="T14" t="str">
        <f t="shared" si="1"/>
        <v/>
      </c>
    </row>
    <row r="15" spans="1:20" x14ac:dyDescent="0.25">
      <c r="A15" s="13">
        <f t="shared" si="5"/>
        <v>8</v>
      </c>
      <c r="B15" s="88" t="str">
        <f>IF(OR(B14="Total",B14=""),"",IF(VLOOKUP(A15,Journal!$C$7:$E$84,3)=0,"Total",VLOOKUP(A15,Journal!$C$7:$D$84,2)))</f>
        <v/>
      </c>
      <c r="C15" s="86" t="str">
        <f>IF(B15="","",VLOOKUP(A15,Journal!$C$7:$E$84,3))</f>
        <v/>
      </c>
      <c r="D15" s="84" t="str">
        <f>IF(B15="","",VLOOKUP(A15,Journal!$C$7:$J$84,8))</f>
        <v/>
      </c>
      <c r="E15" s="84" t="str">
        <f>IF(B15="","",VLOOKUP(A15,Journal!$C$7:$L$84,10))</f>
        <v/>
      </c>
      <c r="F15" s="84" t="str">
        <f>IF(B15="","",VLOOKUP(A15,Journal!$C$7:$M$84,11))</f>
        <v/>
      </c>
      <c r="G15" s="102">
        <f>IF(B15="Total",SUM(G$8:G14)+0.0001,IF(OR(B15="",M15=0),0,VLOOKUP(A15,Journal!$C$7:M$84,7)))</f>
        <v>0</v>
      </c>
      <c r="H15" s="102">
        <f>IF(B15="Total",SUM(H$8:H14)+0.0001,IF(OR(B15="",N15=0),0,VLOOKUP(A15,Journal!$C$7:M$84,7)))</f>
        <v>0</v>
      </c>
      <c r="I15" s="87">
        <f t="shared" si="2"/>
        <v>0</v>
      </c>
      <c r="J15" s="138"/>
      <c r="K15" s="13">
        <f>VLOOKUP(A15,Journal!$C$7:$M$84,4)</f>
        <v>0</v>
      </c>
      <c r="L15" s="13">
        <f>VLOOKUP(A15,Journal!$C$7:$M$84,5)</f>
        <v>0</v>
      </c>
      <c r="M15" s="13">
        <f t="shared" si="3"/>
        <v>0</v>
      </c>
      <c r="N15" s="13">
        <f t="shared" si="0"/>
        <v>0</v>
      </c>
      <c r="O15" s="13"/>
      <c r="P15" s="13">
        <f t="shared" si="4"/>
        <v>1.0000000000000001E-5</v>
      </c>
      <c r="Q15" s="13"/>
      <c r="R15" s="13"/>
      <c r="T15" t="str">
        <f t="shared" si="1"/>
        <v/>
      </c>
    </row>
    <row r="16" spans="1:20" x14ac:dyDescent="0.25">
      <c r="A16" s="13">
        <f t="shared" si="5"/>
        <v>9</v>
      </c>
      <c r="B16" s="88" t="str">
        <f>IF(OR(B15="Total",B15=""),"",IF(VLOOKUP(A16,Journal!$C$7:$E$84,3)=0,"Total",VLOOKUP(A16,Journal!$C$7:$D$84,2)))</f>
        <v/>
      </c>
      <c r="C16" s="86" t="str">
        <f>IF(B16="","",VLOOKUP(A16,Journal!$C$7:$E$84,3))</f>
        <v/>
      </c>
      <c r="D16" s="84" t="str">
        <f>IF(B16="","",VLOOKUP(A16,Journal!$C$7:$J$84,8))</f>
        <v/>
      </c>
      <c r="E16" s="84" t="str">
        <f>IF(B16="","",VLOOKUP(A16,Journal!$C$7:$L$84,10))</f>
        <v/>
      </c>
      <c r="F16" s="84" t="str">
        <f>IF(B16="","",VLOOKUP(A16,Journal!$C$7:$M$84,11))</f>
        <v/>
      </c>
      <c r="G16" s="102">
        <f>IF(B16="Total",SUM(G$8:G15)+0.0001,IF(OR(B16="",M16=0),0,VLOOKUP(A16,Journal!$C$7:M$84,7)))</f>
        <v>0</v>
      </c>
      <c r="H16" s="102">
        <f>IF(B16="Total",SUM(H$8:H15)+0.0001,IF(OR(B16="",N16=0),0,VLOOKUP(A16,Journal!$C$7:M$84,7)))</f>
        <v>0</v>
      </c>
      <c r="I16" s="87">
        <f t="shared" si="2"/>
        <v>0</v>
      </c>
      <c r="J16" s="138"/>
      <c r="K16" s="13">
        <f>VLOOKUP(A16,Journal!$C$7:$M$84,4)</f>
        <v>0</v>
      </c>
      <c r="L16" s="13">
        <f>VLOOKUP(A16,Journal!$C$7:$M$84,5)</f>
        <v>0</v>
      </c>
      <c r="M16" s="13">
        <f t="shared" si="3"/>
        <v>0</v>
      </c>
      <c r="N16" s="13">
        <f t="shared" si="0"/>
        <v>0</v>
      </c>
      <c r="O16" s="13"/>
      <c r="P16" s="13">
        <f t="shared" si="4"/>
        <v>1.0000000000000001E-5</v>
      </c>
      <c r="Q16" s="13"/>
      <c r="R16" s="13"/>
      <c r="T16" t="str">
        <f t="shared" si="1"/>
        <v/>
      </c>
    </row>
    <row r="17" spans="1:20" x14ac:dyDescent="0.25">
      <c r="A17" s="13">
        <f t="shared" si="5"/>
        <v>10</v>
      </c>
      <c r="B17" s="88" t="str">
        <f>IF(OR(B16="Total",B16=""),"",IF(VLOOKUP(A17,Journal!$C$7:$E$84,3)=0,"Total",VLOOKUP(A17,Journal!$C$7:$D$84,2)))</f>
        <v/>
      </c>
      <c r="C17" s="86" t="str">
        <f>IF(B17="","",VLOOKUP(A17,Journal!$C$7:$E$84,3))</f>
        <v/>
      </c>
      <c r="D17" s="84" t="str">
        <f>IF(B17="","",VLOOKUP(A17,Journal!$C$7:$J$84,8))</f>
        <v/>
      </c>
      <c r="E17" s="84" t="str">
        <f>IF(B17="","",VLOOKUP(A17,Journal!$C$7:$L$84,10))</f>
        <v/>
      </c>
      <c r="F17" s="84" t="str">
        <f>IF(B17="","",VLOOKUP(A17,Journal!$C$7:$M$84,11))</f>
        <v/>
      </c>
      <c r="G17" s="102">
        <f>IF(B17="Total",SUM(G$8:G16)+0.0001,IF(OR(B17="",M17=0),0,VLOOKUP(A17,Journal!$C$7:M$84,7)))</f>
        <v>0</v>
      </c>
      <c r="H17" s="102">
        <f>IF(B17="Total",SUM(H$8:H16)+0.0001,IF(OR(B17="",N17=0),0,VLOOKUP(A17,Journal!$C$7:M$84,7)))</f>
        <v>0</v>
      </c>
      <c r="I17" s="87">
        <f t="shared" si="2"/>
        <v>0</v>
      </c>
      <c r="J17" s="138"/>
      <c r="K17" s="13">
        <f>VLOOKUP(A17,Journal!$C$7:$M$84,4)</f>
        <v>0</v>
      </c>
      <c r="L17" s="13">
        <f>VLOOKUP(A17,Journal!$C$7:$M$84,5)</f>
        <v>0</v>
      </c>
      <c r="M17" s="13">
        <f t="shared" si="3"/>
        <v>0</v>
      </c>
      <c r="N17" s="13">
        <f t="shared" si="0"/>
        <v>0</v>
      </c>
      <c r="O17" s="13"/>
      <c r="P17" s="13">
        <f t="shared" si="4"/>
        <v>1.0000000000000001E-5</v>
      </c>
      <c r="Q17" s="13"/>
      <c r="R17" s="13"/>
      <c r="T17" t="str">
        <f t="shared" si="1"/>
        <v/>
      </c>
    </row>
    <row r="18" spans="1:20" x14ac:dyDescent="0.25">
      <c r="A18" s="13">
        <f t="shared" si="5"/>
        <v>11</v>
      </c>
      <c r="B18" s="88" t="str">
        <f>IF(OR(B17="Total",B17=""),"",IF(VLOOKUP(A18,Journal!$C$7:$E$84,3)=0,"Total",VLOOKUP(A18,Journal!$C$7:$D$84,2)))</f>
        <v/>
      </c>
      <c r="C18" s="86" t="str">
        <f>IF(B18="","",VLOOKUP(A18,Journal!$C$7:$E$84,3))</f>
        <v/>
      </c>
      <c r="D18" s="84" t="str">
        <f>IF(B18="","",VLOOKUP(A18,Journal!$C$7:$J$84,8))</f>
        <v/>
      </c>
      <c r="E18" s="84" t="str">
        <f>IF(B18="","",VLOOKUP(A18,Journal!$C$7:$L$84,10))</f>
        <v/>
      </c>
      <c r="F18" s="84" t="str">
        <f>IF(B18="","",VLOOKUP(A18,Journal!$C$7:$M$84,11))</f>
        <v/>
      </c>
      <c r="G18" s="102">
        <f>IF(B18="Total",SUM(G$8:G17)+0.0001,IF(OR(B18="",M18=0),0,VLOOKUP(A18,Journal!$C$7:M$84,7)))</f>
        <v>0</v>
      </c>
      <c r="H18" s="102">
        <f>IF(B18="Total",SUM(H$8:H17)+0.0001,IF(OR(B18="",N18=0),0,VLOOKUP(A18,Journal!$C$7:M$84,7)))</f>
        <v>0</v>
      </c>
      <c r="I18" s="87">
        <f t="shared" si="2"/>
        <v>0</v>
      </c>
      <c r="J18" s="138"/>
      <c r="K18" s="13">
        <f>VLOOKUP(A18,Journal!$C$7:$M$84,4)</f>
        <v>0</v>
      </c>
      <c r="L18" s="13">
        <f>VLOOKUP(A18,Journal!$C$7:$M$84,5)</f>
        <v>0</v>
      </c>
      <c r="M18" s="13">
        <f t="shared" si="3"/>
        <v>0</v>
      </c>
      <c r="N18" s="13">
        <f t="shared" si="0"/>
        <v>0</v>
      </c>
      <c r="O18" s="13"/>
      <c r="P18" s="13">
        <f t="shared" si="4"/>
        <v>1.0000000000000001E-5</v>
      </c>
      <c r="Q18" s="13"/>
      <c r="R18" s="13"/>
      <c r="T18" t="str">
        <f t="shared" si="1"/>
        <v/>
      </c>
    </row>
    <row r="19" spans="1:20" x14ac:dyDescent="0.25">
      <c r="A19" s="13">
        <f t="shared" si="5"/>
        <v>12</v>
      </c>
      <c r="B19" s="88" t="str">
        <f>IF(OR(B18="Total",B18=""),"",IF(VLOOKUP(A19,Journal!$C$7:$E$84,3)=0,"Total",VLOOKUP(A19,Journal!$C$7:$D$84,2)))</f>
        <v/>
      </c>
      <c r="C19" s="86" t="str">
        <f>IF(B19="","",VLOOKUP(A19,Journal!$C$7:$E$84,3))</f>
        <v/>
      </c>
      <c r="D19" s="84" t="str">
        <f>IF(B19="","",VLOOKUP(A19,Journal!$C$7:$J$84,8))</f>
        <v/>
      </c>
      <c r="E19" s="84" t="str">
        <f>IF(B19="","",VLOOKUP(A19,Journal!$C$7:$L$84,10))</f>
        <v/>
      </c>
      <c r="F19" s="84" t="str">
        <f>IF(B19="","",VLOOKUP(A19,Journal!$C$7:$M$84,11))</f>
        <v/>
      </c>
      <c r="G19" s="102">
        <f>IF(B19="Total",SUM(G$8:G18)+0.0001,IF(OR(B19="",M19=0),0,VLOOKUP(A19,Journal!$C$7:M$84,7)))</f>
        <v>0</v>
      </c>
      <c r="H19" s="102">
        <f>IF(B19="Total",SUM(H$8:H18)+0.0001,IF(OR(B19="",N19=0),0,VLOOKUP(A19,Journal!$C$7:M$84,7)))</f>
        <v>0</v>
      </c>
      <c r="I19" s="87">
        <f t="shared" si="2"/>
        <v>0</v>
      </c>
      <c r="J19" s="138"/>
      <c r="K19" s="13">
        <f>VLOOKUP(A19,Journal!$C$7:$M$84,4)</f>
        <v>0</v>
      </c>
      <c r="L19" s="13">
        <f>VLOOKUP(A19,Journal!$C$7:$M$84,5)</f>
        <v>0</v>
      </c>
      <c r="M19" s="13">
        <f t="shared" si="3"/>
        <v>0</v>
      </c>
      <c r="N19" s="13">
        <f t="shared" si="0"/>
        <v>0</v>
      </c>
      <c r="O19" s="13"/>
      <c r="P19" s="13">
        <f t="shared" si="4"/>
        <v>1.0000000000000001E-5</v>
      </c>
      <c r="Q19" s="139"/>
      <c r="R19" s="13"/>
      <c r="T19" t="str">
        <f t="shared" si="1"/>
        <v/>
      </c>
    </row>
    <row r="20" spans="1:20" x14ac:dyDescent="0.25">
      <c r="A20" s="13">
        <f t="shared" si="5"/>
        <v>13</v>
      </c>
      <c r="B20" s="88" t="str">
        <f>IF(OR(B19="Total",B19=""),"",IF(VLOOKUP(A20,Journal!$C$7:$E$84,3)=0,"Total",VLOOKUP(A20,Journal!$C$7:$D$84,2)))</f>
        <v/>
      </c>
      <c r="C20" s="86" t="str">
        <f>IF(B20="","",VLOOKUP(A20,Journal!$C$7:$E$84,3))</f>
        <v/>
      </c>
      <c r="D20" s="84" t="str">
        <f>IF(B20="","",VLOOKUP(A20,Journal!$C$7:$J$84,8))</f>
        <v/>
      </c>
      <c r="E20" s="84" t="str">
        <f>IF(B20="","",VLOOKUP(A20,Journal!$C$7:$L$84,10))</f>
        <v/>
      </c>
      <c r="F20" s="84" t="str">
        <f>IF(B20="","",VLOOKUP(A20,Journal!$C$7:$M$84,11))</f>
        <v/>
      </c>
      <c r="G20" s="102">
        <f>IF(B20="Total",SUM(G$8:G19)+0.0001,IF(OR(B20="",M20=0),0,VLOOKUP(A20,Journal!$C$7:M$84,7)))</f>
        <v>0</v>
      </c>
      <c r="H20" s="102">
        <f>IF(B20="Total",SUM(H$8:H19)+0.0001,IF(OR(B20="",N20=0),0,VLOOKUP(A20,Journal!$C$7:M$84,7)))</f>
        <v>0</v>
      </c>
      <c r="I20" s="87">
        <f t="shared" si="2"/>
        <v>0</v>
      </c>
      <c r="J20" s="138"/>
      <c r="K20" s="13">
        <f>VLOOKUP(A20,Journal!$C$7:$M$84,4)</f>
        <v>0</v>
      </c>
      <c r="L20" s="13">
        <f>VLOOKUP(A20,Journal!$C$7:$M$84,5)</f>
        <v>0</v>
      </c>
      <c r="M20" s="13">
        <f t="shared" si="3"/>
        <v>0</v>
      </c>
      <c r="N20" s="13">
        <f t="shared" si="0"/>
        <v>0</v>
      </c>
      <c r="O20" s="13"/>
      <c r="P20" s="13">
        <f t="shared" si="4"/>
        <v>1.0000000000000001E-5</v>
      </c>
      <c r="Q20" s="13"/>
      <c r="R20" s="13"/>
      <c r="T20" t="str">
        <f t="shared" si="1"/>
        <v/>
      </c>
    </row>
    <row r="21" spans="1:20" x14ac:dyDescent="0.25">
      <c r="A21">
        <f t="shared" si="5"/>
        <v>14</v>
      </c>
      <c r="B21" s="88" t="str">
        <f>IF(OR(B20="Total",B20=""),"",IF(VLOOKUP(A21,Journal!$C$7:$E$84,3)=0,"Total",VLOOKUP(A21,Journal!$C$7:$D$84,2)))</f>
        <v/>
      </c>
      <c r="C21" s="86" t="str">
        <f>IF(B21="","",VLOOKUP(A21,Journal!$C$7:$E$84,3))</f>
        <v/>
      </c>
      <c r="D21" s="84" t="str">
        <f>IF(B21="","",VLOOKUP(A21,Journal!$C$7:$J$84,8))</f>
        <v/>
      </c>
      <c r="E21" s="84" t="str">
        <f>IF(B21="","",VLOOKUP(A21,Journal!$C$7:$L$84,10))</f>
        <v/>
      </c>
      <c r="F21" s="84" t="str">
        <f>IF(B21="","",VLOOKUP(A21,Journal!$C$7:$M$84,11))</f>
        <v/>
      </c>
      <c r="G21" s="102">
        <f>IF(B21="Total",SUM(G$8:G20)+0.0001,IF(OR(B21="",M21=0),0,VLOOKUP(A21,Journal!$C$7:M$84,7)))</f>
        <v>0</v>
      </c>
      <c r="H21" s="102">
        <f>IF(B21="Total",SUM(H$8:H20)+0.0001,IF(OR(B21="",N21=0),0,VLOOKUP(A21,Journal!$C$7:M$84,7)))</f>
        <v>0</v>
      </c>
      <c r="I21" s="87">
        <f t="shared" si="2"/>
        <v>0</v>
      </c>
      <c r="J21" s="103"/>
      <c r="K21" s="13">
        <f>VLOOKUP(A21,Journal!$C$7:$M$84,4)</f>
        <v>0</v>
      </c>
      <c r="L21" s="13">
        <f>VLOOKUP(A21,Journal!$C$7:$M$84,5)</f>
        <v>0</v>
      </c>
      <c r="M21" s="13">
        <f t="shared" si="3"/>
        <v>0</v>
      </c>
      <c r="N21" s="13">
        <f t="shared" si="0"/>
        <v>0</v>
      </c>
      <c r="P21">
        <f t="shared" si="4"/>
        <v>1.0000000000000001E-5</v>
      </c>
      <c r="T21" t="str">
        <f t="shared" si="1"/>
        <v/>
      </c>
    </row>
    <row r="22" spans="1:20" x14ac:dyDescent="0.25">
      <c r="A22">
        <f t="shared" si="5"/>
        <v>15</v>
      </c>
      <c r="B22" s="88" t="str">
        <f>IF(OR(B21="Total",B21=""),"",IF(VLOOKUP(A22,Journal!$C$7:$E$84,3)=0,"Total",VLOOKUP(A22,Journal!$C$7:$D$84,2)))</f>
        <v/>
      </c>
      <c r="C22" s="86" t="str">
        <f>IF(B22="","",VLOOKUP(A22,Journal!$C$7:$E$84,3))</f>
        <v/>
      </c>
      <c r="D22" s="84" t="str">
        <f>IF(B22="","",VLOOKUP(A22,Journal!$C$7:$J$84,8))</f>
        <v/>
      </c>
      <c r="E22" s="84" t="str">
        <f>IF(B22="","",VLOOKUP(A22,Journal!$C$7:$L$84,10))</f>
        <v/>
      </c>
      <c r="F22" s="84" t="str">
        <f>IF(B22="","",VLOOKUP(A22,Journal!$C$7:$M$84,11))</f>
        <v/>
      </c>
      <c r="G22" s="102">
        <f>IF(B22="Total",SUM(G$8:G21)+0.0001,IF(OR(B22="",M22=0),0,VLOOKUP(A22,Journal!$C$7:M$84,7)))</f>
        <v>0</v>
      </c>
      <c r="H22" s="102">
        <f>IF(B22="Total",SUM(H$8:H21)+0.0001,IF(OR(B22="",N22=0),0,VLOOKUP(A22,Journal!$C$7:M$84,7)))</f>
        <v>0</v>
      </c>
      <c r="I22" s="87">
        <f t="shared" si="2"/>
        <v>0</v>
      </c>
      <c r="J22" s="103"/>
      <c r="K22" s="13">
        <f>VLOOKUP(A22,Journal!$C$7:$M$84,4)</f>
        <v>0</v>
      </c>
      <c r="L22" s="13">
        <f>VLOOKUP(A22,Journal!$C$7:$M$84,5)</f>
        <v>0</v>
      </c>
      <c r="M22" s="13">
        <f t="shared" si="3"/>
        <v>0</v>
      </c>
      <c r="N22" s="13">
        <f t="shared" si="0"/>
        <v>0</v>
      </c>
      <c r="P22">
        <f t="shared" si="4"/>
        <v>1.0000000000000001E-5</v>
      </c>
      <c r="T22" t="str">
        <f t="shared" si="1"/>
        <v/>
      </c>
    </row>
    <row r="23" spans="1:20" x14ac:dyDescent="0.25">
      <c r="A23">
        <f t="shared" si="5"/>
        <v>16</v>
      </c>
      <c r="B23" s="88" t="str">
        <f>IF(OR(B22="Total",B22=""),"",IF(VLOOKUP(A23,Journal!$C$7:$E$84,3)=0,"Total",VLOOKUP(A23,Journal!$C$7:$D$84,2)))</f>
        <v/>
      </c>
      <c r="C23" s="86" t="str">
        <f>IF(B23="","",VLOOKUP(A23,Journal!$C$7:$E$84,3))</f>
        <v/>
      </c>
      <c r="D23" s="84" t="str">
        <f>IF(B23="","",VLOOKUP(A23,Journal!$C$7:$J$84,8))</f>
        <v/>
      </c>
      <c r="E23" s="84" t="str">
        <f>IF(B23="","",VLOOKUP(A23,Journal!$C$7:$L$84,10))</f>
        <v/>
      </c>
      <c r="F23" s="84" t="str">
        <f>IF(B23="","",VLOOKUP(A23,Journal!$C$7:$M$84,11))</f>
        <v/>
      </c>
      <c r="G23" s="102">
        <f>IF(B23="Total",SUM(G$8:G22)+0.0001,IF(OR(B23="",M23=0),0,VLOOKUP(A23,Journal!$C$7:M$84,7)))</f>
        <v>0</v>
      </c>
      <c r="H23" s="102">
        <f>IF(B23="Total",SUM(H$8:H22)+0.0001,IF(OR(B23="",N23=0),0,VLOOKUP(A23,Journal!$C$7:M$84,7)))</f>
        <v>0</v>
      </c>
      <c r="I23" s="87">
        <f t="shared" si="2"/>
        <v>0</v>
      </c>
      <c r="J23" s="103"/>
      <c r="K23" s="13">
        <f>VLOOKUP(A23,Journal!$C$7:$M$84,4)</f>
        <v>0</v>
      </c>
      <c r="L23" s="13">
        <f>VLOOKUP(A23,Journal!$C$7:$M$84,5)</f>
        <v>0</v>
      </c>
      <c r="M23" s="13">
        <f t="shared" si="3"/>
        <v>0</v>
      </c>
      <c r="N23" s="13">
        <f t="shared" si="0"/>
        <v>0</v>
      </c>
      <c r="P23">
        <f t="shared" si="4"/>
        <v>1.0000000000000001E-5</v>
      </c>
      <c r="T23" t="str">
        <f t="shared" si="1"/>
        <v/>
      </c>
    </row>
    <row r="24" spans="1:20" x14ac:dyDescent="0.25">
      <c r="A24">
        <f t="shared" si="5"/>
        <v>17</v>
      </c>
      <c r="B24" s="88" t="str">
        <f>IF(OR(B23="Total",B23=""),"",IF(VLOOKUP(A24,Journal!$C$7:$E$84,3)=0,"Total",VLOOKUP(A24,Journal!$C$7:$D$84,2)))</f>
        <v/>
      </c>
      <c r="C24" s="86" t="str">
        <f>IF(B24="","",VLOOKUP(A24,Journal!$C$7:$E$84,3))</f>
        <v/>
      </c>
      <c r="D24" s="84" t="str">
        <f>IF(B24="","",VLOOKUP(A24,Journal!$C$7:$J$84,8))</f>
        <v/>
      </c>
      <c r="E24" s="84" t="str">
        <f>IF(B24="","",VLOOKUP(A24,Journal!$C$7:$L$84,10))</f>
        <v/>
      </c>
      <c r="F24" s="84" t="str">
        <f>IF(B24="","",VLOOKUP(A24,Journal!$C$7:$M$84,11))</f>
        <v/>
      </c>
      <c r="G24" s="102">
        <f>IF(B24="Total",SUM(G$8:G23)+0.0001,IF(OR(B24="",M24=0),0,VLOOKUP(A24,Journal!$C$7:M$84,7)))</f>
        <v>0</v>
      </c>
      <c r="H24" s="102">
        <f>IF(B24="Total",SUM(H$8:H23)+0.0001,IF(OR(B24="",N24=0),0,VLOOKUP(A24,Journal!$C$7:M$84,7)))</f>
        <v>0</v>
      </c>
      <c r="I24" s="87">
        <f t="shared" si="2"/>
        <v>0</v>
      </c>
      <c r="J24" s="103"/>
      <c r="K24" s="13">
        <f>VLOOKUP(A24,Journal!$C$7:$M$84,4)</f>
        <v>0</v>
      </c>
      <c r="L24" s="13">
        <f>VLOOKUP(A24,Journal!$C$7:$M$84,5)</f>
        <v>0</v>
      </c>
      <c r="M24" s="13">
        <f t="shared" si="3"/>
        <v>0</v>
      </c>
      <c r="N24" s="13">
        <f t="shared" si="0"/>
        <v>0</v>
      </c>
      <c r="P24">
        <f t="shared" si="4"/>
        <v>1.0000000000000001E-5</v>
      </c>
      <c r="T24" t="str">
        <f t="shared" si="1"/>
        <v/>
      </c>
    </row>
    <row r="25" spans="1:20" x14ac:dyDescent="0.25">
      <c r="A25">
        <f t="shared" si="5"/>
        <v>18</v>
      </c>
      <c r="B25" s="88" t="str">
        <f>IF(OR(B24="Total",B24=""),"",IF(VLOOKUP(A25,Journal!$C$7:$E$84,3)=0,"Total",VLOOKUP(A25,Journal!$C$7:$D$84,2)))</f>
        <v/>
      </c>
      <c r="C25" s="86" t="str">
        <f>IF(B25="","",VLOOKUP(A25,Journal!$C$7:$E$84,3))</f>
        <v/>
      </c>
      <c r="D25" s="84" t="str">
        <f>IF(B25="","",VLOOKUP(A25,Journal!$C$7:$J$84,8))</f>
        <v/>
      </c>
      <c r="E25" s="84" t="str">
        <f>IF(B25="","",VLOOKUP(A25,Journal!$C$7:$L$84,10))</f>
        <v/>
      </c>
      <c r="F25" s="84" t="str">
        <f>IF(B25="","",VLOOKUP(A25,Journal!$C$7:$M$84,11))</f>
        <v/>
      </c>
      <c r="G25" s="102">
        <f>IF(B25="Total",SUM(G$8:G24)+0.0001,IF(OR(B25="",M25=0),0,VLOOKUP(A25,Journal!$C$7:M$84,7)))</f>
        <v>0</v>
      </c>
      <c r="H25" s="102">
        <f>IF(B25="Total",SUM(H$8:H24)+0.0001,IF(OR(B25="",N25=0),0,VLOOKUP(A25,Journal!$C$7:M$84,7)))</f>
        <v>0</v>
      </c>
      <c r="I25" s="87">
        <f t="shared" si="2"/>
        <v>0</v>
      </c>
      <c r="J25" s="103"/>
      <c r="K25" s="13">
        <f>VLOOKUP(A25,Journal!$C$7:$M$84,4)</f>
        <v>0</v>
      </c>
      <c r="L25" s="13">
        <f>VLOOKUP(A25,Journal!$C$7:$M$84,5)</f>
        <v>0</v>
      </c>
      <c r="M25" s="13">
        <f t="shared" ref="M25:M88" si="6">IF(AND(L25&gt;=$F$1,L25&lt;9999),1,0)</f>
        <v>0</v>
      </c>
      <c r="N25" s="13">
        <f t="shared" ref="N25:N88" si="7">IF(AND(K25&gt;=$F$1,K25&lt;9999),1,0)</f>
        <v>0</v>
      </c>
      <c r="O25" s="13"/>
      <c r="P25" s="13">
        <f t="shared" ref="P25:P88" si="8">IF(I24=I25,I24+0.00001,I25)</f>
        <v>1.0000000000000001E-5</v>
      </c>
      <c r="T25" t="str">
        <f t="shared" si="1"/>
        <v/>
      </c>
    </row>
    <row r="26" spans="1:20" x14ac:dyDescent="0.25">
      <c r="A26">
        <f t="shared" si="5"/>
        <v>19</v>
      </c>
      <c r="B26" s="88" t="str">
        <f>IF(OR(B25="Total",B25=""),"",IF(VLOOKUP(A26,Journal!$C$7:$E$84,3)=0,"Total",VLOOKUP(A26,Journal!$C$7:$D$84,2)))</f>
        <v/>
      </c>
      <c r="C26" s="86" t="str">
        <f>IF(B26="","",VLOOKUP(A26,Journal!$C$7:$E$84,3))</f>
        <v/>
      </c>
      <c r="D26" s="84" t="str">
        <f>IF(B26="","",VLOOKUP(A26,Journal!$C$7:$J$84,8))</f>
        <v/>
      </c>
      <c r="E26" s="84" t="str">
        <f>IF(B26="","",VLOOKUP(A26,Journal!$C$7:$L$84,10))</f>
        <v/>
      </c>
      <c r="F26" s="84" t="str">
        <f>IF(B26="","",VLOOKUP(A26,Journal!$C$7:$M$84,11))</f>
        <v/>
      </c>
      <c r="G26" s="102">
        <f>IF(B26="Total",SUM(G$8:G25)+0.0001,IF(OR(B26="",M26=0),0,VLOOKUP(A26,Journal!$C$7:M$84,7)))</f>
        <v>0</v>
      </c>
      <c r="H26" s="102">
        <f>IF(B26="Total",SUM(H$8:H25)+0.0001,IF(OR(B26="",N26=0),0,VLOOKUP(A26,Journal!$C$7:M$84,7)))</f>
        <v>0</v>
      </c>
      <c r="I26" s="87">
        <f t="shared" si="2"/>
        <v>0</v>
      </c>
      <c r="J26" s="103"/>
      <c r="K26" s="13">
        <f>VLOOKUP(A26,Journal!$C$7:$M$84,4)</f>
        <v>0</v>
      </c>
      <c r="L26" s="13">
        <f>VLOOKUP(A26,Journal!$C$7:$M$84,5)</f>
        <v>0</v>
      </c>
      <c r="M26" s="13">
        <f t="shared" si="6"/>
        <v>0</v>
      </c>
      <c r="N26" s="13">
        <f t="shared" si="7"/>
        <v>0</v>
      </c>
      <c r="O26" s="13"/>
      <c r="P26" s="13">
        <f t="shared" si="8"/>
        <v>1.0000000000000001E-5</v>
      </c>
      <c r="T26" t="str">
        <f t="shared" si="1"/>
        <v/>
      </c>
    </row>
    <row r="27" spans="1:20" x14ac:dyDescent="0.25">
      <c r="A27">
        <f t="shared" si="5"/>
        <v>20</v>
      </c>
      <c r="B27" s="88" t="str">
        <f>IF(OR(B26="Total",B26=""),"",IF(VLOOKUP(A27,Journal!$C$7:$E$84,3)=0,"Total",VLOOKUP(A27,Journal!$C$7:$D$84,2)))</f>
        <v/>
      </c>
      <c r="C27" s="86" t="str">
        <f>IF(B27="","",VLOOKUP(A27,Journal!$C$7:$E$84,3))</f>
        <v/>
      </c>
      <c r="D27" s="84" t="str">
        <f>IF(B27="","",VLOOKUP(A27,Journal!$C$7:$J$84,8))</f>
        <v/>
      </c>
      <c r="E27" s="84" t="str">
        <f>IF(B27="","",VLOOKUP(A27,Journal!$C$7:$L$84,10))</f>
        <v/>
      </c>
      <c r="F27" s="84" t="str">
        <f>IF(B27="","",VLOOKUP(A27,Journal!$C$7:$M$84,11))</f>
        <v/>
      </c>
      <c r="G27" s="102">
        <f>IF(B27="Total",SUM(G$8:G26)+0.0001,IF(OR(B27="",M27=0),0,VLOOKUP(A27,Journal!$C$7:M$84,7)))</f>
        <v>0</v>
      </c>
      <c r="H27" s="102">
        <f>IF(B27="Total",SUM(H$8:H26)+0.0001,IF(OR(B27="",N27=0),0,VLOOKUP(A27,Journal!$C$7:M$84,7)))</f>
        <v>0</v>
      </c>
      <c r="I27" s="87">
        <f t="shared" si="2"/>
        <v>0</v>
      </c>
      <c r="J27" s="103"/>
      <c r="K27" s="13">
        <f>VLOOKUP(A27,Journal!$C$7:$M$84,4)</f>
        <v>0</v>
      </c>
      <c r="L27" s="13">
        <f>VLOOKUP(A27,Journal!$C$7:$M$84,5)</f>
        <v>0</v>
      </c>
      <c r="M27" s="13">
        <f t="shared" si="6"/>
        <v>0</v>
      </c>
      <c r="N27" s="13">
        <f t="shared" si="7"/>
        <v>0</v>
      </c>
      <c r="O27" s="13"/>
      <c r="P27" s="13">
        <f t="shared" si="8"/>
        <v>1.0000000000000001E-5</v>
      </c>
      <c r="T27" t="str">
        <f t="shared" si="1"/>
        <v/>
      </c>
    </row>
    <row r="28" spans="1:20" x14ac:dyDescent="0.25">
      <c r="A28">
        <f t="shared" si="5"/>
        <v>21</v>
      </c>
      <c r="B28" s="88" t="str">
        <f>IF(OR(B27="Total",B27=""),"",IF(VLOOKUP(A28,Journal!$C$7:$E$84,3)=0,"Total",VLOOKUP(A28,Journal!$C$7:$D$84,2)))</f>
        <v/>
      </c>
      <c r="C28" s="86" t="str">
        <f>IF(B28="","",VLOOKUP(A28,Journal!$C$7:$E$84,3))</f>
        <v/>
      </c>
      <c r="D28" s="84" t="str">
        <f>IF(B28="","",VLOOKUP(A28,Journal!$C$7:$J$84,8))</f>
        <v/>
      </c>
      <c r="E28" s="84" t="str">
        <f>IF(B28="","",VLOOKUP(A28,Journal!$C$7:$L$84,10))</f>
        <v/>
      </c>
      <c r="F28" s="84" t="str">
        <f>IF(B28="","",VLOOKUP(A28,Journal!$C$7:$M$84,11))</f>
        <v/>
      </c>
      <c r="G28" s="102">
        <f>IF(B28="Total",SUM(G$8:G27)+0.0001,IF(OR(B28="",M28=0),0,VLOOKUP(A28,Journal!$C$7:M$84,7)))</f>
        <v>0</v>
      </c>
      <c r="H28" s="102">
        <f>IF(B28="Total",SUM(H$8:H27)+0.0001,IF(OR(B28="",N28=0),0,VLOOKUP(A28,Journal!$C$7:M$84,7)))</f>
        <v>0</v>
      </c>
      <c r="I28" s="87">
        <f t="shared" si="2"/>
        <v>0</v>
      </c>
      <c r="J28" s="103"/>
      <c r="K28" s="13">
        <f>VLOOKUP(A28,Journal!$C$7:$M$84,4)</f>
        <v>0</v>
      </c>
      <c r="L28" s="13">
        <f>VLOOKUP(A28,Journal!$C$7:$M$84,5)</f>
        <v>0</v>
      </c>
      <c r="M28" s="13">
        <f t="shared" si="6"/>
        <v>0</v>
      </c>
      <c r="N28" s="13">
        <f t="shared" si="7"/>
        <v>0</v>
      </c>
      <c r="O28" s="13"/>
      <c r="P28" s="13">
        <f t="shared" si="8"/>
        <v>1.0000000000000001E-5</v>
      </c>
      <c r="T28" t="str">
        <f t="shared" si="1"/>
        <v/>
      </c>
    </row>
    <row r="29" spans="1:20" x14ac:dyDescent="0.25">
      <c r="A29">
        <f t="shared" si="5"/>
        <v>22</v>
      </c>
      <c r="B29" s="88" t="str">
        <f>IF(OR(B28="Total",B28=""),"",IF(VLOOKUP(A29,Journal!$C$7:$E$84,3)=0,"Total",VLOOKUP(A29,Journal!$C$7:$D$84,2)))</f>
        <v/>
      </c>
      <c r="C29" s="86" t="str">
        <f>IF(B29="","",VLOOKUP(A29,Journal!$C$7:$E$84,3))</f>
        <v/>
      </c>
      <c r="D29" s="84" t="str">
        <f>IF(B29="","",VLOOKUP(A29,Journal!$C$7:$J$84,8))</f>
        <v/>
      </c>
      <c r="E29" s="84" t="str">
        <f>IF(B29="","",VLOOKUP(A29,Journal!$C$7:$L$84,10))</f>
        <v/>
      </c>
      <c r="F29" s="84" t="str">
        <f>IF(B29="","",VLOOKUP(A29,Journal!$C$7:$M$84,11))</f>
        <v/>
      </c>
      <c r="G29" s="102">
        <f>IF(B29="Total",SUM(G$8:G28)+0.0001,IF(OR(B29="",M29=0),0,VLOOKUP(A29,Journal!$C$7:M$84,7)))</f>
        <v>0</v>
      </c>
      <c r="H29" s="102">
        <f>IF(B29="Total",SUM(H$8:H28)+0.0001,IF(OR(B29="",N29=0),0,VLOOKUP(A29,Journal!$C$7:M$84,7)))</f>
        <v>0</v>
      </c>
      <c r="I29" s="87">
        <f t="shared" si="2"/>
        <v>0</v>
      </c>
      <c r="J29" s="103"/>
      <c r="K29" s="13">
        <f>VLOOKUP(A29,Journal!$C$7:$M$84,4)</f>
        <v>0</v>
      </c>
      <c r="L29" s="13">
        <f>VLOOKUP(A29,Journal!$C$7:$M$84,5)</f>
        <v>0</v>
      </c>
      <c r="M29" s="13">
        <f t="shared" si="6"/>
        <v>0</v>
      </c>
      <c r="N29" s="13">
        <f t="shared" si="7"/>
        <v>0</v>
      </c>
      <c r="O29" s="13"/>
      <c r="P29" s="13">
        <f t="shared" si="8"/>
        <v>1.0000000000000001E-5</v>
      </c>
      <c r="T29" t="str">
        <f t="shared" si="1"/>
        <v/>
      </c>
    </row>
    <row r="30" spans="1:20" x14ac:dyDescent="0.25">
      <c r="A30">
        <f t="shared" si="5"/>
        <v>23</v>
      </c>
      <c r="B30" s="88" t="str">
        <f>IF(OR(B29="Total",B29=""),"",IF(VLOOKUP(A30,Journal!$C$7:$E$84,3)=0,"Total",VLOOKUP(A30,Journal!$C$7:$D$84,2)))</f>
        <v/>
      </c>
      <c r="C30" s="86" t="str">
        <f>IF(B30="","",VLOOKUP(A30,Journal!$C$7:$E$84,3))</f>
        <v/>
      </c>
      <c r="D30" s="84" t="str">
        <f>IF(B30="","",VLOOKUP(A30,Journal!$C$7:$J$84,8))</f>
        <v/>
      </c>
      <c r="E30" s="84" t="str">
        <f>IF(B30="","",VLOOKUP(A30,Journal!$C$7:$L$84,10))</f>
        <v/>
      </c>
      <c r="F30" s="84" t="str">
        <f>IF(B30="","",VLOOKUP(A30,Journal!$C$7:$M$84,11))</f>
        <v/>
      </c>
      <c r="G30" s="102">
        <f>IF(B30="Total",SUM(G$8:G29)+0.0001,IF(OR(B30="",M30=0),0,VLOOKUP(A30,Journal!$C$7:M$84,7)))</f>
        <v>0</v>
      </c>
      <c r="H30" s="102">
        <f>IF(B30="Total",SUM(H$8:H29)+0.0001,IF(OR(B30="",N30=0),0,VLOOKUP(A30,Journal!$C$7:M$84,7)))</f>
        <v>0</v>
      </c>
      <c r="I30" s="87">
        <f t="shared" si="2"/>
        <v>0</v>
      </c>
      <c r="J30" s="103"/>
      <c r="K30" s="13">
        <f>VLOOKUP(A30,Journal!$C$7:$M$84,4)</f>
        <v>0</v>
      </c>
      <c r="L30" s="13">
        <f>VLOOKUP(A30,Journal!$C$7:$M$84,5)</f>
        <v>0</v>
      </c>
      <c r="M30" s="13">
        <f t="shared" si="6"/>
        <v>0</v>
      </c>
      <c r="N30" s="13">
        <f t="shared" si="7"/>
        <v>0</v>
      </c>
      <c r="O30" s="13"/>
      <c r="P30" s="13">
        <f t="shared" si="8"/>
        <v>1.0000000000000001E-5</v>
      </c>
      <c r="T30" t="str">
        <f t="shared" si="1"/>
        <v/>
      </c>
    </row>
    <row r="31" spans="1:20" x14ac:dyDescent="0.25">
      <c r="A31">
        <f t="shared" si="5"/>
        <v>24</v>
      </c>
      <c r="B31" s="88" t="str">
        <f>IF(OR(B30="Total",B30=""),"",IF(VLOOKUP(A31,Journal!$C$7:$E$84,3)=0,"Total",VLOOKUP(A31,Journal!$C$7:$D$84,2)))</f>
        <v/>
      </c>
      <c r="C31" s="86" t="str">
        <f>IF(B31="","",VLOOKUP(A31,Journal!$C$7:$E$84,3))</f>
        <v/>
      </c>
      <c r="D31" s="84" t="str">
        <f>IF(B31="","",VLOOKUP(A31,Journal!$C$7:$J$84,8))</f>
        <v/>
      </c>
      <c r="E31" s="84" t="str">
        <f>IF(B31="","",VLOOKUP(A31,Journal!$C$7:$L$84,10))</f>
        <v/>
      </c>
      <c r="F31" s="84" t="str">
        <f>IF(B31="","",VLOOKUP(A31,Journal!$C$7:$M$84,11))</f>
        <v/>
      </c>
      <c r="G31" s="102">
        <f>IF(B31="Total",SUM(G$8:G30)+0.0001,IF(OR(B31="",M31=0),0,VLOOKUP(A31,Journal!$C$7:M$84,7)))</f>
        <v>0</v>
      </c>
      <c r="H31" s="102">
        <f>IF(B31="Total",SUM(H$8:H30)+0.0001,IF(OR(B31="",N31=0),0,VLOOKUP(A31,Journal!$C$7:M$84,7)))</f>
        <v>0</v>
      </c>
      <c r="I31" s="87">
        <f t="shared" si="2"/>
        <v>0</v>
      </c>
      <c r="J31" s="103"/>
      <c r="K31" s="13">
        <f>VLOOKUP(A31,Journal!$C$7:$M$84,4)</f>
        <v>0</v>
      </c>
      <c r="L31" s="13">
        <f>VLOOKUP(A31,Journal!$C$7:$M$84,5)</f>
        <v>0</v>
      </c>
      <c r="M31" s="13">
        <f t="shared" si="6"/>
        <v>0</v>
      </c>
      <c r="N31" s="13">
        <f t="shared" si="7"/>
        <v>0</v>
      </c>
      <c r="O31" s="13"/>
      <c r="P31" s="13">
        <f t="shared" si="8"/>
        <v>1.0000000000000001E-5</v>
      </c>
      <c r="T31" t="str">
        <f t="shared" si="1"/>
        <v/>
      </c>
    </row>
    <row r="32" spans="1:20" x14ac:dyDescent="0.25">
      <c r="A32">
        <f t="shared" si="5"/>
        <v>25</v>
      </c>
      <c r="B32" s="88" t="str">
        <f>IF(OR(B31="Total",B31=""),"",IF(VLOOKUP(A32,Journal!$C$7:$E$84,3)=0,"Total",VLOOKUP(A32,Journal!$C$7:$D$84,2)))</f>
        <v/>
      </c>
      <c r="C32" s="86" t="str">
        <f>IF(B32="","",VLOOKUP(A32,Journal!$C$7:$E$84,3))</f>
        <v/>
      </c>
      <c r="D32" s="84" t="str">
        <f>IF(B32="","",VLOOKUP(A32,Journal!$C$7:$J$84,8))</f>
        <v/>
      </c>
      <c r="E32" s="84" t="str">
        <f>IF(B32="","",VLOOKUP(A32,Journal!$C$7:$L$84,10))</f>
        <v/>
      </c>
      <c r="F32" s="84" t="str">
        <f>IF(B32="","",VLOOKUP(A32,Journal!$C$7:$M$84,11))</f>
        <v/>
      </c>
      <c r="G32" s="102">
        <f>IF(B32="Total",SUM(G$8:G31)+0.0001,IF(OR(B32="",M32=0),0,VLOOKUP(A32,Journal!$C$7:M$84,7)))</f>
        <v>0</v>
      </c>
      <c r="H32" s="102">
        <f>IF(B32="Total",SUM(H$8:H31)+0.0001,IF(OR(B32="",N32=0),0,VLOOKUP(A32,Journal!$C$7:M$84,7)))</f>
        <v>0</v>
      </c>
      <c r="I32" s="87">
        <f t="shared" si="2"/>
        <v>0</v>
      </c>
      <c r="J32" s="103"/>
      <c r="K32" s="13">
        <f>VLOOKUP(A32,Journal!$C$7:$M$84,4)</f>
        <v>0</v>
      </c>
      <c r="L32" s="13">
        <f>VLOOKUP(A32,Journal!$C$7:$M$84,5)</f>
        <v>0</v>
      </c>
      <c r="M32" s="13">
        <f t="shared" si="6"/>
        <v>0</v>
      </c>
      <c r="N32" s="13">
        <f t="shared" si="7"/>
        <v>0</v>
      </c>
      <c r="O32" s="13"/>
      <c r="P32" s="13">
        <f t="shared" si="8"/>
        <v>1.0000000000000001E-5</v>
      </c>
      <c r="T32" t="str">
        <f t="shared" si="1"/>
        <v/>
      </c>
    </row>
    <row r="33" spans="1:20" x14ac:dyDescent="0.25">
      <c r="A33">
        <f t="shared" si="5"/>
        <v>26</v>
      </c>
      <c r="B33" s="88" t="str">
        <f>IF(OR(B32="Total",B32=""),"",IF(VLOOKUP(A33,Journal!$C$7:$E$84,3)=0,"Total",VLOOKUP(A33,Journal!$C$7:$D$84,2)))</f>
        <v/>
      </c>
      <c r="C33" s="86" t="str">
        <f>IF(B33="","",VLOOKUP(A33,Journal!$C$7:$E$84,3))</f>
        <v/>
      </c>
      <c r="D33" s="84" t="str">
        <f>IF(B33="","",VLOOKUP(A33,Journal!$C$7:$J$84,8))</f>
        <v/>
      </c>
      <c r="E33" s="84" t="str">
        <f>IF(B33="","",VLOOKUP(A33,Journal!$C$7:$L$84,10))</f>
        <v/>
      </c>
      <c r="F33" s="84" t="str">
        <f>IF(B33="","",VLOOKUP(A33,Journal!$C$7:$M$84,11))</f>
        <v/>
      </c>
      <c r="G33" s="102">
        <f>IF(B33="Total",SUM(G$8:G32)+0.0001,IF(OR(B33="",M33=0),0,VLOOKUP(A33,Journal!$C$7:M$84,7)))</f>
        <v>0</v>
      </c>
      <c r="H33" s="102">
        <f>IF(B33="Total",SUM(H$8:H32)+0.0001,IF(OR(B33="",N33=0),0,VLOOKUP(A33,Journal!$C$7:M$84,7)))</f>
        <v>0</v>
      </c>
      <c r="I33" s="87">
        <f t="shared" si="2"/>
        <v>0</v>
      </c>
      <c r="J33" s="103"/>
      <c r="K33" s="13">
        <f>VLOOKUP(A33,Journal!$C$7:$M$84,4)</f>
        <v>0</v>
      </c>
      <c r="L33" s="13">
        <f>VLOOKUP(A33,Journal!$C$7:$M$84,5)</f>
        <v>0</v>
      </c>
      <c r="M33" s="13">
        <f t="shared" si="6"/>
        <v>0</v>
      </c>
      <c r="N33" s="13">
        <f t="shared" si="7"/>
        <v>0</v>
      </c>
      <c r="O33" s="13"/>
      <c r="P33" s="13">
        <f t="shared" si="8"/>
        <v>1.0000000000000001E-5</v>
      </c>
      <c r="T33" t="str">
        <f t="shared" si="1"/>
        <v/>
      </c>
    </row>
    <row r="34" spans="1:20" x14ac:dyDescent="0.25">
      <c r="A34">
        <f t="shared" si="5"/>
        <v>27</v>
      </c>
      <c r="B34" s="88" t="str">
        <f>IF(OR(B33="Total",B33=""),"",IF(VLOOKUP(A34,Journal!$C$7:$E$84,3)=0,"Total",VLOOKUP(A34,Journal!$C$7:$D$84,2)))</f>
        <v/>
      </c>
      <c r="C34" s="86" t="str">
        <f>IF(B34="","",VLOOKUP(A34,Journal!$C$7:$E$84,3))</f>
        <v/>
      </c>
      <c r="D34" s="84" t="str">
        <f>IF(B34="","",VLOOKUP(A34,Journal!$C$7:$J$84,8))</f>
        <v/>
      </c>
      <c r="E34" s="84" t="str">
        <f>IF(B34="","",VLOOKUP(A34,Journal!$C$7:$L$84,10))</f>
        <v/>
      </c>
      <c r="F34" s="84" t="str">
        <f>IF(B34="","",VLOOKUP(A34,Journal!$C$7:$M$84,11))</f>
        <v/>
      </c>
      <c r="G34" s="102">
        <f>IF(B34="Total",SUM(G$8:G33)+0.0001,IF(OR(B34="",M34=0),0,VLOOKUP(A34,Journal!$C$7:M$84,7)))</f>
        <v>0</v>
      </c>
      <c r="H34" s="102">
        <f>IF(B34="Total",SUM(H$8:H33)+0.0001,IF(OR(B34="",N34=0),0,VLOOKUP(A34,Journal!$C$7:M$84,7)))</f>
        <v>0</v>
      </c>
      <c r="I34" s="87">
        <f t="shared" si="2"/>
        <v>0</v>
      </c>
      <c r="J34" s="103"/>
      <c r="K34" s="13">
        <f>VLOOKUP(A34,Journal!$C$7:$M$84,4)</f>
        <v>0</v>
      </c>
      <c r="L34" s="13">
        <f>VLOOKUP(A34,Journal!$C$7:$M$84,5)</f>
        <v>0</v>
      </c>
      <c r="M34" s="13">
        <f t="shared" si="6"/>
        <v>0</v>
      </c>
      <c r="N34" s="13">
        <f t="shared" si="7"/>
        <v>0</v>
      </c>
      <c r="O34" s="13"/>
      <c r="P34" s="13">
        <f t="shared" si="8"/>
        <v>1.0000000000000001E-5</v>
      </c>
      <c r="T34" t="str">
        <f t="shared" si="1"/>
        <v/>
      </c>
    </row>
    <row r="35" spans="1:20" x14ac:dyDescent="0.25">
      <c r="A35">
        <f t="shared" si="5"/>
        <v>28</v>
      </c>
      <c r="B35" s="88" t="str">
        <f>IF(OR(B34="Total",B34=""),"",IF(VLOOKUP(A35,Journal!$C$7:$E$84,3)=0,"Total",VLOOKUP(A35,Journal!$C$7:$D$84,2)))</f>
        <v/>
      </c>
      <c r="C35" s="86" t="str">
        <f>IF(B35="","",VLOOKUP(A35,Journal!$C$7:$E$84,3))</f>
        <v/>
      </c>
      <c r="D35" s="84" t="str">
        <f>IF(B35="","",VLOOKUP(A35,Journal!$C$7:$J$84,8))</f>
        <v/>
      </c>
      <c r="E35" s="84" t="str">
        <f>IF(B35="","",VLOOKUP(A35,Journal!$C$7:$L$84,10))</f>
        <v/>
      </c>
      <c r="F35" s="84" t="str">
        <f>IF(B35="","",VLOOKUP(A35,Journal!$C$7:$M$84,11))</f>
        <v/>
      </c>
      <c r="G35" s="102">
        <f>IF(B35="Total",SUM(G$8:G34)+0.0001,IF(OR(B35="",M35=0),0,VLOOKUP(A35,Journal!$C$7:M$84,7)))</f>
        <v>0</v>
      </c>
      <c r="H35" s="102">
        <f>IF(B35="Total",SUM(H$8:H34)+0.0001,IF(OR(B35="",N35=0),0,VLOOKUP(A35,Journal!$C$7:M$84,7)))</f>
        <v>0</v>
      </c>
      <c r="I35" s="87">
        <f t="shared" si="2"/>
        <v>0</v>
      </c>
      <c r="J35" s="103"/>
      <c r="K35" s="13">
        <f>VLOOKUP(A35,Journal!$C$7:$M$84,4)</f>
        <v>0</v>
      </c>
      <c r="L35" s="13">
        <f>VLOOKUP(A35,Journal!$C$7:$M$84,5)</f>
        <v>0</v>
      </c>
      <c r="M35" s="13">
        <f t="shared" si="6"/>
        <v>0</v>
      </c>
      <c r="N35" s="13">
        <f t="shared" si="7"/>
        <v>0</v>
      </c>
      <c r="O35" s="13"/>
      <c r="P35" s="13">
        <f t="shared" si="8"/>
        <v>1.0000000000000001E-5</v>
      </c>
      <c r="T35" t="str">
        <f t="shared" si="1"/>
        <v/>
      </c>
    </row>
    <row r="36" spans="1:20" x14ac:dyDescent="0.25">
      <c r="A36">
        <f t="shared" si="5"/>
        <v>29</v>
      </c>
      <c r="B36" s="88" t="str">
        <f>IF(OR(B35="Total",B35=""),"",IF(VLOOKUP(A36,Journal!$C$7:$E$84,3)=0,"Total",VLOOKUP(A36,Journal!$C$7:$D$84,2)))</f>
        <v/>
      </c>
      <c r="C36" s="86" t="str">
        <f>IF(B36="","",VLOOKUP(A36,Journal!$C$7:$E$84,3))</f>
        <v/>
      </c>
      <c r="D36" s="84" t="str">
        <f>IF(B36="","",VLOOKUP(A36,Journal!$C$7:$J$84,8))</f>
        <v/>
      </c>
      <c r="E36" s="84" t="str">
        <f>IF(B36="","",VLOOKUP(A36,Journal!$C$7:$L$84,10))</f>
        <v/>
      </c>
      <c r="F36" s="84" t="str">
        <f>IF(B36="","",VLOOKUP(A36,Journal!$C$7:$M$84,11))</f>
        <v/>
      </c>
      <c r="G36" s="102">
        <f>IF(B36="Total",SUM(G$8:G35)+0.0001,IF(OR(B36="",M36=0),0,VLOOKUP(A36,Journal!$C$7:M$84,7)))</f>
        <v>0</v>
      </c>
      <c r="H36" s="102">
        <f>IF(B36="Total",SUM(H$8:H35)+0.0001,IF(OR(B36="",N36=0),0,VLOOKUP(A36,Journal!$C$7:M$84,7)))</f>
        <v>0</v>
      </c>
      <c r="I36" s="87">
        <f t="shared" si="2"/>
        <v>0</v>
      </c>
      <c r="J36" s="103"/>
      <c r="K36" s="13">
        <f>VLOOKUP(A36,Journal!$C$7:$M$84,4)</f>
        <v>0</v>
      </c>
      <c r="L36" s="13">
        <f>VLOOKUP(A36,Journal!$C$7:$M$84,5)</f>
        <v>0</v>
      </c>
      <c r="M36" s="13">
        <f t="shared" si="6"/>
        <v>0</v>
      </c>
      <c r="N36" s="13">
        <f t="shared" si="7"/>
        <v>0</v>
      </c>
      <c r="O36" s="13"/>
      <c r="P36" s="13">
        <f t="shared" si="8"/>
        <v>1.0000000000000001E-5</v>
      </c>
      <c r="T36" t="str">
        <f t="shared" si="1"/>
        <v/>
      </c>
    </row>
    <row r="37" spans="1:20" x14ac:dyDescent="0.25">
      <c r="A37">
        <f t="shared" si="5"/>
        <v>30</v>
      </c>
      <c r="B37" s="88" t="str">
        <f>IF(OR(B36="Total",B36=""),"",IF(VLOOKUP(A37,Journal!$C$7:$E$84,3)=0,"Total",VLOOKUP(A37,Journal!$C$7:$D$84,2)))</f>
        <v/>
      </c>
      <c r="C37" s="86" t="str">
        <f>IF(B37="","",VLOOKUP(A37,Journal!$C$7:$E$84,3))</f>
        <v/>
      </c>
      <c r="D37" s="84" t="str">
        <f>IF(B37="","",VLOOKUP(A37,Journal!$C$7:$J$84,8))</f>
        <v/>
      </c>
      <c r="E37" s="84" t="str">
        <f>IF(B37="","",VLOOKUP(A37,Journal!$C$7:$L$84,10))</f>
        <v/>
      </c>
      <c r="F37" s="84" t="str">
        <f>IF(B37="","",VLOOKUP(A37,Journal!$C$7:$M$84,11))</f>
        <v/>
      </c>
      <c r="G37" s="102">
        <f>IF(B37="Total",SUM(G$8:G36)+0.0001,IF(OR(B37="",M37=0),0,VLOOKUP(A37,Journal!$C$7:M$84,7)))</f>
        <v>0</v>
      </c>
      <c r="H37" s="102">
        <f>IF(B37="Total",SUM(H$8:H36)+0.0001,IF(OR(B37="",N37=0),0,VLOOKUP(A37,Journal!$C$7:M$84,7)))</f>
        <v>0</v>
      </c>
      <c r="I37" s="87">
        <f t="shared" si="2"/>
        <v>0</v>
      </c>
      <c r="J37" s="103"/>
      <c r="K37" s="13">
        <f>VLOOKUP(A37,Journal!$C$7:$M$84,4)</f>
        <v>0</v>
      </c>
      <c r="L37" s="13">
        <f>VLOOKUP(A37,Journal!$C$7:$M$84,5)</f>
        <v>0</v>
      </c>
      <c r="M37" s="13">
        <f t="shared" si="6"/>
        <v>0</v>
      </c>
      <c r="N37" s="13">
        <f t="shared" si="7"/>
        <v>0</v>
      </c>
      <c r="O37" s="13"/>
      <c r="P37" s="13">
        <f t="shared" si="8"/>
        <v>1.0000000000000001E-5</v>
      </c>
      <c r="T37" t="str">
        <f t="shared" si="1"/>
        <v/>
      </c>
    </row>
    <row r="38" spans="1:20" x14ac:dyDescent="0.25">
      <c r="A38">
        <f t="shared" si="5"/>
        <v>31</v>
      </c>
      <c r="B38" s="88" t="str">
        <f>IF(OR(B37="Total",B37=""),"",IF(VLOOKUP(A38,Journal!$C$7:$E$84,3)=0,"Total",VLOOKUP(A38,Journal!$C$7:$D$84,2)))</f>
        <v/>
      </c>
      <c r="C38" s="86" t="str">
        <f>IF(B38="","",VLOOKUP(A38,Journal!$C$7:$E$84,3))</f>
        <v/>
      </c>
      <c r="D38" s="84" t="str">
        <f>IF(B38="","",VLOOKUP(A38,Journal!$C$7:$J$84,8))</f>
        <v/>
      </c>
      <c r="E38" s="84" t="str">
        <f>IF(B38="","",VLOOKUP(A38,Journal!$C$7:$L$84,10))</f>
        <v/>
      </c>
      <c r="F38" s="84" t="str">
        <f>IF(B38="","",VLOOKUP(A38,Journal!$C$7:$M$84,11))</f>
        <v/>
      </c>
      <c r="G38" s="102">
        <f>IF(B38="Total",SUM(G$8:G37)+0.0001,IF(OR(B38="",M38=0),0,VLOOKUP(A38,Journal!$C$7:M$84,7)))</f>
        <v>0</v>
      </c>
      <c r="H38" s="102">
        <f>IF(B38="Total",SUM(H$8:H37)+0.0001,IF(OR(B38="",N38=0),0,VLOOKUP(A38,Journal!$C$7:M$84,7)))</f>
        <v>0</v>
      </c>
      <c r="I38" s="87">
        <f t="shared" si="2"/>
        <v>0</v>
      </c>
      <c r="J38" s="103"/>
      <c r="K38" s="13">
        <f>VLOOKUP(A38,Journal!$C$7:$M$84,4)</f>
        <v>0</v>
      </c>
      <c r="L38" s="13">
        <f>VLOOKUP(A38,Journal!$C$7:$M$84,5)</f>
        <v>0</v>
      </c>
      <c r="M38" s="13">
        <f t="shared" si="6"/>
        <v>0</v>
      </c>
      <c r="N38" s="13">
        <f t="shared" si="7"/>
        <v>0</v>
      </c>
      <c r="O38" s="13"/>
      <c r="P38" s="13">
        <f t="shared" si="8"/>
        <v>1.0000000000000001E-5</v>
      </c>
      <c r="T38" t="str">
        <f t="shared" si="1"/>
        <v/>
      </c>
    </row>
    <row r="39" spans="1:20" x14ac:dyDescent="0.25">
      <c r="A39">
        <f t="shared" si="5"/>
        <v>32</v>
      </c>
      <c r="B39" s="88" t="str">
        <f>IF(OR(B38="Total",B38=""),"",IF(VLOOKUP(A39,Journal!$C$7:$E$84,3)=0,"Total",VLOOKUP(A39,Journal!$C$7:$D$84,2)))</f>
        <v/>
      </c>
      <c r="C39" s="86" t="str">
        <f>IF(B39="","",VLOOKUP(A39,Journal!$C$7:$E$84,3))</f>
        <v/>
      </c>
      <c r="D39" s="84" t="str">
        <f>IF(B39="","",VLOOKUP(A39,Journal!$C$7:$J$84,8))</f>
        <v/>
      </c>
      <c r="E39" s="84" t="str">
        <f>IF(B39="","",VLOOKUP(A39,Journal!$C$7:$L$84,10))</f>
        <v/>
      </c>
      <c r="F39" s="84" t="str">
        <f>IF(B39="","",VLOOKUP(A39,Journal!$C$7:$M$84,11))</f>
        <v/>
      </c>
      <c r="G39" s="102">
        <f>IF(B39="Total",SUM(G$8:G38)+0.0001,IF(OR(B39="",M39=0),0,VLOOKUP(A39,Journal!$C$7:M$84,7)))</f>
        <v>0</v>
      </c>
      <c r="H39" s="102">
        <f>IF(B39="Total",SUM(H$8:H38)+0.0001,IF(OR(B39="",N39=0),0,VLOOKUP(A39,Journal!$C$7:M$84,7)))</f>
        <v>0</v>
      </c>
      <c r="I39" s="87">
        <f t="shared" si="2"/>
        <v>0</v>
      </c>
      <c r="J39" s="103"/>
      <c r="K39" s="13">
        <f>VLOOKUP(A39,Journal!$C$7:$M$84,4)</f>
        <v>0</v>
      </c>
      <c r="L39" s="13">
        <f>VLOOKUP(A39,Journal!$C$7:$M$84,5)</f>
        <v>0</v>
      </c>
      <c r="M39" s="13">
        <f t="shared" si="6"/>
        <v>0</v>
      </c>
      <c r="N39" s="13">
        <f t="shared" si="7"/>
        <v>0</v>
      </c>
      <c r="O39" s="13"/>
      <c r="P39" s="13">
        <f t="shared" si="8"/>
        <v>1.0000000000000001E-5</v>
      </c>
      <c r="T39" t="str">
        <f t="shared" si="1"/>
        <v/>
      </c>
    </row>
    <row r="40" spans="1:20" x14ac:dyDescent="0.25">
      <c r="A40">
        <f t="shared" si="5"/>
        <v>33</v>
      </c>
      <c r="B40" s="88" t="str">
        <f>IF(OR(B39="Total",B39=""),"",IF(VLOOKUP(A40,Journal!$C$7:$E$84,3)=0,"Total",VLOOKUP(A40,Journal!$C$7:$D$84,2)))</f>
        <v/>
      </c>
      <c r="C40" s="86" t="str">
        <f>IF(B40="","",VLOOKUP(A40,Journal!$C$7:$E$84,3))</f>
        <v/>
      </c>
      <c r="D40" s="84" t="str">
        <f>IF(B40="","",VLOOKUP(A40,Journal!$C$7:$J$84,8))</f>
        <v/>
      </c>
      <c r="E40" s="84" t="str">
        <f>IF(B40="","",VLOOKUP(A40,Journal!$C$7:$L$84,10))</f>
        <v/>
      </c>
      <c r="F40" s="84" t="str">
        <f>IF(B40="","",VLOOKUP(A40,Journal!$C$7:$M$84,11))</f>
        <v/>
      </c>
      <c r="G40" s="102">
        <f>IF(B40="Total",SUM(G$8:G39)+0.0001,IF(OR(B40="",M40=0),0,VLOOKUP(A40,Journal!$C$7:M$84,7)))</f>
        <v>0</v>
      </c>
      <c r="H40" s="102">
        <f>IF(B40="Total",SUM(H$8:H39)+0.0001,IF(OR(B40="",N40=0),0,VLOOKUP(A40,Journal!$C$7:M$84,7)))</f>
        <v>0</v>
      </c>
      <c r="I40" s="87">
        <f t="shared" si="2"/>
        <v>0</v>
      </c>
      <c r="J40" s="103"/>
      <c r="K40" s="13">
        <f>VLOOKUP(A40,Journal!$C$7:$M$84,4)</f>
        <v>0</v>
      </c>
      <c r="L40" s="13">
        <f>VLOOKUP(A40,Journal!$C$7:$M$84,5)</f>
        <v>0</v>
      </c>
      <c r="M40" s="13">
        <f t="shared" si="6"/>
        <v>0</v>
      </c>
      <c r="N40" s="13">
        <f t="shared" si="7"/>
        <v>0</v>
      </c>
      <c r="O40" s="13"/>
      <c r="P40" s="13">
        <f t="shared" si="8"/>
        <v>1.0000000000000001E-5</v>
      </c>
      <c r="T40" t="str">
        <f t="shared" si="1"/>
        <v/>
      </c>
    </row>
    <row r="41" spans="1:20" x14ac:dyDescent="0.25">
      <c r="A41">
        <f t="shared" si="5"/>
        <v>34</v>
      </c>
      <c r="B41" s="88" t="str">
        <f>IF(OR(B40="Total",B40=""),"",IF(VLOOKUP(A41,Journal!$C$7:$E$84,3)=0,"Total",VLOOKUP(A41,Journal!$C$7:$D$84,2)))</f>
        <v/>
      </c>
      <c r="C41" s="86" t="str">
        <f>IF(B41="","",VLOOKUP(A41,Journal!$C$7:$E$84,3))</f>
        <v/>
      </c>
      <c r="D41" s="84" t="str">
        <f>IF(B41="","",VLOOKUP(A41,Journal!$C$7:$J$84,8))</f>
        <v/>
      </c>
      <c r="E41" s="84" t="str">
        <f>IF(B41="","",VLOOKUP(A41,Journal!$C$7:$L$84,10))</f>
        <v/>
      </c>
      <c r="F41" s="84" t="str">
        <f>IF(B41="","",VLOOKUP(A41,Journal!$C$7:$M$84,11))</f>
        <v/>
      </c>
      <c r="G41" s="102">
        <f>IF(B41="Total",SUM(G$8:G40)+0.0001,IF(OR(B41="",M41=0),0,VLOOKUP(A41,Journal!$C$7:M$84,7)))</f>
        <v>0</v>
      </c>
      <c r="H41" s="102">
        <f>IF(B41="Total",SUM(H$8:H40)+0.0001,IF(OR(B41="",N41=0),0,VLOOKUP(A41,Journal!$C$7:M$84,7)))</f>
        <v>0</v>
      </c>
      <c r="I41" s="87">
        <f t="shared" si="2"/>
        <v>0</v>
      </c>
      <c r="J41" s="103"/>
      <c r="K41" s="13">
        <f>VLOOKUP(A41,Journal!$C$7:$M$84,4)</f>
        <v>0</v>
      </c>
      <c r="L41" s="13">
        <f>VLOOKUP(A41,Journal!$C$7:$M$84,5)</f>
        <v>0</v>
      </c>
      <c r="M41" s="13">
        <f t="shared" si="6"/>
        <v>0</v>
      </c>
      <c r="N41" s="13">
        <f t="shared" si="7"/>
        <v>0</v>
      </c>
      <c r="O41" s="13"/>
      <c r="P41" s="13">
        <f t="shared" si="8"/>
        <v>1.0000000000000001E-5</v>
      </c>
      <c r="T41" t="str">
        <f t="shared" si="1"/>
        <v/>
      </c>
    </row>
    <row r="42" spans="1:20" x14ac:dyDescent="0.25">
      <c r="A42">
        <f t="shared" si="5"/>
        <v>35</v>
      </c>
      <c r="B42" s="88" t="str">
        <f>IF(OR(B41="Total",B41=""),"",IF(VLOOKUP(A42,Journal!$C$7:$E$84,3)=0,"Total",VLOOKUP(A42,Journal!$C$7:$D$84,2)))</f>
        <v/>
      </c>
      <c r="C42" s="86" t="str">
        <f>IF(B42="","",VLOOKUP(A42,Journal!$C$7:$E$84,3))</f>
        <v/>
      </c>
      <c r="D42" s="84" t="str">
        <f>IF(B42="","",VLOOKUP(A42,Journal!$C$7:$J$84,8))</f>
        <v/>
      </c>
      <c r="E42" s="84" t="str">
        <f>IF(B42="","",VLOOKUP(A42,Journal!$C$7:$L$84,10))</f>
        <v/>
      </c>
      <c r="F42" s="84" t="str">
        <f>IF(B42="","",VLOOKUP(A42,Journal!$C$7:$M$84,11))</f>
        <v/>
      </c>
      <c r="G42" s="102">
        <f>IF(B42="Total",SUM(G$8:G41)+0.0001,IF(OR(B42="",M42=0),0,VLOOKUP(A42,Journal!$C$7:M$84,7)))</f>
        <v>0</v>
      </c>
      <c r="H42" s="102">
        <f>IF(B42="Total",SUM(H$8:H41)+0.0001,IF(OR(B42="",N42=0),0,VLOOKUP(A42,Journal!$C$7:M$84,7)))</f>
        <v>0</v>
      </c>
      <c r="I42" s="87">
        <f t="shared" si="2"/>
        <v>0</v>
      </c>
      <c r="J42" s="103"/>
      <c r="K42" s="13">
        <f>VLOOKUP(A42,Journal!$C$7:$M$84,4)</f>
        <v>0</v>
      </c>
      <c r="L42" s="13">
        <f>VLOOKUP(A42,Journal!$C$7:$M$84,5)</f>
        <v>0</v>
      </c>
      <c r="M42" s="13">
        <f t="shared" si="6"/>
        <v>0</v>
      </c>
      <c r="N42" s="13">
        <f t="shared" si="7"/>
        <v>0</v>
      </c>
      <c r="O42" s="13"/>
      <c r="P42" s="13">
        <f t="shared" si="8"/>
        <v>1.0000000000000001E-5</v>
      </c>
      <c r="T42" t="str">
        <f t="shared" si="1"/>
        <v/>
      </c>
    </row>
    <row r="43" spans="1:20" x14ac:dyDescent="0.25">
      <c r="A43">
        <f t="shared" si="5"/>
        <v>36</v>
      </c>
      <c r="B43" s="88" t="str">
        <f>IF(OR(B42="Total",B42=""),"",IF(VLOOKUP(A43,Journal!$C$7:$E$84,3)=0,"Total",VLOOKUP(A43,Journal!$C$7:$D$84,2)))</f>
        <v/>
      </c>
      <c r="C43" s="86" t="str">
        <f>IF(B43="","",VLOOKUP(A43,Journal!$C$7:$E$84,3))</f>
        <v/>
      </c>
      <c r="D43" s="84" t="str">
        <f>IF(B43="","",VLOOKUP(A43,Journal!$C$7:$J$84,8))</f>
        <v/>
      </c>
      <c r="E43" s="84" t="str">
        <f>IF(B43="","",VLOOKUP(A43,Journal!$C$7:$L$84,10))</f>
        <v/>
      </c>
      <c r="F43" s="84" t="str">
        <f>IF(B43="","",VLOOKUP(A43,Journal!$C$7:$M$84,11))</f>
        <v/>
      </c>
      <c r="G43" s="102">
        <f>IF(B43="Total",SUM(G$8:G42)+0.0001,IF(OR(B43="",M43=0),0,VLOOKUP(A43,Journal!$C$7:M$84,7)))</f>
        <v>0</v>
      </c>
      <c r="H43" s="102">
        <f>IF(B43="Total",SUM(H$8:H42)+0.0001,IF(OR(B43="",N43=0),0,VLOOKUP(A43,Journal!$C$7:M$84,7)))</f>
        <v>0</v>
      </c>
      <c r="I43" s="87">
        <f t="shared" si="2"/>
        <v>0</v>
      </c>
      <c r="J43" s="103"/>
      <c r="K43" s="13">
        <f>VLOOKUP(A43,Journal!$C$7:$M$84,4)</f>
        <v>0</v>
      </c>
      <c r="L43" s="13">
        <f>VLOOKUP(A43,Journal!$C$7:$M$84,5)</f>
        <v>0</v>
      </c>
      <c r="M43" s="13">
        <f t="shared" si="6"/>
        <v>0</v>
      </c>
      <c r="N43" s="13">
        <f t="shared" si="7"/>
        <v>0</v>
      </c>
      <c r="O43" s="13"/>
      <c r="P43" s="13">
        <f t="shared" si="8"/>
        <v>1.0000000000000001E-5</v>
      </c>
      <c r="T43" t="str">
        <f t="shared" si="1"/>
        <v/>
      </c>
    </row>
    <row r="44" spans="1:20" x14ac:dyDescent="0.25">
      <c r="A44">
        <f t="shared" si="5"/>
        <v>37</v>
      </c>
      <c r="B44" s="88" t="str">
        <f>IF(OR(B43="Total",B43=""),"",IF(VLOOKUP(A44,Journal!$C$7:$E$84,3)=0,"Total",VLOOKUP(A44,Journal!$C$7:$D$84,2)))</f>
        <v/>
      </c>
      <c r="C44" s="86" t="str">
        <f>IF(B44="","",VLOOKUP(A44,Journal!$C$7:$E$84,3))</f>
        <v/>
      </c>
      <c r="D44" s="84" t="str">
        <f>IF(B44="","",VLOOKUP(A44,Journal!$C$7:$J$84,8))</f>
        <v/>
      </c>
      <c r="E44" s="84" t="str">
        <f>IF(B44="","",VLOOKUP(A44,Journal!$C$7:$L$84,10))</f>
        <v/>
      </c>
      <c r="F44" s="84" t="str">
        <f>IF(B44="","",VLOOKUP(A44,Journal!$C$7:$M$84,11))</f>
        <v/>
      </c>
      <c r="G44" s="102">
        <f>IF(B44="Total",SUM(G$8:G43)+0.0001,IF(OR(B44="",M44=0),0,VLOOKUP(A44,Journal!$C$7:M$84,7)))</f>
        <v>0</v>
      </c>
      <c r="H44" s="102">
        <f>IF(B44="Total",SUM(H$8:H43)+0.0001,IF(OR(B44="",N44=0),0,VLOOKUP(A44,Journal!$C$7:M$84,7)))</f>
        <v>0</v>
      </c>
      <c r="I44" s="87">
        <f t="shared" si="2"/>
        <v>0</v>
      </c>
      <c r="J44" s="103"/>
      <c r="K44" s="13">
        <f>VLOOKUP(A44,Journal!$C$7:$M$84,4)</f>
        <v>0</v>
      </c>
      <c r="L44" s="13">
        <f>VLOOKUP(A44,Journal!$C$7:$M$84,5)</f>
        <v>0</v>
      </c>
      <c r="M44" s="13">
        <f t="shared" si="6"/>
        <v>0</v>
      </c>
      <c r="N44" s="13">
        <f t="shared" si="7"/>
        <v>0</v>
      </c>
      <c r="O44" s="13"/>
      <c r="P44" s="13">
        <f t="shared" si="8"/>
        <v>1.0000000000000001E-5</v>
      </c>
      <c r="T44" t="str">
        <f t="shared" si="1"/>
        <v/>
      </c>
    </row>
    <row r="45" spans="1:20" x14ac:dyDescent="0.25">
      <c r="A45">
        <f t="shared" si="5"/>
        <v>38</v>
      </c>
      <c r="B45" s="88" t="str">
        <f>IF(OR(B44="Total",B44=""),"",IF(VLOOKUP(A45,Journal!$C$7:$E$84,3)=0,"Total",VLOOKUP(A45,Journal!$C$7:$D$84,2)))</f>
        <v/>
      </c>
      <c r="C45" s="86" t="str">
        <f>IF(B45="","",VLOOKUP(A45,Journal!$C$7:$E$84,3))</f>
        <v/>
      </c>
      <c r="D45" s="84" t="str">
        <f>IF(B45="","",VLOOKUP(A45,Journal!$C$7:$J$84,8))</f>
        <v/>
      </c>
      <c r="E45" s="84" t="str">
        <f>IF(B45="","",VLOOKUP(A45,Journal!$C$7:$L$84,10))</f>
        <v/>
      </c>
      <c r="F45" s="84" t="str">
        <f>IF(B45="","",VLOOKUP(A45,Journal!$C$7:$M$84,11))</f>
        <v/>
      </c>
      <c r="G45" s="102">
        <f>IF(B45="Total",SUM(G$8:G44)+0.0001,IF(OR(B45="",M45=0),0,VLOOKUP(A45,Journal!$C$7:M$84,7)))</f>
        <v>0</v>
      </c>
      <c r="H45" s="102">
        <f>IF(B45="Total",SUM(H$8:H44)+0.0001,IF(OR(B45="",N45=0),0,VLOOKUP(A45,Journal!$C$7:M$84,7)))</f>
        <v>0</v>
      </c>
      <c r="I45" s="87">
        <f t="shared" si="2"/>
        <v>0</v>
      </c>
      <c r="J45" s="103"/>
      <c r="K45" s="13">
        <f>VLOOKUP(A45,Journal!$C$7:$M$84,4)</f>
        <v>0</v>
      </c>
      <c r="L45" s="13">
        <f>VLOOKUP(A45,Journal!$C$7:$M$84,5)</f>
        <v>0</v>
      </c>
      <c r="M45" s="13">
        <f t="shared" si="6"/>
        <v>0</v>
      </c>
      <c r="N45" s="13">
        <f t="shared" si="7"/>
        <v>0</v>
      </c>
      <c r="O45" s="13"/>
      <c r="P45" s="13">
        <f t="shared" si="8"/>
        <v>1.0000000000000001E-5</v>
      </c>
      <c r="T45" t="str">
        <f t="shared" si="1"/>
        <v/>
      </c>
    </row>
    <row r="46" spans="1:20" x14ac:dyDescent="0.25">
      <c r="A46">
        <f t="shared" si="5"/>
        <v>39</v>
      </c>
      <c r="B46" s="88" t="str">
        <f>IF(OR(B45="Total",B45=""),"",IF(VLOOKUP(A46,Journal!$C$7:$E$84,3)=0,"Total",VLOOKUP(A46,Journal!$C$7:$D$84,2)))</f>
        <v/>
      </c>
      <c r="C46" s="86" t="str">
        <f>IF(B46="","",VLOOKUP(A46,Journal!$C$7:$E$84,3))</f>
        <v/>
      </c>
      <c r="D46" s="84" t="str">
        <f>IF(B46="","",VLOOKUP(A46,Journal!$C$7:$J$84,8))</f>
        <v/>
      </c>
      <c r="E46" s="84" t="str">
        <f>IF(B46="","",VLOOKUP(A46,Journal!$C$7:$L$84,10))</f>
        <v/>
      </c>
      <c r="F46" s="84" t="str">
        <f>IF(B46="","",VLOOKUP(A46,Journal!$C$7:$M$84,11))</f>
        <v/>
      </c>
      <c r="G46" s="102">
        <f>IF(B46="Total",SUM(G$8:G45)+0.0001,IF(OR(B46="",M46=0),0,VLOOKUP(A46,Journal!$C$7:M$84,7)))</f>
        <v>0</v>
      </c>
      <c r="H46" s="102">
        <f>IF(B46="Total",SUM(H$8:H45)+0.0001,IF(OR(B46="",N46=0),0,VLOOKUP(A46,Journal!$C$7:M$84,7)))</f>
        <v>0</v>
      </c>
      <c r="I46" s="87">
        <f t="shared" si="2"/>
        <v>0</v>
      </c>
      <c r="J46" s="103"/>
      <c r="K46" s="13">
        <f>VLOOKUP(A46,Journal!$C$7:$M$84,4)</f>
        <v>0</v>
      </c>
      <c r="L46" s="13">
        <f>VLOOKUP(A46,Journal!$C$7:$M$84,5)</f>
        <v>0</v>
      </c>
      <c r="M46" s="13">
        <f t="shared" si="6"/>
        <v>0</v>
      </c>
      <c r="N46" s="13">
        <f t="shared" si="7"/>
        <v>0</v>
      </c>
      <c r="O46" s="13"/>
      <c r="P46" s="13">
        <f t="shared" si="8"/>
        <v>1.0000000000000001E-5</v>
      </c>
      <c r="T46" t="str">
        <f t="shared" si="1"/>
        <v/>
      </c>
    </row>
    <row r="47" spans="1:20" x14ac:dyDescent="0.25">
      <c r="A47">
        <f t="shared" si="5"/>
        <v>40</v>
      </c>
      <c r="B47" s="88" t="str">
        <f>IF(OR(B46="Total",B46=""),"",IF(VLOOKUP(A47,Journal!$C$7:$E$84,3)=0,"Total",VLOOKUP(A47,Journal!$C$7:$D$84,2)))</f>
        <v/>
      </c>
      <c r="C47" s="86" t="str">
        <f>IF(B47="","",VLOOKUP(A47,Journal!$C$7:$E$84,3))</f>
        <v/>
      </c>
      <c r="D47" s="84" t="str">
        <f>IF(B47="","",VLOOKUP(A47,Journal!$C$7:$J$84,8))</f>
        <v/>
      </c>
      <c r="E47" s="84" t="str">
        <f>IF(B47="","",VLOOKUP(A47,Journal!$C$7:$L$84,10))</f>
        <v/>
      </c>
      <c r="F47" s="84" t="str">
        <f>IF(B47="","",VLOOKUP(A47,Journal!$C$7:$M$84,11))</f>
        <v/>
      </c>
      <c r="G47" s="102">
        <f>IF(B47="Total",SUM(G$8:G46)+0.0001,IF(OR(B47="",M47=0),0,VLOOKUP(A47,Journal!$C$7:M$84,7)))</f>
        <v>0</v>
      </c>
      <c r="H47" s="102">
        <f>IF(B47="Total",SUM(H$8:H46)+0.0001,IF(OR(B47="",N47=0),0,VLOOKUP(A47,Journal!$C$7:M$84,7)))</f>
        <v>0</v>
      </c>
      <c r="I47" s="87">
        <f t="shared" si="2"/>
        <v>0</v>
      </c>
      <c r="J47" s="103"/>
      <c r="K47" s="13">
        <f>VLOOKUP(A47,Journal!$C$7:$M$84,4)</f>
        <v>0</v>
      </c>
      <c r="L47" s="13">
        <f>VLOOKUP(A47,Journal!$C$7:$M$84,5)</f>
        <v>0</v>
      </c>
      <c r="M47" s="13">
        <f t="shared" si="6"/>
        <v>0</v>
      </c>
      <c r="N47" s="13">
        <f t="shared" si="7"/>
        <v>0</v>
      </c>
      <c r="O47" s="13"/>
      <c r="P47" s="13">
        <f t="shared" si="8"/>
        <v>1.0000000000000001E-5</v>
      </c>
      <c r="T47" t="str">
        <f t="shared" si="1"/>
        <v/>
      </c>
    </row>
    <row r="48" spans="1:20" x14ac:dyDescent="0.25">
      <c r="A48">
        <f t="shared" si="5"/>
        <v>41</v>
      </c>
      <c r="B48" s="88" t="str">
        <f>IF(OR(B47="Total",B47=""),"",IF(VLOOKUP(A48,Journal!$C$7:$E$84,3)=0,"Total",VLOOKUP(A48,Journal!$C$7:$D$84,2)))</f>
        <v/>
      </c>
      <c r="C48" s="86" t="str">
        <f>IF(B48="","",VLOOKUP(A48,Journal!$C$7:$E$84,3))</f>
        <v/>
      </c>
      <c r="D48" s="84" t="str">
        <f>IF(B48="","",VLOOKUP(A48,Journal!$C$7:$J$84,8))</f>
        <v/>
      </c>
      <c r="E48" s="84" t="str">
        <f>IF(B48="","",VLOOKUP(A48,Journal!$C$7:$L$84,10))</f>
        <v/>
      </c>
      <c r="F48" s="84" t="str">
        <f>IF(B48="","",VLOOKUP(A48,Journal!$C$7:$M$84,11))</f>
        <v/>
      </c>
      <c r="G48" s="102">
        <f>IF(B48="Total",SUM(G$8:G47)+0.0001,IF(OR(B48="",M48=0),0,VLOOKUP(A48,Journal!$C$7:M$84,7)))</f>
        <v>0</v>
      </c>
      <c r="H48" s="102">
        <f>IF(B48="Total",SUM(H$8:H47)+0.0001,IF(OR(B48="",N48=0),0,VLOOKUP(A48,Journal!$C$7:M$84,7)))</f>
        <v>0</v>
      </c>
      <c r="I48" s="87">
        <f t="shared" si="2"/>
        <v>0</v>
      </c>
      <c r="J48" s="103"/>
      <c r="K48" s="13">
        <f>VLOOKUP(A48,Journal!$C$7:$M$84,4)</f>
        <v>0</v>
      </c>
      <c r="L48" s="13">
        <f>VLOOKUP(A48,Journal!$C$7:$M$84,5)</f>
        <v>0</v>
      </c>
      <c r="M48" s="13">
        <f t="shared" si="6"/>
        <v>0</v>
      </c>
      <c r="N48" s="13">
        <f t="shared" si="7"/>
        <v>0</v>
      </c>
      <c r="O48" s="13"/>
      <c r="P48" s="13">
        <f t="shared" si="8"/>
        <v>1.0000000000000001E-5</v>
      </c>
      <c r="T48" t="str">
        <f t="shared" si="1"/>
        <v/>
      </c>
    </row>
    <row r="49" spans="1:20" x14ac:dyDescent="0.25">
      <c r="A49">
        <f t="shared" si="5"/>
        <v>42</v>
      </c>
      <c r="B49" s="88" t="str">
        <f>IF(OR(B48="Total",B48=""),"",IF(VLOOKUP(A49,Journal!$C$7:$E$84,3)=0,"Total",VLOOKUP(A49,Journal!$C$7:$D$84,2)))</f>
        <v/>
      </c>
      <c r="C49" s="86" t="str">
        <f>IF(B49="","",VLOOKUP(A49,Journal!$C$7:$E$84,3))</f>
        <v/>
      </c>
      <c r="D49" s="84" t="str">
        <f>IF(B49="","",VLOOKUP(A49,Journal!$C$7:$J$84,8))</f>
        <v/>
      </c>
      <c r="E49" s="84" t="str">
        <f>IF(B49="","",VLOOKUP(A49,Journal!$C$7:$L$84,10))</f>
        <v/>
      </c>
      <c r="F49" s="84" t="str">
        <f>IF(B49="","",VLOOKUP(A49,Journal!$C$7:$M$84,11))</f>
        <v/>
      </c>
      <c r="G49" s="102">
        <f>IF(B49="Total",SUM(G$8:G48)+0.0001,IF(OR(B49="",M49=0),0,VLOOKUP(A49,Journal!$C$7:M$84,7)))</f>
        <v>0</v>
      </c>
      <c r="H49" s="102">
        <f>IF(B49="Total",SUM(H$8:H48)+0.0001,IF(OR(B49="",N49=0),0,VLOOKUP(A49,Journal!$C$7:M$84,7)))</f>
        <v>0</v>
      </c>
      <c r="I49" s="87">
        <f t="shared" si="2"/>
        <v>0</v>
      </c>
      <c r="J49" s="103"/>
      <c r="K49" s="13">
        <f>VLOOKUP(A49,Journal!$C$7:$M$84,4)</f>
        <v>0</v>
      </c>
      <c r="L49" s="13">
        <f>VLOOKUP(A49,Journal!$C$7:$M$84,5)</f>
        <v>0</v>
      </c>
      <c r="M49" s="13">
        <f t="shared" si="6"/>
        <v>0</v>
      </c>
      <c r="N49" s="13">
        <f t="shared" si="7"/>
        <v>0</v>
      </c>
      <c r="O49" s="13"/>
      <c r="P49" s="13">
        <f t="shared" si="8"/>
        <v>1.0000000000000001E-5</v>
      </c>
      <c r="T49" t="str">
        <f t="shared" si="1"/>
        <v/>
      </c>
    </row>
    <row r="50" spans="1:20" x14ac:dyDescent="0.25">
      <c r="A50">
        <f t="shared" si="5"/>
        <v>43</v>
      </c>
      <c r="B50" s="88" t="str">
        <f>IF(OR(B49="Total",B49=""),"",IF(VLOOKUP(A50,Journal!$C$7:$E$84,3)=0,"Total",VLOOKUP(A50,Journal!$C$7:$D$84,2)))</f>
        <v/>
      </c>
      <c r="C50" s="86" t="str">
        <f>IF(B50="","",VLOOKUP(A50,Journal!$C$7:$E$84,3))</f>
        <v/>
      </c>
      <c r="D50" s="84" t="str">
        <f>IF(B50="","",VLOOKUP(A50,Journal!$C$7:$J$84,8))</f>
        <v/>
      </c>
      <c r="E50" s="84" t="str">
        <f>IF(B50="","",VLOOKUP(A50,Journal!$C$7:$L$84,10))</f>
        <v/>
      </c>
      <c r="F50" s="84" t="str">
        <f>IF(B50="","",VLOOKUP(A50,Journal!$C$7:$M$84,11))</f>
        <v/>
      </c>
      <c r="G50" s="102">
        <f>IF(B50="Total",SUM(G$8:G49)+0.0001,IF(OR(B50="",M50=0),0,VLOOKUP(A50,Journal!$C$7:M$84,7)))</f>
        <v>0</v>
      </c>
      <c r="H50" s="102">
        <f>IF(B50="Total",SUM(H$8:H49)+0.0001,IF(OR(B50="",N50=0),0,VLOOKUP(A50,Journal!$C$7:M$84,7)))</f>
        <v>0</v>
      </c>
      <c r="I50" s="87">
        <f t="shared" si="2"/>
        <v>0</v>
      </c>
      <c r="J50" s="103"/>
      <c r="K50" s="13">
        <f>VLOOKUP(A50,Journal!$C$7:$M$84,4)</f>
        <v>0</v>
      </c>
      <c r="L50" s="13">
        <f>VLOOKUP(A50,Journal!$C$7:$M$84,5)</f>
        <v>0</v>
      </c>
      <c r="M50" s="13">
        <f t="shared" si="6"/>
        <v>0</v>
      </c>
      <c r="N50" s="13">
        <f t="shared" si="7"/>
        <v>0</v>
      </c>
      <c r="O50" s="13"/>
      <c r="P50" s="13">
        <f t="shared" si="8"/>
        <v>1.0000000000000001E-5</v>
      </c>
      <c r="T50" t="str">
        <f t="shared" si="1"/>
        <v/>
      </c>
    </row>
    <row r="51" spans="1:20" x14ac:dyDescent="0.25">
      <c r="A51">
        <f t="shared" si="5"/>
        <v>44</v>
      </c>
      <c r="B51" s="88" t="str">
        <f>IF(OR(B50="Total",B50=""),"",IF(VLOOKUP(A51,Journal!$C$7:$E$84,3)=0,"Total",VLOOKUP(A51,Journal!$C$7:$D$84,2)))</f>
        <v/>
      </c>
      <c r="C51" s="86" t="str">
        <f>IF(B51="","",VLOOKUP(A51,Journal!$C$7:$E$84,3))</f>
        <v/>
      </c>
      <c r="D51" s="84" t="str">
        <f>IF(B51="","",VLOOKUP(A51,Journal!$C$7:$J$84,8))</f>
        <v/>
      </c>
      <c r="E51" s="84" t="str">
        <f>IF(B51="","",VLOOKUP(A51,Journal!$C$7:$L$84,10))</f>
        <v/>
      </c>
      <c r="F51" s="84" t="str">
        <f>IF(B51="","",VLOOKUP(A51,Journal!$C$7:$M$84,11))</f>
        <v/>
      </c>
      <c r="G51" s="102">
        <f>IF(B51="Total",SUM(G$8:G50)+0.0001,IF(OR(B51="",M51=0),0,VLOOKUP(A51,Journal!$C$7:M$84,7)))</f>
        <v>0</v>
      </c>
      <c r="H51" s="102">
        <f>IF(B51="Total",SUM(H$8:H50)+0.0001,IF(OR(B51="",N51=0),0,VLOOKUP(A51,Journal!$C$7:M$84,7)))</f>
        <v>0</v>
      </c>
      <c r="I51" s="87">
        <f t="shared" si="2"/>
        <v>0</v>
      </c>
      <c r="J51" s="103"/>
      <c r="K51" s="13">
        <f>VLOOKUP(A51,Journal!$C$7:$M$84,4)</f>
        <v>0</v>
      </c>
      <c r="L51" s="13">
        <f>VLOOKUP(A51,Journal!$C$7:$M$84,5)</f>
        <v>0</v>
      </c>
      <c r="M51" s="13">
        <f t="shared" si="6"/>
        <v>0</v>
      </c>
      <c r="N51" s="13">
        <f t="shared" si="7"/>
        <v>0</v>
      </c>
      <c r="O51" s="13"/>
      <c r="P51" s="13">
        <f t="shared" si="8"/>
        <v>1.0000000000000001E-5</v>
      </c>
      <c r="T51" t="str">
        <f t="shared" si="1"/>
        <v/>
      </c>
    </row>
    <row r="52" spans="1:20" x14ac:dyDescent="0.25">
      <c r="A52">
        <f t="shared" si="5"/>
        <v>45</v>
      </c>
      <c r="B52" s="88" t="str">
        <f>IF(OR(B51="Total",B51=""),"",IF(VLOOKUP(A52,Journal!$C$7:$E$84,3)=0,"Total",VLOOKUP(A52,Journal!$C$7:$D$84,2)))</f>
        <v/>
      </c>
      <c r="C52" s="86" t="str">
        <f>IF(B52="","",VLOOKUP(A52,Journal!$C$7:$E$84,3))</f>
        <v/>
      </c>
      <c r="D52" s="84" t="str">
        <f>IF(B52="","",VLOOKUP(A52,Journal!$C$7:$J$84,8))</f>
        <v/>
      </c>
      <c r="E52" s="84" t="str">
        <f>IF(B52="","",VLOOKUP(A52,Journal!$C$7:$L$84,10))</f>
        <v/>
      </c>
      <c r="F52" s="84" t="str">
        <f>IF(B52="","",VLOOKUP(A52,Journal!$C$7:$M$84,11))</f>
        <v/>
      </c>
      <c r="G52" s="102">
        <f>IF(B52="Total",SUM(G$8:G51)+0.0001,IF(OR(B52="",M52=0),0,VLOOKUP(A52,Journal!$C$7:M$84,7)))</f>
        <v>0</v>
      </c>
      <c r="H52" s="102">
        <f>IF(B52="Total",SUM(H$8:H51)+0.0001,IF(OR(B52="",N52=0),0,VLOOKUP(A52,Journal!$C$7:M$84,7)))</f>
        <v>0</v>
      </c>
      <c r="I52" s="87">
        <f t="shared" si="2"/>
        <v>0</v>
      </c>
      <c r="J52" s="103"/>
      <c r="K52" s="13">
        <f>VLOOKUP(A52,Journal!$C$7:$M$84,4)</f>
        <v>0</v>
      </c>
      <c r="L52" s="13">
        <f>VLOOKUP(A52,Journal!$C$7:$M$84,5)</f>
        <v>0</v>
      </c>
      <c r="M52" s="13">
        <f t="shared" si="6"/>
        <v>0</v>
      </c>
      <c r="N52" s="13">
        <f t="shared" si="7"/>
        <v>0</v>
      </c>
      <c r="O52" s="13"/>
      <c r="P52" s="13">
        <f t="shared" si="8"/>
        <v>1.0000000000000001E-5</v>
      </c>
      <c r="T52" t="str">
        <f t="shared" si="1"/>
        <v/>
      </c>
    </row>
    <row r="53" spans="1:20" x14ac:dyDescent="0.25">
      <c r="A53">
        <f t="shared" si="5"/>
        <v>46</v>
      </c>
      <c r="B53" s="88" t="str">
        <f>IF(OR(B52="Total",B52=""),"",IF(VLOOKUP(A53,Journal!$C$7:$E$84,3)=0,"Total",VLOOKUP(A53,Journal!$C$7:$D$84,2)))</f>
        <v/>
      </c>
      <c r="C53" s="86" t="str">
        <f>IF(B53="","",VLOOKUP(A53,Journal!$C$7:$E$84,3))</f>
        <v/>
      </c>
      <c r="D53" s="84" t="str">
        <f>IF(B53="","",VLOOKUP(A53,Journal!$C$7:$J$84,8))</f>
        <v/>
      </c>
      <c r="E53" s="84" t="str">
        <f>IF(B53="","",VLOOKUP(A53,Journal!$C$7:$L$84,10))</f>
        <v/>
      </c>
      <c r="F53" s="84" t="str">
        <f>IF(B53="","",VLOOKUP(A53,Journal!$C$7:$M$84,11))</f>
        <v/>
      </c>
      <c r="G53" s="102">
        <f>IF(B53="Total",SUM(G$8:G52)+0.0001,IF(OR(B53="",M53=0),0,VLOOKUP(A53,Journal!$C$7:M$84,7)))</f>
        <v>0</v>
      </c>
      <c r="H53" s="102">
        <f>IF(B53="Total",SUM(H$8:H52)+0.0001,IF(OR(B53="",N53=0),0,VLOOKUP(A53,Journal!$C$7:M$84,7)))</f>
        <v>0</v>
      </c>
      <c r="I53" s="87">
        <f t="shared" si="2"/>
        <v>0</v>
      </c>
      <c r="J53" s="103"/>
      <c r="K53" s="13">
        <f>VLOOKUP(A53,Journal!$C$7:$M$84,4)</f>
        <v>0</v>
      </c>
      <c r="L53" s="13">
        <f>VLOOKUP(A53,Journal!$C$7:$M$84,5)</f>
        <v>0</v>
      </c>
      <c r="M53" s="13">
        <f t="shared" si="6"/>
        <v>0</v>
      </c>
      <c r="N53" s="13">
        <f t="shared" si="7"/>
        <v>0</v>
      </c>
      <c r="O53" s="13"/>
      <c r="P53" s="13">
        <f t="shared" si="8"/>
        <v>1.0000000000000001E-5</v>
      </c>
      <c r="T53" t="str">
        <f t="shared" si="1"/>
        <v/>
      </c>
    </row>
    <row r="54" spans="1:20" x14ac:dyDescent="0.25">
      <c r="A54">
        <f t="shared" si="5"/>
        <v>47</v>
      </c>
      <c r="B54" s="88" t="str">
        <f>IF(OR(B53="Total",B53=""),"",IF(VLOOKUP(A54,Journal!$C$7:$E$84,3)=0,"Total",VLOOKUP(A54,Journal!$C$7:$D$84,2)))</f>
        <v/>
      </c>
      <c r="C54" s="86" t="str">
        <f>IF(B54="","",VLOOKUP(A54,Journal!$C$7:$E$84,3))</f>
        <v/>
      </c>
      <c r="D54" s="84" t="str">
        <f>IF(B54="","",VLOOKUP(A54,Journal!$C$7:$J$84,8))</f>
        <v/>
      </c>
      <c r="E54" s="84" t="str">
        <f>IF(B54="","",VLOOKUP(A54,Journal!$C$7:$L$84,10))</f>
        <v/>
      </c>
      <c r="F54" s="84" t="str">
        <f>IF(B54="","",VLOOKUP(A54,Journal!$C$7:$M$84,11))</f>
        <v/>
      </c>
      <c r="G54" s="102">
        <f>IF(B54="Total",SUM(G$8:G53)+0.0001,IF(OR(B54="",M54=0),0,VLOOKUP(A54,Journal!$C$7:M$84,7)))</f>
        <v>0</v>
      </c>
      <c r="H54" s="102">
        <f>IF(B54="Total",SUM(H$8:H53)+0.0001,IF(OR(B54="",N54=0),0,VLOOKUP(A54,Journal!$C$7:M$84,7)))</f>
        <v>0</v>
      </c>
      <c r="I54" s="87">
        <f t="shared" si="2"/>
        <v>0</v>
      </c>
      <c r="J54" s="103"/>
      <c r="K54" s="13">
        <f>VLOOKUP(A54,Journal!$C$7:$M$84,4)</f>
        <v>0</v>
      </c>
      <c r="L54" s="13">
        <f>VLOOKUP(A54,Journal!$C$7:$M$84,5)</f>
        <v>0</v>
      </c>
      <c r="M54" s="13">
        <f t="shared" si="6"/>
        <v>0</v>
      </c>
      <c r="N54" s="13">
        <f t="shared" si="7"/>
        <v>0</v>
      </c>
      <c r="O54" s="13"/>
      <c r="P54" s="13">
        <f t="shared" si="8"/>
        <v>1.0000000000000001E-5</v>
      </c>
      <c r="T54" t="str">
        <f t="shared" si="1"/>
        <v/>
      </c>
    </row>
    <row r="55" spans="1:20" x14ac:dyDescent="0.25">
      <c r="A55">
        <f t="shared" si="5"/>
        <v>48</v>
      </c>
      <c r="B55" s="88" t="str">
        <f>IF(OR(B54="Total",B54=""),"",IF(VLOOKUP(A55,Journal!$C$7:$E$84,3)=0,"Total",VLOOKUP(A55,Journal!$C$7:$D$84,2)))</f>
        <v/>
      </c>
      <c r="C55" s="86" t="str">
        <f>IF(B55="","",VLOOKUP(A55,Journal!$C$7:$E$84,3))</f>
        <v/>
      </c>
      <c r="D55" s="84" t="str">
        <f>IF(B55="","",VLOOKUP(A55,Journal!$C$7:$J$84,8))</f>
        <v/>
      </c>
      <c r="E55" s="84" t="str">
        <f>IF(B55="","",VLOOKUP(A55,Journal!$C$7:$L$84,10))</f>
        <v/>
      </c>
      <c r="F55" s="84" t="str">
        <f>IF(B55="","",VLOOKUP(A55,Journal!$C$7:$M$84,11))</f>
        <v/>
      </c>
      <c r="G55" s="102">
        <f>IF(B55="Total",SUM(G$8:G54)+0.0001,IF(OR(B55="",M55=0),0,VLOOKUP(A55,Journal!$C$7:M$84,7)))</f>
        <v>0</v>
      </c>
      <c r="H55" s="102">
        <f>IF(B55="Total",SUM(H$8:H54)+0.0001,IF(OR(B55="",N55=0),0,VLOOKUP(A55,Journal!$C$7:M$84,7)))</f>
        <v>0</v>
      </c>
      <c r="I55" s="87">
        <f t="shared" si="2"/>
        <v>0</v>
      </c>
      <c r="J55" s="103"/>
      <c r="K55" s="13">
        <f>VLOOKUP(A55,Journal!$C$7:$M$84,4)</f>
        <v>0</v>
      </c>
      <c r="L55" s="13">
        <f>VLOOKUP(A55,Journal!$C$7:$M$84,5)</f>
        <v>0</v>
      </c>
      <c r="M55" s="13">
        <f t="shared" si="6"/>
        <v>0</v>
      </c>
      <c r="N55" s="13">
        <f t="shared" si="7"/>
        <v>0</v>
      </c>
      <c r="O55" s="13"/>
      <c r="P55" s="13">
        <f t="shared" si="8"/>
        <v>1.0000000000000001E-5</v>
      </c>
      <c r="T55" t="str">
        <f t="shared" si="1"/>
        <v/>
      </c>
    </row>
    <row r="56" spans="1:20" x14ac:dyDescent="0.25">
      <c r="A56">
        <f t="shared" si="5"/>
        <v>49</v>
      </c>
      <c r="B56" s="88" t="str">
        <f>IF(OR(B55="Total",B55=""),"",IF(VLOOKUP(A56,Journal!$C$7:$E$84,3)=0,"Total",VLOOKUP(A56,Journal!$C$7:$D$84,2)))</f>
        <v/>
      </c>
      <c r="C56" s="86" t="str">
        <f>IF(B56="","",VLOOKUP(A56,Journal!$C$7:$E$84,3))</f>
        <v/>
      </c>
      <c r="D56" s="84" t="str">
        <f>IF(B56="","",VLOOKUP(A56,Journal!$C$7:$J$84,8))</f>
        <v/>
      </c>
      <c r="E56" s="84" t="str">
        <f>IF(B56="","",VLOOKUP(A56,Journal!$C$7:$L$84,10))</f>
        <v/>
      </c>
      <c r="F56" s="84" t="str">
        <f>IF(B56="","",VLOOKUP(A56,Journal!$C$7:$M$84,11))</f>
        <v/>
      </c>
      <c r="G56" s="102">
        <f>IF(B56="Total",SUM(G$8:G55)+0.0001,IF(OR(B56="",M56=0),0,VLOOKUP(A56,Journal!$C$7:M$84,7)))</f>
        <v>0</v>
      </c>
      <c r="H56" s="102">
        <f>IF(B56="Total",SUM(H$8:H55)+0.0001,IF(OR(B56="",N56=0),0,VLOOKUP(A56,Journal!$C$7:M$84,7)))</f>
        <v>0</v>
      </c>
      <c r="I56" s="87">
        <f t="shared" si="2"/>
        <v>0</v>
      </c>
      <c r="J56" s="103"/>
      <c r="K56" s="13">
        <f>VLOOKUP(A56,Journal!$C$7:$M$84,4)</f>
        <v>0</v>
      </c>
      <c r="L56" s="13">
        <f>VLOOKUP(A56,Journal!$C$7:$M$84,5)</f>
        <v>0</v>
      </c>
      <c r="M56" s="13">
        <f t="shared" si="6"/>
        <v>0</v>
      </c>
      <c r="N56" s="13">
        <f t="shared" si="7"/>
        <v>0</v>
      </c>
      <c r="O56" s="13"/>
      <c r="P56" s="13">
        <f t="shared" si="8"/>
        <v>1.0000000000000001E-5</v>
      </c>
      <c r="T56" t="str">
        <f t="shared" si="1"/>
        <v/>
      </c>
    </row>
    <row r="57" spans="1:20" x14ac:dyDescent="0.25">
      <c r="A57">
        <f t="shared" si="5"/>
        <v>50</v>
      </c>
      <c r="B57" s="88" t="str">
        <f>IF(OR(B56="Total",B56=""),"",IF(VLOOKUP(A57,Journal!$C$7:$E$84,3)=0,"Total",VLOOKUP(A57,Journal!$C$7:$D$84,2)))</f>
        <v/>
      </c>
      <c r="C57" s="86" t="str">
        <f>IF(B57="","",VLOOKUP(A57,Journal!$C$7:$E$84,3))</f>
        <v/>
      </c>
      <c r="D57" s="84" t="str">
        <f>IF(B57="","",VLOOKUP(A57,Journal!$C$7:$J$84,8))</f>
        <v/>
      </c>
      <c r="E57" s="84" t="str">
        <f>IF(B57="","",VLOOKUP(A57,Journal!$C$7:$L$84,10))</f>
        <v/>
      </c>
      <c r="F57" s="84" t="str">
        <f>IF(B57="","",VLOOKUP(A57,Journal!$C$7:$M$84,11))</f>
        <v/>
      </c>
      <c r="G57" s="102">
        <f>IF(B57="Total",SUM(G$8:G56)+0.0001,IF(OR(B57="",M57=0),0,VLOOKUP(A57,Journal!$C$7:M$84,7)))</f>
        <v>0</v>
      </c>
      <c r="H57" s="102">
        <f>IF(B57="Total",SUM(H$8:H56)+0.0001,IF(OR(B57="",N57=0),0,VLOOKUP(A57,Journal!$C$7:M$84,7)))</f>
        <v>0</v>
      </c>
      <c r="I57" s="87">
        <f t="shared" si="2"/>
        <v>0</v>
      </c>
      <c r="J57" s="103"/>
      <c r="K57" s="13">
        <f>VLOOKUP(A57,Journal!$C$7:$M$84,4)</f>
        <v>0</v>
      </c>
      <c r="L57" s="13">
        <f>VLOOKUP(A57,Journal!$C$7:$M$84,5)</f>
        <v>0</v>
      </c>
      <c r="M57" s="13">
        <f t="shared" si="6"/>
        <v>0</v>
      </c>
      <c r="N57" s="13">
        <f t="shared" si="7"/>
        <v>0</v>
      </c>
      <c r="O57" s="13"/>
      <c r="P57" s="13">
        <f t="shared" si="8"/>
        <v>1.0000000000000001E-5</v>
      </c>
      <c r="T57" t="str">
        <f t="shared" si="1"/>
        <v/>
      </c>
    </row>
    <row r="58" spans="1:20" x14ac:dyDescent="0.25">
      <c r="A58">
        <f t="shared" si="5"/>
        <v>51</v>
      </c>
      <c r="B58" s="88" t="str">
        <f>IF(OR(B57="Total",B57=""),"",IF(VLOOKUP(A58,Journal!$C$7:$E$84,3)=0,"Total",VLOOKUP(A58,Journal!$C$7:$D$84,2)))</f>
        <v/>
      </c>
      <c r="C58" s="86" t="str">
        <f>IF(B58="","",VLOOKUP(A58,Journal!$C$7:$E$84,3))</f>
        <v/>
      </c>
      <c r="D58" s="84" t="str">
        <f>IF(B58="","",VLOOKUP(A58,Journal!$C$7:$J$84,8))</f>
        <v/>
      </c>
      <c r="E58" s="84" t="str">
        <f>IF(B58="","",VLOOKUP(A58,Journal!$C$7:$L$84,10))</f>
        <v/>
      </c>
      <c r="F58" s="84" t="str">
        <f>IF(B58="","",VLOOKUP(A58,Journal!$C$7:$M$84,11))</f>
        <v/>
      </c>
      <c r="G58" s="102">
        <f>IF(B58="Total",SUM(G$8:G57)+0.0001,IF(OR(B58="",M58=0),0,VLOOKUP(A58,Journal!$C$7:M$84,7)))</f>
        <v>0</v>
      </c>
      <c r="H58" s="102">
        <f>IF(B58="Total",SUM(H$8:H57)+0.0001,IF(OR(B58="",N58=0),0,VLOOKUP(A58,Journal!$C$7:M$84,7)))</f>
        <v>0</v>
      </c>
      <c r="I58" s="87">
        <f t="shared" si="2"/>
        <v>0</v>
      </c>
      <c r="J58" s="103"/>
      <c r="K58" s="13">
        <f>VLOOKUP(A58,Journal!$C$7:$M$84,4)</f>
        <v>0</v>
      </c>
      <c r="L58" s="13">
        <f>VLOOKUP(A58,Journal!$C$7:$M$84,5)</f>
        <v>0</v>
      </c>
      <c r="M58" s="13">
        <f t="shared" si="6"/>
        <v>0</v>
      </c>
      <c r="N58" s="13">
        <f t="shared" si="7"/>
        <v>0</v>
      </c>
      <c r="O58" s="13"/>
      <c r="P58" s="13">
        <f t="shared" si="8"/>
        <v>1.0000000000000001E-5</v>
      </c>
      <c r="T58" t="str">
        <f t="shared" si="1"/>
        <v/>
      </c>
    </row>
    <row r="59" spans="1:20" x14ac:dyDescent="0.25">
      <c r="A59">
        <f t="shared" si="5"/>
        <v>52</v>
      </c>
      <c r="B59" s="88" t="str">
        <f>IF(OR(B58="Total",B58=""),"",IF(VLOOKUP(A59,Journal!$C$7:$E$84,3)=0,"Total",VLOOKUP(A59,Journal!$C$7:$D$84,2)))</f>
        <v/>
      </c>
      <c r="C59" s="86" t="str">
        <f>IF(B59="","",VLOOKUP(A59,Journal!$C$7:$E$84,3))</f>
        <v/>
      </c>
      <c r="D59" s="84" t="str">
        <f>IF(B59="","",VLOOKUP(A59,Journal!$C$7:$J$84,8))</f>
        <v/>
      </c>
      <c r="E59" s="84" t="str">
        <f>IF(B59="","",VLOOKUP(A59,Journal!$C$7:$L$84,10))</f>
        <v/>
      </c>
      <c r="F59" s="84" t="str">
        <f>IF(B59="","",VLOOKUP(A59,Journal!$C$7:$M$84,11))</f>
        <v/>
      </c>
      <c r="G59" s="102">
        <f>IF(B59="Total",SUM(G$8:G58)+0.0001,IF(OR(B59="",M59=0),0,VLOOKUP(A59,Journal!$C$7:M$84,7)))</f>
        <v>0</v>
      </c>
      <c r="H59" s="102">
        <f>IF(B59="Total",SUM(H$8:H58)+0.0001,IF(OR(B59="",N59=0),0,VLOOKUP(A59,Journal!$C$7:M$84,7)))</f>
        <v>0</v>
      </c>
      <c r="I59" s="87">
        <f t="shared" si="2"/>
        <v>0</v>
      </c>
      <c r="J59" s="103"/>
      <c r="K59" s="13">
        <f>VLOOKUP(A59,Journal!$C$7:$M$84,4)</f>
        <v>0</v>
      </c>
      <c r="L59" s="13">
        <f>VLOOKUP(A59,Journal!$C$7:$M$84,5)</f>
        <v>0</v>
      </c>
      <c r="M59" s="13">
        <f t="shared" si="6"/>
        <v>0</v>
      </c>
      <c r="N59" s="13">
        <f t="shared" si="7"/>
        <v>0</v>
      </c>
      <c r="O59" s="13"/>
      <c r="P59" s="13">
        <f t="shared" si="8"/>
        <v>1.0000000000000001E-5</v>
      </c>
      <c r="T59" t="str">
        <f t="shared" si="1"/>
        <v/>
      </c>
    </row>
    <row r="60" spans="1:20" x14ac:dyDescent="0.25">
      <c r="A60">
        <f t="shared" si="5"/>
        <v>53</v>
      </c>
      <c r="B60" s="88" t="str">
        <f>IF(OR(B59="Total",B59=""),"",IF(VLOOKUP(A60,Journal!$C$7:$E$84,3)=0,"Total",VLOOKUP(A60,Journal!$C$7:$D$84,2)))</f>
        <v/>
      </c>
      <c r="C60" s="86" t="str">
        <f>IF(B60="","",VLOOKUP(A60,Journal!$C$7:$E$84,3))</f>
        <v/>
      </c>
      <c r="D60" s="84" t="str">
        <f>IF(B60="","",VLOOKUP(A60,Journal!$C$7:$J$84,8))</f>
        <v/>
      </c>
      <c r="E60" s="84" t="str">
        <f>IF(B60="","",VLOOKUP(A60,Journal!$C$7:$L$84,10))</f>
        <v/>
      </c>
      <c r="F60" s="84" t="str">
        <f>IF(B60="","",VLOOKUP(A60,Journal!$C$7:$M$84,11))</f>
        <v/>
      </c>
      <c r="G60" s="102">
        <f>IF(B60="Total",SUM(G$8:G59)+0.0001,IF(OR(B60="",M60=0),0,VLOOKUP(A60,Journal!$C$7:M$84,7)))</f>
        <v>0</v>
      </c>
      <c r="H60" s="102">
        <f>IF(B60="Total",SUM(H$8:H59)+0.0001,IF(OR(B60="",N60=0),0,VLOOKUP(A60,Journal!$C$7:M$84,7)))</f>
        <v>0</v>
      </c>
      <c r="I60" s="87">
        <f t="shared" si="2"/>
        <v>0</v>
      </c>
      <c r="J60" s="103"/>
      <c r="K60" s="13">
        <f>VLOOKUP(A60,Journal!$C$7:$M$84,4)</f>
        <v>0</v>
      </c>
      <c r="L60" s="13">
        <f>VLOOKUP(A60,Journal!$C$7:$M$84,5)</f>
        <v>0</v>
      </c>
      <c r="M60" s="13">
        <f t="shared" si="6"/>
        <v>0</v>
      </c>
      <c r="N60" s="13">
        <f t="shared" si="7"/>
        <v>0</v>
      </c>
      <c r="O60" s="13"/>
      <c r="P60" s="13">
        <f t="shared" si="8"/>
        <v>1.0000000000000001E-5</v>
      </c>
      <c r="T60" t="str">
        <f t="shared" si="1"/>
        <v/>
      </c>
    </row>
    <row r="61" spans="1:20" x14ac:dyDescent="0.25">
      <c r="A61">
        <f t="shared" si="5"/>
        <v>54</v>
      </c>
      <c r="B61" s="88" t="str">
        <f>IF(OR(B60="Total",B60=""),"",IF(VLOOKUP(A61,Journal!$C$7:$E$84,3)=0,"Total",VLOOKUP(A61,Journal!$C$7:$D$84,2)))</f>
        <v/>
      </c>
      <c r="C61" s="86" t="str">
        <f>IF(B61="","",VLOOKUP(A61,Journal!$C$7:$E$84,3))</f>
        <v/>
      </c>
      <c r="D61" s="84" t="str">
        <f>IF(B61="","",VLOOKUP(A61,Journal!$C$7:$J$84,8))</f>
        <v/>
      </c>
      <c r="E61" s="84" t="str">
        <f>IF(B61="","",VLOOKUP(A61,Journal!$C$7:$L$84,10))</f>
        <v/>
      </c>
      <c r="F61" s="84" t="str">
        <f>IF(B61="","",VLOOKUP(A61,Journal!$C$7:$M$84,11))</f>
        <v/>
      </c>
      <c r="G61" s="102">
        <f>IF(B61="Total",SUM(G$8:G60)+0.0001,IF(OR(B61="",M61=0),0,VLOOKUP(A61,Journal!$C$7:M$84,7)))</f>
        <v>0</v>
      </c>
      <c r="H61" s="102">
        <f>IF(B61="Total",SUM(H$8:H60)+0.0001,IF(OR(B61="",N61=0),0,VLOOKUP(A61,Journal!$C$7:M$84,7)))</f>
        <v>0</v>
      </c>
      <c r="I61" s="87">
        <f t="shared" si="2"/>
        <v>0</v>
      </c>
      <c r="J61" s="103"/>
      <c r="K61" s="13">
        <f>VLOOKUP(A61,Journal!$C$7:$M$84,4)</f>
        <v>0</v>
      </c>
      <c r="L61" s="13">
        <f>VLOOKUP(A61,Journal!$C$7:$M$84,5)</f>
        <v>0</v>
      </c>
      <c r="M61" s="13">
        <f t="shared" si="6"/>
        <v>0</v>
      </c>
      <c r="N61" s="13">
        <f t="shared" si="7"/>
        <v>0</v>
      </c>
      <c r="O61" s="13"/>
      <c r="P61" s="13">
        <f t="shared" si="8"/>
        <v>1.0000000000000001E-5</v>
      </c>
      <c r="T61" t="str">
        <f t="shared" si="1"/>
        <v/>
      </c>
    </row>
    <row r="62" spans="1:20" x14ac:dyDescent="0.25">
      <c r="A62">
        <f t="shared" si="5"/>
        <v>55</v>
      </c>
      <c r="B62" s="88" t="str">
        <f>IF(OR(B61="Total",B61=""),"",IF(VLOOKUP(A62,Journal!$C$7:$E$84,3)=0,"Total",VLOOKUP(A62,Journal!$C$7:$D$84,2)))</f>
        <v/>
      </c>
      <c r="C62" s="86" t="str">
        <f>IF(B62="","",VLOOKUP(A62,Journal!$C$7:$E$84,3))</f>
        <v/>
      </c>
      <c r="D62" s="84" t="str">
        <f>IF(B62="","",VLOOKUP(A62,Journal!$C$7:$J$84,8))</f>
        <v/>
      </c>
      <c r="E62" s="84" t="str">
        <f>IF(B62="","",VLOOKUP(A62,Journal!$C$7:$L$84,10))</f>
        <v/>
      </c>
      <c r="F62" s="84" t="str">
        <f>IF(B62="","",VLOOKUP(A62,Journal!$C$7:$M$84,11))</f>
        <v/>
      </c>
      <c r="G62" s="102">
        <f>IF(B62="Total",SUM(G$8:G61)+0.0001,IF(OR(B62="",M62=0),0,VLOOKUP(A62,Journal!$C$7:M$84,7)))</f>
        <v>0</v>
      </c>
      <c r="H62" s="102">
        <f>IF(B62="Total",SUM(H$8:H61)+0.0001,IF(OR(B62="",N62=0),0,VLOOKUP(A62,Journal!$C$7:M$84,7)))</f>
        <v>0</v>
      </c>
      <c r="I62" s="87">
        <f t="shared" si="2"/>
        <v>0</v>
      </c>
      <c r="J62" s="103"/>
      <c r="K62" s="13">
        <f>VLOOKUP(A62,Journal!$C$7:$M$84,4)</f>
        <v>0</v>
      </c>
      <c r="L62" s="13">
        <f>VLOOKUP(A62,Journal!$C$7:$M$84,5)</f>
        <v>0</v>
      </c>
      <c r="M62" s="13">
        <f t="shared" si="6"/>
        <v>0</v>
      </c>
      <c r="N62" s="13">
        <f t="shared" si="7"/>
        <v>0</v>
      </c>
      <c r="O62" s="13"/>
      <c r="P62" s="13">
        <f t="shared" si="8"/>
        <v>1.0000000000000001E-5</v>
      </c>
      <c r="T62" t="str">
        <f t="shared" si="1"/>
        <v/>
      </c>
    </row>
    <row r="63" spans="1:20" x14ac:dyDescent="0.25">
      <c r="A63">
        <f t="shared" si="5"/>
        <v>56</v>
      </c>
      <c r="B63" s="88" t="str">
        <f>IF(OR(B62="Total",B62=""),"",IF(VLOOKUP(A63,Journal!$C$7:$E$84,3)=0,"Total",VLOOKUP(A63,Journal!$C$7:$D$84,2)))</f>
        <v/>
      </c>
      <c r="C63" s="86" t="str">
        <f>IF(B63="","",VLOOKUP(A63,Journal!$C$7:$E$84,3))</f>
        <v/>
      </c>
      <c r="D63" s="84" t="str">
        <f>IF(B63="","",VLOOKUP(A63,Journal!$C$7:$J$84,8))</f>
        <v/>
      </c>
      <c r="E63" s="84" t="str">
        <f>IF(B63="","",VLOOKUP(A63,Journal!$C$7:$L$84,10))</f>
        <v/>
      </c>
      <c r="F63" s="84" t="str">
        <f>IF(B63="","",VLOOKUP(A63,Journal!$C$7:$M$84,11))</f>
        <v/>
      </c>
      <c r="G63" s="102">
        <f>IF(B63="Total",SUM(G$8:G62)+0.0001,IF(OR(B63="",M63=0),0,VLOOKUP(A63,Journal!$C$7:M$84,7)))</f>
        <v>0</v>
      </c>
      <c r="H63" s="102">
        <f>IF(B63="Total",SUM(H$8:H62)+0.0001,IF(OR(B63="",N63=0),0,VLOOKUP(A63,Journal!$C$7:M$84,7)))</f>
        <v>0</v>
      </c>
      <c r="I63" s="87">
        <f t="shared" si="2"/>
        <v>0</v>
      </c>
      <c r="J63" s="103"/>
      <c r="K63" s="13">
        <f>VLOOKUP(A63,Journal!$C$7:$M$84,4)</f>
        <v>0</v>
      </c>
      <c r="L63" s="13">
        <f>VLOOKUP(A63,Journal!$C$7:$M$84,5)</f>
        <v>0</v>
      </c>
      <c r="M63" s="13">
        <f t="shared" si="6"/>
        <v>0</v>
      </c>
      <c r="N63" s="13">
        <f t="shared" si="7"/>
        <v>0</v>
      </c>
      <c r="O63" s="13"/>
      <c r="P63" s="13">
        <f t="shared" si="8"/>
        <v>1.0000000000000001E-5</v>
      </c>
      <c r="T63" t="str">
        <f t="shared" si="1"/>
        <v/>
      </c>
    </row>
    <row r="64" spans="1:20" x14ac:dyDescent="0.25">
      <c r="A64">
        <f t="shared" si="5"/>
        <v>57</v>
      </c>
      <c r="B64" s="88" t="str">
        <f>IF(OR(B63="Total",B63=""),"",IF(VLOOKUP(A64,Journal!$C$7:$E$84,3)=0,"Total",VLOOKUP(A64,Journal!$C$7:$D$84,2)))</f>
        <v/>
      </c>
      <c r="C64" s="86" t="str">
        <f>IF(B64="","",VLOOKUP(A64,Journal!$C$7:$E$84,3))</f>
        <v/>
      </c>
      <c r="D64" s="84" t="str">
        <f>IF(B64="","",VLOOKUP(A64,Journal!$C$7:$J$84,8))</f>
        <v/>
      </c>
      <c r="E64" s="84" t="str">
        <f>IF(B64="","",VLOOKUP(A64,Journal!$C$7:$L$84,10))</f>
        <v/>
      </c>
      <c r="F64" s="84" t="str">
        <f>IF(B64="","",VLOOKUP(A64,Journal!$C$7:$M$84,11))</f>
        <v/>
      </c>
      <c r="G64" s="102">
        <f>IF(B64="Total",SUM(G$8:G63)+0.0001,IF(OR(B64="",M64=0),0,VLOOKUP(A64,Journal!$C$7:M$84,7)))</f>
        <v>0</v>
      </c>
      <c r="H64" s="102">
        <f>IF(B64="Total",SUM(H$8:H63)+0.0001,IF(OR(B64="",N64=0),0,VLOOKUP(A64,Journal!$C$7:M$84,7)))</f>
        <v>0</v>
      </c>
      <c r="I64" s="87">
        <f t="shared" si="2"/>
        <v>0</v>
      </c>
      <c r="J64" s="103"/>
      <c r="K64" s="13">
        <f>VLOOKUP(A64,Journal!$C$7:$M$84,4)</f>
        <v>0</v>
      </c>
      <c r="L64" s="13">
        <f>VLOOKUP(A64,Journal!$C$7:$M$84,5)</f>
        <v>0</v>
      </c>
      <c r="M64" s="13">
        <f t="shared" si="6"/>
        <v>0</v>
      </c>
      <c r="N64" s="13">
        <f t="shared" si="7"/>
        <v>0</v>
      </c>
      <c r="O64" s="13"/>
      <c r="P64" s="13">
        <f t="shared" si="8"/>
        <v>1.0000000000000001E-5</v>
      </c>
      <c r="T64" t="str">
        <f t="shared" si="1"/>
        <v/>
      </c>
    </row>
    <row r="65" spans="1:20" x14ac:dyDescent="0.25">
      <c r="A65">
        <f t="shared" si="5"/>
        <v>58</v>
      </c>
      <c r="B65" s="88" t="str">
        <f>IF(OR(B64="Total",B64=""),"",IF(VLOOKUP(A65,Journal!$C$7:$E$84,3)=0,"Total",VLOOKUP(A65,Journal!$C$7:$D$84,2)))</f>
        <v/>
      </c>
      <c r="C65" s="86" t="str">
        <f>IF(B65="","",VLOOKUP(A65,Journal!$C$7:$E$84,3))</f>
        <v/>
      </c>
      <c r="D65" s="84" t="str">
        <f>IF(B65="","",VLOOKUP(A65,Journal!$C$7:$J$84,8))</f>
        <v/>
      </c>
      <c r="E65" s="84" t="str">
        <f>IF(B65="","",VLOOKUP(A65,Journal!$C$7:$L$84,10))</f>
        <v/>
      </c>
      <c r="F65" s="84" t="str">
        <f>IF(B65="","",VLOOKUP(A65,Journal!$C$7:$M$84,11))</f>
        <v/>
      </c>
      <c r="G65" s="102">
        <f>IF(B65="Total",SUM(G$8:G64)+0.0001,IF(OR(B65="",M65=0),0,VLOOKUP(A65,Journal!$C$7:M$84,7)))</f>
        <v>0</v>
      </c>
      <c r="H65" s="102">
        <f>IF(B65="Total",SUM(H$8:H64)+0.0001,IF(OR(B65="",N65=0),0,VLOOKUP(A65,Journal!$C$7:M$84,7)))</f>
        <v>0</v>
      </c>
      <c r="I65" s="87">
        <f t="shared" si="2"/>
        <v>0</v>
      </c>
      <c r="J65" s="103"/>
      <c r="K65" s="13">
        <f>VLOOKUP(A65,Journal!$C$7:$M$84,4)</f>
        <v>0</v>
      </c>
      <c r="L65" s="13">
        <f>VLOOKUP(A65,Journal!$C$7:$M$84,5)</f>
        <v>0</v>
      </c>
      <c r="M65" s="13">
        <f t="shared" si="6"/>
        <v>0</v>
      </c>
      <c r="N65" s="13">
        <f t="shared" si="7"/>
        <v>0</v>
      </c>
      <c r="O65" s="13"/>
      <c r="P65" s="13">
        <f t="shared" si="8"/>
        <v>1.0000000000000001E-5</v>
      </c>
      <c r="T65" t="str">
        <f t="shared" si="1"/>
        <v/>
      </c>
    </row>
    <row r="66" spans="1:20" x14ac:dyDescent="0.25">
      <c r="A66">
        <f t="shared" si="5"/>
        <v>59</v>
      </c>
      <c r="B66" s="88" t="str">
        <f>IF(OR(B65="Total",B65=""),"",IF(VLOOKUP(A66,Journal!$C$7:$E$84,3)=0,"Total",VLOOKUP(A66,Journal!$C$7:$D$84,2)))</f>
        <v/>
      </c>
      <c r="C66" s="86" t="str">
        <f>IF(B66="","",VLOOKUP(A66,Journal!$C$7:$E$84,3))</f>
        <v/>
      </c>
      <c r="D66" s="84" t="str">
        <f>IF(B66="","",VLOOKUP(A66,Journal!$C$7:$J$84,8))</f>
        <v/>
      </c>
      <c r="E66" s="84" t="str">
        <f>IF(B66="","",VLOOKUP(A66,Journal!$C$7:$L$84,10))</f>
        <v/>
      </c>
      <c r="F66" s="84" t="str">
        <f>IF(B66="","",VLOOKUP(A66,Journal!$C$7:$M$84,11))</f>
        <v/>
      </c>
      <c r="G66" s="102">
        <f>IF(B66="Total",SUM(G$8:G65)+0.0001,IF(OR(B66="",M66=0),0,VLOOKUP(A66,Journal!$C$7:M$84,7)))</f>
        <v>0</v>
      </c>
      <c r="H66" s="102">
        <f>IF(B66="Total",SUM(H$8:H65)+0.0001,IF(OR(B66="",N66=0),0,VLOOKUP(A66,Journal!$C$7:M$84,7)))</f>
        <v>0</v>
      </c>
      <c r="I66" s="87">
        <f t="shared" si="2"/>
        <v>0</v>
      </c>
      <c r="J66" s="103"/>
      <c r="K66" s="13">
        <f>VLOOKUP(A66,Journal!$C$7:$M$84,4)</f>
        <v>0</v>
      </c>
      <c r="L66" s="13">
        <f>VLOOKUP(A66,Journal!$C$7:$M$84,5)</f>
        <v>0</v>
      </c>
      <c r="M66" s="13">
        <f t="shared" si="6"/>
        <v>0</v>
      </c>
      <c r="N66" s="13">
        <f t="shared" si="7"/>
        <v>0</v>
      </c>
      <c r="O66" s="13"/>
      <c r="P66" s="13">
        <f t="shared" si="8"/>
        <v>1.0000000000000001E-5</v>
      </c>
      <c r="T66" t="str">
        <f t="shared" si="1"/>
        <v/>
      </c>
    </row>
    <row r="67" spans="1:20" x14ac:dyDescent="0.25">
      <c r="A67">
        <f t="shared" si="5"/>
        <v>60</v>
      </c>
      <c r="B67" s="88" t="str">
        <f>IF(OR(B66="Total",B66=""),"",IF(VLOOKUP(A67,Journal!$C$7:$E$84,3)=0,"Total",VLOOKUP(A67,Journal!$C$7:$D$84,2)))</f>
        <v/>
      </c>
      <c r="C67" s="86" t="str">
        <f>IF(B67="","",VLOOKUP(A67,Journal!$C$7:$E$84,3))</f>
        <v/>
      </c>
      <c r="D67" s="84" t="str">
        <f>IF(B67="","",VLOOKUP(A67,Journal!$C$7:$J$84,8))</f>
        <v/>
      </c>
      <c r="E67" s="84" t="str">
        <f>IF(B67="","",VLOOKUP(A67,Journal!$C$7:$L$84,10))</f>
        <v/>
      </c>
      <c r="F67" s="84" t="str">
        <f>IF(B67="","",VLOOKUP(A67,Journal!$C$7:$M$84,11))</f>
        <v/>
      </c>
      <c r="G67" s="102">
        <f>IF(B67="Total",SUM(G$8:G66)+0.0001,IF(OR(B67="",M67=0),0,VLOOKUP(A67,Journal!$C$7:M$84,7)))</f>
        <v>0</v>
      </c>
      <c r="H67" s="102">
        <f>IF(B67="Total",SUM(H$8:H66)+0.0001,IF(OR(B67="",N67=0),0,VLOOKUP(A67,Journal!$C$7:M$84,7)))</f>
        <v>0</v>
      </c>
      <c r="I67" s="87">
        <f t="shared" si="2"/>
        <v>0</v>
      </c>
      <c r="J67" s="103"/>
      <c r="K67" s="13">
        <f>VLOOKUP(A67,Journal!$C$7:$M$84,4)</f>
        <v>0</v>
      </c>
      <c r="L67" s="13">
        <f>VLOOKUP(A67,Journal!$C$7:$M$84,5)</f>
        <v>0</v>
      </c>
      <c r="M67" s="13">
        <f t="shared" si="6"/>
        <v>0</v>
      </c>
      <c r="N67" s="13">
        <f t="shared" si="7"/>
        <v>0</v>
      </c>
      <c r="O67" s="13"/>
      <c r="P67" s="13">
        <f t="shared" si="8"/>
        <v>1.0000000000000001E-5</v>
      </c>
      <c r="T67" t="str">
        <f t="shared" si="1"/>
        <v/>
      </c>
    </row>
    <row r="68" spans="1:20" x14ac:dyDescent="0.25">
      <c r="A68">
        <f t="shared" si="5"/>
        <v>61</v>
      </c>
      <c r="B68" s="88" t="str">
        <f>IF(OR(B67="Total",B67=""),"",IF(VLOOKUP(A68,Journal!$C$7:$E$84,3)=0,"Total",VLOOKUP(A68,Journal!$C$7:$D$84,2)))</f>
        <v/>
      </c>
      <c r="C68" s="86" t="str">
        <f>IF(B68="","",VLOOKUP(A68,Journal!$C$7:$E$84,3))</f>
        <v/>
      </c>
      <c r="D68" s="84" t="str">
        <f>IF(B68="","",VLOOKUP(A68,Journal!$C$7:$J$84,8))</f>
        <v/>
      </c>
      <c r="E68" s="84" t="str">
        <f>IF(B68="","",VLOOKUP(A68,Journal!$C$7:$L$84,10))</f>
        <v/>
      </c>
      <c r="F68" s="84" t="str">
        <f>IF(B68="","",VLOOKUP(A68,Journal!$C$7:$M$84,11))</f>
        <v/>
      </c>
      <c r="G68" s="102">
        <f>IF(B68="Total",SUM(G$8:G67)+0.0001,IF(OR(B68="",M68=0),0,VLOOKUP(A68,Journal!$C$7:M$84,7)))</f>
        <v>0</v>
      </c>
      <c r="H68" s="102">
        <f>IF(B68="Total",SUM(H$8:H67)+0.0001,IF(OR(B68="",N68=0),0,VLOOKUP(A68,Journal!$C$7:M$84,7)))</f>
        <v>0</v>
      </c>
      <c r="I68" s="87">
        <f t="shared" si="2"/>
        <v>0</v>
      </c>
      <c r="J68" s="103"/>
      <c r="K68" s="13">
        <f>VLOOKUP(A68,Journal!$C$7:$M$84,4)</f>
        <v>0</v>
      </c>
      <c r="L68" s="13">
        <f>VLOOKUP(A68,Journal!$C$7:$M$84,5)</f>
        <v>0</v>
      </c>
      <c r="M68" s="13">
        <f t="shared" si="6"/>
        <v>0</v>
      </c>
      <c r="N68" s="13">
        <f t="shared" si="7"/>
        <v>0</v>
      </c>
      <c r="O68" s="13"/>
      <c r="P68" s="13">
        <f t="shared" si="8"/>
        <v>1.0000000000000001E-5</v>
      </c>
      <c r="T68" t="str">
        <f t="shared" si="1"/>
        <v/>
      </c>
    </row>
    <row r="69" spans="1:20" x14ac:dyDescent="0.25">
      <c r="A69">
        <f t="shared" si="5"/>
        <v>62</v>
      </c>
      <c r="B69" s="88" t="str">
        <f>IF(OR(B68="Total",B68=""),"",IF(VLOOKUP(A69,Journal!$C$7:$E$84,3)=0,"Total",VLOOKUP(A69,Journal!$C$7:$D$84,2)))</f>
        <v/>
      </c>
      <c r="C69" s="86" t="str">
        <f>IF(B69="","",VLOOKUP(A69,Journal!$C$7:$E$84,3))</f>
        <v/>
      </c>
      <c r="D69" s="84" t="str">
        <f>IF(B69="","",VLOOKUP(A69,Journal!$C$7:$J$84,8))</f>
        <v/>
      </c>
      <c r="E69" s="84" t="str">
        <f>IF(B69="","",VLOOKUP(A69,Journal!$C$7:$L$84,10))</f>
        <v/>
      </c>
      <c r="F69" s="84" t="str">
        <f>IF(B69="","",VLOOKUP(A69,Journal!$C$7:$M$84,11))</f>
        <v/>
      </c>
      <c r="G69" s="102">
        <f>IF(B69="Total",SUM(G$8:G68)+0.0001,IF(OR(B69="",M69=0),0,VLOOKUP(A69,Journal!$C$7:M$84,7)))</f>
        <v>0</v>
      </c>
      <c r="H69" s="102">
        <f>IF(B69="Total",SUM(H$8:H68)+0.0001,IF(OR(B69="",N69=0),0,VLOOKUP(A69,Journal!$C$7:M$84,7)))</f>
        <v>0</v>
      </c>
      <c r="I69" s="87">
        <f t="shared" si="2"/>
        <v>0</v>
      </c>
      <c r="J69" s="103"/>
      <c r="K69" s="13">
        <f>VLOOKUP(A69,Journal!$C$7:$M$84,4)</f>
        <v>0</v>
      </c>
      <c r="L69" s="13">
        <f>VLOOKUP(A69,Journal!$C$7:$M$84,5)</f>
        <v>0</v>
      </c>
      <c r="M69" s="13">
        <f t="shared" si="6"/>
        <v>0</v>
      </c>
      <c r="N69" s="13">
        <f t="shared" si="7"/>
        <v>0</v>
      </c>
      <c r="O69" s="13"/>
      <c r="P69" s="13">
        <f t="shared" si="8"/>
        <v>1.0000000000000001E-5</v>
      </c>
      <c r="T69" t="str">
        <f t="shared" si="1"/>
        <v/>
      </c>
    </row>
    <row r="70" spans="1:20" x14ac:dyDescent="0.25">
      <c r="A70">
        <f t="shared" si="5"/>
        <v>63</v>
      </c>
      <c r="B70" s="88" t="str">
        <f>IF(OR(B69="Total",B69=""),"",IF(VLOOKUP(A70,Journal!$C$7:$E$84,3)=0,"Total",VLOOKUP(A70,Journal!$C$7:$D$84,2)))</f>
        <v/>
      </c>
      <c r="C70" s="86" t="str">
        <f>IF(B70="","",VLOOKUP(A70,Journal!$C$7:$E$84,3))</f>
        <v/>
      </c>
      <c r="D70" s="84" t="str">
        <f>IF(B70="","",VLOOKUP(A70,Journal!$C$7:$J$84,8))</f>
        <v/>
      </c>
      <c r="E70" s="84" t="str">
        <f>IF(B70="","",VLOOKUP(A70,Journal!$C$7:$L$84,10))</f>
        <v/>
      </c>
      <c r="F70" s="84" t="str">
        <f>IF(B70="","",VLOOKUP(A70,Journal!$C$7:$M$84,11))</f>
        <v/>
      </c>
      <c r="G70" s="102">
        <f>IF(B70="Total",SUM(G$8:G69)+0.0001,IF(OR(B70="",M70=0),0,VLOOKUP(A70,Journal!$C$7:M$84,7)))</f>
        <v>0</v>
      </c>
      <c r="H70" s="102">
        <f>IF(B70="Total",SUM(H$8:H69)+0.0001,IF(OR(B70="",N70=0),0,VLOOKUP(A70,Journal!$C$7:M$84,7)))</f>
        <v>0</v>
      </c>
      <c r="I70" s="87">
        <f t="shared" si="2"/>
        <v>0</v>
      </c>
      <c r="J70" s="103"/>
      <c r="K70" s="13">
        <f>VLOOKUP(A70,Journal!$C$7:$M$84,4)</f>
        <v>0</v>
      </c>
      <c r="L70" s="13">
        <f>VLOOKUP(A70,Journal!$C$7:$M$84,5)</f>
        <v>0</v>
      </c>
      <c r="M70" s="13">
        <f t="shared" si="6"/>
        <v>0</v>
      </c>
      <c r="N70" s="13">
        <f t="shared" si="7"/>
        <v>0</v>
      </c>
      <c r="O70" s="13"/>
      <c r="P70" s="13">
        <f t="shared" si="8"/>
        <v>1.0000000000000001E-5</v>
      </c>
      <c r="T70" t="str">
        <f t="shared" si="1"/>
        <v/>
      </c>
    </row>
    <row r="71" spans="1:20" x14ac:dyDescent="0.25">
      <c r="A71">
        <f t="shared" si="5"/>
        <v>64</v>
      </c>
      <c r="B71" s="88" t="str">
        <f>IF(OR(B70="Total",B70=""),"",IF(VLOOKUP(A71,Journal!$C$7:$E$84,3)=0,"Total",VLOOKUP(A71,Journal!$C$7:$D$84,2)))</f>
        <v/>
      </c>
      <c r="C71" s="86" t="str">
        <f>IF(B71="","",VLOOKUP(A71,Journal!$C$7:$E$84,3))</f>
        <v/>
      </c>
      <c r="D71" s="84" t="str">
        <f>IF(B71="","",VLOOKUP(A71,Journal!$C$7:$J$84,8))</f>
        <v/>
      </c>
      <c r="E71" s="84" t="str">
        <f>IF(B71="","",VLOOKUP(A71,Journal!$C$7:$L$84,10))</f>
        <v/>
      </c>
      <c r="F71" s="84" t="str">
        <f>IF(B71="","",VLOOKUP(A71,Journal!$C$7:$M$84,11))</f>
        <v/>
      </c>
      <c r="G71" s="102">
        <f>IF(B71="Total",SUM(G$8:G70)+0.0001,IF(OR(B71="",M71=0),0,VLOOKUP(A71,Journal!$C$7:M$84,7)))</f>
        <v>0</v>
      </c>
      <c r="H71" s="102">
        <f>IF(B71="Total",SUM(H$8:H70)+0.0001,IF(OR(B71="",N71=0),0,VLOOKUP(A71,Journal!$C$7:M$84,7)))</f>
        <v>0</v>
      </c>
      <c r="I71" s="87">
        <f t="shared" si="2"/>
        <v>0</v>
      </c>
      <c r="J71" s="103"/>
      <c r="K71" s="13">
        <f>VLOOKUP(A71,Journal!$C$7:$M$84,4)</f>
        <v>0</v>
      </c>
      <c r="L71" s="13">
        <f>VLOOKUP(A71,Journal!$C$7:$M$84,5)</f>
        <v>0</v>
      </c>
      <c r="M71" s="13">
        <f t="shared" si="6"/>
        <v>0</v>
      </c>
      <c r="N71" s="13">
        <f t="shared" si="7"/>
        <v>0</v>
      </c>
      <c r="O71" s="13"/>
      <c r="P71" s="13">
        <f t="shared" si="8"/>
        <v>1.0000000000000001E-5</v>
      </c>
      <c r="T71" t="str">
        <f t="shared" si="1"/>
        <v/>
      </c>
    </row>
    <row r="72" spans="1:20" x14ac:dyDescent="0.25">
      <c r="A72">
        <f t="shared" si="5"/>
        <v>65</v>
      </c>
      <c r="B72" s="88" t="str">
        <f>IF(OR(B71="Total",B71=""),"",IF(VLOOKUP(A72,Journal!$C$7:$E$84,3)=0,"Total",VLOOKUP(A72,Journal!$C$7:$D$84,2)))</f>
        <v/>
      </c>
      <c r="C72" s="86" t="str">
        <f>IF(B72="","",VLOOKUP(A72,Journal!$C$7:$E$84,3))</f>
        <v/>
      </c>
      <c r="D72" s="84" t="str">
        <f>IF(B72="","",VLOOKUP(A72,Journal!$C$7:$J$84,8))</f>
        <v/>
      </c>
      <c r="E72" s="84" t="str">
        <f>IF(B72="","",VLOOKUP(A72,Journal!$C$7:$L$84,10))</f>
        <v/>
      </c>
      <c r="F72" s="84" t="str">
        <f>IF(B72="","",VLOOKUP(A72,Journal!$C$7:$M$84,11))</f>
        <v/>
      </c>
      <c r="G72" s="102">
        <f>IF(B72="Total",SUM(G$8:G71)+0.0001,IF(OR(B72="",M72=0),0,VLOOKUP(A72,Journal!$C$7:M$84,7)))</f>
        <v>0</v>
      </c>
      <c r="H72" s="102">
        <f>IF(B72="Total",SUM(H$8:H71)+0.0001,IF(OR(B72="",N72=0),0,VLOOKUP(A72,Journal!$C$7:M$84,7)))</f>
        <v>0</v>
      </c>
      <c r="I72" s="87">
        <f t="shared" si="2"/>
        <v>0</v>
      </c>
      <c r="J72" s="103"/>
      <c r="K72" s="13">
        <f>VLOOKUP(A72,Journal!$C$7:$M$84,4)</f>
        <v>0</v>
      </c>
      <c r="L72" s="13">
        <f>VLOOKUP(A72,Journal!$C$7:$M$84,5)</f>
        <v>0</v>
      </c>
      <c r="M72" s="13">
        <f t="shared" si="6"/>
        <v>0</v>
      </c>
      <c r="N72" s="13">
        <f t="shared" si="7"/>
        <v>0</v>
      </c>
      <c r="O72" s="13"/>
      <c r="P72" s="13">
        <f t="shared" si="8"/>
        <v>1.0000000000000001E-5</v>
      </c>
      <c r="T72" t="str">
        <f t="shared" si="1"/>
        <v/>
      </c>
    </row>
    <row r="73" spans="1:20" x14ac:dyDescent="0.25">
      <c r="A73">
        <f t="shared" si="5"/>
        <v>66</v>
      </c>
      <c r="B73" s="88" t="str">
        <f>IF(OR(B72="Total",B72=""),"",IF(VLOOKUP(A73,Journal!$C$7:$E$84,3)=0,"Total",VLOOKUP(A73,Journal!$C$7:$D$84,2)))</f>
        <v/>
      </c>
      <c r="C73" s="86" t="str">
        <f>IF(B73="","",VLOOKUP(A73,Journal!$C$7:$E$84,3))</f>
        <v/>
      </c>
      <c r="D73" s="84" t="str">
        <f>IF(B73="","",VLOOKUP(A73,Journal!$C$7:$J$84,8))</f>
        <v/>
      </c>
      <c r="E73" s="84" t="str">
        <f>IF(B73="","",VLOOKUP(A73,Journal!$C$7:$L$84,10))</f>
        <v/>
      </c>
      <c r="F73" s="84" t="str">
        <f>IF(B73="","",VLOOKUP(A73,Journal!$C$7:$M$84,11))</f>
        <v/>
      </c>
      <c r="G73" s="102">
        <f>IF(B73="Total",SUM(G$8:G72)+0.0001,IF(OR(B73="",M73=0),0,VLOOKUP(A73,Journal!$C$7:M$84,7)))</f>
        <v>0</v>
      </c>
      <c r="H73" s="102">
        <f>IF(B73="Total",SUM(H$8:H72)+0.0001,IF(OR(B73="",N73=0),0,VLOOKUP(A73,Journal!$C$7:M$84,7)))</f>
        <v>0</v>
      </c>
      <c r="I73" s="87">
        <f t="shared" si="2"/>
        <v>0</v>
      </c>
      <c r="J73" s="103"/>
      <c r="K73" s="13">
        <f>VLOOKUP(A73,Journal!$C$7:$M$84,4)</f>
        <v>0</v>
      </c>
      <c r="L73" s="13">
        <f>VLOOKUP(A73,Journal!$C$7:$M$84,5)</f>
        <v>0</v>
      </c>
      <c r="M73" s="13">
        <f t="shared" si="6"/>
        <v>0</v>
      </c>
      <c r="N73" s="13">
        <f t="shared" si="7"/>
        <v>0</v>
      </c>
      <c r="O73" s="13"/>
      <c r="P73" s="13">
        <f t="shared" si="8"/>
        <v>1.0000000000000001E-5</v>
      </c>
      <c r="T73" t="str">
        <f t="shared" ref="T73:T136" si="9">IF(AND(G73&lt;&gt;0,B73&lt;&gt;"Total",G73=H73),"Beide Konten sind Erfolgskonten, weshalb Saldo gleich bleibt","")</f>
        <v/>
      </c>
    </row>
    <row r="74" spans="1:20" x14ac:dyDescent="0.25">
      <c r="A74">
        <f t="shared" si="5"/>
        <v>67</v>
      </c>
      <c r="B74" s="88" t="str">
        <f>IF(OR(B73="Total",B73=""),"",IF(VLOOKUP(A74,Journal!$C$7:$E$84,3)=0,"Total",VLOOKUP(A74,Journal!$C$7:$D$84,2)))</f>
        <v/>
      </c>
      <c r="C74" s="86" t="str">
        <f>IF(B74="","",VLOOKUP(A74,Journal!$C$7:$E$84,3))</f>
        <v/>
      </c>
      <c r="D74" s="84" t="str">
        <f>IF(B74="","",VLOOKUP(A74,Journal!$C$7:$J$84,8))</f>
        <v/>
      </c>
      <c r="E74" s="84" t="str">
        <f>IF(B74="","",VLOOKUP(A74,Journal!$C$7:$L$84,10))</f>
        <v/>
      </c>
      <c r="F74" s="84" t="str">
        <f>IF(B74="","",VLOOKUP(A74,Journal!$C$7:$M$84,11))</f>
        <v/>
      </c>
      <c r="G74" s="102">
        <f>IF(B74="Total",SUM(G$8:G73)+0.0001,IF(OR(B74="",M74=0),0,VLOOKUP(A74,Journal!$C$7:M$84,7)))</f>
        <v>0</v>
      </c>
      <c r="H74" s="102">
        <f>IF(B74="Total",SUM(H$8:H73)+0.0001,IF(OR(B74="",N74=0),0,VLOOKUP(A74,Journal!$C$7:M$84,7)))</f>
        <v>0</v>
      </c>
      <c r="I74" s="87">
        <f t="shared" ref="I74:I137" si="10">IF(B74="Total",I73,IF(B74="",0,I73+G74-H74))</f>
        <v>0</v>
      </c>
      <c r="J74" s="103"/>
      <c r="K74" s="13">
        <f>VLOOKUP(A74,Journal!$C$7:$M$84,4)</f>
        <v>0</v>
      </c>
      <c r="L74" s="13">
        <f>VLOOKUP(A74,Journal!$C$7:$M$84,5)</f>
        <v>0</v>
      </c>
      <c r="M74" s="13">
        <f t="shared" si="6"/>
        <v>0</v>
      </c>
      <c r="N74" s="13">
        <f t="shared" si="7"/>
        <v>0</v>
      </c>
      <c r="O74" s="13"/>
      <c r="P74" s="13">
        <f t="shared" si="8"/>
        <v>1.0000000000000001E-5</v>
      </c>
      <c r="T74" t="str">
        <f t="shared" si="9"/>
        <v/>
      </c>
    </row>
    <row r="75" spans="1:20" x14ac:dyDescent="0.25">
      <c r="A75">
        <f t="shared" ref="A75:A138" si="11">A74+1</f>
        <v>68</v>
      </c>
      <c r="B75" s="88" t="str">
        <f>IF(OR(B74="Total",B74=""),"",IF(VLOOKUP(A75,Journal!$C$7:$E$84,3)=0,"Total",VLOOKUP(A75,Journal!$C$7:$D$84,2)))</f>
        <v/>
      </c>
      <c r="C75" s="86" t="str">
        <f>IF(B75="","",VLOOKUP(A75,Journal!$C$7:$E$84,3))</f>
        <v/>
      </c>
      <c r="D75" s="84" t="str">
        <f>IF(B75="","",VLOOKUP(A75,Journal!$C$7:$J$84,8))</f>
        <v/>
      </c>
      <c r="E75" s="84" t="str">
        <f>IF(B75="","",VLOOKUP(A75,Journal!$C$7:$L$84,10))</f>
        <v/>
      </c>
      <c r="F75" s="84" t="str">
        <f>IF(B75="","",VLOOKUP(A75,Journal!$C$7:$M$84,11))</f>
        <v/>
      </c>
      <c r="G75" s="102">
        <f>IF(B75="Total",SUM(G$8:G74)+0.0001,IF(OR(B75="",M75=0),0,VLOOKUP(A75,Journal!$C$7:M$84,7)))</f>
        <v>0</v>
      </c>
      <c r="H75" s="102">
        <f>IF(B75="Total",SUM(H$8:H74)+0.0001,IF(OR(B75="",N75=0),0,VLOOKUP(A75,Journal!$C$7:M$84,7)))</f>
        <v>0</v>
      </c>
      <c r="I75" s="87">
        <f t="shared" si="10"/>
        <v>0</v>
      </c>
      <c r="J75" s="103"/>
      <c r="K75" s="13">
        <f>VLOOKUP(A75,Journal!$C$7:$M$84,4)</f>
        <v>0</v>
      </c>
      <c r="L75" s="13">
        <f>VLOOKUP(A75,Journal!$C$7:$M$84,5)</f>
        <v>0</v>
      </c>
      <c r="M75" s="13">
        <f t="shared" si="6"/>
        <v>0</v>
      </c>
      <c r="N75" s="13">
        <f t="shared" si="7"/>
        <v>0</v>
      </c>
      <c r="O75" s="13"/>
      <c r="P75" s="13">
        <f t="shared" si="8"/>
        <v>1.0000000000000001E-5</v>
      </c>
      <c r="T75" t="str">
        <f t="shared" si="9"/>
        <v/>
      </c>
    </row>
    <row r="76" spans="1:20" x14ac:dyDescent="0.25">
      <c r="A76">
        <f t="shared" si="11"/>
        <v>69</v>
      </c>
      <c r="B76" s="88" t="str">
        <f>IF(OR(B75="Total",B75=""),"",IF(VLOOKUP(A76,Journal!$C$7:$E$84,3)=0,"Total",VLOOKUP(A76,Journal!$C$7:$D$84,2)))</f>
        <v/>
      </c>
      <c r="C76" s="86" t="str">
        <f>IF(B76="","",VLOOKUP(A76,Journal!$C$7:$E$84,3))</f>
        <v/>
      </c>
      <c r="D76" s="84" t="str">
        <f>IF(B76="","",VLOOKUP(A76,Journal!$C$7:$J$84,8))</f>
        <v/>
      </c>
      <c r="E76" s="84" t="str">
        <f>IF(B76="","",VLOOKUP(A76,Journal!$C$7:$L$84,10))</f>
        <v/>
      </c>
      <c r="F76" s="84" t="str">
        <f>IF(B76="","",VLOOKUP(A76,Journal!$C$7:$M$84,11))</f>
        <v/>
      </c>
      <c r="G76" s="102">
        <f>IF(B76="Total",SUM(G$8:G75)+0.0001,IF(OR(B76="",M76=0),0,VLOOKUP(A76,Journal!$C$7:M$84,7)))</f>
        <v>0</v>
      </c>
      <c r="H76" s="102">
        <f>IF(B76="Total",SUM(H$8:H75)+0.0001,IF(OR(B76="",N76=0),0,VLOOKUP(A76,Journal!$C$7:M$84,7)))</f>
        <v>0</v>
      </c>
      <c r="I76" s="87">
        <f t="shared" si="10"/>
        <v>0</v>
      </c>
      <c r="J76" s="103"/>
      <c r="K76" s="13">
        <f>VLOOKUP(A76,Journal!$C$7:$M$84,4)</f>
        <v>0</v>
      </c>
      <c r="L76" s="13">
        <f>VLOOKUP(A76,Journal!$C$7:$M$84,5)</f>
        <v>0</v>
      </c>
      <c r="M76" s="13">
        <f t="shared" si="6"/>
        <v>0</v>
      </c>
      <c r="N76" s="13">
        <f t="shared" si="7"/>
        <v>0</v>
      </c>
      <c r="O76" s="13"/>
      <c r="P76" s="13">
        <f t="shared" si="8"/>
        <v>1.0000000000000001E-5</v>
      </c>
      <c r="T76" t="str">
        <f t="shared" si="9"/>
        <v/>
      </c>
    </row>
    <row r="77" spans="1:20" x14ac:dyDescent="0.25">
      <c r="A77">
        <f t="shared" si="11"/>
        <v>70</v>
      </c>
      <c r="B77" s="88" t="str">
        <f>IF(OR(B76="Total",B76=""),"",IF(VLOOKUP(A77,Journal!$C$7:$E$84,3)=0,"Total",VLOOKUP(A77,Journal!$C$7:$D$84,2)))</f>
        <v/>
      </c>
      <c r="C77" s="86" t="str">
        <f>IF(B77="","",VLOOKUP(A77,Journal!$C$7:$E$84,3))</f>
        <v/>
      </c>
      <c r="D77" s="84" t="str">
        <f>IF(B77="","",VLOOKUP(A77,Journal!$C$7:$J$84,8))</f>
        <v/>
      </c>
      <c r="E77" s="84" t="str">
        <f>IF(B77="","",VLOOKUP(A77,Journal!$C$7:$L$84,10))</f>
        <v/>
      </c>
      <c r="F77" s="84" t="str">
        <f>IF(B77="","",VLOOKUP(A77,Journal!$C$7:$M$84,11))</f>
        <v/>
      </c>
      <c r="G77" s="102">
        <f>IF(B77="Total",SUM(G$8:G76)+0.0001,IF(OR(B77="",M77=0),0,VLOOKUP(A77,Journal!$C$7:M$84,7)))</f>
        <v>0</v>
      </c>
      <c r="H77" s="102">
        <f>IF(B77="Total",SUM(H$8:H76)+0.0001,IF(OR(B77="",N77=0),0,VLOOKUP(A77,Journal!$C$7:M$84,7)))</f>
        <v>0</v>
      </c>
      <c r="I77" s="87">
        <f t="shared" si="10"/>
        <v>0</v>
      </c>
      <c r="J77" s="103"/>
      <c r="K77" s="13">
        <f>VLOOKUP(A77,Journal!$C$7:$M$84,4)</f>
        <v>0</v>
      </c>
      <c r="L77" s="13">
        <f>VLOOKUP(A77,Journal!$C$7:$M$84,5)</f>
        <v>0</v>
      </c>
      <c r="M77" s="13">
        <f t="shared" si="6"/>
        <v>0</v>
      </c>
      <c r="N77" s="13">
        <f t="shared" si="7"/>
        <v>0</v>
      </c>
      <c r="O77" s="13"/>
      <c r="P77" s="13">
        <f t="shared" si="8"/>
        <v>1.0000000000000001E-5</v>
      </c>
      <c r="T77" t="str">
        <f t="shared" si="9"/>
        <v/>
      </c>
    </row>
    <row r="78" spans="1:20" x14ac:dyDescent="0.25">
      <c r="A78">
        <f t="shared" si="11"/>
        <v>71</v>
      </c>
      <c r="B78" s="88" t="str">
        <f>IF(OR(B77="Total",B77=""),"",IF(VLOOKUP(A78,Journal!$C$7:$E$84,3)=0,"Total",VLOOKUP(A78,Journal!$C$7:$D$84,2)))</f>
        <v/>
      </c>
      <c r="C78" s="86" t="str">
        <f>IF(B78="","",VLOOKUP(A78,Journal!$C$7:$E$84,3))</f>
        <v/>
      </c>
      <c r="D78" s="84" t="str">
        <f>IF(B78="","",VLOOKUP(A78,Journal!$C$7:$J$84,8))</f>
        <v/>
      </c>
      <c r="E78" s="84" t="str">
        <f>IF(B78="","",VLOOKUP(A78,Journal!$C$7:$L$84,10))</f>
        <v/>
      </c>
      <c r="F78" s="84" t="str">
        <f>IF(B78="","",VLOOKUP(A78,Journal!$C$7:$M$84,11))</f>
        <v/>
      </c>
      <c r="G78" s="102">
        <f>IF(B78="Total",SUM(G$8:G77)+0.0001,IF(OR(B78="",M78=0),0,VLOOKUP(A78,Journal!$C$7:M$84,7)))</f>
        <v>0</v>
      </c>
      <c r="H78" s="102">
        <f>IF(B78="Total",SUM(H$8:H77)+0.0001,IF(OR(B78="",N78=0),0,VLOOKUP(A78,Journal!$C$7:M$84,7)))</f>
        <v>0</v>
      </c>
      <c r="I78" s="87">
        <f t="shared" si="10"/>
        <v>0</v>
      </c>
      <c r="J78" s="103"/>
      <c r="K78" s="13">
        <f>VLOOKUP(A78,Journal!$C$7:$M$84,4)</f>
        <v>0</v>
      </c>
      <c r="L78" s="13">
        <f>VLOOKUP(A78,Journal!$C$7:$M$84,5)</f>
        <v>0</v>
      </c>
      <c r="M78" s="13">
        <f t="shared" si="6"/>
        <v>0</v>
      </c>
      <c r="N78" s="13">
        <f t="shared" si="7"/>
        <v>0</v>
      </c>
      <c r="O78" s="13"/>
      <c r="P78" s="13">
        <f t="shared" si="8"/>
        <v>1.0000000000000001E-5</v>
      </c>
      <c r="T78" t="str">
        <f t="shared" si="9"/>
        <v/>
      </c>
    </row>
    <row r="79" spans="1:20" x14ac:dyDescent="0.25">
      <c r="A79">
        <f t="shared" si="11"/>
        <v>72</v>
      </c>
      <c r="B79" s="88" t="str">
        <f>IF(OR(B78="Total",B78=""),"",IF(VLOOKUP(A79,Journal!$C$7:$E$84,3)=0,"Total",VLOOKUP(A79,Journal!$C$7:$D$84,2)))</f>
        <v/>
      </c>
      <c r="C79" s="86" t="str">
        <f>IF(B79="","",VLOOKUP(A79,Journal!$C$7:$E$84,3))</f>
        <v/>
      </c>
      <c r="D79" s="84" t="str">
        <f>IF(B79="","",VLOOKUP(A79,Journal!$C$7:$J$84,8))</f>
        <v/>
      </c>
      <c r="E79" s="84" t="str">
        <f>IF(B79="","",VLOOKUP(A79,Journal!$C$7:$L$84,10))</f>
        <v/>
      </c>
      <c r="F79" s="84" t="str">
        <f>IF(B79="","",VLOOKUP(A79,Journal!$C$7:$M$84,11))</f>
        <v/>
      </c>
      <c r="G79" s="102">
        <f>IF(B79="Total",SUM(G$8:G78)+0.0001,IF(OR(B79="",M79=0),0,VLOOKUP(A79,Journal!$C$7:M$84,7)))</f>
        <v>0</v>
      </c>
      <c r="H79" s="102">
        <f>IF(B79="Total",SUM(H$8:H78)+0.0001,IF(OR(B79="",N79=0),0,VLOOKUP(A79,Journal!$C$7:M$84,7)))</f>
        <v>0</v>
      </c>
      <c r="I79" s="87">
        <f t="shared" si="10"/>
        <v>0</v>
      </c>
      <c r="J79" s="103"/>
      <c r="K79" s="13">
        <f>VLOOKUP(A79,Journal!$C$7:$M$84,4)</f>
        <v>0</v>
      </c>
      <c r="L79" s="13">
        <f>VLOOKUP(A79,Journal!$C$7:$M$84,5)</f>
        <v>0</v>
      </c>
      <c r="M79" s="13">
        <f t="shared" si="6"/>
        <v>0</v>
      </c>
      <c r="N79" s="13">
        <f t="shared" si="7"/>
        <v>0</v>
      </c>
      <c r="O79" s="13"/>
      <c r="P79" s="13">
        <f t="shared" si="8"/>
        <v>1.0000000000000001E-5</v>
      </c>
      <c r="T79" t="str">
        <f t="shared" si="9"/>
        <v/>
      </c>
    </row>
    <row r="80" spans="1:20" x14ac:dyDescent="0.25">
      <c r="A80">
        <f t="shared" si="11"/>
        <v>73</v>
      </c>
      <c r="B80" s="88" t="str">
        <f>IF(OR(B79="Total",B79=""),"",IF(VLOOKUP(A80,Journal!$C$7:$E$84,3)=0,"Total",VLOOKUP(A80,Journal!$C$7:$D$84,2)))</f>
        <v/>
      </c>
      <c r="C80" s="86" t="str">
        <f>IF(B80="","",VLOOKUP(A80,Journal!$C$7:$E$84,3))</f>
        <v/>
      </c>
      <c r="D80" s="84" t="str">
        <f>IF(B80="","",VLOOKUP(A80,Journal!$C$7:$J$84,8))</f>
        <v/>
      </c>
      <c r="E80" s="84" t="str">
        <f>IF(B80="","",VLOOKUP(A80,Journal!$C$7:$L$84,10))</f>
        <v/>
      </c>
      <c r="F80" s="84" t="str">
        <f>IF(B80="","",VLOOKUP(A80,Journal!$C$7:$M$84,11))</f>
        <v/>
      </c>
      <c r="G80" s="102">
        <f>IF(B80="Total",SUM(G$8:G79)+0.0001,IF(OR(B80="",M80=0),0,VLOOKUP(A80,Journal!$C$7:M$84,7)))</f>
        <v>0</v>
      </c>
      <c r="H80" s="102">
        <f>IF(B80="Total",SUM(H$8:H79)+0.0001,IF(OR(B80="",N80=0),0,VLOOKUP(A80,Journal!$C$7:M$84,7)))</f>
        <v>0</v>
      </c>
      <c r="I80" s="87">
        <f t="shared" si="10"/>
        <v>0</v>
      </c>
      <c r="J80" s="103"/>
      <c r="K80" s="13">
        <f>VLOOKUP(A80,Journal!$C$7:$M$84,4)</f>
        <v>0</v>
      </c>
      <c r="L80" s="13">
        <f>VLOOKUP(A80,Journal!$C$7:$M$84,5)</f>
        <v>0</v>
      </c>
      <c r="M80" s="13">
        <f t="shared" si="6"/>
        <v>0</v>
      </c>
      <c r="N80" s="13">
        <f t="shared" si="7"/>
        <v>0</v>
      </c>
      <c r="O80" s="13"/>
      <c r="P80" s="13">
        <f t="shared" si="8"/>
        <v>1.0000000000000001E-5</v>
      </c>
      <c r="T80" t="str">
        <f t="shared" si="9"/>
        <v/>
      </c>
    </row>
    <row r="81" spans="1:20" x14ac:dyDescent="0.25">
      <c r="A81">
        <f t="shared" si="11"/>
        <v>74</v>
      </c>
      <c r="B81" s="88" t="str">
        <f>IF(OR(B80="Total",B80=""),"",IF(VLOOKUP(A81,Journal!$C$7:$E$84,3)=0,"Total",VLOOKUP(A81,Journal!$C$7:$D$84,2)))</f>
        <v/>
      </c>
      <c r="C81" s="86" t="str">
        <f>IF(B81="","",VLOOKUP(A81,Journal!$C$7:$E$84,3))</f>
        <v/>
      </c>
      <c r="D81" s="84" t="str">
        <f>IF(B81="","",VLOOKUP(A81,Journal!$C$7:$J$84,8))</f>
        <v/>
      </c>
      <c r="E81" s="84" t="str">
        <f>IF(B81="","",VLOOKUP(A81,Journal!$C$7:$L$84,10))</f>
        <v/>
      </c>
      <c r="F81" s="84" t="str">
        <f>IF(B81="","",VLOOKUP(A81,Journal!$C$7:$M$84,11))</f>
        <v/>
      </c>
      <c r="G81" s="102">
        <f>IF(B81="Total",SUM(G$8:G80)+0.0001,IF(OR(B81="",M81=0),0,VLOOKUP(A81,Journal!$C$7:M$84,7)))</f>
        <v>0</v>
      </c>
      <c r="H81" s="102">
        <f>IF(B81="Total",SUM(H$8:H80)+0.0001,IF(OR(B81="",N81=0),0,VLOOKUP(A81,Journal!$C$7:M$84,7)))</f>
        <v>0</v>
      </c>
      <c r="I81" s="87">
        <f t="shared" si="10"/>
        <v>0</v>
      </c>
      <c r="J81" s="103"/>
      <c r="K81" s="13">
        <f>VLOOKUP(A81,Journal!$C$7:$M$84,4)</f>
        <v>0</v>
      </c>
      <c r="L81" s="13">
        <f>VLOOKUP(A81,Journal!$C$7:$M$84,5)</f>
        <v>0</v>
      </c>
      <c r="M81" s="13">
        <f t="shared" si="6"/>
        <v>0</v>
      </c>
      <c r="N81" s="13">
        <f t="shared" si="7"/>
        <v>0</v>
      </c>
      <c r="O81" s="13"/>
      <c r="P81" s="13">
        <f t="shared" si="8"/>
        <v>1.0000000000000001E-5</v>
      </c>
      <c r="T81" t="str">
        <f t="shared" si="9"/>
        <v/>
      </c>
    </row>
    <row r="82" spans="1:20" x14ac:dyDescent="0.25">
      <c r="A82">
        <f t="shared" si="11"/>
        <v>75</v>
      </c>
      <c r="B82" s="88" t="str">
        <f>IF(OR(B81="Total",B81=""),"",IF(VLOOKUP(A82,Journal!$C$7:$E$84,3)=0,"Total",VLOOKUP(A82,Journal!$C$7:$D$84,2)))</f>
        <v/>
      </c>
      <c r="C82" s="86" t="str">
        <f>IF(B82="","",VLOOKUP(A82,Journal!$C$7:$E$84,3))</f>
        <v/>
      </c>
      <c r="D82" s="84" t="str">
        <f>IF(B82="","",VLOOKUP(A82,Journal!$C$7:$J$84,8))</f>
        <v/>
      </c>
      <c r="E82" s="84" t="str">
        <f>IF(B82="","",VLOOKUP(A82,Journal!$C$7:$L$84,10))</f>
        <v/>
      </c>
      <c r="F82" s="84" t="str">
        <f>IF(B82="","",VLOOKUP(A82,Journal!$C$7:$M$84,11))</f>
        <v/>
      </c>
      <c r="G82" s="102">
        <f>IF(B82="Total",SUM(G$8:G81)+0.0001,IF(OR(B82="",M82=0),0,VLOOKUP(A82,Journal!$C$7:M$84,7)))</f>
        <v>0</v>
      </c>
      <c r="H82" s="102">
        <f>IF(B82="Total",SUM(H$8:H81)+0.0001,IF(OR(B82="",N82=0),0,VLOOKUP(A82,Journal!$C$7:M$84,7)))</f>
        <v>0</v>
      </c>
      <c r="I82" s="87">
        <f t="shared" si="10"/>
        <v>0</v>
      </c>
      <c r="J82" s="103"/>
      <c r="K82" s="13">
        <f>VLOOKUP(A82,Journal!$C$7:$M$84,4)</f>
        <v>0</v>
      </c>
      <c r="L82" s="13">
        <f>VLOOKUP(A82,Journal!$C$7:$M$84,5)</f>
        <v>0</v>
      </c>
      <c r="M82" s="13">
        <f t="shared" si="6"/>
        <v>0</v>
      </c>
      <c r="N82" s="13">
        <f t="shared" si="7"/>
        <v>0</v>
      </c>
      <c r="O82" s="13"/>
      <c r="P82" s="13">
        <f t="shared" si="8"/>
        <v>1.0000000000000001E-5</v>
      </c>
      <c r="T82" t="str">
        <f t="shared" si="9"/>
        <v/>
      </c>
    </row>
    <row r="83" spans="1:20" x14ac:dyDescent="0.25">
      <c r="A83">
        <f t="shared" si="11"/>
        <v>76</v>
      </c>
      <c r="B83" s="88" t="str">
        <f>IF(OR(B82="Total",B82=""),"",IF(VLOOKUP(A83,Journal!$C$7:$E$84,3)=0,"Total",VLOOKUP(A83,Journal!$C$7:$D$84,2)))</f>
        <v/>
      </c>
      <c r="C83" s="86" t="str">
        <f>IF(B83="","",VLOOKUP(A83,Journal!$C$7:$E$84,3))</f>
        <v/>
      </c>
      <c r="D83" s="84" t="str">
        <f>IF(B83="","",VLOOKUP(A83,Journal!$C$7:$J$84,8))</f>
        <v/>
      </c>
      <c r="E83" s="84" t="str">
        <f>IF(B83="","",VLOOKUP(A83,Journal!$C$7:$L$84,10))</f>
        <v/>
      </c>
      <c r="F83" s="84" t="str">
        <f>IF(B83="","",VLOOKUP(A83,Journal!$C$7:$M$84,11))</f>
        <v/>
      </c>
      <c r="G83" s="102">
        <f>IF(B83="Total",SUM(G$8:G82)+0.0001,IF(OR(B83="",M83=0),0,VLOOKUP(A83,Journal!$C$7:M$84,7)))</f>
        <v>0</v>
      </c>
      <c r="H83" s="102">
        <f>IF(B83="Total",SUM(H$8:H82)+0.0001,IF(OR(B83="",N83=0),0,VLOOKUP(A83,Journal!$C$7:M$84,7)))</f>
        <v>0</v>
      </c>
      <c r="I83" s="87">
        <f t="shared" si="10"/>
        <v>0</v>
      </c>
      <c r="J83" s="103"/>
      <c r="K83" s="13">
        <f>VLOOKUP(A83,Journal!$C$7:$M$84,4)</f>
        <v>0</v>
      </c>
      <c r="L83" s="13">
        <f>VLOOKUP(A83,Journal!$C$7:$M$84,5)</f>
        <v>0</v>
      </c>
      <c r="M83" s="13">
        <f t="shared" si="6"/>
        <v>0</v>
      </c>
      <c r="N83" s="13">
        <f t="shared" si="7"/>
        <v>0</v>
      </c>
      <c r="O83" s="13"/>
      <c r="P83" s="13">
        <f t="shared" si="8"/>
        <v>1.0000000000000001E-5</v>
      </c>
      <c r="T83" t="str">
        <f t="shared" si="9"/>
        <v/>
      </c>
    </row>
    <row r="84" spans="1:20" x14ac:dyDescent="0.25">
      <c r="A84">
        <f t="shared" si="11"/>
        <v>77</v>
      </c>
      <c r="B84" s="88" t="str">
        <f>IF(OR(B83="Total",B83=""),"",IF(VLOOKUP(A84,Journal!$C$7:$E$84,3)=0,"Total",VLOOKUP(A84,Journal!$C$7:$D$84,2)))</f>
        <v/>
      </c>
      <c r="C84" s="86" t="str">
        <f>IF(B84="","",VLOOKUP(A84,Journal!$C$7:$E$84,3))</f>
        <v/>
      </c>
      <c r="D84" s="84" t="str">
        <f>IF(B84="","",VLOOKUP(A84,Journal!$C$7:$J$84,8))</f>
        <v/>
      </c>
      <c r="E84" s="84" t="str">
        <f>IF(B84="","",VLOOKUP(A84,Journal!$C$7:$L$84,10))</f>
        <v/>
      </c>
      <c r="F84" s="84" t="str">
        <f>IF(B84="","",VLOOKUP(A84,Journal!$C$7:$M$84,11))</f>
        <v/>
      </c>
      <c r="G84" s="102">
        <f>IF(B84="Total",SUM(G$8:G83)+0.0001,IF(OR(B84="",M84=0),0,VLOOKUP(A84,Journal!$C$7:M$84,7)))</f>
        <v>0</v>
      </c>
      <c r="H84" s="102">
        <f>IF(B84="Total",SUM(H$8:H83)+0.0001,IF(OR(B84="",N84=0),0,VLOOKUP(A84,Journal!$C$7:M$84,7)))</f>
        <v>0</v>
      </c>
      <c r="I84" s="87">
        <f t="shared" si="10"/>
        <v>0</v>
      </c>
      <c r="J84" s="103"/>
      <c r="K84" s="13">
        <f>VLOOKUP(A84,Journal!$C$7:$M$84,4)</f>
        <v>0</v>
      </c>
      <c r="L84" s="13">
        <f>VLOOKUP(A84,Journal!$C$7:$M$84,5)</f>
        <v>0</v>
      </c>
      <c r="M84" s="13">
        <f t="shared" si="6"/>
        <v>0</v>
      </c>
      <c r="N84" s="13">
        <f t="shared" si="7"/>
        <v>0</v>
      </c>
      <c r="O84" s="13"/>
      <c r="P84" s="13">
        <f t="shared" si="8"/>
        <v>1.0000000000000001E-5</v>
      </c>
      <c r="T84" t="str">
        <f t="shared" si="9"/>
        <v/>
      </c>
    </row>
    <row r="85" spans="1:20" x14ac:dyDescent="0.25">
      <c r="A85">
        <f t="shared" si="11"/>
        <v>78</v>
      </c>
      <c r="B85" s="88" t="str">
        <f>IF(OR(B84="Total",B84=""),"",IF(VLOOKUP(A85,Journal!$C$7:$E$84,3)=0,"Total",VLOOKUP(A85,Journal!$C$7:$D$84,2)))</f>
        <v/>
      </c>
      <c r="C85" s="86" t="str">
        <f>IF(B85="","",VLOOKUP(A85,Journal!$C$7:$E$84,3))</f>
        <v/>
      </c>
      <c r="D85" s="84" t="str">
        <f>IF(B85="","",VLOOKUP(A85,Journal!$C$7:$J$84,8))</f>
        <v/>
      </c>
      <c r="E85" s="84" t="str">
        <f>IF(B85="","",VLOOKUP(A85,Journal!$C$7:$L$84,10))</f>
        <v/>
      </c>
      <c r="F85" s="84" t="str">
        <f>IF(B85="","",VLOOKUP(A85,Journal!$C$7:$M$84,11))</f>
        <v/>
      </c>
      <c r="G85" s="102">
        <f>IF(B85="Total",SUM(G$8:G84)+0.0001,IF(OR(B85="",M85=0),0,VLOOKUP(A85,Journal!$C$7:M$84,7)))</f>
        <v>0</v>
      </c>
      <c r="H85" s="102">
        <f>IF(B85="Total",SUM(H$8:H84)+0.0001,IF(OR(B85="",N85=0),0,VLOOKUP(A85,Journal!$C$7:M$84,7)))</f>
        <v>0</v>
      </c>
      <c r="I85" s="87">
        <f t="shared" si="10"/>
        <v>0</v>
      </c>
      <c r="J85" s="103"/>
      <c r="K85" s="13">
        <f>VLOOKUP(A85,Journal!$C$7:$M$84,4)</f>
        <v>0</v>
      </c>
      <c r="L85" s="13">
        <f>VLOOKUP(A85,Journal!$C$7:$M$84,5)</f>
        <v>0</v>
      </c>
      <c r="M85" s="13">
        <f t="shared" si="6"/>
        <v>0</v>
      </c>
      <c r="N85" s="13">
        <f t="shared" si="7"/>
        <v>0</v>
      </c>
      <c r="O85" s="13"/>
      <c r="P85" s="13">
        <f t="shared" si="8"/>
        <v>1.0000000000000001E-5</v>
      </c>
      <c r="T85" t="str">
        <f t="shared" si="9"/>
        <v/>
      </c>
    </row>
    <row r="86" spans="1:20" x14ac:dyDescent="0.25">
      <c r="A86">
        <f t="shared" si="11"/>
        <v>79</v>
      </c>
      <c r="B86" s="88" t="str">
        <f>IF(OR(B85="Total",B85=""),"",IF(VLOOKUP(A86,Journal!$C$7:$E$84,3)=0,"Total",VLOOKUP(A86,Journal!$C$7:$D$84,2)))</f>
        <v/>
      </c>
      <c r="C86" s="86" t="str">
        <f>IF(B86="","",VLOOKUP(A86,Journal!$C$7:$E$84,3))</f>
        <v/>
      </c>
      <c r="D86" s="84" t="str">
        <f>IF(B86="","",VLOOKUP(A86,Journal!$C$7:$J$84,8))</f>
        <v/>
      </c>
      <c r="E86" s="84" t="str">
        <f>IF(B86="","",VLOOKUP(A86,Journal!$C$7:$L$84,10))</f>
        <v/>
      </c>
      <c r="F86" s="84" t="str">
        <f>IF(B86="","",VLOOKUP(A86,Journal!$C$7:$M$84,11))</f>
        <v/>
      </c>
      <c r="G86" s="102">
        <f>IF(B86="Total",SUM(G$8:G85)+0.0001,IF(OR(B86="",M86=0),0,VLOOKUP(A86,Journal!$C$7:M$84,7)))</f>
        <v>0</v>
      </c>
      <c r="H86" s="102">
        <f>IF(B86="Total",SUM(H$8:H85)+0.0001,IF(OR(B86="",N86=0),0,VLOOKUP(A86,Journal!$C$7:M$84,7)))</f>
        <v>0</v>
      </c>
      <c r="I86" s="87">
        <f t="shared" si="10"/>
        <v>0</v>
      </c>
      <c r="J86" s="103"/>
      <c r="K86" s="13">
        <f>VLOOKUP(A86,Journal!$C$7:$M$84,4)</f>
        <v>0</v>
      </c>
      <c r="L86" s="13">
        <f>VLOOKUP(A86,Journal!$C$7:$M$84,5)</f>
        <v>0</v>
      </c>
      <c r="M86" s="13">
        <f t="shared" si="6"/>
        <v>0</v>
      </c>
      <c r="N86" s="13">
        <f t="shared" si="7"/>
        <v>0</v>
      </c>
      <c r="O86" s="13"/>
      <c r="P86" s="13">
        <f t="shared" si="8"/>
        <v>1.0000000000000001E-5</v>
      </c>
      <c r="T86" t="str">
        <f t="shared" si="9"/>
        <v/>
      </c>
    </row>
    <row r="87" spans="1:20" x14ac:dyDescent="0.25">
      <c r="A87">
        <f t="shared" si="11"/>
        <v>80</v>
      </c>
      <c r="B87" s="88" t="str">
        <f>IF(OR(B86="Total",B86=""),"",IF(VLOOKUP(A87,Journal!$C$7:$E$84,3)=0,"Total",VLOOKUP(A87,Journal!$C$7:$D$84,2)))</f>
        <v/>
      </c>
      <c r="C87" s="86" t="str">
        <f>IF(B87="","",VLOOKUP(A87,Journal!$C$7:$E$84,3))</f>
        <v/>
      </c>
      <c r="D87" s="84" t="str">
        <f>IF(B87="","",VLOOKUP(A87,Journal!$C$7:$J$84,8))</f>
        <v/>
      </c>
      <c r="E87" s="84" t="str">
        <f>IF(B87="","",VLOOKUP(A87,Journal!$C$7:$L$84,10))</f>
        <v/>
      </c>
      <c r="F87" s="84" t="str">
        <f>IF(B87="","",VLOOKUP(A87,Journal!$C$7:$M$84,11))</f>
        <v/>
      </c>
      <c r="G87" s="102">
        <f>IF(B87="Total",SUM(G$8:G86)+0.0001,IF(OR(B87="",M87=0),0,VLOOKUP(A87,Journal!$C$7:M$84,7)))</f>
        <v>0</v>
      </c>
      <c r="H87" s="102">
        <f>IF(B87="Total",SUM(H$8:H86)+0.0001,IF(OR(B87="",N87=0),0,VLOOKUP(A87,Journal!$C$7:M$84,7)))</f>
        <v>0</v>
      </c>
      <c r="I87" s="87">
        <f t="shared" si="10"/>
        <v>0</v>
      </c>
      <c r="J87" s="103"/>
      <c r="K87" s="13">
        <f>VLOOKUP(A87,Journal!$C$7:$M$84,4)</f>
        <v>0</v>
      </c>
      <c r="L87" s="13">
        <f>VLOOKUP(A87,Journal!$C$7:$M$84,5)</f>
        <v>0</v>
      </c>
      <c r="M87" s="13">
        <f t="shared" si="6"/>
        <v>0</v>
      </c>
      <c r="N87" s="13">
        <f t="shared" si="7"/>
        <v>0</v>
      </c>
      <c r="O87" s="13"/>
      <c r="P87" s="13">
        <f t="shared" si="8"/>
        <v>1.0000000000000001E-5</v>
      </c>
      <c r="T87" t="str">
        <f t="shared" si="9"/>
        <v/>
      </c>
    </row>
    <row r="88" spans="1:20" x14ac:dyDescent="0.25">
      <c r="A88">
        <f t="shared" si="11"/>
        <v>81</v>
      </c>
      <c r="B88" s="88" t="str">
        <f>IF(OR(B87="Total",B87=""),"",IF(VLOOKUP(A88,Journal!$C$7:$E$84,3)=0,"Total",VLOOKUP(A88,Journal!$C$7:$D$84,2)))</f>
        <v/>
      </c>
      <c r="C88" s="86" t="str">
        <f>IF(B88="","",VLOOKUP(A88,Journal!$C$7:$E$84,3))</f>
        <v/>
      </c>
      <c r="D88" s="84" t="str">
        <f>IF(B88="","",VLOOKUP(A88,Journal!$C$7:$J$84,8))</f>
        <v/>
      </c>
      <c r="E88" s="84" t="str">
        <f>IF(B88="","",VLOOKUP(A88,Journal!$C$7:$L$84,10))</f>
        <v/>
      </c>
      <c r="F88" s="84" t="str">
        <f>IF(B88="","",VLOOKUP(A88,Journal!$C$7:$M$84,11))</f>
        <v/>
      </c>
      <c r="G88" s="102">
        <f>IF(B88="Total",SUM(G$8:G87)+0.0001,IF(OR(B88="",M88=0),0,VLOOKUP(A88,Journal!$C$7:M$84,7)))</f>
        <v>0</v>
      </c>
      <c r="H88" s="102">
        <f>IF(B88="Total",SUM(H$8:H87)+0.0001,IF(OR(B88="",N88=0),0,VLOOKUP(A88,Journal!$C$7:M$84,7)))</f>
        <v>0</v>
      </c>
      <c r="I88" s="87">
        <f t="shared" si="10"/>
        <v>0</v>
      </c>
      <c r="J88" s="103"/>
      <c r="K88" s="13">
        <f>VLOOKUP(A88,Journal!$C$7:$M$84,4)</f>
        <v>0</v>
      </c>
      <c r="L88" s="13">
        <f>VLOOKUP(A88,Journal!$C$7:$M$84,5)</f>
        <v>0</v>
      </c>
      <c r="M88" s="13">
        <f t="shared" si="6"/>
        <v>0</v>
      </c>
      <c r="N88" s="13">
        <f t="shared" si="7"/>
        <v>0</v>
      </c>
      <c r="O88" s="13"/>
      <c r="P88" s="13">
        <f t="shared" si="8"/>
        <v>1.0000000000000001E-5</v>
      </c>
      <c r="T88" t="str">
        <f t="shared" si="9"/>
        <v/>
      </c>
    </row>
    <row r="89" spans="1:20" x14ac:dyDescent="0.25">
      <c r="A89">
        <f t="shared" si="11"/>
        <v>82</v>
      </c>
      <c r="B89" s="88" t="str">
        <f>IF(OR(B88="Total",B88=""),"",IF(VLOOKUP(A89,Journal!$C$7:$E$84,3)=0,"Total",VLOOKUP(A89,Journal!$C$7:$D$84,2)))</f>
        <v/>
      </c>
      <c r="C89" s="86" t="str">
        <f>IF(B89="","",VLOOKUP(A89,Journal!$C$7:$E$84,3))</f>
        <v/>
      </c>
      <c r="D89" s="84" t="str">
        <f>IF(B89="","",VLOOKUP(A89,Journal!$C$7:$J$84,8))</f>
        <v/>
      </c>
      <c r="E89" s="84" t="str">
        <f>IF(B89="","",VLOOKUP(A89,Journal!$C$7:$L$84,10))</f>
        <v/>
      </c>
      <c r="F89" s="84" t="str">
        <f>IF(B89="","",VLOOKUP(A89,Journal!$C$7:$M$84,11))</f>
        <v/>
      </c>
      <c r="G89" s="102">
        <f>IF(B89="Total",SUM(G$8:G88)+0.0001,IF(OR(B89="",M89=0),0,VLOOKUP(A89,Journal!$C$7:M$84,7)))</f>
        <v>0</v>
      </c>
      <c r="H89" s="102">
        <f>IF(B89="Total",SUM(H$8:H88)+0.0001,IF(OR(B89="",N89=0),0,VLOOKUP(A89,Journal!$C$7:M$84,7)))</f>
        <v>0</v>
      </c>
      <c r="I89" s="87">
        <f t="shared" si="10"/>
        <v>0</v>
      </c>
      <c r="J89" s="103"/>
      <c r="K89" s="13">
        <f>VLOOKUP(A89,Journal!$C$7:$M$84,4)</f>
        <v>0</v>
      </c>
      <c r="L89" s="13">
        <f>VLOOKUP(A89,Journal!$C$7:$M$84,5)</f>
        <v>0</v>
      </c>
      <c r="M89" s="13">
        <f t="shared" ref="M89:M152" si="12">IF(AND(L89&gt;=$F$1,L89&lt;9999),1,0)</f>
        <v>0</v>
      </c>
      <c r="N89" s="13">
        <f t="shared" ref="N89:N152" si="13">IF(AND(K89&gt;=$F$1,K89&lt;9999),1,0)</f>
        <v>0</v>
      </c>
      <c r="O89" s="13"/>
      <c r="P89" s="13">
        <f t="shared" ref="P89:P152" si="14">IF(I88=I89,I88+0.00001,I89)</f>
        <v>1.0000000000000001E-5</v>
      </c>
      <c r="T89" t="str">
        <f t="shared" si="9"/>
        <v/>
      </c>
    </row>
    <row r="90" spans="1:20" x14ac:dyDescent="0.25">
      <c r="A90">
        <f t="shared" si="11"/>
        <v>83</v>
      </c>
      <c r="B90" s="88" t="str">
        <f>IF(OR(B89="Total",B89=""),"",IF(VLOOKUP(A90,Journal!$C$7:$E$84,3)=0,"Total",VLOOKUP(A90,Journal!$C$7:$D$84,2)))</f>
        <v/>
      </c>
      <c r="C90" s="86" t="str">
        <f>IF(B90="","",VLOOKUP(A90,Journal!$C$7:$E$84,3))</f>
        <v/>
      </c>
      <c r="D90" s="84" t="str">
        <f>IF(B90="","",VLOOKUP(A90,Journal!$C$7:$J$84,8))</f>
        <v/>
      </c>
      <c r="E90" s="84" t="str">
        <f>IF(B90="","",VLOOKUP(A90,Journal!$C$7:$L$84,10))</f>
        <v/>
      </c>
      <c r="F90" s="84" t="str">
        <f>IF(B90="","",VLOOKUP(A90,Journal!$C$7:$M$84,11))</f>
        <v/>
      </c>
      <c r="G90" s="102">
        <f>IF(B90="Total",SUM(G$8:G89)+0.0001,IF(OR(B90="",M90=0),0,VLOOKUP(A90,Journal!$C$7:M$84,7)))</f>
        <v>0</v>
      </c>
      <c r="H90" s="102">
        <f>IF(B90="Total",SUM(H$8:H89)+0.0001,IF(OR(B90="",N90=0),0,VLOOKUP(A90,Journal!$C$7:M$84,7)))</f>
        <v>0</v>
      </c>
      <c r="I90" s="87">
        <f t="shared" si="10"/>
        <v>0</v>
      </c>
      <c r="J90" s="103"/>
      <c r="K90" s="13">
        <f>VLOOKUP(A90,Journal!$C$7:$M$84,4)</f>
        <v>0</v>
      </c>
      <c r="L90" s="13">
        <f>VLOOKUP(A90,Journal!$C$7:$M$84,5)</f>
        <v>0</v>
      </c>
      <c r="M90" s="13">
        <f t="shared" si="12"/>
        <v>0</v>
      </c>
      <c r="N90" s="13">
        <f t="shared" si="13"/>
        <v>0</v>
      </c>
      <c r="O90" s="13"/>
      <c r="P90" s="13">
        <f t="shared" si="14"/>
        <v>1.0000000000000001E-5</v>
      </c>
      <c r="T90" t="str">
        <f t="shared" si="9"/>
        <v/>
      </c>
    </row>
    <row r="91" spans="1:20" x14ac:dyDescent="0.25">
      <c r="A91">
        <f t="shared" si="11"/>
        <v>84</v>
      </c>
      <c r="B91" s="88" t="str">
        <f>IF(OR(B90="Total",B90=""),"",IF(VLOOKUP(A91,Journal!$C$7:$E$84,3)=0,"Total",VLOOKUP(A91,Journal!$C$7:$D$84,2)))</f>
        <v/>
      </c>
      <c r="C91" s="86" t="str">
        <f>IF(B91="","",VLOOKUP(A91,Journal!$C$7:$E$84,3))</f>
        <v/>
      </c>
      <c r="D91" s="84" t="str">
        <f>IF(B91="","",VLOOKUP(A91,Journal!$C$7:$J$84,8))</f>
        <v/>
      </c>
      <c r="E91" s="84" t="str">
        <f>IF(B91="","",VLOOKUP(A91,Journal!$C$7:$L$84,10))</f>
        <v/>
      </c>
      <c r="F91" s="84" t="str">
        <f>IF(B91="","",VLOOKUP(A91,Journal!$C$7:$M$84,11))</f>
        <v/>
      </c>
      <c r="G91" s="102">
        <f>IF(B91="Total",SUM(G$8:G90)+0.0001,IF(OR(B91="",M91=0),0,VLOOKUP(A91,Journal!$C$7:M$84,7)))</f>
        <v>0</v>
      </c>
      <c r="H91" s="102">
        <f>IF(B91="Total",SUM(H$8:H90)+0.0001,IF(OR(B91="",N91=0),0,VLOOKUP(A91,Journal!$C$7:M$84,7)))</f>
        <v>0</v>
      </c>
      <c r="I91" s="87">
        <f t="shared" si="10"/>
        <v>0</v>
      </c>
      <c r="J91" s="103"/>
      <c r="K91" s="13">
        <f>VLOOKUP(A91,Journal!$C$7:$M$84,4)</f>
        <v>0</v>
      </c>
      <c r="L91" s="13">
        <f>VLOOKUP(A91,Journal!$C$7:$M$84,5)</f>
        <v>0</v>
      </c>
      <c r="M91" s="13">
        <f t="shared" si="12"/>
        <v>0</v>
      </c>
      <c r="N91" s="13">
        <f t="shared" si="13"/>
        <v>0</v>
      </c>
      <c r="O91" s="13"/>
      <c r="P91" s="13">
        <f t="shared" si="14"/>
        <v>1.0000000000000001E-5</v>
      </c>
      <c r="T91" t="str">
        <f t="shared" si="9"/>
        <v/>
      </c>
    </row>
    <row r="92" spans="1:20" x14ac:dyDescent="0.25">
      <c r="A92">
        <f t="shared" si="11"/>
        <v>85</v>
      </c>
      <c r="B92" s="88" t="str">
        <f>IF(OR(B91="Total",B91=""),"",IF(VLOOKUP(A92,Journal!$C$7:$E$84,3)=0,"Total",VLOOKUP(A92,Journal!$C$7:$D$84,2)))</f>
        <v/>
      </c>
      <c r="C92" s="86" t="str">
        <f>IF(B92="","",VLOOKUP(A92,Journal!$C$7:$E$84,3))</f>
        <v/>
      </c>
      <c r="D92" s="84" t="str">
        <f>IF(B92="","",VLOOKUP(A92,Journal!$C$7:$J$84,8))</f>
        <v/>
      </c>
      <c r="E92" s="84" t="str">
        <f>IF(B92="","",VLOOKUP(A92,Journal!$C$7:$L$84,10))</f>
        <v/>
      </c>
      <c r="F92" s="84" t="str">
        <f>IF(B92="","",VLOOKUP(A92,Journal!$C$7:$M$84,11))</f>
        <v/>
      </c>
      <c r="G92" s="102">
        <f>IF(B92="Total",SUM(G$8:G91)+0.0001,IF(OR(B92="",M92=0),0,VLOOKUP(A92,Journal!$C$7:M$84,7)))</f>
        <v>0</v>
      </c>
      <c r="H92" s="102">
        <f>IF(B92="Total",SUM(H$8:H91)+0.0001,IF(OR(B92="",N92=0),0,VLOOKUP(A92,Journal!$C$7:M$84,7)))</f>
        <v>0</v>
      </c>
      <c r="I92" s="87">
        <f t="shared" si="10"/>
        <v>0</v>
      </c>
      <c r="J92" s="103"/>
      <c r="K92" s="13">
        <f>VLOOKUP(A92,Journal!$C$7:$M$84,4)</f>
        <v>0</v>
      </c>
      <c r="L92" s="13">
        <f>VLOOKUP(A92,Journal!$C$7:$M$84,5)</f>
        <v>0</v>
      </c>
      <c r="M92" s="13">
        <f t="shared" si="12"/>
        <v>0</v>
      </c>
      <c r="N92" s="13">
        <f t="shared" si="13"/>
        <v>0</v>
      </c>
      <c r="O92" s="13"/>
      <c r="P92" s="13">
        <f t="shared" si="14"/>
        <v>1.0000000000000001E-5</v>
      </c>
      <c r="T92" t="str">
        <f t="shared" si="9"/>
        <v/>
      </c>
    </row>
    <row r="93" spans="1:20" x14ac:dyDescent="0.25">
      <c r="A93">
        <f t="shared" si="11"/>
        <v>86</v>
      </c>
      <c r="B93" s="88" t="str">
        <f>IF(OR(B92="Total",B92=""),"",IF(VLOOKUP(A93,Journal!$C$7:$E$84,3)=0,"Total",VLOOKUP(A93,Journal!$C$7:$D$84,2)))</f>
        <v/>
      </c>
      <c r="C93" s="86" t="str">
        <f>IF(B93="","",VLOOKUP(A93,Journal!$C$7:$E$84,3))</f>
        <v/>
      </c>
      <c r="D93" s="84" t="str">
        <f>IF(B93="","",VLOOKUP(A93,Journal!$C$7:$J$84,8))</f>
        <v/>
      </c>
      <c r="E93" s="84" t="str">
        <f>IF(B93="","",VLOOKUP(A93,Journal!$C$7:$L$84,10))</f>
        <v/>
      </c>
      <c r="F93" s="84" t="str">
        <f>IF(B93="","",VLOOKUP(A93,Journal!$C$7:$M$84,11))</f>
        <v/>
      </c>
      <c r="G93" s="102">
        <f>IF(B93="Total",SUM(G$8:G92)+0.0001,IF(OR(B93="",M93=0),0,VLOOKUP(A93,Journal!$C$7:M$84,7)))</f>
        <v>0</v>
      </c>
      <c r="H93" s="102">
        <f>IF(B93="Total",SUM(H$8:H92)+0.0001,IF(OR(B93="",N93=0),0,VLOOKUP(A93,Journal!$C$7:M$84,7)))</f>
        <v>0</v>
      </c>
      <c r="I93" s="87">
        <f t="shared" si="10"/>
        <v>0</v>
      </c>
      <c r="J93" s="103"/>
      <c r="K93" s="13">
        <f>VLOOKUP(A93,Journal!$C$7:$M$84,4)</f>
        <v>0</v>
      </c>
      <c r="L93" s="13">
        <f>VLOOKUP(A93,Journal!$C$7:$M$84,5)</f>
        <v>0</v>
      </c>
      <c r="M93" s="13">
        <f t="shared" si="12"/>
        <v>0</v>
      </c>
      <c r="N93" s="13">
        <f t="shared" si="13"/>
        <v>0</v>
      </c>
      <c r="O93" s="13"/>
      <c r="P93" s="13">
        <f t="shared" si="14"/>
        <v>1.0000000000000001E-5</v>
      </c>
      <c r="T93" t="str">
        <f t="shared" si="9"/>
        <v/>
      </c>
    </row>
    <row r="94" spans="1:20" x14ac:dyDescent="0.25">
      <c r="A94">
        <f t="shared" si="11"/>
        <v>87</v>
      </c>
      <c r="B94" s="88" t="str">
        <f>IF(OR(B93="Total",B93=""),"",IF(VLOOKUP(A94,Journal!$C$7:$E$84,3)=0,"Total",VLOOKUP(A94,Journal!$C$7:$D$84,2)))</f>
        <v/>
      </c>
      <c r="C94" s="86" t="str">
        <f>IF(B94="","",VLOOKUP(A94,Journal!$C$7:$E$84,3))</f>
        <v/>
      </c>
      <c r="D94" s="84" t="str">
        <f>IF(B94="","",VLOOKUP(A94,Journal!$C$7:$J$84,8))</f>
        <v/>
      </c>
      <c r="E94" s="84" t="str">
        <f>IF(B94="","",VLOOKUP(A94,Journal!$C$7:$L$84,10))</f>
        <v/>
      </c>
      <c r="F94" s="84" t="str">
        <f>IF(B94="","",VLOOKUP(A94,Journal!$C$7:$M$84,11))</f>
        <v/>
      </c>
      <c r="G94" s="102">
        <f>IF(B94="Total",SUM(G$8:G93)+0.0001,IF(OR(B94="",M94=0),0,VLOOKUP(A94,Journal!$C$7:M$84,7)))</f>
        <v>0</v>
      </c>
      <c r="H94" s="102">
        <f>IF(B94="Total",SUM(H$8:H93)+0.0001,IF(OR(B94="",N94=0),0,VLOOKUP(A94,Journal!$C$7:M$84,7)))</f>
        <v>0</v>
      </c>
      <c r="I94" s="87">
        <f t="shared" si="10"/>
        <v>0</v>
      </c>
      <c r="J94" s="103"/>
      <c r="K94" s="13">
        <f>VLOOKUP(A94,Journal!$C$7:$M$84,4)</f>
        <v>0</v>
      </c>
      <c r="L94" s="13">
        <f>VLOOKUP(A94,Journal!$C$7:$M$84,5)</f>
        <v>0</v>
      </c>
      <c r="M94" s="13">
        <f t="shared" si="12"/>
        <v>0</v>
      </c>
      <c r="N94" s="13">
        <f t="shared" si="13"/>
        <v>0</v>
      </c>
      <c r="O94" s="13"/>
      <c r="P94" s="13">
        <f t="shared" si="14"/>
        <v>1.0000000000000001E-5</v>
      </c>
      <c r="T94" t="str">
        <f t="shared" si="9"/>
        <v/>
      </c>
    </row>
    <row r="95" spans="1:20" x14ac:dyDescent="0.25">
      <c r="A95">
        <f t="shared" si="11"/>
        <v>88</v>
      </c>
      <c r="B95" s="88" t="str">
        <f>IF(OR(B94="Total",B94=""),"",IF(VLOOKUP(A95,Journal!$C$7:$E$84,3)=0,"Total",VLOOKUP(A95,Journal!$C$7:$D$84,2)))</f>
        <v/>
      </c>
      <c r="C95" s="86" t="str">
        <f>IF(B95="","",VLOOKUP(A95,Journal!$C$7:$E$84,3))</f>
        <v/>
      </c>
      <c r="D95" s="84" t="str">
        <f>IF(B95="","",VLOOKUP(A95,Journal!$C$7:$J$84,8))</f>
        <v/>
      </c>
      <c r="E95" s="84" t="str">
        <f>IF(B95="","",VLOOKUP(A95,Journal!$C$7:$L$84,10))</f>
        <v/>
      </c>
      <c r="F95" s="84" t="str">
        <f>IF(B95="","",VLOOKUP(A95,Journal!$C$7:$M$84,11))</f>
        <v/>
      </c>
      <c r="G95" s="102">
        <f>IF(B95="Total",SUM(G$8:G94)+0.0001,IF(OR(B95="",M95=0),0,VLOOKUP(A95,Journal!$C$7:M$84,7)))</f>
        <v>0</v>
      </c>
      <c r="H95" s="102">
        <f>IF(B95="Total",SUM(H$8:H94)+0.0001,IF(OR(B95="",N95=0),0,VLOOKUP(A95,Journal!$C$7:M$84,7)))</f>
        <v>0</v>
      </c>
      <c r="I95" s="87">
        <f t="shared" si="10"/>
        <v>0</v>
      </c>
      <c r="J95" s="103"/>
      <c r="K95" s="13">
        <f>VLOOKUP(A95,Journal!$C$7:$M$84,4)</f>
        <v>0</v>
      </c>
      <c r="L95" s="13">
        <f>VLOOKUP(A95,Journal!$C$7:$M$84,5)</f>
        <v>0</v>
      </c>
      <c r="M95" s="13">
        <f t="shared" si="12"/>
        <v>0</v>
      </c>
      <c r="N95" s="13">
        <f t="shared" si="13"/>
        <v>0</v>
      </c>
      <c r="O95" s="13"/>
      <c r="P95" s="13">
        <f t="shared" si="14"/>
        <v>1.0000000000000001E-5</v>
      </c>
      <c r="T95" t="str">
        <f t="shared" si="9"/>
        <v/>
      </c>
    </row>
    <row r="96" spans="1:20" x14ac:dyDescent="0.25">
      <c r="A96">
        <f t="shared" si="11"/>
        <v>89</v>
      </c>
      <c r="B96" s="88" t="str">
        <f>IF(OR(B95="Total",B95=""),"",IF(VLOOKUP(A96,Journal!$C$7:$E$84,3)=0,"Total",VLOOKUP(A96,Journal!$C$7:$D$84,2)))</f>
        <v/>
      </c>
      <c r="C96" s="86" t="str">
        <f>IF(B96="","",VLOOKUP(A96,Journal!$C$7:$E$84,3))</f>
        <v/>
      </c>
      <c r="D96" s="84" t="str">
        <f>IF(B96="","",VLOOKUP(A96,Journal!$C$7:$J$84,8))</f>
        <v/>
      </c>
      <c r="E96" s="84" t="str">
        <f>IF(B96="","",VLOOKUP(A96,Journal!$C$7:$L$84,10))</f>
        <v/>
      </c>
      <c r="F96" s="84" t="str">
        <f>IF(B96="","",VLOOKUP(A96,Journal!$C$7:$M$84,11))</f>
        <v/>
      </c>
      <c r="G96" s="102">
        <f>IF(B96="Total",SUM(G$8:G95)+0.0001,IF(OR(B96="",M96=0),0,VLOOKUP(A96,Journal!$C$7:M$84,7)))</f>
        <v>0</v>
      </c>
      <c r="H96" s="102">
        <f>IF(B96="Total",SUM(H$8:H95)+0.0001,IF(OR(B96="",N96=0),0,VLOOKUP(A96,Journal!$C$7:M$84,7)))</f>
        <v>0</v>
      </c>
      <c r="I96" s="87">
        <f t="shared" si="10"/>
        <v>0</v>
      </c>
      <c r="J96" s="103"/>
      <c r="K96" s="13">
        <f>VLOOKUP(A96,Journal!$C$7:$M$84,4)</f>
        <v>0</v>
      </c>
      <c r="L96" s="13">
        <f>VLOOKUP(A96,Journal!$C$7:$M$84,5)</f>
        <v>0</v>
      </c>
      <c r="M96" s="13">
        <f t="shared" si="12"/>
        <v>0</v>
      </c>
      <c r="N96" s="13">
        <f t="shared" si="13"/>
        <v>0</v>
      </c>
      <c r="O96" s="13"/>
      <c r="P96" s="13">
        <f t="shared" si="14"/>
        <v>1.0000000000000001E-5</v>
      </c>
      <c r="T96" t="str">
        <f t="shared" si="9"/>
        <v/>
      </c>
    </row>
    <row r="97" spans="1:20" x14ac:dyDescent="0.25">
      <c r="A97">
        <f t="shared" si="11"/>
        <v>90</v>
      </c>
      <c r="B97" s="88" t="str">
        <f>IF(OR(B96="Total",B96=""),"",IF(VLOOKUP(A97,Journal!$C$7:$E$84,3)=0,"Total",VLOOKUP(A97,Journal!$C$7:$D$84,2)))</f>
        <v/>
      </c>
      <c r="C97" s="86" t="str">
        <f>IF(B97="","",VLOOKUP(A97,Journal!$C$7:$E$84,3))</f>
        <v/>
      </c>
      <c r="D97" s="84" t="str">
        <f>IF(B97="","",VLOOKUP(A97,Journal!$C$7:$J$84,8))</f>
        <v/>
      </c>
      <c r="E97" s="84" t="str">
        <f>IF(B97="","",VLOOKUP(A97,Journal!$C$7:$L$84,10))</f>
        <v/>
      </c>
      <c r="F97" s="84" t="str">
        <f>IF(B97="","",VLOOKUP(A97,Journal!$C$7:$M$84,11))</f>
        <v/>
      </c>
      <c r="G97" s="102">
        <f>IF(B97="Total",SUM(G$8:G96)+0.0001,IF(OR(B97="",M97=0),0,VLOOKUP(A97,Journal!$C$7:M$84,7)))</f>
        <v>0</v>
      </c>
      <c r="H97" s="102">
        <f>IF(B97="Total",SUM(H$8:H96)+0.0001,IF(OR(B97="",N97=0),0,VLOOKUP(A97,Journal!$C$7:M$84,7)))</f>
        <v>0</v>
      </c>
      <c r="I97" s="87">
        <f t="shared" si="10"/>
        <v>0</v>
      </c>
      <c r="K97" s="13">
        <f>VLOOKUP(A97,Journal!$C$7:$M$84,4)</f>
        <v>0</v>
      </c>
      <c r="L97" s="13">
        <f>VLOOKUP(A97,Journal!$C$7:$M$84,5)</f>
        <v>0</v>
      </c>
      <c r="M97" s="13">
        <f t="shared" si="12"/>
        <v>0</v>
      </c>
      <c r="N97" s="13">
        <f t="shared" si="13"/>
        <v>0</v>
      </c>
      <c r="O97" s="13"/>
      <c r="P97" s="13">
        <f t="shared" si="14"/>
        <v>1.0000000000000001E-5</v>
      </c>
      <c r="T97" t="str">
        <f t="shared" si="9"/>
        <v/>
      </c>
    </row>
    <row r="98" spans="1:20" x14ac:dyDescent="0.25">
      <c r="A98">
        <f t="shared" si="11"/>
        <v>91</v>
      </c>
      <c r="B98" s="88" t="str">
        <f>IF(OR(B97="Total",B97=""),"",IF(VLOOKUP(A98,Journal!$C$7:$E$84,3)=0,"Total",VLOOKUP(A98,Journal!$C$7:$D$84,2)))</f>
        <v/>
      </c>
      <c r="C98" s="86" t="str">
        <f>IF(B98="","",VLOOKUP(A98,Journal!$C$7:$E$84,3))</f>
        <v/>
      </c>
      <c r="D98" s="84" t="str">
        <f>IF(B98="","",VLOOKUP(A98,Journal!$C$7:$J$84,8))</f>
        <v/>
      </c>
      <c r="E98" s="84" t="str">
        <f>IF(B98="","",VLOOKUP(A98,Journal!$C$7:$L$84,10))</f>
        <v/>
      </c>
      <c r="F98" s="84" t="str">
        <f>IF(B98="","",VLOOKUP(A98,Journal!$C$7:$M$84,11))</f>
        <v/>
      </c>
      <c r="G98" s="102">
        <f>IF(B98="Total",SUM(G$8:G97)+0.0001,IF(OR(B98="",M98=0),0,VLOOKUP(A98,Journal!$C$7:M$84,7)))</f>
        <v>0</v>
      </c>
      <c r="H98" s="102">
        <f>IF(B98="Total",SUM(H$8:H97)+0.0001,IF(OR(B98="",N98=0),0,VLOOKUP(A98,Journal!$C$7:M$84,7)))</f>
        <v>0</v>
      </c>
      <c r="I98" s="87">
        <f t="shared" si="10"/>
        <v>0</v>
      </c>
      <c r="K98" s="13">
        <f>VLOOKUP(A98,Journal!$C$7:$M$84,4)</f>
        <v>0</v>
      </c>
      <c r="L98" s="13">
        <f>VLOOKUP(A98,Journal!$C$7:$M$84,5)</f>
        <v>0</v>
      </c>
      <c r="M98" s="13">
        <f t="shared" si="12"/>
        <v>0</v>
      </c>
      <c r="N98" s="13">
        <f t="shared" si="13"/>
        <v>0</v>
      </c>
      <c r="O98" s="13"/>
      <c r="P98" s="13">
        <f t="shared" si="14"/>
        <v>1.0000000000000001E-5</v>
      </c>
      <c r="T98" t="str">
        <f t="shared" si="9"/>
        <v/>
      </c>
    </row>
    <row r="99" spans="1:20" x14ac:dyDescent="0.25">
      <c r="A99">
        <f t="shared" si="11"/>
        <v>92</v>
      </c>
      <c r="B99" s="88" t="str">
        <f>IF(OR(B98="Total",B98=""),"",IF(VLOOKUP(A99,Journal!$C$7:$E$84,3)=0,"Total",VLOOKUP(A99,Journal!$C$7:$D$84,2)))</f>
        <v/>
      </c>
      <c r="C99" s="86" t="str">
        <f>IF(B99="","",VLOOKUP(A99,Journal!$C$7:$E$84,3))</f>
        <v/>
      </c>
      <c r="D99" s="84" t="str">
        <f>IF(B99="","",VLOOKUP(A99,Journal!$C$7:$J$84,8))</f>
        <v/>
      </c>
      <c r="E99" s="84" t="str">
        <f>IF(B99="","",VLOOKUP(A99,Journal!$C$7:$L$84,10))</f>
        <v/>
      </c>
      <c r="F99" s="84" t="str">
        <f>IF(B99="","",VLOOKUP(A99,Journal!$C$7:$M$84,11))</f>
        <v/>
      </c>
      <c r="G99" s="102">
        <f>IF(B99="Total",SUM(G$8:G98)+0.0001,IF(OR(B99="",M99=0),0,VLOOKUP(A99,Journal!$C$7:M$84,7)))</f>
        <v>0</v>
      </c>
      <c r="H99" s="102">
        <f>IF(B99="Total",SUM(H$8:H98)+0.0001,IF(OR(B99="",N99=0),0,VLOOKUP(A99,Journal!$C$7:M$84,7)))</f>
        <v>0</v>
      </c>
      <c r="I99" s="87">
        <f t="shared" si="10"/>
        <v>0</v>
      </c>
      <c r="K99" s="13">
        <f>VLOOKUP(A99,Journal!$C$7:$M$84,4)</f>
        <v>0</v>
      </c>
      <c r="L99" s="13">
        <f>VLOOKUP(A99,Journal!$C$7:$M$84,5)</f>
        <v>0</v>
      </c>
      <c r="M99" s="13">
        <f t="shared" si="12"/>
        <v>0</v>
      </c>
      <c r="N99" s="13">
        <f t="shared" si="13"/>
        <v>0</v>
      </c>
      <c r="O99" s="13"/>
      <c r="P99" s="13">
        <f t="shared" si="14"/>
        <v>1.0000000000000001E-5</v>
      </c>
      <c r="T99" t="str">
        <f t="shared" si="9"/>
        <v/>
      </c>
    </row>
    <row r="100" spans="1:20" x14ac:dyDescent="0.25">
      <c r="A100">
        <f t="shared" si="11"/>
        <v>93</v>
      </c>
      <c r="B100" s="88" t="str">
        <f>IF(OR(B99="Total",B99=""),"",IF(VLOOKUP(A100,Journal!$C$7:$E$84,3)=0,"Total",VLOOKUP(A100,Journal!$C$7:$D$84,2)))</f>
        <v/>
      </c>
      <c r="C100" s="86" t="str">
        <f>IF(B100="","",VLOOKUP(A100,Journal!$C$7:$E$84,3))</f>
        <v/>
      </c>
      <c r="D100" s="84" t="str">
        <f>IF(B100="","",VLOOKUP(A100,Journal!$C$7:$J$84,8))</f>
        <v/>
      </c>
      <c r="E100" s="84" t="str">
        <f>IF(B100="","",VLOOKUP(A100,Journal!$C$7:$L$84,10))</f>
        <v/>
      </c>
      <c r="F100" s="84" t="str">
        <f>IF(B100="","",VLOOKUP(A100,Journal!$C$7:$M$84,11))</f>
        <v/>
      </c>
      <c r="G100" s="102">
        <f>IF(B100="Total",SUM(G$8:G99)+0.0001,IF(OR(B100="",M100=0),0,VLOOKUP(A100,Journal!$C$7:M$84,7)))</f>
        <v>0</v>
      </c>
      <c r="H100" s="102">
        <f>IF(B100="Total",SUM(H$8:H99)+0.0001,IF(OR(B100="",N100=0),0,VLOOKUP(A100,Journal!$C$7:M$84,7)))</f>
        <v>0</v>
      </c>
      <c r="I100" s="87">
        <f t="shared" si="10"/>
        <v>0</v>
      </c>
      <c r="K100" s="13">
        <f>VLOOKUP(A100,Journal!$C$7:$M$84,4)</f>
        <v>0</v>
      </c>
      <c r="L100" s="13">
        <f>VLOOKUP(A100,Journal!$C$7:$M$84,5)</f>
        <v>0</v>
      </c>
      <c r="M100" s="13">
        <f t="shared" si="12"/>
        <v>0</v>
      </c>
      <c r="N100" s="13">
        <f t="shared" si="13"/>
        <v>0</v>
      </c>
      <c r="O100" s="13"/>
      <c r="P100" s="13">
        <f t="shared" si="14"/>
        <v>1.0000000000000001E-5</v>
      </c>
      <c r="T100" t="str">
        <f t="shared" si="9"/>
        <v/>
      </c>
    </row>
    <row r="101" spans="1:20" x14ac:dyDescent="0.25">
      <c r="A101">
        <f t="shared" si="11"/>
        <v>94</v>
      </c>
      <c r="B101" s="88" t="str">
        <f>IF(OR(B100="Total",B100=""),"",IF(VLOOKUP(A101,Journal!$C$7:$E$84,3)=0,"Total",VLOOKUP(A101,Journal!$C$7:$D$84,2)))</f>
        <v/>
      </c>
      <c r="C101" s="86" t="str">
        <f>IF(B101="","",VLOOKUP(A101,Journal!$C$7:$E$84,3))</f>
        <v/>
      </c>
      <c r="D101" s="84" t="str">
        <f>IF(B101="","",VLOOKUP(A101,Journal!$C$7:$J$84,8))</f>
        <v/>
      </c>
      <c r="E101" s="84" t="str">
        <f>IF(B101="","",VLOOKUP(A101,Journal!$C$7:$L$84,10))</f>
        <v/>
      </c>
      <c r="F101" s="84" t="str">
        <f>IF(B101="","",VLOOKUP(A101,Journal!$C$7:$M$84,11))</f>
        <v/>
      </c>
      <c r="G101" s="102">
        <f>IF(B101="Total",SUM(G$8:G100)+0.0001,IF(OR(B101="",M101=0),0,VLOOKUP(A101,Journal!$C$7:M$84,7)))</f>
        <v>0</v>
      </c>
      <c r="H101" s="102">
        <f>IF(B101="Total",SUM(H$8:H100)+0.0001,IF(OR(B101="",N101=0),0,VLOOKUP(A101,Journal!$C$7:M$84,7)))</f>
        <v>0</v>
      </c>
      <c r="I101" s="87">
        <f t="shared" si="10"/>
        <v>0</v>
      </c>
      <c r="K101" s="13">
        <f>VLOOKUP(A101,Journal!$C$7:$M$84,4)</f>
        <v>0</v>
      </c>
      <c r="L101" s="13">
        <f>VLOOKUP(A101,Journal!$C$7:$M$84,5)</f>
        <v>0</v>
      </c>
      <c r="M101" s="13">
        <f t="shared" si="12"/>
        <v>0</v>
      </c>
      <c r="N101" s="13">
        <f t="shared" si="13"/>
        <v>0</v>
      </c>
      <c r="O101" s="13"/>
      <c r="P101" s="13">
        <f t="shared" si="14"/>
        <v>1.0000000000000001E-5</v>
      </c>
      <c r="T101" t="str">
        <f t="shared" si="9"/>
        <v/>
      </c>
    </row>
    <row r="102" spans="1:20" x14ac:dyDescent="0.25">
      <c r="A102">
        <f t="shared" si="11"/>
        <v>95</v>
      </c>
      <c r="B102" s="88" t="str">
        <f>IF(OR(B101="Total",B101=""),"",IF(VLOOKUP(A102,Journal!$C$7:$E$84,3)=0,"Total",VLOOKUP(A102,Journal!$C$7:$D$84,2)))</f>
        <v/>
      </c>
      <c r="C102" s="86" t="str">
        <f>IF(B102="","",VLOOKUP(A102,Journal!$C$7:$E$84,3))</f>
        <v/>
      </c>
      <c r="D102" s="84" t="str">
        <f>IF(B102="","",VLOOKUP(A102,Journal!$C$7:$J$84,8))</f>
        <v/>
      </c>
      <c r="E102" s="84" t="str">
        <f>IF(B102="","",VLOOKUP(A102,Journal!$C$7:$L$84,10))</f>
        <v/>
      </c>
      <c r="F102" s="84" t="str">
        <f>IF(B102="","",VLOOKUP(A102,Journal!$C$7:$M$84,11))</f>
        <v/>
      </c>
      <c r="G102" s="102">
        <f>IF(B102="Total",SUM(G$8:G101)+0.0001,IF(OR(B102="",M102=0),0,VLOOKUP(A102,Journal!$C$7:M$84,7)))</f>
        <v>0</v>
      </c>
      <c r="H102" s="102">
        <f>IF(B102="Total",SUM(H$8:H101)+0.0001,IF(OR(B102="",N102=0),0,VLOOKUP(A102,Journal!$C$7:M$84,7)))</f>
        <v>0</v>
      </c>
      <c r="I102" s="87">
        <f t="shared" si="10"/>
        <v>0</v>
      </c>
      <c r="K102" s="13">
        <f>VLOOKUP(A102,Journal!$C$7:$M$84,4)</f>
        <v>0</v>
      </c>
      <c r="L102" s="13">
        <f>VLOOKUP(A102,Journal!$C$7:$M$84,5)</f>
        <v>0</v>
      </c>
      <c r="M102" s="13">
        <f t="shared" si="12"/>
        <v>0</v>
      </c>
      <c r="N102" s="13">
        <f t="shared" si="13"/>
        <v>0</v>
      </c>
      <c r="O102" s="13"/>
      <c r="P102" s="13">
        <f t="shared" si="14"/>
        <v>1.0000000000000001E-5</v>
      </c>
      <c r="T102" t="str">
        <f t="shared" si="9"/>
        <v/>
      </c>
    </row>
    <row r="103" spans="1:20" x14ac:dyDescent="0.25">
      <c r="A103">
        <f t="shared" si="11"/>
        <v>96</v>
      </c>
      <c r="B103" s="88" t="str">
        <f>IF(OR(B102="Total",B102=""),"",IF(VLOOKUP(A103,Journal!$C$7:$E$84,3)=0,"Total",VLOOKUP(A103,Journal!$C$7:$D$84,2)))</f>
        <v/>
      </c>
      <c r="C103" s="86" t="str">
        <f>IF(B103="","",VLOOKUP(A103,Journal!$C$7:$E$84,3))</f>
        <v/>
      </c>
      <c r="D103" s="84" t="str">
        <f>IF(B103="","",VLOOKUP(A103,Journal!$C$7:$J$84,8))</f>
        <v/>
      </c>
      <c r="E103" s="84" t="str">
        <f>IF(B103="","",VLOOKUP(A103,Journal!$C$7:$L$84,10))</f>
        <v/>
      </c>
      <c r="F103" s="84" t="str">
        <f>IF(B103="","",VLOOKUP(A103,Journal!$C$7:$M$84,11))</f>
        <v/>
      </c>
      <c r="G103" s="102">
        <f>IF(B103="Total",SUM(G$8:G102)+0.0001,IF(OR(B103="",M103=0),0,VLOOKUP(A103,Journal!$C$7:M$84,7)))</f>
        <v>0</v>
      </c>
      <c r="H103" s="102">
        <f>IF(B103="Total",SUM(H$8:H102)+0.0001,IF(OR(B103="",N103=0),0,VLOOKUP(A103,Journal!$C$7:M$84,7)))</f>
        <v>0</v>
      </c>
      <c r="I103" s="87">
        <f t="shared" si="10"/>
        <v>0</v>
      </c>
      <c r="K103" s="13">
        <f>VLOOKUP(A103,Journal!$C$7:$M$84,4)</f>
        <v>0</v>
      </c>
      <c r="L103" s="13">
        <f>VLOOKUP(A103,Journal!$C$7:$M$84,5)</f>
        <v>0</v>
      </c>
      <c r="M103" s="13">
        <f t="shared" si="12"/>
        <v>0</v>
      </c>
      <c r="N103" s="13">
        <f t="shared" si="13"/>
        <v>0</v>
      </c>
      <c r="O103" s="13"/>
      <c r="P103" s="13">
        <f t="shared" si="14"/>
        <v>1.0000000000000001E-5</v>
      </c>
      <c r="T103" t="str">
        <f t="shared" si="9"/>
        <v/>
      </c>
    </row>
    <row r="104" spans="1:20" x14ac:dyDescent="0.25">
      <c r="A104">
        <f t="shared" si="11"/>
        <v>97</v>
      </c>
      <c r="B104" s="88" t="str">
        <f>IF(OR(B103="Total",B103=""),"",IF(VLOOKUP(A104,Journal!$C$7:$E$84,3)=0,"Total",VLOOKUP(A104,Journal!$C$7:$D$84,2)))</f>
        <v/>
      </c>
      <c r="C104" s="86" t="str">
        <f>IF(B104="","",VLOOKUP(A104,Journal!$C$7:$E$84,3))</f>
        <v/>
      </c>
      <c r="D104" s="84" t="str">
        <f>IF(B104="","",VLOOKUP(A104,Journal!$C$7:$J$84,8))</f>
        <v/>
      </c>
      <c r="E104" s="84" t="str">
        <f>IF(B104="","",VLOOKUP(A104,Journal!$C$7:$L$84,10))</f>
        <v/>
      </c>
      <c r="F104" s="84" t="str">
        <f>IF(B104="","",VLOOKUP(A104,Journal!$C$7:$M$84,11))</f>
        <v/>
      </c>
      <c r="G104" s="102">
        <f>IF(B104="Total",SUM(G$8:G103)+0.0001,IF(OR(B104="",M104=0),0,VLOOKUP(A104,Journal!$C$7:M$84,7)))</f>
        <v>0</v>
      </c>
      <c r="H104" s="102">
        <f>IF(B104="Total",SUM(H$8:H103)+0.0001,IF(OR(B104="",N104=0),0,VLOOKUP(A104,Journal!$C$7:M$84,7)))</f>
        <v>0</v>
      </c>
      <c r="I104" s="87">
        <f t="shared" si="10"/>
        <v>0</v>
      </c>
      <c r="K104" s="13">
        <f>VLOOKUP(A104,Journal!$C$7:$M$84,4)</f>
        <v>0</v>
      </c>
      <c r="L104" s="13">
        <f>VLOOKUP(A104,Journal!$C$7:$M$84,5)</f>
        <v>0</v>
      </c>
      <c r="M104" s="13">
        <f t="shared" si="12"/>
        <v>0</v>
      </c>
      <c r="N104" s="13">
        <f t="shared" si="13"/>
        <v>0</v>
      </c>
      <c r="O104" s="13"/>
      <c r="P104" s="13">
        <f t="shared" si="14"/>
        <v>1.0000000000000001E-5</v>
      </c>
      <c r="T104" t="str">
        <f t="shared" si="9"/>
        <v/>
      </c>
    </row>
    <row r="105" spans="1:20" x14ac:dyDescent="0.25">
      <c r="A105">
        <f t="shared" si="11"/>
        <v>98</v>
      </c>
      <c r="B105" s="88" t="str">
        <f>IF(OR(B104="Total",B104=""),"",IF(VLOOKUP(A105,Journal!$C$7:$E$84,3)=0,"Total",VLOOKUP(A105,Journal!$C$7:$D$84,2)))</f>
        <v/>
      </c>
      <c r="C105" s="86" t="str">
        <f>IF(B105="","",VLOOKUP(A105,Journal!$C$7:$E$84,3))</f>
        <v/>
      </c>
      <c r="D105" s="84" t="str">
        <f>IF(B105="","",VLOOKUP(A105,Journal!$C$7:$J$84,8))</f>
        <v/>
      </c>
      <c r="E105" s="84" t="str">
        <f>IF(B105="","",VLOOKUP(A105,Journal!$C$7:$L$84,10))</f>
        <v/>
      </c>
      <c r="F105" s="84" t="str">
        <f>IF(B105="","",VLOOKUP(A105,Journal!$C$7:$M$84,11))</f>
        <v/>
      </c>
      <c r="G105" s="102">
        <f>IF(B105="Total",SUM(G$8:G104)+0.0001,IF(OR(B105="",M105=0),0,VLOOKUP(A105,Journal!$C$7:M$84,7)))</f>
        <v>0</v>
      </c>
      <c r="H105" s="102">
        <f>IF(B105="Total",SUM(H$8:H104)+0.0001,IF(OR(B105="",N105=0),0,VLOOKUP(A105,Journal!$C$7:M$84,7)))</f>
        <v>0</v>
      </c>
      <c r="I105" s="87">
        <f t="shared" si="10"/>
        <v>0</v>
      </c>
      <c r="K105" s="13">
        <f>VLOOKUP(A105,Journal!$C$7:$M$84,4)</f>
        <v>0</v>
      </c>
      <c r="L105" s="13">
        <f>VLOOKUP(A105,Journal!$C$7:$M$84,5)</f>
        <v>0</v>
      </c>
      <c r="M105" s="13">
        <f t="shared" si="12"/>
        <v>0</v>
      </c>
      <c r="N105" s="13">
        <f t="shared" si="13"/>
        <v>0</v>
      </c>
      <c r="O105" s="13"/>
      <c r="P105" s="13">
        <f t="shared" si="14"/>
        <v>1.0000000000000001E-5</v>
      </c>
      <c r="T105" t="str">
        <f t="shared" si="9"/>
        <v/>
      </c>
    </row>
    <row r="106" spans="1:20" x14ac:dyDescent="0.25">
      <c r="A106">
        <f t="shared" si="11"/>
        <v>99</v>
      </c>
      <c r="B106" s="88" t="str">
        <f>IF(OR(B105="Total",B105=""),"",IF(VLOOKUP(A106,Journal!$C$7:$E$84,3)=0,"Total",VLOOKUP(A106,Journal!$C$7:$D$84,2)))</f>
        <v/>
      </c>
      <c r="C106" s="86" t="str">
        <f>IF(B106="","",VLOOKUP(A106,Journal!$C$7:$E$84,3))</f>
        <v/>
      </c>
      <c r="D106" s="84" t="str">
        <f>IF(B106="","",VLOOKUP(A106,Journal!$C$7:$J$84,8))</f>
        <v/>
      </c>
      <c r="E106" s="84" t="str">
        <f>IF(B106="","",VLOOKUP(A106,Journal!$C$7:$L$84,10))</f>
        <v/>
      </c>
      <c r="F106" s="84" t="str">
        <f>IF(B106="","",VLOOKUP(A106,Journal!$C$7:$M$84,11))</f>
        <v/>
      </c>
      <c r="G106" s="102">
        <f>IF(B106="Total",SUM(G$8:G105)+0.0001,IF(OR(B106="",M106=0),0,VLOOKUP(A106,Journal!$C$7:M$84,7)))</f>
        <v>0</v>
      </c>
      <c r="H106" s="102">
        <f>IF(B106="Total",SUM(H$8:H105)+0.0001,IF(OR(B106="",N106=0),0,VLOOKUP(A106,Journal!$C$7:M$84,7)))</f>
        <v>0</v>
      </c>
      <c r="I106" s="87">
        <f t="shared" si="10"/>
        <v>0</v>
      </c>
      <c r="K106" s="13">
        <f>VLOOKUP(A106,Journal!$C$7:$M$84,4)</f>
        <v>0</v>
      </c>
      <c r="L106" s="13">
        <f>VLOOKUP(A106,Journal!$C$7:$M$84,5)</f>
        <v>0</v>
      </c>
      <c r="M106" s="13">
        <f t="shared" si="12"/>
        <v>0</v>
      </c>
      <c r="N106" s="13">
        <f t="shared" si="13"/>
        <v>0</v>
      </c>
      <c r="O106" s="13"/>
      <c r="P106" s="13">
        <f t="shared" si="14"/>
        <v>1.0000000000000001E-5</v>
      </c>
      <c r="T106" t="str">
        <f t="shared" si="9"/>
        <v/>
      </c>
    </row>
    <row r="107" spans="1:20" x14ac:dyDescent="0.25">
      <c r="A107">
        <f t="shared" si="11"/>
        <v>100</v>
      </c>
      <c r="B107" s="88" t="str">
        <f>IF(OR(B106="Total",B106=""),"",IF(VLOOKUP(A107,Journal!$C$7:$E$84,3)=0,"Total",VLOOKUP(A107,Journal!$C$7:$D$84,2)))</f>
        <v/>
      </c>
      <c r="C107" s="86" t="str">
        <f>IF(B107="","",VLOOKUP(A107,Journal!$C$7:$E$84,3))</f>
        <v/>
      </c>
      <c r="D107" s="84" t="str">
        <f>IF(B107="","",VLOOKUP(A107,Journal!$C$7:$J$84,8))</f>
        <v/>
      </c>
      <c r="E107" s="84" t="str">
        <f>IF(B107="","",VLOOKUP(A107,Journal!$C$7:$L$84,10))</f>
        <v/>
      </c>
      <c r="F107" s="84" t="str">
        <f>IF(B107="","",VLOOKUP(A107,Journal!$C$7:$M$84,11))</f>
        <v/>
      </c>
      <c r="G107" s="102">
        <f>IF(B107="Total",SUM(G$8:G106)+0.0001,IF(OR(B107="",M107=0),0,VLOOKUP(A107,Journal!$C$7:M$84,7)))</f>
        <v>0</v>
      </c>
      <c r="H107" s="102">
        <f>IF(B107="Total",SUM(H$8:H106)+0.0001,IF(OR(B107="",N107=0),0,VLOOKUP(A107,Journal!$C$7:M$84,7)))</f>
        <v>0</v>
      </c>
      <c r="I107" s="87">
        <f t="shared" si="10"/>
        <v>0</v>
      </c>
      <c r="K107" s="13">
        <f>VLOOKUP(A107,Journal!$C$7:$M$84,4)</f>
        <v>0</v>
      </c>
      <c r="L107" s="13">
        <f>VLOOKUP(A107,Journal!$C$7:$M$84,5)</f>
        <v>0</v>
      </c>
      <c r="M107" s="13">
        <f t="shared" si="12"/>
        <v>0</v>
      </c>
      <c r="N107" s="13">
        <f t="shared" si="13"/>
        <v>0</v>
      </c>
      <c r="O107" s="13"/>
      <c r="P107" s="13">
        <f t="shared" si="14"/>
        <v>1.0000000000000001E-5</v>
      </c>
      <c r="T107" t="str">
        <f t="shared" si="9"/>
        <v/>
      </c>
    </row>
    <row r="108" spans="1:20" x14ac:dyDescent="0.25">
      <c r="A108">
        <f t="shared" si="11"/>
        <v>101</v>
      </c>
      <c r="B108" s="88" t="str">
        <f>IF(OR(B107="Total",B107=""),"",IF(VLOOKUP(A108,Journal!$C$7:$E$84,3)=0,"Total",VLOOKUP(A108,Journal!$C$7:$D$84,2)))</f>
        <v/>
      </c>
      <c r="C108" s="86" t="str">
        <f>IF(B108="","",VLOOKUP(A108,Journal!$C$7:$E$84,3))</f>
        <v/>
      </c>
      <c r="D108" s="84" t="str">
        <f>IF(B108="","",VLOOKUP(A108,Journal!$C$7:$J$84,8))</f>
        <v/>
      </c>
      <c r="E108" s="84" t="str">
        <f>IF(B108="","",VLOOKUP(A108,Journal!$C$7:$L$84,10))</f>
        <v/>
      </c>
      <c r="F108" s="84" t="str">
        <f>IF(B108="","",VLOOKUP(A108,Journal!$C$7:$M$84,11))</f>
        <v/>
      </c>
      <c r="G108" s="102">
        <f>IF(B108="Total",SUM(G$8:G107)+0.0001,IF(OR(B108="",M108=0),0,VLOOKUP(A108,Journal!$C$7:M$84,7)))</f>
        <v>0</v>
      </c>
      <c r="H108" s="102">
        <f>IF(B108="Total",SUM(H$8:H107)+0.0001,IF(OR(B108="",N108=0),0,VLOOKUP(A108,Journal!$C$7:M$84,7)))</f>
        <v>0</v>
      </c>
      <c r="I108" s="87">
        <f t="shared" si="10"/>
        <v>0</v>
      </c>
      <c r="K108" s="13">
        <f>VLOOKUP(A108,Journal!$C$7:$M$84,4)</f>
        <v>0</v>
      </c>
      <c r="L108" s="13">
        <f>VLOOKUP(A108,Journal!$C$7:$M$84,5)</f>
        <v>0</v>
      </c>
      <c r="M108" s="13">
        <f t="shared" si="12"/>
        <v>0</v>
      </c>
      <c r="N108" s="13">
        <f t="shared" si="13"/>
        <v>0</v>
      </c>
      <c r="O108" s="13"/>
      <c r="P108" s="13">
        <f t="shared" si="14"/>
        <v>1.0000000000000001E-5</v>
      </c>
      <c r="T108" t="str">
        <f t="shared" si="9"/>
        <v/>
      </c>
    </row>
    <row r="109" spans="1:20" x14ac:dyDescent="0.25">
      <c r="A109">
        <f t="shared" si="11"/>
        <v>102</v>
      </c>
      <c r="B109" s="88" t="str">
        <f>IF(OR(B108="Total",B108=""),"",IF(VLOOKUP(A109,Journal!$C$7:$E$84,3)=0,"Total",VLOOKUP(A109,Journal!$C$7:$D$84,2)))</f>
        <v/>
      </c>
      <c r="C109" s="86" t="str">
        <f>IF(B109="","",VLOOKUP(A109,Journal!$C$7:$E$84,3))</f>
        <v/>
      </c>
      <c r="D109" s="84" t="str">
        <f>IF(B109="","",VLOOKUP(A109,Journal!$C$7:$J$84,8))</f>
        <v/>
      </c>
      <c r="E109" s="84" t="str">
        <f>IF(B109="","",VLOOKUP(A109,Journal!$C$7:$L$84,10))</f>
        <v/>
      </c>
      <c r="F109" s="84" t="str">
        <f>IF(B109="","",VLOOKUP(A109,Journal!$C$7:$M$84,11))</f>
        <v/>
      </c>
      <c r="G109" s="102">
        <f>IF(B109="Total",SUM(G$8:G108)+0.0001,IF(OR(B109="",M109=0),0,VLOOKUP(A109,Journal!$C$7:M$84,7)))</f>
        <v>0</v>
      </c>
      <c r="H109" s="102">
        <f>IF(B109="Total",SUM(H$8:H108)+0.0001,IF(OR(B109="",N109=0),0,VLOOKUP(A109,Journal!$C$7:M$84,7)))</f>
        <v>0</v>
      </c>
      <c r="I109" s="87">
        <f t="shared" si="10"/>
        <v>0</v>
      </c>
      <c r="K109" s="13">
        <f>VLOOKUP(A109,Journal!$C$7:$M$84,4)</f>
        <v>0</v>
      </c>
      <c r="L109" s="13">
        <f>VLOOKUP(A109,Journal!$C$7:$M$84,5)</f>
        <v>0</v>
      </c>
      <c r="M109" s="13">
        <f t="shared" si="12"/>
        <v>0</v>
      </c>
      <c r="N109" s="13">
        <f t="shared" si="13"/>
        <v>0</v>
      </c>
      <c r="O109" s="13"/>
      <c r="P109" s="13">
        <f t="shared" si="14"/>
        <v>1.0000000000000001E-5</v>
      </c>
      <c r="T109" t="str">
        <f t="shared" si="9"/>
        <v/>
      </c>
    </row>
    <row r="110" spans="1:20" x14ac:dyDescent="0.25">
      <c r="A110">
        <f t="shared" si="11"/>
        <v>103</v>
      </c>
      <c r="B110" s="88" t="str">
        <f>IF(OR(B109="Total",B109=""),"",IF(VLOOKUP(A110,Journal!$C$7:$E$84,3)=0,"Total",VLOOKUP(A110,Journal!$C$7:$D$84,2)))</f>
        <v/>
      </c>
      <c r="C110" s="86" t="str">
        <f>IF(B110="","",VLOOKUP(A110,Journal!$C$7:$E$84,3))</f>
        <v/>
      </c>
      <c r="D110" s="84" t="str">
        <f>IF(B110="","",VLOOKUP(A110,Journal!$C$7:$J$84,8))</f>
        <v/>
      </c>
      <c r="E110" s="84" t="str">
        <f>IF(B110="","",VLOOKUP(A110,Journal!$C$7:$L$84,10))</f>
        <v/>
      </c>
      <c r="F110" s="84" t="str">
        <f>IF(B110="","",VLOOKUP(A110,Journal!$C$7:$M$84,11))</f>
        <v/>
      </c>
      <c r="G110" s="102">
        <f>IF(B110="Total",SUM(G$8:G109)+0.0001,IF(OR(B110="",M110=0),0,VLOOKUP(A110,Journal!$C$7:M$84,7)))</f>
        <v>0</v>
      </c>
      <c r="H110" s="102">
        <f>IF(B110="Total",SUM(H$8:H109)+0.0001,IF(OR(B110="",N110=0),0,VLOOKUP(A110,Journal!$C$7:M$84,7)))</f>
        <v>0</v>
      </c>
      <c r="I110" s="87">
        <f t="shared" si="10"/>
        <v>0</v>
      </c>
      <c r="K110" s="13">
        <f>VLOOKUP(A110,Journal!$C$7:$M$84,4)</f>
        <v>0</v>
      </c>
      <c r="L110" s="13">
        <f>VLOOKUP(A110,Journal!$C$7:$M$84,5)</f>
        <v>0</v>
      </c>
      <c r="M110" s="13">
        <f t="shared" si="12"/>
        <v>0</v>
      </c>
      <c r="N110" s="13">
        <f t="shared" si="13"/>
        <v>0</v>
      </c>
      <c r="O110" s="13"/>
      <c r="P110" s="13">
        <f t="shared" si="14"/>
        <v>1.0000000000000001E-5</v>
      </c>
      <c r="T110" t="str">
        <f t="shared" si="9"/>
        <v/>
      </c>
    </row>
    <row r="111" spans="1:20" x14ac:dyDescent="0.25">
      <c r="A111">
        <f t="shared" si="11"/>
        <v>104</v>
      </c>
      <c r="B111" s="88" t="str">
        <f>IF(OR(B110="Total",B110=""),"",IF(VLOOKUP(A111,Journal!$C$7:$E$84,3)=0,"Total",VLOOKUP(A111,Journal!$C$7:$D$84,2)))</f>
        <v/>
      </c>
      <c r="C111" s="86" t="str">
        <f>IF(B111="","",VLOOKUP(A111,Journal!$C$7:$E$84,3))</f>
        <v/>
      </c>
      <c r="D111" s="84" t="str">
        <f>IF(B111="","",VLOOKUP(A111,Journal!$C$7:$J$84,8))</f>
        <v/>
      </c>
      <c r="E111" s="84" t="str">
        <f>IF(B111="","",VLOOKUP(A111,Journal!$C$7:$L$84,10))</f>
        <v/>
      </c>
      <c r="F111" s="84" t="str">
        <f>IF(B111="","",VLOOKUP(A111,Journal!$C$7:$M$84,11))</f>
        <v/>
      </c>
      <c r="G111" s="102">
        <f>IF(B111="Total",SUM(G$8:G110)+0.0001,IF(OR(B111="",M111=0),0,VLOOKUP(A111,Journal!$C$7:M$84,7)))</f>
        <v>0</v>
      </c>
      <c r="H111" s="102">
        <f>IF(B111="Total",SUM(H$8:H110)+0.0001,IF(OR(B111="",N111=0),0,VLOOKUP(A111,Journal!$C$7:M$84,7)))</f>
        <v>0</v>
      </c>
      <c r="I111" s="87">
        <f t="shared" si="10"/>
        <v>0</v>
      </c>
      <c r="K111" s="13">
        <f>VLOOKUP(A111,Journal!$C$7:$M$84,4)</f>
        <v>0</v>
      </c>
      <c r="L111" s="13">
        <f>VLOOKUP(A111,Journal!$C$7:$M$84,5)</f>
        <v>0</v>
      </c>
      <c r="M111" s="13">
        <f t="shared" si="12"/>
        <v>0</v>
      </c>
      <c r="N111" s="13">
        <f t="shared" si="13"/>
        <v>0</v>
      </c>
      <c r="O111" s="13"/>
      <c r="P111" s="13">
        <f t="shared" si="14"/>
        <v>1.0000000000000001E-5</v>
      </c>
      <c r="T111" t="str">
        <f t="shared" si="9"/>
        <v/>
      </c>
    </row>
    <row r="112" spans="1:20" x14ac:dyDescent="0.25">
      <c r="A112">
        <f t="shared" si="11"/>
        <v>105</v>
      </c>
      <c r="B112" s="88" t="str">
        <f>IF(OR(B111="Total",B111=""),"",IF(VLOOKUP(A112,Journal!$C$7:$E$84,3)=0,"Total",VLOOKUP(A112,Journal!$C$7:$D$84,2)))</f>
        <v/>
      </c>
      <c r="C112" s="86" t="str">
        <f>IF(B112="","",VLOOKUP(A112,Journal!$C$7:$E$84,3))</f>
        <v/>
      </c>
      <c r="D112" s="84" t="str">
        <f>IF(B112="","",VLOOKUP(A112,Journal!$C$7:$J$84,8))</f>
        <v/>
      </c>
      <c r="E112" s="84" t="str">
        <f>IF(B112="","",VLOOKUP(A112,Journal!$C$7:$L$84,10))</f>
        <v/>
      </c>
      <c r="F112" s="84" t="str">
        <f>IF(B112="","",VLOOKUP(A112,Journal!$C$7:$M$84,11))</f>
        <v/>
      </c>
      <c r="G112" s="102">
        <f>IF(B112="Total",SUM(G$8:G111)+0.0001,IF(OR(B112="",M112=0),0,VLOOKUP(A112,Journal!$C$7:M$84,7)))</f>
        <v>0</v>
      </c>
      <c r="H112" s="102">
        <f>IF(B112="Total",SUM(H$8:H111)+0.0001,IF(OR(B112="",N112=0),0,VLOOKUP(A112,Journal!$C$7:M$84,7)))</f>
        <v>0</v>
      </c>
      <c r="I112" s="87">
        <f t="shared" si="10"/>
        <v>0</v>
      </c>
      <c r="K112" s="13">
        <f>VLOOKUP(A112,Journal!$C$7:$M$84,4)</f>
        <v>0</v>
      </c>
      <c r="L112" s="13">
        <f>VLOOKUP(A112,Journal!$C$7:$M$84,5)</f>
        <v>0</v>
      </c>
      <c r="M112" s="13">
        <f t="shared" si="12"/>
        <v>0</v>
      </c>
      <c r="N112" s="13">
        <f t="shared" si="13"/>
        <v>0</v>
      </c>
      <c r="O112" s="13"/>
      <c r="P112" s="13">
        <f t="shared" si="14"/>
        <v>1.0000000000000001E-5</v>
      </c>
      <c r="T112" t="str">
        <f t="shared" si="9"/>
        <v/>
      </c>
    </row>
    <row r="113" spans="1:20" x14ac:dyDescent="0.25">
      <c r="A113">
        <f t="shared" si="11"/>
        <v>106</v>
      </c>
      <c r="B113" s="88" t="str">
        <f>IF(OR(B112="Total",B112=""),"",IF(VLOOKUP(A113,Journal!$C$7:$E$84,3)=0,"Total",VLOOKUP(A113,Journal!$C$7:$D$84,2)))</f>
        <v/>
      </c>
      <c r="C113" s="86" t="str">
        <f>IF(B113="","",VLOOKUP(A113,Journal!$C$7:$E$84,3))</f>
        <v/>
      </c>
      <c r="D113" s="84" t="str">
        <f>IF(B113="","",VLOOKUP(A113,Journal!$C$7:$J$84,8))</f>
        <v/>
      </c>
      <c r="E113" s="84" t="str">
        <f>IF(B113="","",VLOOKUP(A113,Journal!$C$7:$L$84,10))</f>
        <v/>
      </c>
      <c r="F113" s="84" t="str">
        <f>IF(B113="","",VLOOKUP(A113,Journal!$C$7:$M$84,11))</f>
        <v/>
      </c>
      <c r="G113" s="102">
        <f>IF(B113="Total",SUM(G$8:G112)+0.0001,IF(OR(B113="",M113=0),0,VLOOKUP(A113,Journal!$C$7:M$84,7)))</f>
        <v>0</v>
      </c>
      <c r="H113" s="102">
        <f>IF(B113="Total",SUM(H$8:H112)+0.0001,IF(OR(B113="",N113=0),0,VLOOKUP(A113,Journal!$C$7:M$84,7)))</f>
        <v>0</v>
      </c>
      <c r="I113" s="87">
        <f t="shared" si="10"/>
        <v>0</v>
      </c>
      <c r="K113" s="13">
        <f>VLOOKUP(A113,Journal!$C$7:$M$84,4)</f>
        <v>0</v>
      </c>
      <c r="L113" s="13">
        <f>VLOOKUP(A113,Journal!$C$7:$M$84,5)</f>
        <v>0</v>
      </c>
      <c r="M113" s="13">
        <f t="shared" si="12"/>
        <v>0</v>
      </c>
      <c r="N113" s="13">
        <f t="shared" si="13"/>
        <v>0</v>
      </c>
      <c r="O113" s="13"/>
      <c r="P113" s="13">
        <f t="shared" si="14"/>
        <v>1.0000000000000001E-5</v>
      </c>
      <c r="T113" t="str">
        <f t="shared" si="9"/>
        <v/>
      </c>
    </row>
    <row r="114" spans="1:20" x14ac:dyDescent="0.25">
      <c r="A114">
        <f t="shared" si="11"/>
        <v>107</v>
      </c>
      <c r="B114" s="88" t="str">
        <f>IF(OR(B113="Total",B113=""),"",IF(VLOOKUP(A114,Journal!$C$7:$E$84,3)=0,"Total",VLOOKUP(A114,Journal!$C$7:$D$84,2)))</f>
        <v/>
      </c>
      <c r="C114" s="86" t="str">
        <f>IF(B114="","",VLOOKUP(A114,Journal!$C$7:$E$84,3))</f>
        <v/>
      </c>
      <c r="D114" s="84" t="str">
        <f>IF(B114="","",VLOOKUP(A114,Journal!$C$7:$J$84,8))</f>
        <v/>
      </c>
      <c r="E114" s="84" t="str">
        <f>IF(B114="","",VLOOKUP(A114,Journal!$C$7:$L$84,10))</f>
        <v/>
      </c>
      <c r="F114" s="84" t="str">
        <f>IF(B114="","",VLOOKUP(A114,Journal!$C$7:$M$84,11))</f>
        <v/>
      </c>
      <c r="G114" s="102">
        <f>IF(B114="Total",SUM(G$8:G113)+0.0001,IF(OR(B114="",M114=0),0,VLOOKUP(A114,Journal!$C$7:M$84,7)))</f>
        <v>0</v>
      </c>
      <c r="H114" s="102">
        <f>IF(B114="Total",SUM(H$8:H113)+0.0001,IF(OR(B114="",N114=0),0,VLOOKUP(A114,Journal!$C$7:M$84,7)))</f>
        <v>0</v>
      </c>
      <c r="I114" s="87">
        <f t="shared" si="10"/>
        <v>0</v>
      </c>
      <c r="K114" s="13">
        <f>VLOOKUP(A114,Journal!$C$7:$M$84,4)</f>
        <v>0</v>
      </c>
      <c r="L114" s="13">
        <f>VLOOKUP(A114,Journal!$C$7:$M$84,5)</f>
        <v>0</v>
      </c>
      <c r="M114" s="13">
        <f t="shared" si="12"/>
        <v>0</v>
      </c>
      <c r="N114" s="13">
        <f t="shared" si="13"/>
        <v>0</v>
      </c>
      <c r="O114" s="13"/>
      <c r="P114" s="13">
        <f t="shared" si="14"/>
        <v>1.0000000000000001E-5</v>
      </c>
      <c r="T114" t="str">
        <f t="shared" si="9"/>
        <v/>
      </c>
    </row>
    <row r="115" spans="1:20" x14ac:dyDescent="0.25">
      <c r="A115">
        <f t="shared" si="11"/>
        <v>108</v>
      </c>
      <c r="B115" s="88" t="str">
        <f>IF(OR(B114="Total",B114=""),"",IF(VLOOKUP(A115,Journal!$C$7:$E$84,3)=0,"Total",VLOOKUP(A115,Journal!$C$7:$D$84,2)))</f>
        <v/>
      </c>
      <c r="C115" s="86" t="str">
        <f>IF(B115="","",VLOOKUP(A115,Journal!$C$7:$E$84,3))</f>
        <v/>
      </c>
      <c r="D115" s="84" t="str">
        <f>IF(B115="","",VLOOKUP(A115,Journal!$C$7:$J$84,8))</f>
        <v/>
      </c>
      <c r="E115" s="84" t="str">
        <f>IF(B115="","",VLOOKUP(A115,Journal!$C$7:$L$84,10))</f>
        <v/>
      </c>
      <c r="F115" s="84" t="str">
        <f>IF(B115="","",VLOOKUP(A115,Journal!$C$7:$M$84,11))</f>
        <v/>
      </c>
      <c r="G115" s="102">
        <f>IF(B115="Total",SUM(G$8:G114)+0.0001,IF(OR(B115="",M115=0),0,VLOOKUP(A115,Journal!$C$7:M$84,7)))</f>
        <v>0</v>
      </c>
      <c r="H115" s="102">
        <f>IF(B115="Total",SUM(H$8:H114)+0.0001,IF(OR(B115="",N115=0),0,VLOOKUP(A115,Journal!$C$7:M$84,7)))</f>
        <v>0</v>
      </c>
      <c r="I115" s="87">
        <f t="shared" si="10"/>
        <v>0</v>
      </c>
      <c r="K115" s="13">
        <f>VLOOKUP(A115,Journal!$C$7:$M$84,4)</f>
        <v>0</v>
      </c>
      <c r="L115" s="13">
        <f>VLOOKUP(A115,Journal!$C$7:$M$84,5)</f>
        <v>0</v>
      </c>
      <c r="M115" s="13">
        <f t="shared" si="12"/>
        <v>0</v>
      </c>
      <c r="N115" s="13">
        <f t="shared" si="13"/>
        <v>0</v>
      </c>
      <c r="O115" s="13"/>
      <c r="P115" s="13">
        <f t="shared" si="14"/>
        <v>1.0000000000000001E-5</v>
      </c>
      <c r="T115" t="str">
        <f t="shared" si="9"/>
        <v/>
      </c>
    </row>
    <row r="116" spans="1:20" x14ac:dyDescent="0.25">
      <c r="A116">
        <f t="shared" si="11"/>
        <v>109</v>
      </c>
      <c r="B116" s="88" t="str">
        <f>IF(OR(B115="Total",B115=""),"",IF(VLOOKUP(A116,Journal!$C$7:$E$84,3)=0,"Total",VLOOKUP(A116,Journal!$C$7:$D$84,2)))</f>
        <v/>
      </c>
      <c r="C116" s="86" t="str">
        <f>IF(B116="","",VLOOKUP(A116,Journal!$C$7:$E$84,3))</f>
        <v/>
      </c>
      <c r="D116" s="84" t="str">
        <f>IF(B116="","",VLOOKUP(A116,Journal!$C$7:$J$84,8))</f>
        <v/>
      </c>
      <c r="E116" s="84" t="str">
        <f>IF(B116="","",VLOOKUP(A116,Journal!$C$7:$L$84,10))</f>
        <v/>
      </c>
      <c r="F116" s="84" t="str">
        <f>IF(B116="","",VLOOKUP(A116,Journal!$C$7:$M$84,11))</f>
        <v/>
      </c>
      <c r="G116" s="102">
        <f>IF(B116="Total",SUM(G$8:G115)+0.0001,IF(OR(B116="",M116=0),0,VLOOKUP(A116,Journal!$C$7:M$84,7)))</f>
        <v>0</v>
      </c>
      <c r="H116" s="102">
        <f>IF(B116="Total",SUM(H$8:H115)+0.0001,IF(OR(B116="",N116=0),0,VLOOKUP(A116,Journal!$C$7:M$84,7)))</f>
        <v>0</v>
      </c>
      <c r="I116" s="87">
        <f t="shared" si="10"/>
        <v>0</v>
      </c>
      <c r="K116" s="13">
        <f>VLOOKUP(A116,Journal!$C$7:$M$84,4)</f>
        <v>0</v>
      </c>
      <c r="L116" s="13">
        <f>VLOOKUP(A116,Journal!$C$7:$M$84,5)</f>
        <v>0</v>
      </c>
      <c r="M116" s="13">
        <f t="shared" si="12"/>
        <v>0</v>
      </c>
      <c r="N116" s="13">
        <f t="shared" si="13"/>
        <v>0</v>
      </c>
      <c r="O116" s="13"/>
      <c r="P116" s="13">
        <f t="shared" si="14"/>
        <v>1.0000000000000001E-5</v>
      </c>
      <c r="T116" t="str">
        <f t="shared" si="9"/>
        <v/>
      </c>
    </row>
    <row r="117" spans="1:20" x14ac:dyDescent="0.25">
      <c r="A117">
        <f t="shared" si="11"/>
        <v>110</v>
      </c>
      <c r="B117" s="88" t="str">
        <f>IF(OR(B116="Total",B116=""),"",IF(VLOOKUP(A117,Journal!$C$7:$E$84,3)=0,"Total",VLOOKUP(A117,Journal!$C$7:$D$84,2)))</f>
        <v/>
      </c>
      <c r="C117" s="86" t="str">
        <f>IF(B117="","",VLOOKUP(A117,Journal!$C$7:$E$84,3))</f>
        <v/>
      </c>
      <c r="D117" s="84" t="str">
        <f>IF(B117="","",VLOOKUP(A117,Journal!$C$7:$J$84,8))</f>
        <v/>
      </c>
      <c r="E117" s="84" t="str">
        <f>IF(B117="","",VLOOKUP(A117,Journal!$C$7:$L$84,10))</f>
        <v/>
      </c>
      <c r="F117" s="84" t="str">
        <f>IF(B117="","",VLOOKUP(A117,Journal!$C$7:$M$84,11))</f>
        <v/>
      </c>
      <c r="G117" s="102">
        <f>IF(B117="Total",SUM(G$8:G116)+0.0001,IF(OR(B117="",M117=0),0,VLOOKUP(A117,Journal!$C$7:M$84,7)))</f>
        <v>0</v>
      </c>
      <c r="H117" s="102">
        <f>IF(B117="Total",SUM(H$8:H116)+0.0001,IF(OR(B117="",N117=0),0,VLOOKUP(A117,Journal!$C$7:M$84,7)))</f>
        <v>0</v>
      </c>
      <c r="I117" s="87">
        <f t="shared" si="10"/>
        <v>0</v>
      </c>
      <c r="K117" s="13">
        <f>VLOOKUP(A117,Journal!$C$7:$M$84,4)</f>
        <v>0</v>
      </c>
      <c r="L117" s="13">
        <f>VLOOKUP(A117,Journal!$C$7:$M$84,5)</f>
        <v>0</v>
      </c>
      <c r="M117" s="13">
        <f t="shared" si="12"/>
        <v>0</v>
      </c>
      <c r="N117" s="13">
        <f t="shared" si="13"/>
        <v>0</v>
      </c>
      <c r="O117" s="13"/>
      <c r="P117" s="13">
        <f t="shared" si="14"/>
        <v>1.0000000000000001E-5</v>
      </c>
      <c r="T117" t="str">
        <f t="shared" si="9"/>
        <v/>
      </c>
    </row>
    <row r="118" spans="1:20" x14ac:dyDescent="0.25">
      <c r="A118">
        <f t="shared" si="11"/>
        <v>111</v>
      </c>
      <c r="B118" s="88" t="str">
        <f>IF(OR(B117="Total",B117=""),"",IF(VLOOKUP(A118,Journal!$C$7:$E$84,3)=0,"Total",VLOOKUP(A118,Journal!$C$7:$D$84,2)))</f>
        <v/>
      </c>
      <c r="C118" s="86" t="str">
        <f>IF(B118="","",VLOOKUP(A118,Journal!$C$7:$E$84,3))</f>
        <v/>
      </c>
      <c r="D118" s="84" t="str">
        <f>IF(B118="","",VLOOKUP(A118,Journal!$C$7:$J$84,8))</f>
        <v/>
      </c>
      <c r="E118" s="84" t="str">
        <f>IF(B118="","",VLOOKUP(A118,Journal!$C$7:$L$84,10))</f>
        <v/>
      </c>
      <c r="F118" s="84" t="str">
        <f>IF(B118="","",VLOOKUP(A118,Journal!$C$7:$M$84,11))</f>
        <v/>
      </c>
      <c r="G118" s="102">
        <f>IF(B118="Total",SUM(G$8:G117)+0.0001,IF(OR(B118="",M118=0),0,VLOOKUP(A118,Journal!$C$7:M$84,7)))</f>
        <v>0</v>
      </c>
      <c r="H118" s="102">
        <f>IF(B118="Total",SUM(H$8:H117)+0.0001,IF(OR(B118="",N118=0),0,VLOOKUP(A118,Journal!$C$7:M$84,7)))</f>
        <v>0</v>
      </c>
      <c r="I118" s="87">
        <f t="shared" si="10"/>
        <v>0</v>
      </c>
      <c r="K118" s="13">
        <f>VLOOKUP(A118,Journal!$C$7:$M$84,4)</f>
        <v>0</v>
      </c>
      <c r="L118" s="13">
        <f>VLOOKUP(A118,Journal!$C$7:$M$84,5)</f>
        <v>0</v>
      </c>
      <c r="M118" s="13">
        <f t="shared" si="12"/>
        <v>0</v>
      </c>
      <c r="N118" s="13">
        <f t="shared" si="13"/>
        <v>0</v>
      </c>
      <c r="O118" s="13"/>
      <c r="P118" s="13">
        <f t="shared" si="14"/>
        <v>1.0000000000000001E-5</v>
      </c>
      <c r="T118" t="str">
        <f t="shared" si="9"/>
        <v/>
      </c>
    </row>
    <row r="119" spans="1:20" x14ac:dyDescent="0.25">
      <c r="A119">
        <f t="shared" si="11"/>
        <v>112</v>
      </c>
      <c r="B119" s="88" t="str">
        <f>IF(OR(B118="Total",B118=""),"",IF(VLOOKUP(A119,Journal!$C$7:$E$84,3)=0,"Total",VLOOKUP(A119,Journal!$C$7:$D$84,2)))</f>
        <v/>
      </c>
      <c r="C119" s="86" t="str">
        <f>IF(B119="","",VLOOKUP(A119,Journal!$C$7:$E$84,3))</f>
        <v/>
      </c>
      <c r="D119" s="84" t="str">
        <f>IF(B119="","",VLOOKUP(A119,Journal!$C$7:$J$84,8))</f>
        <v/>
      </c>
      <c r="E119" s="84" t="str">
        <f>IF(B119="","",VLOOKUP(A119,Journal!$C$7:$L$84,10))</f>
        <v/>
      </c>
      <c r="F119" s="84" t="str">
        <f>IF(B119="","",VLOOKUP(A119,Journal!$C$7:$M$84,11))</f>
        <v/>
      </c>
      <c r="G119" s="102">
        <f>IF(B119="Total",SUM(G$8:G118)+0.0001,IF(OR(B119="",M119=0),0,VLOOKUP(A119,Journal!$C$7:M$84,7)))</f>
        <v>0</v>
      </c>
      <c r="H119" s="102">
        <f>IF(B119="Total",SUM(H$8:H118)+0.0001,IF(OR(B119="",N119=0),0,VLOOKUP(A119,Journal!$C$7:M$84,7)))</f>
        <v>0</v>
      </c>
      <c r="I119" s="87">
        <f t="shared" si="10"/>
        <v>0</v>
      </c>
      <c r="K119" s="13">
        <f>VLOOKUP(A119,Journal!$C$7:$M$84,4)</f>
        <v>0</v>
      </c>
      <c r="L119" s="13">
        <f>VLOOKUP(A119,Journal!$C$7:$M$84,5)</f>
        <v>0</v>
      </c>
      <c r="M119" s="13">
        <f t="shared" si="12"/>
        <v>0</v>
      </c>
      <c r="N119" s="13">
        <f t="shared" si="13"/>
        <v>0</v>
      </c>
      <c r="O119" s="13"/>
      <c r="P119" s="13">
        <f t="shared" si="14"/>
        <v>1.0000000000000001E-5</v>
      </c>
      <c r="T119" t="str">
        <f t="shared" si="9"/>
        <v/>
      </c>
    </row>
    <row r="120" spans="1:20" x14ac:dyDescent="0.25">
      <c r="A120">
        <f t="shared" si="11"/>
        <v>113</v>
      </c>
      <c r="B120" s="88" t="str">
        <f>IF(OR(B119="Total",B119=""),"",IF(VLOOKUP(A120,Journal!$C$7:$E$84,3)=0,"Total",VLOOKUP(A120,Journal!$C$7:$D$84,2)))</f>
        <v/>
      </c>
      <c r="C120" s="86" t="str">
        <f>IF(B120="","",VLOOKUP(A120,Journal!$C$7:$E$84,3))</f>
        <v/>
      </c>
      <c r="D120" s="84" t="str">
        <f>IF(B120="","",VLOOKUP(A120,Journal!$C$7:$J$84,8))</f>
        <v/>
      </c>
      <c r="E120" s="84" t="str">
        <f>IF(B120="","",VLOOKUP(A120,Journal!$C$7:$L$84,10))</f>
        <v/>
      </c>
      <c r="F120" s="84" t="str">
        <f>IF(B120="","",VLOOKUP(A120,Journal!$C$7:$M$84,11))</f>
        <v/>
      </c>
      <c r="G120" s="102">
        <f>IF(B120="Total",SUM(G$8:G119)+0.0001,IF(OR(B120="",M120=0),0,VLOOKUP(A120,Journal!$C$7:M$84,7)))</f>
        <v>0</v>
      </c>
      <c r="H120" s="102">
        <f>IF(B120="Total",SUM(H$8:H119)+0.0001,IF(OR(B120="",N120=0),0,VLOOKUP(A120,Journal!$C$7:M$84,7)))</f>
        <v>0</v>
      </c>
      <c r="I120" s="87">
        <f t="shared" si="10"/>
        <v>0</v>
      </c>
      <c r="K120" s="13">
        <f>VLOOKUP(A120,Journal!$C$7:$M$84,4)</f>
        <v>0</v>
      </c>
      <c r="L120" s="13">
        <f>VLOOKUP(A120,Journal!$C$7:$M$84,5)</f>
        <v>0</v>
      </c>
      <c r="M120" s="13">
        <f t="shared" si="12"/>
        <v>0</v>
      </c>
      <c r="N120" s="13">
        <f t="shared" si="13"/>
        <v>0</v>
      </c>
      <c r="O120" s="13"/>
      <c r="P120" s="13">
        <f t="shared" si="14"/>
        <v>1.0000000000000001E-5</v>
      </c>
      <c r="T120" t="str">
        <f t="shared" si="9"/>
        <v/>
      </c>
    </row>
    <row r="121" spans="1:20" x14ac:dyDescent="0.25">
      <c r="A121">
        <f t="shared" si="11"/>
        <v>114</v>
      </c>
      <c r="B121" s="88" t="str">
        <f>IF(OR(B120="Total",B120=""),"",IF(VLOOKUP(A121,Journal!$C$7:$E$84,3)=0,"Total",VLOOKUP(A121,Journal!$C$7:$D$84,2)))</f>
        <v/>
      </c>
      <c r="C121" s="86" t="str">
        <f>IF(B121="","",VLOOKUP(A121,Journal!$C$7:$E$84,3))</f>
        <v/>
      </c>
      <c r="D121" s="84" t="str">
        <f>IF(B121="","",VLOOKUP(A121,Journal!$C$7:$J$84,8))</f>
        <v/>
      </c>
      <c r="E121" s="84" t="str">
        <f>IF(B121="","",VLOOKUP(A121,Journal!$C$7:$L$84,10))</f>
        <v/>
      </c>
      <c r="F121" s="84" t="str">
        <f>IF(B121="","",VLOOKUP(A121,Journal!$C$7:$M$84,11))</f>
        <v/>
      </c>
      <c r="G121" s="102">
        <f>IF(B121="Total",SUM(G$8:G120)+0.0001,IF(OR(B121="",M121=0),0,VLOOKUP(A121,Journal!$C$7:M$84,7)))</f>
        <v>0</v>
      </c>
      <c r="H121" s="102">
        <f>IF(B121="Total",SUM(H$8:H120)+0.0001,IF(OR(B121="",N121=0),0,VLOOKUP(A121,Journal!$C$7:M$84,7)))</f>
        <v>0</v>
      </c>
      <c r="I121" s="87">
        <f t="shared" si="10"/>
        <v>0</v>
      </c>
      <c r="K121" s="13">
        <f>VLOOKUP(A121,Journal!$C$7:$M$84,4)</f>
        <v>0</v>
      </c>
      <c r="L121" s="13">
        <f>VLOOKUP(A121,Journal!$C$7:$M$84,5)</f>
        <v>0</v>
      </c>
      <c r="M121" s="13">
        <f t="shared" si="12"/>
        <v>0</v>
      </c>
      <c r="N121" s="13">
        <f t="shared" si="13"/>
        <v>0</v>
      </c>
      <c r="O121" s="13"/>
      <c r="P121" s="13">
        <f t="shared" si="14"/>
        <v>1.0000000000000001E-5</v>
      </c>
      <c r="T121" t="str">
        <f t="shared" si="9"/>
        <v/>
      </c>
    </row>
    <row r="122" spans="1:20" x14ac:dyDescent="0.25">
      <c r="A122">
        <f t="shared" si="11"/>
        <v>115</v>
      </c>
      <c r="B122" s="88" t="str">
        <f>IF(OR(B121="Total",B121=""),"",IF(VLOOKUP(A122,Journal!$C$7:$E$84,3)=0,"Total",VLOOKUP(A122,Journal!$C$7:$D$84,2)))</f>
        <v/>
      </c>
      <c r="C122" s="86" t="str">
        <f>IF(B122="","",VLOOKUP(A122,Journal!$C$7:$E$84,3))</f>
        <v/>
      </c>
      <c r="D122" s="84" t="str">
        <f>IF(B122="","",VLOOKUP(A122,Journal!$C$7:$J$84,8))</f>
        <v/>
      </c>
      <c r="E122" s="84" t="str">
        <f>IF(B122="","",VLOOKUP(A122,Journal!$C$7:$L$84,10))</f>
        <v/>
      </c>
      <c r="F122" s="84" t="str">
        <f>IF(B122="","",VLOOKUP(A122,Journal!$C$7:$M$84,11))</f>
        <v/>
      </c>
      <c r="G122" s="102">
        <f>IF(B122="Total",SUM(G$8:G121)+0.0001,IF(OR(B122="",M122=0),0,VLOOKUP(A122,Journal!$C$7:M$84,7)))</f>
        <v>0</v>
      </c>
      <c r="H122" s="102">
        <f>IF(B122="Total",SUM(H$8:H121)+0.0001,IF(OR(B122="",N122=0),0,VLOOKUP(A122,Journal!$C$7:M$84,7)))</f>
        <v>0</v>
      </c>
      <c r="I122" s="87">
        <f t="shared" si="10"/>
        <v>0</v>
      </c>
      <c r="K122" s="13">
        <f>VLOOKUP(A122,Journal!$C$7:$M$84,4)</f>
        <v>0</v>
      </c>
      <c r="L122" s="13">
        <f>VLOOKUP(A122,Journal!$C$7:$M$84,5)</f>
        <v>0</v>
      </c>
      <c r="M122" s="13">
        <f t="shared" si="12"/>
        <v>0</v>
      </c>
      <c r="N122" s="13">
        <f t="shared" si="13"/>
        <v>0</v>
      </c>
      <c r="O122" s="13"/>
      <c r="P122" s="13">
        <f t="shared" si="14"/>
        <v>1.0000000000000001E-5</v>
      </c>
      <c r="T122" t="str">
        <f t="shared" si="9"/>
        <v/>
      </c>
    </row>
    <row r="123" spans="1:20" x14ac:dyDescent="0.25">
      <c r="A123">
        <f t="shared" si="11"/>
        <v>116</v>
      </c>
      <c r="B123" s="88" t="str">
        <f>IF(OR(B122="Total",B122=""),"",IF(VLOOKUP(A123,Journal!$C$7:$E$84,3)=0,"Total",VLOOKUP(A123,Journal!$C$7:$D$84,2)))</f>
        <v/>
      </c>
      <c r="C123" s="86" t="str">
        <f>IF(B123="","",VLOOKUP(A123,Journal!$C$7:$E$84,3))</f>
        <v/>
      </c>
      <c r="D123" s="84" t="str">
        <f>IF(B123="","",VLOOKUP(A123,Journal!$C$7:$J$84,8))</f>
        <v/>
      </c>
      <c r="E123" s="84" t="str">
        <f>IF(B123="","",VLOOKUP(A123,Journal!$C$7:$L$84,10))</f>
        <v/>
      </c>
      <c r="F123" s="84" t="str">
        <f>IF(B123="","",VLOOKUP(A123,Journal!$C$7:$M$84,11))</f>
        <v/>
      </c>
      <c r="G123" s="102">
        <f>IF(B123="Total",SUM(G$8:G122)+0.0001,IF(OR(B123="",M123=0),0,VLOOKUP(A123,Journal!$C$7:M$84,7)))</f>
        <v>0</v>
      </c>
      <c r="H123" s="102">
        <f>IF(B123="Total",SUM(H$8:H122)+0.0001,IF(OR(B123="",N123=0),0,VLOOKUP(A123,Journal!$C$7:M$84,7)))</f>
        <v>0</v>
      </c>
      <c r="I123" s="87">
        <f t="shared" si="10"/>
        <v>0</v>
      </c>
      <c r="K123" s="13">
        <f>VLOOKUP(A123,Journal!$C$7:$M$84,4)</f>
        <v>0</v>
      </c>
      <c r="L123" s="13">
        <f>VLOOKUP(A123,Journal!$C$7:$M$84,5)</f>
        <v>0</v>
      </c>
      <c r="M123" s="13">
        <f t="shared" si="12"/>
        <v>0</v>
      </c>
      <c r="N123" s="13">
        <f t="shared" si="13"/>
        <v>0</v>
      </c>
      <c r="O123" s="13"/>
      <c r="P123" s="13">
        <f t="shared" si="14"/>
        <v>1.0000000000000001E-5</v>
      </c>
      <c r="T123" t="str">
        <f t="shared" si="9"/>
        <v/>
      </c>
    </row>
    <row r="124" spans="1:20" x14ac:dyDescent="0.25">
      <c r="A124">
        <f t="shared" si="11"/>
        <v>117</v>
      </c>
      <c r="B124" s="88" t="str">
        <f>IF(OR(B123="Total",B123=""),"",IF(VLOOKUP(A124,Journal!$C$7:$E$84,3)=0,"Total",VLOOKUP(A124,Journal!$C$7:$D$84,2)))</f>
        <v/>
      </c>
      <c r="C124" s="86" t="str">
        <f>IF(B124="","",VLOOKUP(A124,Journal!$C$7:$E$84,3))</f>
        <v/>
      </c>
      <c r="D124" s="84" t="str">
        <f>IF(B124="","",VLOOKUP(A124,Journal!$C$7:$J$84,8))</f>
        <v/>
      </c>
      <c r="E124" s="84" t="str">
        <f>IF(B124="","",VLOOKUP(A124,Journal!$C$7:$L$84,10))</f>
        <v/>
      </c>
      <c r="F124" s="84" t="str">
        <f>IF(B124="","",VLOOKUP(A124,Journal!$C$7:$M$84,11))</f>
        <v/>
      </c>
      <c r="G124" s="102">
        <f>IF(B124="Total",SUM(G$8:G123)+0.0001,IF(OR(B124="",M124=0),0,VLOOKUP(A124,Journal!$C$7:M$84,7)))</f>
        <v>0</v>
      </c>
      <c r="H124" s="102">
        <f>IF(B124="Total",SUM(H$8:H123)+0.0001,IF(OR(B124="",N124=0),0,VLOOKUP(A124,Journal!$C$7:M$84,7)))</f>
        <v>0</v>
      </c>
      <c r="I124" s="87">
        <f t="shared" si="10"/>
        <v>0</v>
      </c>
      <c r="K124" s="13">
        <f>VLOOKUP(A124,Journal!$C$7:$M$84,4)</f>
        <v>0</v>
      </c>
      <c r="L124" s="13">
        <f>VLOOKUP(A124,Journal!$C$7:$M$84,5)</f>
        <v>0</v>
      </c>
      <c r="M124" s="13">
        <f t="shared" si="12"/>
        <v>0</v>
      </c>
      <c r="N124" s="13">
        <f t="shared" si="13"/>
        <v>0</v>
      </c>
      <c r="O124" s="13"/>
      <c r="P124" s="13">
        <f t="shared" si="14"/>
        <v>1.0000000000000001E-5</v>
      </c>
      <c r="T124" t="str">
        <f t="shared" si="9"/>
        <v/>
      </c>
    </row>
    <row r="125" spans="1:20" x14ac:dyDescent="0.25">
      <c r="A125">
        <f t="shared" si="11"/>
        <v>118</v>
      </c>
      <c r="B125" s="88" t="str">
        <f>IF(OR(B124="Total",B124=""),"",IF(VLOOKUP(A125,Journal!$C$7:$E$84,3)=0,"Total",VLOOKUP(A125,Journal!$C$7:$D$84,2)))</f>
        <v/>
      </c>
      <c r="C125" s="86" t="str">
        <f>IF(B125="","",VLOOKUP(A125,Journal!$C$7:$E$84,3))</f>
        <v/>
      </c>
      <c r="D125" s="84" t="str">
        <f>IF(B125="","",VLOOKUP(A125,Journal!$C$7:$J$84,8))</f>
        <v/>
      </c>
      <c r="E125" s="84" t="str">
        <f>IF(B125="","",VLOOKUP(A125,Journal!$C$7:$L$84,10))</f>
        <v/>
      </c>
      <c r="F125" s="84" t="str">
        <f>IF(B125="","",VLOOKUP(A125,Journal!$C$7:$M$84,11))</f>
        <v/>
      </c>
      <c r="G125" s="102">
        <f>IF(B125="Total",SUM(G$8:G124)+0.0001,IF(OR(B125="",M125=0),0,VLOOKUP(A125,Journal!$C$7:M$84,7)))</f>
        <v>0</v>
      </c>
      <c r="H125" s="102">
        <f>IF(B125="Total",SUM(H$8:H124)+0.0001,IF(OR(B125="",N125=0),0,VLOOKUP(A125,Journal!$C$7:M$84,7)))</f>
        <v>0</v>
      </c>
      <c r="I125" s="87">
        <f t="shared" si="10"/>
        <v>0</v>
      </c>
      <c r="K125" s="13">
        <f>VLOOKUP(A125,Journal!$C$7:$M$84,4)</f>
        <v>0</v>
      </c>
      <c r="L125" s="13">
        <f>VLOOKUP(A125,Journal!$C$7:$M$84,5)</f>
        <v>0</v>
      </c>
      <c r="M125" s="13">
        <f t="shared" si="12"/>
        <v>0</v>
      </c>
      <c r="N125" s="13">
        <f t="shared" si="13"/>
        <v>0</v>
      </c>
      <c r="O125" s="13"/>
      <c r="P125" s="13">
        <f t="shared" si="14"/>
        <v>1.0000000000000001E-5</v>
      </c>
      <c r="T125" t="str">
        <f t="shared" si="9"/>
        <v/>
      </c>
    </row>
    <row r="126" spans="1:20" x14ac:dyDescent="0.25">
      <c r="A126">
        <f t="shared" si="11"/>
        <v>119</v>
      </c>
      <c r="B126" s="88" t="str">
        <f>IF(OR(B125="Total",B125=""),"",IF(VLOOKUP(A126,Journal!$C$7:$E$84,3)=0,"Total",VLOOKUP(A126,Journal!$C$7:$D$84,2)))</f>
        <v/>
      </c>
      <c r="C126" s="86" t="str">
        <f>IF(B126="","",VLOOKUP(A126,Journal!$C$7:$E$84,3))</f>
        <v/>
      </c>
      <c r="D126" s="84" t="str">
        <f>IF(B126="","",VLOOKUP(A126,Journal!$C$7:$J$84,8))</f>
        <v/>
      </c>
      <c r="E126" s="84" t="str">
        <f>IF(B126="","",VLOOKUP(A126,Journal!$C$7:$L$84,10))</f>
        <v/>
      </c>
      <c r="F126" s="84" t="str">
        <f>IF(B126="","",VLOOKUP(A126,Journal!$C$7:$M$84,11))</f>
        <v/>
      </c>
      <c r="G126" s="102">
        <f>IF(B126="Total",SUM(G$8:G125)+0.0001,IF(OR(B126="",M126=0),0,VLOOKUP(A126,Journal!$C$7:M$84,7)))</f>
        <v>0</v>
      </c>
      <c r="H126" s="102">
        <f>IF(B126="Total",SUM(H$8:H125)+0.0001,IF(OR(B126="",N126=0),0,VLOOKUP(A126,Journal!$C$7:M$84,7)))</f>
        <v>0</v>
      </c>
      <c r="I126" s="87">
        <f t="shared" si="10"/>
        <v>0</v>
      </c>
      <c r="K126" s="13">
        <f>VLOOKUP(A126,Journal!$C$7:$M$84,4)</f>
        <v>0</v>
      </c>
      <c r="L126" s="13">
        <f>VLOOKUP(A126,Journal!$C$7:$M$84,5)</f>
        <v>0</v>
      </c>
      <c r="M126" s="13">
        <f t="shared" si="12"/>
        <v>0</v>
      </c>
      <c r="N126" s="13">
        <f t="shared" si="13"/>
        <v>0</v>
      </c>
      <c r="O126" s="13"/>
      <c r="P126" s="13">
        <f t="shared" si="14"/>
        <v>1.0000000000000001E-5</v>
      </c>
      <c r="T126" t="str">
        <f t="shared" si="9"/>
        <v/>
      </c>
    </row>
    <row r="127" spans="1:20" x14ac:dyDescent="0.25">
      <c r="A127">
        <f t="shared" si="11"/>
        <v>120</v>
      </c>
      <c r="B127" s="88" t="str">
        <f>IF(OR(B126="Total",B126=""),"",IF(VLOOKUP(A127,Journal!$C$7:$E$84,3)=0,"Total",VLOOKUP(A127,Journal!$C$7:$D$84,2)))</f>
        <v/>
      </c>
      <c r="C127" s="86" t="str">
        <f>IF(B127="","",VLOOKUP(A127,Journal!$C$7:$E$84,3))</f>
        <v/>
      </c>
      <c r="D127" s="84" t="str">
        <f>IF(B127="","",VLOOKUP(A127,Journal!$C$7:$J$84,8))</f>
        <v/>
      </c>
      <c r="E127" s="84" t="str">
        <f>IF(B127="","",VLOOKUP(A127,Journal!$C$7:$L$84,10))</f>
        <v/>
      </c>
      <c r="F127" s="84" t="str">
        <f>IF(B127="","",VLOOKUP(A127,Journal!$C$7:$M$84,11))</f>
        <v/>
      </c>
      <c r="G127" s="102">
        <f>IF(B127="Total",SUM(G$8:G126)+0.0001,IF(OR(B127="",M127=0),0,VLOOKUP(A127,Journal!$C$7:M$84,7)))</f>
        <v>0</v>
      </c>
      <c r="H127" s="102">
        <f>IF(B127="Total",SUM(H$8:H126)+0.0001,IF(OR(B127="",N127=0),0,VLOOKUP(A127,Journal!$C$7:M$84,7)))</f>
        <v>0</v>
      </c>
      <c r="I127" s="87">
        <f t="shared" si="10"/>
        <v>0</v>
      </c>
      <c r="K127" s="13">
        <f>VLOOKUP(A127,Journal!$C$7:$M$84,4)</f>
        <v>0</v>
      </c>
      <c r="L127" s="13">
        <f>VLOOKUP(A127,Journal!$C$7:$M$84,5)</f>
        <v>0</v>
      </c>
      <c r="M127" s="13">
        <f t="shared" si="12"/>
        <v>0</v>
      </c>
      <c r="N127" s="13">
        <f t="shared" si="13"/>
        <v>0</v>
      </c>
      <c r="O127" s="13"/>
      <c r="P127" s="13">
        <f t="shared" si="14"/>
        <v>1.0000000000000001E-5</v>
      </c>
      <c r="T127" t="str">
        <f t="shared" si="9"/>
        <v/>
      </c>
    </row>
    <row r="128" spans="1:20" x14ac:dyDescent="0.25">
      <c r="A128">
        <f t="shared" si="11"/>
        <v>121</v>
      </c>
      <c r="B128" s="88" t="str">
        <f>IF(OR(B127="Total",B127=""),"",IF(VLOOKUP(A128,Journal!$C$7:$E$84,3)=0,"Total",VLOOKUP(A128,Journal!$C$7:$D$84,2)))</f>
        <v/>
      </c>
      <c r="C128" s="86" t="str">
        <f>IF(B128="","",VLOOKUP(A128,Journal!$C$7:$E$84,3))</f>
        <v/>
      </c>
      <c r="D128" s="84" t="str">
        <f>IF(B128="","",VLOOKUP(A128,Journal!$C$7:$J$84,8))</f>
        <v/>
      </c>
      <c r="E128" s="84" t="str">
        <f>IF(B128="","",VLOOKUP(A128,Journal!$C$7:$L$84,10))</f>
        <v/>
      </c>
      <c r="F128" s="84" t="str">
        <f>IF(B128="","",VLOOKUP(A128,Journal!$C$7:$M$84,11))</f>
        <v/>
      </c>
      <c r="G128" s="102">
        <f>IF(B128="Total",SUM(G$8:G127)+0.0001,IF(OR(B128="",M128=0),0,VLOOKUP(A128,Journal!$C$7:M$84,7)))</f>
        <v>0</v>
      </c>
      <c r="H128" s="102">
        <f>IF(B128="Total",SUM(H$8:H127)+0.0001,IF(OR(B128="",N128=0),0,VLOOKUP(A128,Journal!$C$7:M$84,7)))</f>
        <v>0</v>
      </c>
      <c r="I128" s="87">
        <f t="shared" si="10"/>
        <v>0</v>
      </c>
      <c r="K128" s="13">
        <f>VLOOKUP(A128,Journal!$C$7:$M$84,4)</f>
        <v>0</v>
      </c>
      <c r="L128" s="13">
        <f>VLOOKUP(A128,Journal!$C$7:$M$84,5)</f>
        <v>0</v>
      </c>
      <c r="M128" s="13">
        <f t="shared" si="12"/>
        <v>0</v>
      </c>
      <c r="N128" s="13">
        <f t="shared" si="13"/>
        <v>0</v>
      </c>
      <c r="O128" s="13"/>
      <c r="P128" s="13">
        <f t="shared" si="14"/>
        <v>1.0000000000000001E-5</v>
      </c>
      <c r="T128" t="str">
        <f t="shared" si="9"/>
        <v/>
      </c>
    </row>
    <row r="129" spans="1:20" x14ac:dyDescent="0.25">
      <c r="A129">
        <f t="shared" si="11"/>
        <v>122</v>
      </c>
      <c r="B129" s="88" t="str">
        <f>IF(OR(B128="Total",B128=""),"",IF(VLOOKUP(A129,Journal!$C$7:$E$84,3)=0,"Total",VLOOKUP(A129,Journal!$C$7:$D$84,2)))</f>
        <v/>
      </c>
      <c r="C129" s="86" t="str">
        <f>IF(B129="","",VLOOKUP(A129,Journal!$C$7:$E$84,3))</f>
        <v/>
      </c>
      <c r="D129" s="84" t="str">
        <f>IF(B129="","",VLOOKUP(A129,Journal!$C$7:$J$84,8))</f>
        <v/>
      </c>
      <c r="E129" s="84" t="str">
        <f>IF(B129="","",VLOOKUP(A129,Journal!$C$7:$L$84,10))</f>
        <v/>
      </c>
      <c r="F129" s="84" t="str">
        <f>IF(B129="","",VLOOKUP(A129,Journal!$C$7:$M$84,11))</f>
        <v/>
      </c>
      <c r="G129" s="102">
        <f>IF(B129="Total",SUM(G$8:G128)+0.0001,IF(OR(B129="",M129=0),0,VLOOKUP(A129,Journal!$C$7:M$84,7)))</f>
        <v>0</v>
      </c>
      <c r="H129" s="102">
        <f>IF(B129="Total",SUM(H$8:H128)+0.0001,IF(OR(B129="",N129=0),0,VLOOKUP(A129,Journal!$C$7:M$84,7)))</f>
        <v>0</v>
      </c>
      <c r="I129" s="87">
        <f t="shared" si="10"/>
        <v>0</v>
      </c>
      <c r="K129" s="13">
        <f>VLOOKUP(A129,Journal!$C$7:$M$84,4)</f>
        <v>0</v>
      </c>
      <c r="L129" s="13">
        <f>VLOOKUP(A129,Journal!$C$7:$M$84,5)</f>
        <v>0</v>
      </c>
      <c r="M129" s="13">
        <f t="shared" si="12"/>
        <v>0</v>
      </c>
      <c r="N129" s="13">
        <f t="shared" si="13"/>
        <v>0</v>
      </c>
      <c r="O129" s="13"/>
      <c r="P129" s="13">
        <f t="shared" si="14"/>
        <v>1.0000000000000001E-5</v>
      </c>
      <c r="T129" t="str">
        <f t="shared" si="9"/>
        <v/>
      </c>
    </row>
    <row r="130" spans="1:20" x14ac:dyDescent="0.25">
      <c r="A130">
        <f t="shared" si="11"/>
        <v>123</v>
      </c>
      <c r="B130" s="88" t="str">
        <f>IF(OR(B129="Total",B129=""),"",IF(VLOOKUP(A130,Journal!$C$7:$E$84,3)=0,"Total",VLOOKUP(A130,Journal!$C$7:$D$84,2)))</f>
        <v/>
      </c>
      <c r="C130" s="86" t="str">
        <f>IF(B130="","",VLOOKUP(A130,Journal!$C$7:$E$84,3))</f>
        <v/>
      </c>
      <c r="D130" s="84" t="str">
        <f>IF(B130="","",VLOOKUP(A130,Journal!$C$7:$J$84,8))</f>
        <v/>
      </c>
      <c r="E130" s="84" t="str">
        <f>IF(B130="","",VLOOKUP(A130,Journal!$C$7:$L$84,10))</f>
        <v/>
      </c>
      <c r="F130" s="84" t="str">
        <f>IF(B130="","",VLOOKUP(A130,Journal!$C$7:$M$84,11))</f>
        <v/>
      </c>
      <c r="G130" s="102">
        <f>IF(B130="Total",SUM(G$8:G129)+0.0001,IF(OR(B130="",M130=0),0,VLOOKUP(A130,Journal!$C$7:M$84,7)))</f>
        <v>0</v>
      </c>
      <c r="H130" s="102">
        <f>IF(B130="Total",SUM(H$8:H129)+0.0001,IF(OR(B130="",N130=0),0,VLOOKUP(A130,Journal!$C$7:M$84,7)))</f>
        <v>0</v>
      </c>
      <c r="I130" s="87">
        <f t="shared" si="10"/>
        <v>0</v>
      </c>
      <c r="K130" s="13">
        <f>VLOOKUP(A130,Journal!$C$7:$M$84,4)</f>
        <v>0</v>
      </c>
      <c r="L130" s="13">
        <f>VLOOKUP(A130,Journal!$C$7:$M$84,5)</f>
        <v>0</v>
      </c>
      <c r="M130" s="13">
        <f t="shared" si="12"/>
        <v>0</v>
      </c>
      <c r="N130" s="13">
        <f t="shared" si="13"/>
        <v>0</v>
      </c>
      <c r="O130" s="13"/>
      <c r="P130" s="13">
        <f t="shared" si="14"/>
        <v>1.0000000000000001E-5</v>
      </c>
      <c r="T130" t="str">
        <f t="shared" si="9"/>
        <v/>
      </c>
    </row>
    <row r="131" spans="1:20" x14ac:dyDescent="0.25">
      <c r="A131">
        <f t="shared" si="11"/>
        <v>124</v>
      </c>
      <c r="B131" s="88" t="str">
        <f>IF(OR(B130="Total",B130=""),"",IF(VLOOKUP(A131,Journal!$C$7:$E$84,3)=0,"Total",VLOOKUP(A131,Journal!$C$7:$D$84,2)))</f>
        <v/>
      </c>
      <c r="C131" s="86" t="str">
        <f>IF(B131="","",VLOOKUP(A131,Journal!$C$7:$E$84,3))</f>
        <v/>
      </c>
      <c r="D131" s="84" t="str">
        <f>IF(B131="","",VLOOKUP(A131,Journal!$C$7:$J$84,8))</f>
        <v/>
      </c>
      <c r="E131" s="84" t="str">
        <f>IF(B131="","",VLOOKUP(A131,Journal!$C$7:$L$84,10))</f>
        <v/>
      </c>
      <c r="F131" s="84" t="str">
        <f>IF(B131="","",VLOOKUP(A131,Journal!$C$7:$M$84,11))</f>
        <v/>
      </c>
      <c r="G131" s="102">
        <f>IF(B131="Total",SUM(G$8:G130)+0.0001,IF(OR(B131="",M131=0),0,VLOOKUP(A131,Journal!$C$7:M$84,7)))</f>
        <v>0</v>
      </c>
      <c r="H131" s="102">
        <f>IF(B131="Total",SUM(H$8:H130)+0.0001,IF(OR(B131="",N131=0),0,VLOOKUP(A131,Journal!$C$7:M$84,7)))</f>
        <v>0</v>
      </c>
      <c r="I131" s="87">
        <f t="shared" si="10"/>
        <v>0</v>
      </c>
      <c r="K131" s="13">
        <f>VLOOKUP(A131,Journal!$C$7:$M$84,4)</f>
        <v>0</v>
      </c>
      <c r="L131" s="13">
        <f>VLOOKUP(A131,Journal!$C$7:$M$84,5)</f>
        <v>0</v>
      </c>
      <c r="M131" s="13">
        <f t="shared" si="12"/>
        <v>0</v>
      </c>
      <c r="N131" s="13">
        <f t="shared" si="13"/>
        <v>0</v>
      </c>
      <c r="O131" s="13"/>
      <c r="P131" s="13">
        <f t="shared" si="14"/>
        <v>1.0000000000000001E-5</v>
      </c>
      <c r="T131" t="str">
        <f t="shared" si="9"/>
        <v/>
      </c>
    </row>
    <row r="132" spans="1:20" x14ac:dyDescent="0.25">
      <c r="A132">
        <f t="shared" si="11"/>
        <v>125</v>
      </c>
      <c r="B132" s="88" t="str">
        <f>IF(OR(B131="Total",B131=""),"",IF(VLOOKUP(A132,Journal!$C$7:$E$84,3)=0,"Total",VLOOKUP(A132,Journal!$C$7:$D$84,2)))</f>
        <v/>
      </c>
      <c r="C132" s="86" t="str">
        <f>IF(B132="","",VLOOKUP(A132,Journal!$C$7:$E$84,3))</f>
        <v/>
      </c>
      <c r="D132" s="84" t="str">
        <f>IF(B132="","",VLOOKUP(A132,Journal!$C$7:$J$84,8))</f>
        <v/>
      </c>
      <c r="E132" s="84" t="str">
        <f>IF(B132="","",VLOOKUP(A132,Journal!$C$7:$L$84,10))</f>
        <v/>
      </c>
      <c r="F132" s="84" t="str">
        <f>IF(B132="","",VLOOKUP(A132,Journal!$C$7:$M$84,11))</f>
        <v/>
      </c>
      <c r="G132" s="102">
        <f>IF(B132="Total",SUM(G$8:G131)+0.0001,IF(OR(B132="",M132=0),0,VLOOKUP(A132,Journal!$C$7:M$84,7)))</f>
        <v>0</v>
      </c>
      <c r="H132" s="102">
        <f>IF(B132="Total",SUM(H$8:H131)+0.0001,IF(OR(B132="",N132=0),0,VLOOKUP(A132,Journal!$C$7:M$84,7)))</f>
        <v>0</v>
      </c>
      <c r="I132" s="87">
        <f t="shared" si="10"/>
        <v>0</v>
      </c>
      <c r="K132" s="13">
        <f>VLOOKUP(A132,Journal!$C$7:$M$84,4)</f>
        <v>0</v>
      </c>
      <c r="L132" s="13">
        <f>VLOOKUP(A132,Journal!$C$7:$M$84,5)</f>
        <v>0</v>
      </c>
      <c r="M132" s="13">
        <f t="shared" si="12"/>
        <v>0</v>
      </c>
      <c r="N132" s="13">
        <f t="shared" si="13"/>
        <v>0</v>
      </c>
      <c r="O132" s="13"/>
      <c r="P132" s="13">
        <f t="shared" si="14"/>
        <v>1.0000000000000001E-5</v>
      </c>
      <c r="T132" t="str">
        <f t="shared" si="9"/>
        <v/>
      </c>
    </row>
    <row r="133" spans="1:20" x14ac:dyDescent="0.25">
      <c r="A133">
        <f t="shared" si="11"/>
        <v>126</v>
      </c>
      <c r="B133" s="88" t="str">
        <f>IF(OR(B132="Total",B132=""),"",IF(VLOOKUP(A133,Journal!$C$7:$E$84,3)=0,"Total",VLOOKUP(A133,Journal!$C$7:$D$84,2)))</f>
        <v/>
      </c>
      <c r="C133" s="86" t="str">
        <f>IF(B133="","",VLOOKUP(A133,Journal!$C$7:$E$84,3))</f>
        <v/>
      </c>
      <c r="D133" s="84" t="str">
        <f>IF(B133="","",VLOOKUP(A133,Journal!$C$7:$J$84,8))</f>
        <v/>
      </c>
      <c r="E133" s="84" t="str">
        <f>IF(B133="","",VLOOKUP(A133,Journal!$C$7:$L$84,10))</f>
        <v/>
      </c>
      <c r="F133" s="84" t="str">
        <f>IF(B133="","",VLOOKUP(A133,Journal!$C$7:$M$84,11))</f>
        <v/>
      </c>
      <c r="G133" s="102">
        <f>IF(B133="Total",SUM(G$8:G132)+0.0001,IF(OR(B133="",M133=0),0,VLOOKUP(A133,Journal!$C$7:M$84,7)))</f>
        <v>0</v>
      </c>
      <c r="H133" s="102">
        <f>IF(B133="Total",SUM(H$8:H132)+0.0001,IF(OR(B133="",N133=0),0,VLOOKUP(A133,Journal!$C$7:M$84,7)))</f>
        <v>0</v>
      </c>
      <c r="I133" s="87">
        <f t="shared" si="10"/>
        <v>0</v>
      </c>
      <c r="K133" s="13">
        <f>VLOOKUP(A133,Journal!$C$7:$M$84,4)</f>
        <v>0</v>
      </c>
      <c r="L133" s="13">
        <f>VLOOKUP(A133,Journal!$C$7:$M$84,5)</f>
        <v>0</v>
      </c>
      <c r="M133" s="13">
        <f t="shared" si="12"/>
        <v>0</v>
      </c>
      <c r="N133" s="13">
        <f t="shared" si="13"/>
        <v>0</v>
      </c>
      <c r="O133" s="13"/>
      <c r="P133" s="13">
        <f t="shared" si="14"/>
        <v>1.0000000000000001E-5</v>
      </c>
      <c r="T133" t="str">
        <f t="shared" si="9"/>
        <v/>
      </c>
    </row>
    <row r="134" spans="1:20" x14ac:dyDescent="0.25">
      <c r="A134">
        <f t="shared" si="11"/>
        <v>127</v>
      </c>
      <c r="B134" s="88" t="str">
        <f>IF(OR(B133="Total",B133=""),"",IF(VLOOKUP(A134,Journal!$C$7:$E$84,3)=0,"Total",VLOOKUP(A134,Journal!$C$7:$D$84,2)))</f>
        <v/>
      </c>
      <c r="C134" s="86" t="str">
        <f>IF(B134="","",VLOOKUP(A134,Journal!$C$7:$E$84,3))</f>
        <v/>
      </c>
      <c r="D134" s="84" t="str">
        <f>IF(B134="","",VLOOKUP(A134,Journal!$C$7:$J$84,8))</f>
        <v/>
      </c>
      <c r="E134" s="84" t="str">
        <f>IF(B134="","",VLOOKUP(A134,Journal!$C$7:$L$84,10))</f>
        <v/>
      </c>
      <c r="F134" s="84" t="str">
        <f>IF(B134="","",VLOOKUP(A134,Journal!$C$7:$M$84,11))</f>
        <v/>
      </c>
      <c r="G134" s="102">
        <f>IF(B134="Total",SUM(G$8:G133)+0.0001,IF(OR(B134="",M134=0),0,VLOOKUP(A134,Journal!$C$7:M$84,7)))</f>
        <v>0</v>
      </c>
      <c r="H134" s="102">
        <f>IF(B134="Total",SUM(H$8:H133)+0.0001,IF(OR(B134="",N134=0),0,VLOOKUP(A134,Journal!$C$7:M$84,7)))</f>
        <v>0</v>
      </c>
      <c r="I134" s="87">
        <f t="shared" si="10"/>
        <v>0</v>
      </c>
      <c r="K134" s="13">
        <f>VLOOKUP(A134,Journal!$C$7:$M$84,4)</f>
        <v>0</v>
      </c>
      <c r="L134" s="13">
        <f>VLOOKUP(A134,Journal!$C$7:$M$84,5)</f>
        <v>0</v>
      </c>
      <c r="M134" s="13">
        <f t="shared" si="12"/>
        <v>0</v>
      </c>
      <c r="N134" s="13">
        <f t="shared" si="13"/>
        <v>0</v>
      </c>
      <c r="O134" s="13"/>
      <c r="P134" s="13">
        <f t="shared" si="14"/>
        <v>1.0000000000000001E-5</v>
      </c>
      <c r="T134" t="str">
        <f t="shared" si="9"/>
        <v/>
      </c>
    </row>
    <row r="135" spans="1:20" x14ac:dyDescent="0.25">
      <c r="A135">
        <f t="shared" si="11"/>
        <v>128</v>
      </c>
      <c r="B135" s="88" t="str">
        <f>IF(OR(B134="Total",B134=""),"",IF(VLOOKUP(A135,Journal!$C$7:$E$84,3)=0,"Total",VLOOKUP(A135,Journal!$C$7:$D$84,2)))</f>
        <v/>
      </c>
      <c r="C135" s="86" t="str">
        <f>IF(B135="","",VLOOKUP(A135,Journal!$C$7:$E$84,3))</f>
        <v/>
      </c>
      <c r="D135" s="84" t="str">
        <f>IF(B135="","",VLOOKUP(A135,Journal!$C$7:$J$84,8))</f>
        <v/>
      </c>
      <c r="E135" s="84" t="str">
        <f>IF(B135="","",VLOOKUP(A135,Journal!$C$7:$L$84,10))</f>
        <v/>
      </c>
      <c r="F135" s="84" t="str">
        <f>IF(B135="","",VLOOKUP(A135,Journal!$C$7:$M$84,11))</f>
        <v/>
      </c>
      <c r="G135" s="102">
        <f>IF(B135="Total",SUM(G$8:G134)+0.0001,IF(OR(B135="",M135=0),0,VLOOKUP(A135,Journal!$C$7:M$84,7)))</f>
        <v>0</v>
      </c>
      <c r="H135" s="102">
        <f>IF(B135="Total",SUM(H$8:H134)+0.0001,IF(OR(B135="",N135=0),0,VLOOKUP(A135,Journal!$C$7:M$84,7)))</f>
        <v>0</v>
      </c>
      <c r="I135" s="87">
        <f t="shared" si="10"/>
        <v>0</v>
      </c>
      <c r="K135" s="13">
        <f>VLOOKUP(A135,Journal!$C$7:$M$84,4)</f>
        <v>0</v>
      </c>
      <c r="L135" s="13">
        <f>VLOOKUP(A135,Journal!$C$7:$M$84,5)</f>
        <v>0</v>
      </c>
      <c r="M135" s="13">
        <f t="shared" si="12"/>
        <v>0</v>
      </c>
      <c r="N135" s="13">
        <f t="shared" si="13"/>
        <v>0</v>
      </c>
      <c r="O135" s="13"/>
      <c r="P135" s="13">
        <f t="shared" si="14"/>
        <v>1.0000000000000001E-5</v>
      </c>
      <c r="T135" t="str">
        <f t="shared" si="9"/>
        <v/>
      </c>
    </row>
    <row r="136" spans="1:20" x14ac:dyDescent="0.25">
      <c r="A136">
        <f t="shared" si="11"/>
        <v>129</v>
      </c>
      <c r="B136" s="88" t="str">
        <f>IF(OR(B135="Total",B135=""),"",IF(VLOOKUP(A136,Journal!$C$7:$E$84,3)=0,"Total",VLOOKUP(A136,Journal!$C$7:$D$84,2)))</f>
        <v/>
      </c>
      <c r="C136" s="86" t="str">
        <f>IF(B136="","",VLOOKUP(A136,Journal!$C$7:$E$84,3))</f>
        <v/>
      </c>
      <c r="D136" s="84" t="str">
        <f>IF(B136="","",VLOOKUP(A136,Journal!$C$7:$J$84,8))</f>
        <v/>
      </c>
      <c r="E136" s="84" t="str">
        <f>IF(B136="","",VLOOKUP(A136,Journal!$C$7:$L$84,10))</f>
        <v/>
      </c>
      <c r="F136" s="84" t="str">
        <f>IF(B136="","",VLOOKUP(A136,Journal!$C$7:$M$84,11))</f>
        <v/>
      </c>
      <c r="G136" s="102">
        <f>IF(B136="Total",SUM(G$8:G135)+0.0001,IF(OR(B136="",M136=0),0,VLOOKUP(A136,Journal!$C$7:M$84,7)))</f>
        <v>0</v>
      </c>
      <c r="H136" s="102">
        <f>IF(B136="Total",SUM(H$8:H135)+0.0001,IF(OR(B136="",N136=0),0,VLOOKUP(A136,Journal!$C$7:M$84,7)))</f>
        <v>0</v>
      </c>
      <c r="I136" s="87">
        <f t="shared" si="10"/>
        <v>0</v>
      </c>
      <c r="K136" s="13">
        <f>VLOOKUP(A136,Journal!$C$7:$M$84,4)</f>
        <v>0</v>
      </c>
      <c r="L136" s="13">
        <f>VLOOKUP(A136,Journal!$C$7:$M$84,5)</f>
        <v>0</v>
      </c>
      <c r="M136" s="13">
        <f t="shared" si="12"/>
        <v>0</v>
      </c>
      <c r="N136" s="13">
        <f t="shared" si="13"/>
        <v>0</v>
      </c>
      <c r="O136" s="13"/>
      <c r="P136" s="13">
        <f t="shared" si="14"/>
        <v>1.0000000000000001E-5</v>
      </c>
      <c r="T136" t="str">
        <f t="shared" si="9"/>
        <v/>
      </c>
    </row>
    <row r="137" spans="1:20" x14ac:dyDescent="0.25">
      <c r="A137">
        <f t="shared" si="11"/>
        <v>130</v>
      </c>
      <c r="B137" s="88" t="str">
        <f>IF(OR(B136="Total",B136=""),"",IF(VLOOKUP(A137,Journal!$C$7:$E$84,3)=0,"Total",VLOOKUP(A137,Journal!$C$7:$D$84,2)))</f>
        <v/>
      </c>
      <c r="C137" s="86" t="str">
        <f>IF(B137="","",VLOOKUP(A137,Journal!$C$7:$E$84,3))</f>
        <v/>
      </c>
      <c r="D137" s="84" t="str">
        <f>IF(B137="","",VLOOKUP(A137,Journal!$C$7:$J$84,8))</f>
        <v/>
      </c>
      <c r="E137" s="84" t="str">
        <f>IF(B137="","",VLOOKUP(A137,Journal!$C$7:$L$84,10))</f>
        <v/>
      </c>
      <c r="F137" s="84" t="str">
        <f>IF(B137="","",VLOOKUP(A137,Journal!$C$7:$M$84,11))</f>
        <v/>
      </c>
      <c r="G137" s="102">
        <f>IF(B137="Total",SUM(G$8:G136)+0.0001,IF(OR(B137="",M137=0),0,VLOOKUP(A137,Journal!$C$7:M$84,7)))</f>
        <v>0</v>
      </c>
      <c r="H137" s="102">
        <f>IF(B137="Total",SUM(H$8:H136)+0.0001,IF(OR(B137="",N137=0),0,VLOOKUP(A137,Journal!$C$7:M$84,7)))</f>
        <v>0</v>
      </c>
      <c r="I137" s="87">
        <f t="shared" si="10"/>
        <v>0</v>
      </c>
      <c r="K137" s="13">
        <f>VLOOKUP(A137,Journal!$C$7:$M$84,4)</f>
        <v>0</v>
      </c>
      <c r="L137" s="13">
        <f>VLOOKUP(A137,Journal!$C$7:$M$84,5)</f>
        <v>0</v>
      </c>
      <c r="M137" s="13">
        <f t="shared" si="12"/>
        <v>0</v>
      </c>
      <c r="N137" s="13">
        <f t="shared" si="13"/>
        <v>0</v>
      </c>
      <c r="O137" s="13"/>
      <c r="P137" s="13">
        <f t="shared" si="14"/>
        <v>1.0000000000000001E-5</v>
      </c>
      <c r="T137" t="str">
        <f t="shared" ref="T137:T200" si="15">IF(AND(G137&lt;&gt;0,B137&lt;&gt;"Total",G137=H137),"Beide Konten sind Erfolgskonten, weshalb Saldo gleich bleibt","")</f>
        <v/>
      </c>
    </row>
    <row r="138" spans="1:20" x14ac:dyDescent="0.25">
      <c r="A138">
        <f t="shared" si="11"/>
        <v>131</v>
      </c>
      <c r="B138" s="88" t="str">
        <f>IF(OR(B137="Total",B137=""),"",IF(VLOOKUP(A138,Journal!$C$7:$E$84,3)=0,"Total",VLOOKUP(A138,Journal!$C$7:$D$84,2)))</f>
        <v/>
      </c>
      <c r="C138" s="86" t="str">
        <f>IF(B138="","",VLOOKUP(A138,Journal!$C$7:$E$84,3))</f>
        <v/>
      </c>
      <c r="D138" s="84" t="str">
        <f>IF(B138="","",VLOOKUP(A138,Journal!$C$7:$J$84,8))</f>
        <v/>
      </c>
      <c r="E138" s="84" t="str">
        <f>IF(B138="","",VLOOKUP(A138,Journal!$C$7:$L$84,10))</f>
        <v/>
      </c>
      <c r="F138" s="84" t="str">
        <f>IF(B138="","",VLOOKUP(A138,Journal!$C$7:$M$84,11))</f>
        <v/>
      </c>
      <c r="G138" s="102">
        <f>IF(B138="Total",SUM(G$8:G137)+0.0001,IF(OR(B138="",M138=0),0,VLOOKUP(A138,Journal!$C$7:M$84,7)))</f>
        <v>0</v>
      </c>
      <c r="H138" s="102">
        <f>IF(B138="Total",SUM(H$8:H137)+0.0001,IF(OR(B138="",N138=0),0,VLOOKUP(A138,Journal!$C$7:M$84,7)))</f>
        <v>0</v>
      </c>
      <c r="I138" s="87">
        <f t="shared" ref="I138:I201" si="16">IF(B138="Total",I137,IF(B138="",0,I137+G138-H138))</f>
        <v>0</v>
      </c>
      <c r="K138" s="13">
        <f>VLOOKUP(A138,Journal!$C$7:$M$84,4)</f>
        <v>0</v>
      </c>
      <c r="L138" s="13">
        <f>VLOOKUP(A138,Journal!$C$7:$M$84,5)</f>
        <v>0</v>
      </c>
      <c r="M138" s="13">
        <f t="shared" si="12"/>
        <v>0</v>
      </c>
      <c r="N138" s="13">
        <f t="shared" si="13"/>
        <v>0</v>
      </c>
      <c r="O138" s="13"/>
      <c r="P138" s="13">
        <f t="shared" si="14"/>
        <v>1.0000000000000001E-5</v>
      </c>
      <c r="T138" t="str">
        <f t="shared" si="15"/>
        <v/>
      </c>
    </row>
    <row r="139" spans="1:20" x14ac:dyDescent="0.25">
      <c r="A139">
        <f t="shared" ref="A139:A202" si="17">A138+1</f>
        <v>132</v>
      </c>
      <c r="B139" s="88" t="str">
        <f>IF(OR(B138="Total",B138=""),"",IF(VLOOKUP(A139,Journal!$C$7:$E$84,3)=0,"Total",VLOOKUP(A139,Journal!$C$7:$D$84,2)))</f>
        <v/>
      </c>
      <c r="C139" s="86" t="str">
        <f>IF(B139="","",VLOOKUP(A139,Journal!$C$7:$E$84,3))</f>
        <v/>
      </c>
      <c r="D139" s="84" t="str">
        <f>IF(B139="","",VLOOKUP(A139,Journal!$C$7:$J$84,8))</f>
        <v/>
      </c>
      <c r="E139" s="84" t="str">
        <f>IF(B139="","",VLOOKUP(A139,Journal!$C$7:$L$84,10))</f>
        <v/>
      </c>
      <c r="F139" s="84" t="str">
        <f>IF(B139="","",VLOOKUP(A139,Journal!$C$7:$M$84,11))</f>
        <v/>
      </c>
      <c r="G139" s="102">
        <f>IF(B139="Total",SUM(G$8:G138)+0.0001,IF(OR(B139="",M139=0),0,VLOOKUP(A139,Journal!$C$7:M$84,7)))</f>
        <v>0</v>
      </c>
      <c r="H139" s="102">
        <f>IF(B139="Total",SUM(H$8:H138)+0.0001,IF(OR(B139="",N139=0),0,VLOOKUP(A139,Journal!$C$7:M$84,7)))</f>
        <v>0</v>
      </c>
      <c r="I139" s="87">
        <f t="shared" si="16"/>
        <v>0</v>
      </c>
      <c r="K139" s="13">
        <f>VLOOKUP(A139,Journal!$C$7:$M$84,4)</f>
        <v>0</v>
      </c>
      <c r="L139" s="13">
        <f>VLOOKUP(A139,Journal!$C$7:$M$84,5)</f>
        <v>0</v>
      </c>
      <c r="M139" s="13">
        <f t="shared" si="12"/>
        <v>0</v>
      </c>
      <c r="N139" s="13">
        <f t="shared" si="13"/>
        <v>0</v>
      </c>
      <c r="O139" s="13"/>
      <c r="P139" s="13">
        <f t="shared" si="14"/>
        <v>1.0000000000000001E-5</v>
      </c>
      <c r="T139" t="str">
        <f t="shared" si="15"/>
        <v/>
      </c>
    </row>
    <row r="140" spans="1:20" x14ac:dyDescent="0.25">
      <c r="A140">
        <f t="shared" si="17"/>
        <v>133</v>
      </c>
      <c r="B140" s="88" t="str">
        <f>IF(OR(B139="Total",B139=""),"",IF(VLOOKUP(A140,Journal!$C$7:$E$84,3)=0,"Total",VLOOKUP(A140,Journal!$C$7:$D$84,2)))</f>
        <v/>
      </c>
      <c r="C140" s="86" t="str">
        <f>IF(B140="","",VLOOKUP(A140,Journal!$C$7:$E$84,3))</f>
        <v/>
      </c>
      <c r="D140" s="84" t="str">
        <f>IF(B140="","",VLOOKUP(A140,Journal!$C$7:$J$84,8))</f>
        <v/>
      </c>
      <c r="E140" s="84" t="str">
        <f>IF(B140="","",VLOOKUP(A140,Journal!$C$7:$L$84,10))</f>
        <v/>
      </c>
      <c r="F140" s="84" t="str">
        <f>IF(B140="","",VLOOKUP(A140,Journal!$C$7:$M$84,11))</f>
        <v/>
      </c>
      <c r="G140" s="102">
        <f>IF(B140="Total",SUM(G$8:G139)+0.0001,IF(OR(B140="",M140=0),0,VLOOKUP(A140,Journal!$C$7:M$84,7)))</f>
        <v>0</v>
      </c>
      <c r="H140" s="102">
        <f>IF(B140="Total",SUM(H$8:H139)+0.0001,IF(OR(B140="",N140=0),0,VLOOKUP(A140,Journal!$C$7:M$84,7)))</f>
        <v>0</v>
      </c>
      <c r="I140" s="87">
        <f t="shared" si="16"/>
        <v>0</v>
      </c>
      <c r="K140" s="13">
        <f>VLOOKUP(A140,Journal!$C$7:$M$84,4)</f>
        <v>0</v>
      </c>
      <c r="L140" s="13">
        <f>VLOOKUP(A140,Journal!$C$7:$M$84,5)</f>
        <v>0</v>
      </c>
      <c r="M140" s="13">
        <f t="shared" si="12"/>
        <v>0</v>
      </c>
      <c r="N140" s="13">
        <f t="shared" si="13"/>
        <v>0</v>
      </c>
      <c r="O140" s="13"/>
      <c r="P140" s="13">
        <f t="shared" si="14"/>
        <v>1.0000000000000001E-5</v>
      </c>
      <c r="T140" t="str">
        <f t="shared" si="15"/>
        <v/>
      </c>
    </row>
    <row r="141" spans="1:20" x14ac:dyDescent="0.25">
      <c r="A141">
        <f t="shared" si="17"/>
        <v>134</v>
      </c>
      <c r="B141" s="88" t="str">
        <f>IF(OR(B140="Total",B140=""),"",IF(VLOOKUP(A141,Journal!$C$7:$E$84,3)=0,"Total",VLOOKUP(A141,Journal!$C$7:$D$84,2)))</f>
        <v/>
      </c>
      <c r="C141" s="86" t="str">
        <f>IF(B141="","",VLOOKUP(A141,Journal!$C$7:$E$84,3))</f>
        <v/>
      </c>
      <c r="D141" s="84" t="str">
        <f>IF(B141="","",VLOOKUP(A141,Journal!$C$7:$J$84,8))</f>
        <v/>
      </c>
      <c r="E141" s="84" t="str">
        <f>IF(B141="","",VLOOKUP(A141,Journal!$C$7:$L$84,10))</f>
        <v/>
      </c>
      <c r="F141" s="84" t="str">
        <f>IF(B141="","",VLOOKUP(A141,Journal!$C$7:$M$84,11))</f>
        <v/>
      </c>
      <c r="G141" s="102">
        <f>IF(B141="Total",SUM(G$8:G140)+0.0001,IF(OR(B141="",M141=0),0,VLOOKUP(A141,Journal!$C$7:M$84,7)))</f>
        <v>0</v>
      </c>
      <c r="H141" s="102">
        <f>IF(B141="Total",SUM(H$8:H140)+0.0001,IF(OR(B141="",N141=0),0,VLOOKUP(A141,Journal!$C$7:M$84,7)))</f>
        <v>0</v>
      </c>
      <c r="I141" s="87">
        <f t="shared" si="16"/>
        <v>0</v>
      </c>
      <c r="K141" s="13">
        <f>VLOOKUP(A141,Journal!$C$7:$M$84,4)</f>
        <v>0</v>
      </c>
      <c r="L141" s="13">
        <f>VLOOKUP(A141,Journal!$C$7:$M$84,5)</f>
        <v>0</v>
      </c>
      <c r="M141" s="13">
        <f t="shared" si="12"/>
        <v>0</v>
      </c>
      <c r="N141" s="13">
        <f t="shared" si="13"/>
        <v>0</v>
      </c>
      <c r="O141" s="13"/>
      <c r="P141" s="13">
        <f t="shared" si="14"/>
        <v>1.0000000000000001E-5</v>
      </c>
      <c r="T141" t="str">
        <f t="shared" si="15"/>
        <v/>
      </c>
    </row>
    <row r="142" spans="1:20" x14ac:dyDescent="0.25">
      <c r="A142">
        <f t="shared" si="17"/>
        <v>135</v>
      </c>
      <c r="B142" s="88" t="str">
        <f>IF(OR(B141="Total",B141=""),"",IF(VLOOKUP(A142,Journal!$C$7:$E$84,3)=0,"Total",VLOOKUP(A142,Journal!$C$7:$D$84,2)))</f>
        <v/>
      </c>
      <c r="C142" s="86" t="str">
        <f>IF(B142="","",VLOOKUP(A142,Journal!$C$7:$E$84,3))</f>
        <v/>
      </c>
      <c r="D142" s="84" t="str">
        <f>IF(B142="","",VLOOKUP(A142,Journal!$C$7:$J$84,8))</f>
        <v/>
      </c>
      <c r="E142" s="84" t="str">
        <f>IF(B142="","",VLOOKUP(A142,Journal!$C$7:$L$84,10))</f>
        <v/>
      </c>
      <c r="F142" s="84" t="str">
        <f>IF(B142="","",VLOOKUP(A142,Journal!$C$7:$M$84,11))</f>
        <v/>
      </c>
      <c r="G142" s="102">
        <f>IF(B142="Total",SUM(G$8:G141)+0.0001,IF(OR(B142="",M142=0),0,VLOOKUP(A142,Journal!$C$7:M$84,7)))</f>
        <v>0</v>
      </c>
      <c r="H142" s="102">
        <f>IF(B142="Total",SUM(H$8:H141)+0.0001,IF(OR(B142="",N142=0),0,VLOOKUP(A142,Journal!$C$7:M$84,7)))</f>
        <v>0</v>
      </c>
      <c r="I142" s="87">
        <f t="shared" si="16"/>
        <v>0</v>
      </c>
      <c r="K142" s="13">
        <f>VLOOKUP(A142,Journal!$C$7:$M$84,4)</f>
        <v>0</v>
      </c>
      <c r="L142" s="13">
        <f>VLOOKUP(A142,Journal!$C$7:$M$84,5)</f>
        <v>0</v>
      </c>
      <c r="M142" s="13">
        <f t="shared" si="12"/>
        <v>0</v>
      </c>
      <c r="N142" s="13">
        <f t="shared" si="13"/>
        <v>0</v>
      </c>
      <c r="O142" s="13"/>
      <c r="P142" s="13">
        <f t="shared" si="14"/>
        <v>1.0000000000000001E-5</v>
      </c>
      <c r="T142" t="str">
        <f t="shared" si="15"/>
        <v/>
      </c>
    </row>
    <row r="143" spans="1:20" x14ac:dyDescent="0.25">
      <c r="A143">
        <f t="shared" si="17"/>
        <v>136</v>
      </c>
      <c r="B143" s="88" t="str">
        <f>IF(OR(B142="Total",B142=""),"",IF(VLOOKUP(A143,Journal!$C$7:$E$84,3)=0,"Total",VLOOKUP(A143,Journal!$C$7:$D$84,2)))</f>
        <v/>
      </c>
      <c r="C143" s="86" t="str">
        <f>IF(B143="","",VLOOKUP(A143,Journal!$C$7:$E$84,3))</f>
        <v/>
      </c>
      <c r="D143" s="84" t="str">
        <f>IF(B143="","",VLOOKUP(A143,Journal!$C$7:$J$84,8))</f>
        <v/>
      </c>
      <c r="E143" s="84" t="str">
        <f>IF(B143="","",VLOOKUP(A143,Journal!$C$7:$L$84,10))</f>
        <v/>
      </c>
      <c r="F143" s="84" t="str">
        <f>IF(B143="","",VLOOKUP(A143,Journal!$C$7:$M$84,11))</f>
        <v/>
      </c>
      <c r="G143" s="102">
        <f>IF(B143="Total",SUM(G$8:G142)+0.0001,IF(OR(B143="",M143=0),0,VLOOKUP(A143,Journal!$C$7:M$84,7)))</f>
        <v>0</v>
      </c>
      <c r="H143" s="102">
        <f>IF(B143="Total",SUM(H$8:H142)+0.0001,IF(OR(B143="",N143=0),0,VLOOKUP(A143,Journal!$C$7:M$84,7)))</f>
        <v>0</v>
      </c>
      <c r="I143" s="87">
        <f t="shared" si="16"/>
        <v>0</v>
      </c>
      <c r="K143" s="13">
        <f>VLOOKUP(A143,Journal!$C$7:$M$84,4)</f>
        <v>0</v>
      </c>
      <c r="L143" s="13">
        <f>VLOOKUP(A143,Journal!$C$7:$M$84,5)</f>
        <v>0</v>
      </c>
      <c r="M143" s="13">
        <f t="shared" si="12"/>
        <v>0</v>
      </c>
      <c r="N143" s="13">
        <f t="shared" si="13"/>
        <v>0</v>
      </c>
      <c r="O143" s="13"/>
      <c r="P143" s="13">
        <f t="shared" si="14"/>
        <v>1.0000000000000001E-5</v>
      </c>
      <c r="T143" t="str">
        <f t="shared" si="15"/>
        <v/>
      </c>
    </row>
    <row r="144" spans="1:20" x14ac:dyDescent="0.25">
      <c r="A144">
        <f t="shared" si="17"/>
        <v>137</v>
      </c>
      <c r="B144" s="88" t="str">
        <f>IF(OR(B143="Total",B143=""),"",IF(VLOOKUP(A144,Journal!$C$7:$E$84,3)=0,"Total",VLOOKUP(A144,Journal!$C$7:$D$84,2)))</f>
        <v/>
      </c>
      <c r="C144" s="86" t="str">
        <f>IF(B144="","",VLOOKUP(A144,Journal!$C$7:$E$84,3))</f>
        <v/>
      </c>
      <c r="D144" s="84" t="str">
        <f>IF(B144="","",VLOOKUP(A144,Journal!$C$7:$J$84,8))</f>
        <v/>
      </c>
      <c r="E144" s="84" t="str">
        <f>IF(B144="","",VLOOKUP(A144,Journal!$C$7:$L$84,10))</f>
        <v/>
      </c>
      <c r="F144" s="84" t="str">
        <f>IF(B144="","",VLOOKUP(A144,Journal!$C$7:$M$84,11))</f>
        <v/>
      </c>
      <c r="G144" s="102">
        <f>IF(B144="Total",SUM(G$8:G143)+0.0001,IF(OR(B144="",M144=0),0,VLOOKUP(A144,Journal!$C$7:M$84,7)))</f>
        <v>0</v>
      </c>
      <c r="H144" s="102">
        <f>IF(B144="Total",SUM(H$8:H143)+0.0001,IF(OR(B144="",N144=0),0,VLOOKUP(A144,Journal!$C$7:M$84,7)))</f>
        <v>0</v>
      </c>
      <c r="I144" s="87">
        <f t="shared" si="16"/>
        <v>0</v>
      </c>
      <c r="K144" s="13">
        <f>VLOOKUP(A144,Journal!$C$7:$M$84,4)</f>
        <v>0</v>
      </c>
      <c r="L144" s="13">
        <f>VLOOKUP(A144,Journal!$C$7:$M$84,5)</f>
        <v>0</v>
      </c>
      <c r="M144" s="13">
        <f t="shared" si="12"/>
        <v>0</v>
      </c>
      <c r="N144" s="13">
        <f t="shared" si="13"/>
        <v>0</v>
      </c>
      <c r="O144" s="13"/>
      <c r="P144" s="13">
        <f t="shared" si="14"/>
        <v>1.0000000000000001E-5</v>
      </c>
      <c r="T144" t="str">
        <f t="shared" si="15"/>
        <v/>
      </c>
    </row>
    <row r="145" spans="1:20" x14ac:dyDescent="0.25">
      <c r="A145">
        <f t="shared" si="17"/>
        <v>138</v>
      </c>
      <c r="B145" s="88" t="str">
        <f>IF(OR(B144="Total",B144=""),"",IF(VLOOKUP(A145,Journal!$C$7:$E$84,3)=0,"Total",VLOOKUP(A145,Journal!$C$7:$D$84,2)))</f>
        <v/>
      </c>
      <c r="C145" s="86" t="str">
        <f>IF(B145="","",VLOOKUP(A145,Journal!$C$7:$E$84,3))</f>
        <v/>
      </c>
      <c r="D145" s="84" t="str">
        <f>IF(B145="","",VLOOKUP(A145,Journal!$C$7:$J$84,8))</f>
        <v/>
      </c>
      <c r="E145" s="84" t="str">
        <f>IF(B145="","",VLOOKUP(A145,Journal!$C$7:$L$84,10))</f>
        <v/>
      </c>
      <c r="F145" s="84" t="str">
        <f>IF(B145="","",VLOOKUP(A145,Journal!$C$7:$M$84,11))</f>
        <v/>
      </c>
      <c r="G145" s="102">
        <f>IF(B145="Total",SUM(G$8:G144)+0.0001,IF(OR(B145="",M145=0),0,VLOOKUP(A145,Journal!$C$7:M$84,7)))</f>
        <v>0</v>
      </c>
      <c r="H145" s="102">
        <f>IF(B145="Total",SUM(H$8:H144)+0.0001,IF(OR(B145="",N145=0),0,VLOOKUP(A145,Journal!$C$7:M$84,7)))</f>
        <v>0</v>
      </c>
      <c r="I145" s="87">
        <f t="shared" si="16"/>
        <v>0</v>
      </c>
      <c r="K145" s="13">
        <f>VLOOKUP(A145,Journal!$C$7:$M$84,4)</f>
        <v>0</v>
      </c>
      <c r="L145" s="13">
        <f>VLOOKUP(A145,Journal!$C$7:$M$84,5)</f>
        <v>0</v>
      </c>
      <c r="M145" s="13">
        <f t="shared" si="12"/>
        <v>0</v>
      </c>
      <c r="N145" s="13">
        <f t="shared" si="13"/>
        <v>0</v>
      </c>
      <c r="O145" s="13"/>
      <c r="P145" s="13">
        <f t="shared" si="14"/>
        <v>1.0000000000000001E-5</v>
      </c>
      <c r="T145" t="str">
        <f t="shared" si="15"/>
        <v/>
      </c>
    </row>
    <row r="146" spans="1:20" x14ac:dyDescent="0.25">
      <c r="A146">
        <f t="shared" si="17"/>
        <v>139</v>
      </c>
      <c r="B146" s="88" t="str">
        <f>IF(OR(B145="Total",B145=""),"",IF(VLOOKUP(A146,Journal!$C$7:$E$84,3)=0,"Total",VLOOKUP(A146,Journal!$C$7:$D$84,2)))</f>
        <v/>
      </c>
      <c r="C146" s="86" t="str">
        <f>IF(B146="","",VLOOKUP(A146,Journal!$C$7:$E$84,3))</f>
        <v/>
      </c>
      <c r="D146" s="84" t="str">
        <f>IF(B146="","",VLOOKUP(A146,Journal!$C$7:$J$84,8))</f>
        <v/>
      </c>
      <c r="E146" s="84" t="str">
        <f>IF(B146="","",VLOOKUP(A146,Journal!$C$7:$L$84,10))</f>
        <v/>
      </c>
      <c r="F146" s="84" t="str">
        <f>IF(B146="","",VLOOKUP(A146,Journal!$C$7:$M$84,11))</f>
        <v/>
      </c>
      <c r="G146" s="102">
        <f>IF(B146="Total",SUM(G$8:G145)+0.0001,IF(OR(B146="",M146=0),0,VLOOKUP(A146,Journal!$C$7:M$84,7)))</f>
        <v>0</v>
      </c>
      <c r="H146" s="102">
        <f>IF(B146="Total",SUM(H$8:H145)+0.0001,IF(OR(B146="",N146=0),0,VLOOKUP(A146,Journal!$C$7:M$84,7)))</f>
        <v>0</v>
      </c>
      <c r="I146" s="87">
        <f t="shared" si="16"/>
        <v>0</v>
      </c>
      <c r="K146" s="13">
        <f>VLOOKUP(A146,Journal!$C$7:$M$84,4)</f>
        <v>0</v>
      </c>
      <c r="L146" s="13">
        <f>VLOOKUP(A146,Journal!$C$7:$M$84,5)</f>
        <v>0</v>
      </c>
      <c r="M146" s="13">
        <f t="shared" si="12"/>
        <v>0</v>
      </c>
      <c r="N146" s="13">
        <f t="shared" si="13"/>
        <v>0</v>
      </c>
      <c r="O146" s="13"/>
      <c r="P146" s="13">
        <f t="shared" si="14"/>
        <v>1.0000000000000001E-5</v>
      </c>
      <c r="T146" t="str">
        <f t="shared" si="15"/>
        <v/>
      </c>
    </row>
    <row r="147" spans="1:20" x14ac:dyDescent="0.25">
      <c r="A147">
        <f t="shared" si="17"/>
        <v>140</v>
      </c>
      <c r="B147" s="88" t="str">
        <f>IF(OR(B146="Total",B146=""),"",IF(VLOOKUP(A147,Journal!$C$7:$E$84,3)=0,"Total",VLOOKUP(A147,Journal!$C$7:$D$84,2)))</f>
        <v/>
      </c>
      <c r="C147" s="86" t="str">
        <f>IF(B147="","",VLOOKUP(A147,Journal!$C$7:$E$84,3))</f>
        <v/>
      </c>
      <c r="D147" s="84" t="str">
        <f>IF(B147="","",VLOOKUP(A147,Journal!$C$7:$J$84,8))</f>
        <v/>
      </c>
      <c r="E147" s="84" t="str">
        <f>IF(B147="","",VLOOKUP(A147,Journal!$C$7:$L$84,10))</f>
        <v/>
      </c>
      <c r="F147" s="84" t="str">
        <f>IF(B147="","",VLOOKUP(A147,Journal!$C$7:$M$84,11))</f>
        <v/>
      </c>
      <c r="G147" s="102">
        <f>IF(B147="Total",SUM(G$8:G146)+0.0001,IF(OR(B147="",M147=0),0,VLOOKUP(A147,Journal!$C$7:M$84,7)))</f>
        <v>0</v>
      </c>
      <c r="H147" s="102">
        <f>IF(B147="Total",SUM(H$8:H146)+0.0001,IF(OR(B147="",N147=0),0,VLOOKUP(A147,Journal!$C$7:M$84,7)))</f>
        <v>0</v>
      </c>
      <c r="I147" s="87">
        <f t="shared" si="16"/>
        <v>0</v>
      </c>
      <c r="K147" s="13">
        <f>VLOOKUP(A147,Journal!$C$7:$M$84,4)</f>
        <v>0</v>
      </c>
      <c r="L147" s="13">
        <f>VLOOKUP(A147,Journal!$C$7:$M$84,5)</f>
        <v>0</v>
      </c>
      <c r="M147" s="13">
        <f t="shared" si="12"/>
        <v>0</v>
      </c>
      <c r="N147" s="13">
        <f t="shared" si="13"/>
        <v>0</v>
      </c>
      <c r="O147" s="13"/>
      <c r="P147" s="13">
        <f t="shared" si="14"/>
        <v>1.0000000000000001E-5</v>
      </c>
      <c r="T147" t="str">
        <f t="shared" si="15"/>
        <v/>
      </c>
    </row>
    <row r="148" spans="1:20" x14ac:dyDescent="0.25">
      <c r="A148">
        <f t="shared" si="17"/>
        <v>141</v>
      </c>
      <c r="B148" s="88" t="str">
        <f>IF(OR(B147="Total",B147=""),"",IF(VLOOKUP(A148,Journal!$C$7:$E$84,3)=0,"Total",VLOOKUP(A148,Journal!$C$7:$D$84,2)))</f>
        <v/>
      </c>
      <c r="C148" s="86" t="str">
        <f>IF(B148="","",VLOOKUP(A148,Journal!$C$7:$E$84,3))</f>
        <v/>
      </c>
      <c r="D148" s="84" t="str">
        <f>IF(B148="","",VLOOKUP(A148,Journal!$C$7:$J$84,8))</f>
        <v/>
      </c>
      <c r="E148" s="84" t="str">
        <f>IF(B148="","",VLOOKUP(A148,Journal!$C$7:$L$84,10))</f>
        <v/>
      </c>
      <c r="F148" s="84" t="str">
        <f>IF(B148="","",VLOOKUP(A148,Journal!$C$7:$M$84,11))</f>
        <v/>
      </c>
      <c r="G148" s="102">
        <f>IF(B148="Total",SUM(G$8:G147)+0.0001,IF(OR(B148="",M148=0),0,VLOOKUP(A148,Journal!$C$7:M$84,7)))</f>
        <v>0</v>
      </c>
      <c r="H148" s="102">
        <f>IF(B148="Total",SUM(H$8:H147)+0.0001,IF(OR(B148="",N148=0),0,VLOOKUP(A148,Journal!$C$7:M$84,7)))</f>
        <v>0</v>
      </c>
      <c r="I148" s="87">
        <f t="shared" si="16"/>
        <v>0</v>
      </c>
      <c r="K148" s="13">
        <f>VLOOKUP(A148,Journal!$C$7:$M$84,4)</f>
        <v>0</v>
      </c>
      <c r="L148" s="13">
        <f>VLOOKUP(A148,Journal!$C$7:$M$84,5)</f>
        <v>0</v>
      </c>
      <c r="M148" s="13">
        <f t="shared" si="12"/>
        <v>0</v>
      </c>
      <c r="N148" s="13">
        <f t="shared" si="13"/>
        <v>0</v>
      </c>
      <c r="O148" s="13"/>
      <c r="P148" s="13">
        <f t="shared" si="14"/>
        <v>1.0000000000000001E-5</v>
      </c>
      <c r="T148" t="str">
        <f t="shared" si="15"/>
        <v/>
      </c>
    </row>
    <row r="149" spans="1:20" x14ac:dyDescent="0.25">
      <c r="A149">
        <f t="shared" si="17"/>
        <v>142</v>
      </c>
      <c r="B149" s="88" t="str">
        <f>IF(OR(B148="Total",B148=""),"",IF(VLOOKUP(A149,Journal!$C$7:$E$84,3)=0,"Total",VLOOKUP(A149,Journal!$C$7:$D$84,2)))</f>
        <v/>
      </c>
      <c r="C149" s="86" t="str">
        <f>IF(B149="","",VLOOKUP(A149,Journal!$C$7:$E$84,3))</f>
        <v/>
      </c>
      <c r="D149" s="84" t="str">
        <f>IF(B149="","",VLOOKUP(A149,Journal!$C$7:$J$84,8))</f>
        <v/>
      </c>
      <c r="E149" s="84" t="str">
        <f>IF(B149="","",VLOOKUP(A149,Journal!$C$7:$L$84,10))</f>
        <v/>
      </c>
      <c r="F149" s="84" t="str">
        <f>IF(B149="","",VLOOKUP(A149,Journal!$C$7:$M$84,11))</f>
        <v/>
      </c>
      <c r="G149" s="102">
        <f>IF(B149="Total",SUM(G$8:G148)+0.0001,IF(OR(B149="",M149=0),0,VLOOKUP(A149,Journal!$C$7:M$84,7)))</f>
        <v>0</v>
      </c>
      <c r="H149" s="102">
        <f>IF(B149="Total",SUM(H$8:H148)+0.0001,IF(OR(B149="",N149=0),0,VLOOKUP(A149,Journal!$C$7:M$84,7)))</f>
        <v>0</v>
      </c>
      <c r="I149" s="87">
        <f t="shared" si="16"/>
        <v>0</v>
      </c>
      <c r="K149" s="13">
        <f>VLOOKUP(A149,Journal!$C$7:$M$84,4)</f>
        <v>0</v>
      </c>
      <c r="L149" s="13">
        <f>VLOOKUP(A149,Journal!$C$7:$M$84,5)</f>
        <v>0</v>
      </c>
      <c r="M149" s="13">
        <f t="shared" si="12"/>
        <v>0</v>
      </c>
      <c r="N149" s="13">
        <f t="shared" si="13"/>
        <v>0</v>
      </c>
      <c r="O149" s="13"/>
      <c r="P149" s="13">
        <f t="shared" si="14"/>
        <v>1.0000000000000001E-5</v>
      </c>
      <c r="T149" t="str">
        <f t="shared" si="15"/>
        <v/>
      </c>
    </row>
    <row r="150" spans="1:20" x14ac:dyDescent="0.25">
      <c r="A150">
        <f t="shared" si="17"/>
        <v>143</v>
      </c>
      <c r="B150" s="88" t="str">
        <f>IF(OR(B149="Total",B149=""),"",IF(VLOOKUP(A150,Journal!$C$7:$E$84,3)=0,"Total",VLOOKUP(A150,Journal!$C$7:$D$84,2)))</f>
        <v/>
      </c>
      <c r="C150" s="86" t="str">
        <f>IF(B150="","",VLOOKUP(A150,Journal!$C$7:$E$84,3))</f>
        <v/>
      </c>
      <c r="D150" s="84" t="str">
        <f>IF(B150="","",VLOOKUP(A150,Journal!$C$7:$J$84,8))</f>
        <v/>
      </c>
      <c r="E150" s="84" t="str">
        <f>IF(B150="","",VLOOKUP(A150,Journal!$C$7:$L$84,10))</f>
        <v/>
      </c>
      <c r="F150" s="84" t="str">
        <f>IF(B150="","",VLOOKUP(A150,Journal!$C$7:$M$84,11))</f>
        <v/>
      </c>
      <c r="G150" s="102">
        <f>IF(B150="Total",SUM(G$8:G149)+0.0001,IF(OR(B150="",M150=0),0,VLOOKUP(A150,Journal!$C$7:M$84,7)))</f>
        <v>0</v>
      </c>
      <c r="H150" s="102">
        <f>IF(B150="Total",SUM(H$8:H149)+0.0001,IF(OR(B150="",N150=0),0,VLOOKUP(A150,Journal!$C$7:M$84,7)))</f>
        <v>0</v>
      </c>
      <c r="I150" s="87">
        <f t="shared" si="16"/>
        <v>0</v>
      </c>
      <c r="K150" s="13">
        <f>VLOOKUP(A150,Journal!$C$7:$M$84,4)</f>
        <v>0</v>
      </c>
      <c r="L150" s="13">
        <f>VLOOKUP(A150,Journal!$C$7:$M$84,5)</f>
        <v>0</v>
      </c>
      <c r="M150" s="13">
        <f t="shared" si="12"/>
        <v>0</v>
      </c>
      <c r="N150" s="13">
        <f t="shared" si="13"/>
        <v>0</v>
      </c>
      <c r="O150" s="13"/>
      <c r="P150" s="13">
        <f t="shared" si="14"/>
        <v>1.0000000000000001E-5</v>
      </c>
      <c r="T150" t="str">
        <f t="shared" si="15"/>
        <v/>
      </c>
    </row>
    <row r="151" spans="1:20" x14ac:dyDescent="0.25">
      <c r="A151">
        <f t="shared" si="17"/>
        <v>144</v>
      </c>
      <c r="B151" s="88" t="str">
        <f>IF(OR(B150="Total",B150=""),"",IF(VLOOKUP(A151,Journal!$C$7:$E$84,3)=0,"Total",VLOOKUP(A151,Journal!$C$7:$D$84,2)))</f>
        <v/>
      </c>
      <c r="C151" s="86" t="str">
        <f>IF(B151="","",VLOOKUP(A151,Journal!$C$7:$E$84,3))</f>
        <v/>
      </c>
      <c r="D151" s="84" t="str">
        <f>IF(B151="","",VLOOKUP(A151,Journal!$C$7:$J$84,8))</f>
        <v/>
      </c>
      <c r="E151" s="84" t="str">
        <f>IF(B151="","",VLOOKUP(A151,Journal!$C$7:$L$84,10))</f>
        <v/>
      </c>
      <c r="F151" s="84" t="str">
        <f>IF(B151="","",VLOOKUP(A151,Journal!$C$7:$M$84,11))</f>
        <v/>
      </c>
      <c r="G151" s="102">
        <f>IF(B151="Total",SUM(G$8:G150)+0.0001,IF(OR(B151="",M151=0),0,VLOOKUP(A151,Journal!$C$7:M$84,7)))</f>
        <v>0</v>
      </c>
      <c r="H151" s="102">
        <f>IF(B151="Total",SUM(H$8:H150)+0.0001,IF(OR(B151="",N151=0),0,VLOOKUP(A151,Journal!$C$7:M$84,7)))</f>
        <v>0</v>
      </c>
      <c r="I151" s="87">
        <f t="shared" si="16"/>
        <v>0</v>
      </c>
      <c r="K151" s="13">
        <f>VLOOKUP(A151,Journal!$C$7:$M$84,4)</f>
        <v>0</v>
      </c>
      <c r="L151" s="13">
        <f>VLOOKUP(A151,Journal!$C$7:$M$84,5)</f>
        <v>0</v>
      </c>
      <c r="M151" s="13">
        <f t="shared" si="12"/>
        <v>0</v>
      </c>
      <c r="N151" s="13">
        <f t="shared" si="13"/>
        <v>0</v>
      </c>
      <c r="O151" s="13"/>
      <c r="P151" s="13">
        <f t="shared" si="14"/>
        <v>1.0000000000000001E-5</v>
      </c>
      <c r="T151" t="str">
        <f t="shared" si="15"/>
        <v/>
      </c>
    </row>
    <row r="152" spans="1:20" x14ac:dyDescent="0.25">
      <c r="A152">
        <f t="shared" si="17"/>
        <v>145</v>
      </c>
      <c r="B152" s="88" t="str">
        <f>IF(OR(B151="Total",B151=""),"",IF(VLOOKUP(A152,Journal!$C$7:$E$84,3)=0,"Total",VLOOKUP(A152,Journal!$C$7:$D$84,2)))</f>
        <v/>
      </c>
      <c r="C152" s="86" t="str">
        <f>IF(B152="","",VLOOKUP(A152,Journal!$C$7:$E$84,3))</f>
        <v/>
      </c>
      <c r="D152" s="84" t="str">
        <f>IF(B152="","",VLOOKUP(A152,Journal!$C$7:$J$84,8))</f>
        <v/>
      </c>
      <c r="E152" s="84" t="str">
        <f>IF(B152="","",VLOOKUP(A152,Journal!$C$7:$L$84,10))</f>
        <v/>
      </c>
      <c r="F152" s="84" t="str">
        <f>IF(B152="","",VLOOKUP(A152,Journal!$C$7:$M$84,11))</f>
        <v/>
      </c>
      <c r="G152" s="102">
        <f>IF(B152="Total",SUM(G$8:G151)+0.0001,IF(OR(B152="",M152=0),0,VLOOKUP(A152,Journal!$C$7:M$84,7)))</f>
        <v>0</v>
      </c>
      <c r="H152" s="102">
        <f>IF(B152="Total",SUM(H$8:H151)+0.0001,IF(OR(B152="",N152=0),0,VLOOKUP(A152,Journal!$C$7:M$84,7)))</f>
        <v>0</v>
      </c>
      <c r="I152" s="87">
        <f t="shared" si="16"/>
        <v>0</v>
      </c>
      <c r="K152" s="13">
        <f>VLOOKUP(A152,Journal!$C$7:$M$84,4)</f>
        <v>0</v>
      </c>
      <c r="L152" s="13">
        <f>VLOOKUP(A152,Journal!$C$7:$M$84,5)</f>
        <v>0</v>
      </c>
      <c r="M152" s="13">
        <f t="shared" si="12"/>
        <v>0</v>
      </c>
      <c r="N152" s="13">
        <f t="shared" si="13"/>
        <v>0</v>
      </c>
      <c r="O152" s="13"/>
      <c r="P152" s="13">
        <f t="shared" si="14"/>
        <v>1.0000000000000001E-5</v>
      </c>
      <c r="T152" t="str">
        <f t="shared" si="15"/>
        <v/>
      </c>
    </row>
    <row r="153" spans="1:20" x14ac:dyDescent="0.25">
      <c r="A153">
        <f t="shared" si="17"/>
        <v>146</v>
      </c>
      <c r="B153" s="88" t="str">
        <f>IF(OR(B152="Total",B152=""),"",IF(VLOOKUP(A153,Journal!$C$7:$E$84,3)=0,"Total",VLOOKUP(A153,Journal!$C$7:$D$84,2)))</f>
        <v/>
      </c>
      <c r="C153" s="86" t="str">
        <f>IF(B153="","",VLOOKUP(A153,Journal!$C$7:$E$84,3))</f>
        <v/>
      </c>
      <c r="D153" s="84" t="str">
        <f>IF(B153="","",VLOOKUP(A153,Journal!$C$7:$J$84,8))</f>
        <v/>
      </c>
      <c r="E153" s="84" t="str">
        <f>IF(B153="","",VLOOKUP(A153,Journal!$C$7:$L$84,10))</f>
        <v/>
      </c>
      <c r="F153" s="84" t="str">
        <f>IF(B153="","",VLOOKUP(A153,Journal!$C$7:$M$84,11))</f>
        <v/>
      </c>
      <c r="G153" s="102">
        <f>IF(B153="Total",SUM(G$8:G152)+0.0001,IF(OR(B153="",M153=0),0,VLOOKUP(A153,Journal!$C$7:M$84,7)))</f>
        <v>0</v>
      </c>
      <c r="H153" s="102">
        <f>IF(B153="Total",SUM(H$8:H152)+0.0001,IF(OR(B153="",N153=0),0,VLOOKUP(A153,Journal!$C$7:M$84,7)))</f>
        <v>0</v>
      </c>
      <c r="I153" s="87">
        <f t="shared" si="16"/>
        <v>0</v>
      </c>
      <c r="K153" s="13">
        <f>VLOOKUP(A153,Journal!$C$7:$M$84,4)</f>
        <v>0</v>
      </c>
      <c r="L153" s="13">
        <f>VLOOKUP(A153,Journal!$C$7:$M$84,5)</f>
        <v>0</v>
      </c>
      <c r="M153" s="13">
        <f t="shared" ref="M153:M216" si="18">IF(AND(L153&gt;=$F$1,L153&lt;9999),1,0)</f>
        <v>0</v>
      </c>
      <c r="N153" s="13">
        <f t="shared" ref="N153:N216" si="19">IF(AND(K153&gt;=$F$1,K153&lt;9999),1,0)</f>
        <v>0</v>
      </c>
      <c r="O153" s="13"/>
      <c r="P153" s="13">
        <f t="shared" ref="P153:P216" si="20">IF(I152=I153,I152+0.00001,I153)</f>
        <v>1.0000000000000001E-5</v>
      </c>
      <c r="T153" t="str">
        <f t="shared" si="15"/>
        <v/>
      </c>
    </row>
    <row r="154" spans="1:20" x14ac:dyDescent="0.25">
      <c r="A154">
        <f t="shared" si="17"/>
        <v>147</v>
      </c>
      <c r="B154" s="88" t="str">
        <f>IF(OR(B153="Total",B153=""),"",IF(VLOOKUP(A154,Journal!$C$7:$E$84,3)=0,"Total",VLOOKUP(A154,Journal!$C$7:$D$84,2)))</f>
        <v/>
      </c>
      <c r="C154" s="86" t="str">
        <f>IF(B154="","",VLOOKUP(A154,Journal!$C$7:$E$84,3))</f>
        <v/>
      </c>
      <c r="D154" s="84" t="str">
        <f>IF(B154="","",VLOOKUP(A154,Journal!$C$7:$J$84,8))</f>
        <v/>
      </c>
      <c r="E154" s="84" t="str">
        <f>IF(B154="","",VLOOKUP(A154,Journal!$C$7:$L$84,10))</f>
        <v/>
      </c>
      <c r="F154" s="84" t="str">
        <f>IF(B154="","",VLOOKUP(A154,Journal!$C$7:$M$84,11))</f>
        <v/>
      </c>
      <c r="G154" s="102">
        <f>IF(B154="Total",SUM(G$8:G153)+0.0001,IF(OR(B154="",M154=0),0,VLOOKUP(A154,Journal!$C$7:M$84,7)))</f>
        <v>0</v>
      </c>
      <c r="H154" s="102">
        <f>IF(B154="Total",SUM(H$8:H153)+0.0001,IF(OR(B154="",N154=0),0,VLOOKUP(A154,Journal!$C$7:M$84,7)))</f>
        <v>0</v>
      </c>
      <c r="I154" s="87">
        <f t="shared" si="16"/>
        <v>0</v>
      </c>
      <c r="K154" s="13">
        <f>VLOOKUP(A154,Journal!$C$7:$M$84,4)</f>
        <v>0</v>
      </c>
      <c r="L154" s="13">
        <f>VLOOKUP(A154,Journal!$C$7:$M$84,5)</f>
        <v>0</v>
      </c>
      <c r="M154" s="13">
        <f t="shared" si="18"/>
        <v>0</v>
      </c>
      <c r="N154" s="13">
        <f t="shared" si="19"/>
        <v>0</v>
      </c>
      <c r="O154" s="13"/>
      <c r="P154" s="13">
        <f t="shared" si="20"/>
        <v>1.0000000000000001E-5</v>
      </c>
      <c r="T154" t="str">
        <f t="shared" si="15"/>
        <v/>
      </c>
    </row>
    <row r="155" spans="1:20" x14ac:dyDescent="0.25">
      <c r="A155">
        <f t="shared" si="17"/>
        <v>148</v>
      </c>
      <c r="B155" s="88" t="str">
        <f>IF(OR(B154="Total",B154=""),"",IF(VLOOKUP(A155,Journal!$C$7:$E$84,3)=0,"Total",VLOOKUP(A155,Journal!$C$7:$D$84,2)))</f>
        <v/>
      </c>
      <c r="C155" s="86" t="str">
        <f>IF(B155="","",VLOOKUP(A155,Journal!$C$7:$E$84,3))</f>
        <v/>
      </c>
      <c r="D155" s="84" t="str">
        <f>IF(B155="","",VLOOKUP(A155,Journal!$C$7:$J$84,8))</f>
        <v/>
      </c>
      <c r="E155" s="84" t="str">
        <f>IF(B155="","",VLOOKUP(A155,Journal!$C$7:$L$84,10))</f>
        <v/>
      </c>
      <c r="F155" s="84" t="str">
        <f>IF(B155="","",VLOOKUP(A155,Journal!$C$7:$M$84,11))</f>
        <v/>
      </c>
      <c r="G155" s="102">
        <f>IF(B155="Total",SUM(G$8:G154)+0.0001,IF(OR(B155="",M155=0),0,VLOOKUP(A155,Journal!$C$7:M$84,7)))</f>
        <v>0</v>
      </c>
      <c r="H155" s="102">
        <f>IF(B155="Total",SUM(H$8:H154)+0.0001,IF(OR(B155="",N155=0),0,VLOOKUP(A155,Journal!$C$7:M$84,7)))</f>
        <v>0</v>
      </c>
      <c r="I155" s="87">
        <f t="shared" si="16"/>
        <v>0</v>
      </c>
      <c r="K155" s="13">
        <f>VLOOKUP(A155,Journal!$C$7:$M$84,4)</f>
        <v>0</v>
      </c>
      <c r="L155" s="13">
        <f>VLOOKUP(A155,Journal!$C$7:$M$84,5)</f>
        <v>0</v>
      </c>
      <c r="M155" s="13">
        <f t="shared" si="18"/>
        <v>0</v>
      </c>
      <c r="N155" s="13">
        <f t="shared" si="19"/>
        <v>0</v>
      </c>
      <c r="O155" s="13"/>
      <c r="P155" s="13">
        <f t="shared" si="20"/>
        <v>1.0000000000000001E-5</v>
      </c>
      <c r="T155" t="str">
        <f t="shared" si="15"/>
        <v/>
      </c>
    </row>
    <row r="156" spans="1:20" x14ac:dyDescent="0.25">
      <c r="A156">
        <f t="shared" si="17"/>
        <v>149</v>
      </c>
      <c r="B156" s="88" t="str">
        <f>IF(OR(B155="Total",B155=""),"",IF(VLOOKUP(A156,Journal!$C$7:$E$84,3)=0,"Total",VLOOKUP(A156,Journal!$C$7:$D$84,2)))</f>
        <v/>
      </c>
      <c r="C156" s="86" t="str">
        <f>IF(B156="","",VLOOKUP(A156,Journal!$C$7:$E$84,3))</f>
        <v/>
      </c>
      <c r="D156" s="84" t="str">
        <f>IF(B156="","",VLOOKUP(A156,Journal!$C$7:$J$84,8))</f>
        <v/>
      </c>
      <c r="E156" s="84" t="str">
        <f>IF(B156="","",VLOOKUP(A156,Journal!$C$7:$L$84,10))</f>
        <v/>
      </c>
      <c r="F156" s="84" t="str">
        <f>IF(B156="","",VLOOKUP(A156,Journal!$C$7:$M$84,11))</f>
        <v/>
      </c>
      <c r="G156" s="102">
        <f>IF(B156="Total",SUM(G$8:G155)+0.0001,IF(OR(B156="",M156=0),0,VLOOKUP(A156,Journal!$C$7:M$84,7)))</f>
        <v>0</v>
      </c>
      <c r="H156" s="102">
        <f>IF(B156="Total",SUM(H$8:H155)+0.0001,IF(OR(B156="",N156=0),0,VLOOKUP(A156,Journal!$C$7:M$84,7)))</f>
        <v>0</v>
      </c>
      <c r="I156" s="87">
        <f t="shared" si="16"/>
        <v>0</v>
      </c>
      <c r="K156" s="13">
        <f>VLOOKUP(A156,Journal!$C$7:$M$84,4)</f>
        <v>0</v>
      </c>
      <c r="L156" s="13">
        <f>VLOOKUP(A156,Journal!$C$7:$M$84,5)</f>
        <v>0</v>
      </c>
      <c r="M156" s="13">
        <f t="shared" si="18"/>
        <v>0</v>
      </c>
      <c r="N156" s="13">
        <f t="shared" si="19"/>
        <v>0</v>
      </c>
      <c r="O156" s="13"/>
      <c r="P156" s="13">
        <f t="shared" si="20"/>
        <v>1.0000000000000001E-5</v>
      </c>
      <c r="T156" t="str">
        <f t="shared" si="15"/>
        <v/>
      </c>
    </row>
    <row r="157" spans="1:20" x14ac:dyDescent="0.25">
      <c r="A157">
        <f t="shared" si="17"/>
        <v>150</v>
      </c>
      <c r="B157" s="88" t="str">
        <f>IF(OR(B156="Total",B156=""),"",IF(VLOOKUP(A157,Journal!$C$7:$E$84,3)=0,"Total",VLOOKUP(A157,Journal!$C$7:$D$84,2)))</f>
        <v/>
      </c>
      <c r="C157" s="86" t="str">
        <f>IF(B157="","",VLOOKUP(A157,Journal!$C$7:$E$84,3))</f>
        <v/>
      </c>
      <c r="D157" s="84" t="str">
        <f>IF(B157="","",VLOOKUP(A157,Journal!$C$7:$J$84,8))</f>
        <v/>
      </c>
      <c r="E157" s="84" t="str">
        <f>IF(B157="","",VLOOKUP(A157,Journal!$C$7:$L$84,10))</f>
        <v/>
      </c>
      <c r="F157" s="84" t="str">
        <f>IF(B157="","",VLOOKUP(A157,Journal!$C$7:$M$84,11))</f>
        <v/>
      </c>
      <c r="G157" s="102">
        <f>IF(B157="Total",SUM(G$8:G156)+0.0001,IF(OR(B157="",M157=0),0,VLOOKUP(A157,Journal!$C$7:M$84,7)))</f>
        <v>0</v>
      </c>
      <c r="H157" s="102">
        <f>IF(B157="Total",SUM(H$8:H156)+0.0001,IF(OR(B157="",N157=0),0,VLOOKUP(A157,Journal!$C$7:M$84,7)))</f>
        <v>0</v>
      </c>
      <c r="I157" s="87">
        <f t="shared" si="16"/>
        <v>0</v>
      </c>
      <c r="K157" s="13">
        <f>VLOOKUP(A157,Journal!$C$7:$M$84,4)</f>
        <v>0</v>
      </c>
      <c r="L157" s="13">
        <f>VLOOKUP(A157,Journal!$C$7:$M$84,5)</f>
        <v>0</v>
      </c>
      <c r="M157" s="13">
        <f t="shared" si="18"/>
        <v>0</v>
      </c>
      <c r="N157" s="13">
        <f t="shared" si="19"/>
        <v>0</v>
      </c>
      <c r="O157" s="13"/>
      <c r="P157" s="13">
        <f t="shared" si="20"/>
        <v>1.0000000000000001E-5</v>
      </c>
      <c r="T157" t="str">
        <f t="shared" si="15"/>
        <v/>
      </c>
    </row>
    <row r="158" spans="1:20" x14ac:dyDescent="0.25">
      <c r="A158">
        <f t="shared" si="17"/>
        <v>151</v>
      </c>
      <c r="B158" s="88" t="str">
        <f>IF(OR(B157="Total",B157=""),"",IF(VLOOKUP(A158,Journal!$C$7:$E$84,3)=0,"Total",VLOOKUP(A158,Journal!$C$7:$D$84,2)))</f>
        <v/>
      </c>
      <c r="C158" s="86" t="str">
        <f>IF(B158="","",VLOOKUP(A158,Journal!$C$7:$E$84,3))</f>
        <v/>
      </c>
      <c r="D158" s="84" t="str">
        <f>IF(B158="","",VLOOKUP(A158,Journal!$C$7:$J$84,8))</f>
        <v/>
      </c>
      <c r="E158" s="84" t="str">
        <f>IF(B158="","",VLOOKUP(A158,Journal!$C$7:$L$84,10))</f>
        <v/>
      </c>
      <c r="F158" s="84" t="str">
        <f>IF(B158="","",VLOOKUP(A158,Journal!$C$7:$M$84,11))</f>
        <v/>
      </c>
      <c r="G158" s="102">
        <f>IF(B158="Total",SUM(G$8:G157)+0.0001,IF(OR(B158="",M158=0),0,VLOOKUP(A158,Journal!$C$7:M$84,7)))</f>
        <v>0</v>
      </c>
      <c r="H158" s="102">
        <f>IF(B158="Total",SUM(H$8:H157)+0.0001,IF(OR(B158="",N158=0),0,VLOOKUP(A158,Journal!$C$7:M$84,7)))</f>
        <v>0</v>
      </c>
      <c r="I158" s="87">
        <f t="shared" si="16"/>
        <v>0</v>
      </c>
      <c r="K158" s="13">
        <f>VLOOKUP(A158,Journal!$C$7:$M$84,4)</f>
        <v>0</v>
      </c>
      <c r="L158" s="13">
        <f>VLOOKUP(A158,Journal!$C$7:$M$84,5)</f>
        <v>0</v>
      </c>
      <c r="M158" s="13">
        <f t="shared" si="18"/>
        <v>0</v>
      </c>
      <c r="N158" s="13">
        <f t="shared" si="19"/>
        <v>0</v>
      </c>
      <c r="O158" s="13"/>
      <c r="P158" s="13">
        <f t="shared" si="20"/>
        <v>1.0000000000000001E-5</v>
      </c>
      <c r="T158" t="str">
        <f t="shared" si="15"/>
        <v/>
      </c>
    </row>
    <row r="159" spans="1:20" x14ac:dyDescent="0.25">
      <c r="A159">
        <f t="shared" si="17"/>
        <v>152</v>
      </c>
      <c r="B159" s="88" t="str">
        <f>IF(OR(B158="Total",B158=""),"",IF(VLOOKUP(A159,Journal!$C$7:$E$84,3)=0,"Total",VLOOKUP(A159,Journal!$C$7:$D$84,2)))</f>
        <v/>
      </c>
      <c r="C159" s="86" t="str">
        <f>IF(B159="","",VLOOKUP(A159,Journal!$C$7:$E$84,3))</f>
        <v/>
      </c>
      <c r="D159" s="84" t="str">
        <f>IF(B159="","",VLOOKUP(A159,Journal!$C$7:$J$84,8))</f>
        <v/>
      </c>
      <c r="E159" s="84" t="str">
        <f>IF(B159="","",VLOOKUP(A159,Journal!$C$7:$L$84,10))</f>
        <v/>
      </c>
      <c r="F159" s="84" t="str">
        <f>IF(B159="","",VLOOKUP(A159,Journal!$C$7:$M$84,11))</f>
        <v/>
      </c>
      <c r="G159" s="102">
        <f>IF(B159="Total",SUM(G$8:G158)+0.0001,IF(OR(B159="",M159=0),0,VLOOKUP(A159,Journal!$C$7:M$84,7)))</f>
        <v>0</v>
      </c>
      <c r="H159" s="102">
        <f>IF(B159="Total",SUM(H$8:H158)+0.0001,IF(OR(B159="",N159=0),0,VLOOKUP(A159,Journal!$C$7:M$84,7)))</f>
        <v>0</v>
      </c>
      <c r="I159" s="87">
        <f t="shared" si="16"/>
        <v>0</v>
      </c>
      <c r="K159" s="13">
        <f>VLOOKUP(A159,Journal!$C$7:$M$84,4)</f>
        <v>0</v>
      </c>
      <c r="L159" s="13">
        <f>VLOOKUP(A159,Journal!$C$7:$M$84,5)</f>
        <v>0</v>
      </c>
      <c r="M159" s="13">
        <f t="shared" si="18"/>
        <v>0</v>
      </c>
      <c r="N159" s="13">
        <f t="shared" si="19"/>
        <v>0</v>
      </c>
      <c r="O159" s="13"/>
      <c r="P159" s="13">
        <f t="shared" si="20"/>
        <v>1.0000000000000001E-5</v>
      </c>
      <c r="T159" t="str">
        <f t="shared" si="15"/>
        <v/>
      </c>
    </row>
    <row r="160" spans="1:20" x14ac:dyDescent="0.25">
      <c r="A160">
        <f t="shared" si="17"/>
        <v>153</v>
      </c>
      <c r="B160" s="88" t="str">
        <f>IF(OR(B159="Total",B159=""),"",IF(VLOOKUP(A160,Journal!$C$7:$E$84,3)=0,"Total",VLOOKUP(A160,Journal!$C$7:$D$84,2)))</f>
        <v/>
      </c>
      <c r="C160" s="86" t="str">
        <f>IF(B160="","",VLOOKUP(A160,Journal!$C$7:$E$84,3))</f>
        <v/>
      </c>
      <c r="D160" s="84" t="str">
        <f>IF(B160="","",VLOOKUP(A160,Journal!$C$7:$J$84,8))</f>
        <v/>
      </c>
      <c r="E160" s="84" t="str">
        <f>IF(B160="","",VLOOKUP(A160,Journal!$C$7:$L$84,10))</f>
        <v/>
      </c>
      <c r="F160" s="84" t="str">
        <f>IF(B160="","",VLOOKUP(A160,Journal!$C$7:$M$84,11))</f>
        <v/>
      </c>
      <c r="G160" s="102">
        <f>IF(B160="Total",SUM(G$8:G159)+0.0001,IF(OR(B160="",M160=0),0,VLOOKUP(A160,Journal!$C$7:M$84,7)))</f>
        <v>0</v>
      </c>
      <c r="H160" s="102">
        <f>IF(B160="Total",SUM(H$8:H159)+0.0001,IF(OR(B160="",N160=0),0,VLOOKUP(A160,Journal!$C$7:M$84,7)))</f>
        <v>0</v>
      </c>
      <c r="I160" s="87">
        <f t="shared" si="16"/>
        <v>0</v>
      </c>
      <c r="K160" s="13">
        <f>VLOOKUP(A160,Journal!$C$7:$M$84,4)</f>
        <v>0</v>
      </c>
      <c r="L160" s="13">
        <f>VLOOKUP(A160,Journal!$C$7:$M$84,5)</f>
        <v>0</v>
      </c>
      <c r="M160" s="13">
        <f t="shared" si="18"/>
        <v>0</v>
      </c>
      <c r="N160" s="13">
        <f t="shared" si="19"/>
        <v>0</v>
      </c>
      <c r="O160" s="13"/>
      <c r="P160" s="13">
        <f t="shared" si="20"/>
        <v>1.0000000000000001E-5</v>
      </c>
      <c r="T160" t="str">
        <f t="shared" si="15"/>
        <v/>
      </c>
    </row>
    <row r="161" spans="1:20" x14ac:dyDescent="0.25">
      <c r="A161">
        <f t="shared" si="17"/>
        <v>154</v>
      </c>
      <c r="B161" s="88" t="str">
        <f>IF(OR(B160="Total",B160=""),"",IF(VLOOKUP(A161,Journal!$C$7:$E$84,3)=0,"Total",VLOOKUP(A161,Journal!$C$7:$D$84,2)))</f>
        <v/>
      </c>
      <c r="C161" s="86" t="str">
        <f>IF(B161="","",VLOOKUP(A161,Journal!$C$7:$E$84,3))</f>
        <v/>
      </c>
      <c r="D161" s="84" t="str">
        <f>IF(B161="","",VLOOKUP(A161,Journal!$C$7:$J$84,8))</f>
        <v/>
      </c>
      <c r="E161" s="84" t="str">
        <f>IF(B161="","",VLOOKUP(A161,Journal!$C$7:$L$84,10))</f>
        <v/>
      </c>
      <c r="F161" s="84" t="str">
        <f>IF(B161="","",VLOOKUP(A161,Journal!$C$7:$M$84,11))</f>
        <v/>
      </c>
      <c r="G161" s="102">
        <f>IF(B161="Total",SUM(G$8:G160)+0.0001,IF(OR(B161="",M161=0),0,VLOOKUP(A161,Journal!$C$7:M$84,7)))</f>
        <v>0</v>
      </c>
      <c r="H161" s="102">
        <f>IF(B161="Total",SUM(H$8:H160)+0.0001,IF(OR(B161="",N161=0),0,VLOOKUP(A161,Journal!$C$7:M$84,7)))</f>
        <v>0</v>
      </c>
      <c r="I161" s="87">
        <f t="shared" si="16"/>
        <v>0</v>
      </c>
      <c r="K161" s="13">
        <f>VLOOKUP(A161,Journal!$C$7:$M$84,4)</f>
        <v>0</v>
      </c>
      <c r="L161" s="13">
        <f>VLOOKUP(A161,Journal!$C$7:$M$84,5)</f>
        <v>0</v>
      </c>
      <c r="M161" s="13">
        <f t="shared" si="18"/>
        <v>0</v>
      </c>
      <c r="N161" s="13">
        <f t="shared" si="19"/>
        <v>0</v>
      </c>
      <c r="O161" s="13"/>
      <c r="P161" s="13">
        <f t="shared" si="20"/>
        <v>1.0000000000000001E-5</v>
      </c>
      <c r="T161" t="str">
        <f t="shared" si="15"/>
        <v/>
      </c>
    </row>
    <row r="162" spans="1:20" x14ac:dyDescent="0.25">
      <c r="A162">
        <f t="shared" si="17"/>
        <v>155</v>
      </c>
      <c r="B162" s="88" t="str">
        <f>IF(OR(B161="Total",B161=""),"",IF(VLOOKUP(A162,Journal!$C$7:$E$84,3)=0,"Total",VLOOKUP(A162,Journal!$C$7:$D$84,2)))</f>
        <v/>
      </c>
      <c r="C162" s="86" t="str">
        <f>IF(B162="","",VLOOKUP(A162,Journal!$C$7:$E$84,3))</f>
        <v/>
      </c>
      <c r="D162" s="84" t="str">
        <f>IF(B162="","",VLOOKUP(A162,Journal!$C$7:$J$84,8))</f>
        <v/>
      </c>
      <c r="E162" s="84" t="str">
        <f>IF(B162="","",VLOOKUP(A162,Journal!$C$7:$L$84,10))</f>
        <v/>
      </c>
      <c r="F162" s="84" t="str">
        <f>IF(B162="","",VLOOKUP(A162,Journal!$C$7:$M$84,11))</f>
        <v/>
      </c>
      <c r="G162" s="102">
        <f>IF(B162="Total",SUM(G$8:G161)+0.0001,IF(OR(B162="",M162=0),0,VLOOKUP(A162,Journal!$C$7:M$84,7)))</f>
        <v>0</v>
      </c>
      <c r="H162" s="102">
        <f>IF(B162="Total",SUM(H$8:H161)+0.0001,IF(OR(B162="",N162=0),0,VLOOKUP(A162,Journal!$C$7:M$84,7)))</f>
        <v>0</v>
      </c>
      <c r="I162" s="87">
        <f t="shared" si="16"/>
        <v>0</v>
      </c>
      <c r="K162" s="13">
        <f>VLOOKUP(A162,Journal!$C$7:$M$84,4)</f>
        <v>0</v>
      </c>
      <c r="L162" s="13">
        <f>VLOOKUP(A162,Journal!$C$7:$M$84,5)</f>
        <v>0</v>
      </c>
      <c r="M162" s="13">
        <f t="shared" si="18"/>
        <v>0</v>
      </c>
      <c r="N162" s="13">
        <f t="shared" si="19"/>
        <v>0</v>
      </c>
      <c r="O162" s="13"/>
      <c r="P162" s="13">
        <f t="shared" si="20"/>
        <v>1.0000000000000001E-5</v>
      </c>
      <c r="T162" t="str">
        <f t="shared" si="15"/>
        <v/>
      </c>
    </row>
    <row r="163" spans="1:20" x14ac:dyDescent="0.25">
      <c r="A163">
        <f t="shared" si="17"/>
        <v>156</v>
      </c>
      <c r="B163" s="88" t="str">
        <f>IF(OR(B162="Total",B162=""),"",IF(VLOOKUP(A163,Journal!$C$7:$E$84,3)=0,"Total",VLOOKUP(A163,Journal!$C$7:$D$84,2)))</f>
        <v/>
      </c>
      <c r="C163" s="86" t="str">
        <f>IF(B163="","",VLOOKUP(A163,Journal!$C$7:$E$84,3))</f>
        <v/>
      </c>
      <c r="D163" s="84" t="str">
        <f>IF(B163="","",VLOOKUP(A163,Journal!$C$7:$J$84,8))</f>
        <v/>
      </c>
      <c r="E163" s="84" t="str">
        <f>IF(B163="","",VLOOKUP(A163,Journal!$C$7:$L$84,10))</f>
        <v/>
      </c>
      <c r="F163" s="84" t="str">
        <f>IF(B163="","",VLOOKUP(A163,Journal!$C$7:$M$84,11))</f>
        <v/>
      </c>
      <c r="G163" s="102">
        <f>IF(B163="Total",SUM(G$8:G162)+0.0001,IF(OR(B163="",M163=0),0,VLOOKUP(A163,Journal!$C$7:M$84,7)))</f>
        <v>0</v>
      </c>
      <c r="H163" s="102">
        <f>IF(B163="Total",SUM(H$8:H162)+0.0001,IF(OR(B163="",N163=0),0,VLOOKUP(A163,Journal!$C$7:M$84,7)))</f>
        <v>0</v>
      </c>
      <c r="I163" s="87">
        <f t="shared" si="16"/>
        <v>0</v>
      </c>
      <c r="K163" s="13">
        <f>VLOOKUP(A163,Journal!$C$7:$M$84,4)</f>
        <v>0</v>
      </c>
      <c r="L163" s="13">
        <f>VLOOKUP(A163,Journal!$C$7:$M$84,5)</f>
        <v>0</v>
      </c>
      <c r="M163" s="13">
        <f t="shared" si="18"/>
        <v>0</v>
      </c>
      <c r="N163" s="13">
        <f t="shared" si="19"/>
        <v>0</v>
      </c>
      <c r="O163" s="13"/>
      <c r="P163" s="13">
        <f t="shared" si="20"/>
        <v>1.0000000000000001E-5</v>
      </c>
      <c r="T163" t="str">
        <f t="shared" si="15"/>
        <v/>
      </c>
    </row>
    <row r="164" spans="1:20" x14ac:dyDescent="0.25">
      <c r="A164">
        <f t="shared" si="17"/>
        <v>157</v>
      </c>
      <c r="B164" s="88" t="str">
        <f>IF(OR(B163="Total",B163=""),"",IF(VLOOKUP(A164,Journal!$C$7:$E$84,3)=0,"Total",VLOOKUP(A164,Journal!$C$7:$D$84,2)))</f>
        <v/>
      </c>
      <c r="C164" s="86" t="str">
        <f>IF(B164="","",VLOOKUP(A164,Journal!$C$7:$E$84,3))</f>
        <v/>
      </c>
      <c r="D164" s="84" t="str">
        <f>IF(B164="","",VLOOKUP(A164,Journal!$C$7:$J$84,8))</f>
        <v/>
      </c>
      <c r="E164" s="84" t="str">
        <f>IF(B164="","",VLOOKUP(A164,Journal!$C$7:$L$84,10))</f>
        <v/>
      </c>
      <c r="F164" s="84" t="str">
        <f>IF(B164="","",VLOOKUP(A164,Journal!$C$7:$M$84,11))</f>
        <v/>
      </c>
      <c r="G164" s="102">
        <f>IF(B164="Total",SUM(G$8:G163)+0.0001,IF(OR(B164="",M164=0),0,VLOOKUP(A164,Journal!$C$7:M$84,7)))</f>
        <v>0</v>
      </c>
      <c r="H164" s="102">
        <f>IF(B164="Total",SUM(H$8:H163)+0.0001,IF(OR(B164="",N164=0),0,VLOOKUP(A164,Journal!$C$7:M$84,7)))</f>
        <v>0</v>
      </c>
      <c r="I164" s="87">
        <f t="shared" si="16"/>
        <v>0</v>
      </c>
      <c r="K164" s="13">
        <f>VLOOKUP(A164,Journal!$C$7:$M$84,4)</f>
        <v>0</v>
      </c>
      <c r="L164" s="13">
        <f>VLOOKUP(A164,Journal!$C$7:$M$84,5)</f>
        <v>0</v>
      </c>
      <c r="M164" s="13">
        <f t="shared" si="18"/>
        <v>0</v>
      </c>
      <c r="N164" s="13">
        <f t="shared" si="19"/>
        <v>0</v>
      </c>
      <c r="O164" s="13"/>
      <c r="P164" s="13">
        <f t="shared" si="20"/>
        <v>1.0000000000000001E-5</v>
      </c>
      <c r="T164" t="str">
        <f t="shared" si="15"/>
        <v/>
      </c>
    </row>
    <row r="165" spans="1:20" x14ac:dyDescent="0.25">
      <c r="A165">
        <f t="shared" si="17"/>
        <v>158</v>
      </c>
      <c r="B165" s="88" t="str">
        <f>IF(OR(B164="Total",B164=""),"",IF(VLOOKUP(A165,Journal!$C$7:$E$84,3)=0,"Total",VLOOKUP(A165,Journal!$C$7:$D$84,2)))</f>
        <v/>
      </c>
      <c r="C165" s="86" t="str">
        <f>IF(B165="","",VLOOKUP(A165,Journal!$C$7:$E$84,3))</f>
        <v/>
      </c>
      <c r="D165" s="84" t="str">
        <f>IF(B165="","",VLOOKUP(A165,Journal!$C$7:$J$84,8))</f>
        <v/>
      </c>
      <c r="E165" s="84" t="str">
        <f>IF(B165="","",VLOOKUP(A165,Journal!$C$7:$L$84,10))</f>
        <v/>
      </c>
      <c r="F165" s="84" t="str">
        <f>IF(B165="","",VLOOKUP(A165,Journal!$C$7:$M$84,11))</f>
        <v/>
      </c>
      <c r="G165" s="102">
        <f>IF(B165="Total",SUM(G$8:G164)+0.0001,IF(OR(B165="",M165=0),0,VLOOKUP(A165,Journal!$C$7:M$84,7)))</f>
        <v>0</v>
      </c>
      <c r="H165" s="102">
        <f>IF(B165="Total",SUM(H$8:H164)+0.0001,IF(OR(B165="",N165=0),0,VLOOKUP(A165,Journal!$C$7:M$84,7)))</f>
        <v>0</v>
      </c>
      <c r="I165" s="87">
        <f t="shared" si="16"/>
        <v>0</v>
      </c>
      <c r="K165" s="13">
        <f>VLOOKUP(A165,Journal!$C$7:$M$84,4)</f>
        <v>0</v>
      </c>
      <c r="L165" s="13">
        <f>VLOOKUP(A165,Journal!$C$7:$M$84,5)</f>
        <v>0</v>
      </c>
      <c r="M165" s="13">
        <f t="shared" si="18"/>
        <v>0</v>
      </c>
      <c r="N165" s="13">
        <f t="shared" si="19"/>
        <v>0</v>
      </c>
      <c r="O165" s="13"/>
      <c r="P165" s="13">
        <f t="shared" si="20"/>
        <v>1.0000000000000001E-5</v>
      </c>
      <c r="T165" t="str">
        <f t="shared" si="15"/>
        <v/>
      </c>
    </row>
    <row r="166" spans="1:20" x14ac:dyDescent="0.25">
      <c r="A166">
        <f t="shared" si="17"/>
        <v>159</v>
      </c>
      <c r="B166" s="88" t="str">
        <f>IF(OR(B165="Total",B165=""),"",IF(VLOOKUP(A166,Journal!$C$7:$E$84,3)=0,"Total",VLOOKUP(A166,Journal!$C$7:$D$84,2)))</f>
        <v/>
      </c>
      <c r="C166" s="86" t="str">
        <f>IF(B166="","",VLOOKUP(A166,Journal!$C$7:$E$84,3))</f>
        <v/>
      </c>
      <c r="D166" s="84" t="str">
        <f>IF(B166="","",VLOOKUP(A166,Journal!$C$7:$J$84,8))</f>
        <v/>
      </c>
      <c r="E166" s="84" t="str">
        <f>IF(B166="","",VLOOKUP(A166,Journal!$C$7:$L$84,10))</f>
        <v/>
      </c>
      <c r="F166" s="84" t="str">
        <f>IF(B166="","",VLOOKUP(A166,Journal!$C$7:$M$84,11))</f>
        <v/>
      </c>
      <c r="G166" s="102">
        <f>IF(B166="Total",SUM(G$8:G165)+0.0001,IF(OR(B166="",M166=0),0,VLOOKUP(A166,Journal!$C$7:M$84,7)))</f>
        <v>0</v>
      </c>
      <c r="H166" s="102">
        <f>IF(B166="Total",SUM(H$8:H165)+0.0001,IF(OR(B166="",N166=0),0,VLOOKUP(A166,Journal!$C$7:M$84,7)))</f>
        <v>0</v>
      </c>
      <c r="I166" s="87">
        <f t="shared" si="16"/>
        <v>0</v>
      </c>
      <c r="K166" s="13">
        <f>VLOOKUP(A166,Journal!$C$7:$M$84,4)</f>
        <v>0</v>
      </c>
      <c r="L166" s="13">
        <f>VLOOKUP(A166,Journal!$C$7:$M$84,5)</f>
        <v>0</v>
      </c>
      <c r="M166" s="13">
        <f t="shared" si="18"/>
        <v>0</v>
      </c>
      <c r="N166" s="13">
        <f t="shared" si="19"/>
        <v>0</v>
      </c>
      <c r="O166" s="13"/>
      <c r="P166" s="13">
        <f t="shared" si="20"/>
        <v>1.0000000000000001E-5</v>
      </c>
      <c r="T166" t="str">
        <f t="shared" si="15"/>
        <v/>
      </c>
    </row>
    <row r="167" spans="1:20" x14ac:dyDescent="0.25">
      <c r="A167">
        <f t="shared" si="17"/>
        <v>160</v>
      </c>
      <c r="B167" s="88" t="str">
        <f>IF(OR(B166="Total",B166=""),"",IF(VLOOKUP(A167,Journal!$C$7:$E$84,3)=0,"Total",VLOOKUP(A167,Journal!$C$7:$D$84,2)))</f>
        <v/>
      </c>
      <c r="C167" s="86" t="str">
        <f>IF(B167="","",VLOOKUP(A167,Journal!$C$7:$E$84,3))</f>
        <v/>
      </c>
      <c r="D167" s="84" t="str">
        <f>IF(B167="","",VLOOKUP(A167,Journal!$C$7:$J$84,8))</f>
        <v/>
      </c>
      <c r="E167" s="84" t="str">
        <f>IF(B167="","",VLOOKUP(A167,Journal!$C$7:$L$84,10))</f>
        <v/>
      </c>
      <c r="F167" s="84" t="str">
        <f>IF(B167="","",VLOOKUP(A167,Journal!$C$7:$M$84,11))</f>
        <v/>
      </c>
      <c r="G167" s="102">
        <f>IF(B167="Total",SUM(G$8:G166)+0.0001,IF(OR(B167="",M167=0),0,VLOOKUP(A167,Journal!$C$7:M$84,7)))</f>
        <v>0</v>
      </c>
      <c r="H167" s="102">
        <f>IF(B167="Total",SUM(H$8:H166)+0.0001,IF(OR(B167="",N167=0),0,VLOOKUP(A167,Journal!$C$7:M$84,7)))</f>
        <v>0</v>
      </c>
      <c r="I167" s="87">
        <f t="shared" si="16"/>
        <v>0</v>
      </c>
      <c r="K167" s="13">
        <f>VLOOKUP(A167,Journal!$C$7:$M$84,4)</f>
        <v>0</v>
      </c>
      <c r="L167" s="13">
        <f>VLOOKUP(A167,Journal!$C$7:$M$84,5)</f>
        <v>0</v>
      </c>
      <c r="M167" s="13">
        <f t="shared" si="18"/>
        <v>0</v>
      </c>
      <c r="N167" s="13">
        <f t="shared" si="19"/>
        <v>0</v>
      </c>
      <c r="O167" s="13"/>
      <c r="P167" s="13">
        <f t="shared" si="20"/>
        <v>1.0000000000000001E-5</v>
      </c>
      <c r="T167" t="str">
        <f t="shared" si="15"/>
        <v/>
      </c>
    </row>
    <row r="168" spans="1:20" x14ac:dyDescent="0.25">
      <c r="A168">
        <f t="shared" si="17"/>
        <v>161</v>
      </c>
      <c r="B168" s="88" t="str">
        <f>IF(OR(B167="Total",B167=""),"",IF(VLOOKUP(A168,Journal!$C$7:$E$84,3)=0,"Total",VLOOKUP(A168,Journal!$C$7:$D$84,2)))</f>
        <v/>
      </c>
      <c r="C168" s="86" t="str">
        <f>IF(B168="","",VLOOKUP(A168,Journal!$C$7:$E$84,3))</f>
        <v/>
      </c>
      <c r="D168" s="84" t="str">
        <f>IF(B168="","",VLOOKUP(A168,Journal!$C$7:$J$84,8))</f>
        <v/>
      </c>
      <c r="E168" s="84" t="str">
        <f>IF(B168="","",VLOOKUP(A168,Journal!$C$7:$L$84,10))</f>
        <v/>
      </c>
      <c r="F168" s="84" t="str">
        <f>IF(B168="","",VLOOKUP(A168,Journal!$C$7:$M$84,11))</f>
        <v/>
      </c>
      <c r="G168" s="102">
        <f>IF(B168="Total",SUM(G$8:G167)+0.0001,IF(OR(B168="",M168=0),0,VLOOKUP(A168,Journal!$C$7:M$84,7)))</f>
        <v>0</v>
      </c>
      <c r="H168" s="102">
        <f>IF(B168="Total",SUM(H$8:H167)+0.0001,IF(OR(B168="",N168=0),0,VLOOKUP(A168,Journal!$C$7:M$84,7)))</f>
        <v>0</v>
      </c>
      <c r="I168" s="87">
        <f t="shared" si="16"/>
        <v>0</v>
      </c>
      <c r="K168" s="13">
        <f>VLOOKUP(A168,Journal!$C$7:$M$84,4)</f>
        <v>0</v>
      </c>
      <c r="L168" s="13">
        <f>VLOOKUP(A168,Journal!$C$7:$M$84,5)</f>
        <v>0</v>
      </c>
      <c r="M168" s="13">
        <f t="shared" si="18"/>
        <v>0</v>
      </c>
      <c r="N168" s="13">
        <f t="shared" si="19"/>
        <v>0</v>
      </c>
      <c r="O168" s="13"/>
      <c r="P168" s="13">
        <f t="shared" si="20"/>
        <v>1.0000000000000001E-5</v>
      </c>
      <c r="T168" t="str">
        <f t="shared" si="15"/>
        <v/>
      </c>
    </row>
    <row r="169" spans="1:20" x14ac:dyDescent="0.25">
      <c r="A169">
        <f t="shared" si="17"/>
        <v>162</v>
      </c>
      <c r="B169" s="88" t="str">
        <f>IF(OR(B168="Total",B168=""),"",IF(VLOOKUP(A169,Journal!$C$7:$E$84,3)=0,"Total",VLOOKUP(A169,Journal!$C$7:$D$84,2)))</f>
        <v/>
      </c>
      <c r="C169" s="86" t="str">
        <f>IF(B169="","",VLOOKUP(A169,Journal!$C$7:$E$84,3))</f>
        <v/>
      </c>
      <c r="D169" s="84" t="str">
        <f>IF(B169="","",VLOOKUP(A169,Journal!$C$7:$J$84,8))</f>
        <v/>
      </c>
      <c r="E169" s="84" t="str">
        <f>IF(B169="","",VLOOKUP(A169,Journal!$C$7:$L$84,10))</f>
        <v/>
      </c>
      <c r="F169" s="84" t="str">
        <f>IF(B169="","",VLOOKUP(A169,Journal!$C$7:$M$84,11))</f>
        <v/>
      </c>
      <c r="G169" s="102">
        <f>IF(B169="Total",SUM(G$8:G168)+0.0001,IF(OR(B169="",M169=0),0,VLOOKUP(A169,Journal!$C$7:M$84,7)))</f>
        <v>0</v>
      </c>
      <c r="H169" s="102">
        <f>IF(B169="Total",SUM(H$8:H168)+0.0001,IF(OR(B169="",N169=0),0,VLOOKUP(A169,Journal!$C$7:M$84,7)))</f>
        <v>0</v>
      </c>
      <c r="I169" s="87">
        <f t="shared" si="16"/>
        <v>0</v>
      </c>
      <c r="K169" s="13">
        <f>VLOOKUP(A169,Journal!$C$7:$M$84,4)</f>
        <v>0</v>
      </c>
      <c r="L169" s="13">
        <f>VLOOKUP(A169,Journal!$C$7:$M$84,5)</f>
        <v>0</v>
      </c>
      <c r="M169" s="13">
        <f t="shared" si="18"/>
        <v>0</v>
      </c>
      <c r="N169" s="13">
        <f t="shared" si="19"/>
        <v>0</v>
      </c>
      <c r="O169" s="13"/>
      <c r="P169" s="13">
        <f t="shared" si="20"/>
        <v>1.0000000000000001E-5</v>
      </c>
      <c r="T169" t="str">
        <f t="shared" si="15"/>
        <v/>
      </c>
    </row>
    <row r="170" spans="1:20" x14ac:dyDescent="0.25">
      <c r="A170">
        <f t="shared" si="17"/>
        <v>163</v>
      </c>
      <c r="B170" s="88" t="str">
        <f>IF(OR(B169="Total",B169=""),"",IF(VLOOKUP(A170,Journal!$C$7:$E$84,3)=0,"Total",VLOOKUP(A170,Journal!$C$7:$D$84,2)))</f>
        <v/>
      </c>
      <c r="C170" s="86" t="str">
        <f>IF(B170="","",VLOOKUP(A170,Journal!$C$7:$E$84,3))</f>
        <v/>
      </c>
      <c r="D170" s="84" t="str">
        <f>IF(B170="","",VLOOKUP(A170,Journal!$C$7:$J$84,8))</f>
        <v/>
      </c>
      <c r="E170" s="84" t="str">
        <f>IF(B170="","",VLOOKUP(A170,Journal!$C$7:$L$84,10))</f>
        <v/>
      </c>
      <c r="F170" s="84" t="str">
        <f>IF(B170="","",VLOOKUP(A170,Journal!$C$7:$M$84,11))</f>
        <v/>
      </c>
      <c r="G170" s="102">
        <f>IF(B170="Total",SUM(G$8:G169)+0.0001,IF(OR(B170="",M170=0),0,VLOOKUP(A170,Journal!$C$7:M$84,7)))</f>
        <v>0</v>
      </c>
      <c r="H170" s="102">
        <f>IF(B170="Total",SUM(H$8:H169)+0.0001,IF(OR(B170="",N170=0),0,VLOOKUP(A170,Journal!$C$7:M$84,7)))</f>
        <v>0</v>
      </c>
      <c r="I170" s="87">
        <f t="shared" si="16"/>
        <v>0</v>
      </c>
      <c r="K170" s="13">
        <f>VLOOKUP(A170,Journal!$C$7:$M$84,4)</f>
        <v>0</v>
      </c>
      <c r="L170" s="13">
        <f>VLOOKUP(A170,Journal!$C$7:$M$84,5)</f>
        <v>0</v>
      </c>
      <c r="M170" s="13">
        <f t="shared" si="18"/>
        <v>0</v>
      </c>
      <c r="N170" s="13">
        <f t="shared" si="19"/>
        <v>0</v>
      </c>
      <c r="O170" s="13"/>
      <c r="P170" s="13">
        <f t="shared" si="20"/>
        <v>1.0000000000000001E-5</v>
      </c>
      <c r="T170" t="str">
        <f t="shared" si="15"/>
        <v/>
      </c>
    </row>
    <row r="171" spans="1:20" x14ac:dyDescent="0.25">
      <c r="A171">
        <f t="shared" si="17"/>
        <v>164</v>
      </c>
      <c r="B171" s="88" t="str">
        <f>IF(OR(B170="Total",B170=""),"",IF(VLOOKUP(A171,Journal!$C$7:$E$84,3)=0,"Total",VLOOKUP(A171,Journal!$C$7:$D$84,2)))</f>
        <v/>
      </c>
      <c r="C171" s="86" t="str">
        <f>IF(B171="","",VLOOKUP(A171,Journal!$C$7:$E$84,3))</f>
        <v/>
      </c>
      <c r="D171" s="84" t="str">
        <f>IF(B171="","",VLOOKUP(A171,Journal!$C$7:$J$84,8))</f>
        <v/>
      </c>
      <c r="E171" s="84" t="str">
        <f>IF(B171="","",VLOOKUP(A171,Journal!$C$7:$L$84,10))</f>
        <v/>
      </c>
      <c r="F171" s="84" t="str">
        <f>IF(B171="","",VLOOKUP(A171,Journal!$C$7:$M$84,11))</f>
        <v/>
      </c>
      <c r="G171" s="102">
        <f>IF(B171="Total",SUM(G$8:G170)+0.0001,IF(OR(B171="",M171=0),0,VLOOKUP(A171,Journal!$C$7:M$84,7)))</f>
        <v>0</v>
      </c>
      <c r="H171" s="102">
        <f>IF(B171="Total",SUM(H$8:H170)+0.0001,IF(OR(B171="",N171=0),0,VLOOKUP(A171,Journal!$C$7:M$84,7)))</f>
        <v>0</v>
      </c>
      <c r="I171" s="87">
        <f t="shared" si="16"/>
        <v>0</v>
      </c>
      <c r="K171" s="13">
        <f>VLOOKUP(A171,Journal!$C$7:$M$84,4)</f>
        <v>0</v>
      </c>
      <c r="L171" s="13">
        <f>VLOOKUP(A171,Journal!$C$7:$M$84,5)</f>
        <v>0</v>
      </c>
      <c r="M171" s="13">
        <f t="shared" si="18"/>
        <v>0</v>
      </c>
      <c r="N171" s="13">
        <f t="shared" si="19"/>
        <v>0</v>
      </c>
      <c r="O171" s="13"/>
      <c r="P171" s="13">
        <f t="shared" si="20"/>
        <v>1.0000000000000001E-5</v>
      </c>
      <c r="T171" t="str">
        <f t="shared" si="15"/>
        <v/>
      </c>
    </row>
    <row r="172" spans="1:20" x14ac:dyDescent="0.25">
      <c r="A172">
        <f t="shared" si="17"/>
        <v>165</v>
      </c>
      <c r="B172" s="88" t="str">
        <f>IF(OR(B171="Total",B171=""),"",IF(VLOOKUP(A172,Journal!$C$7:$E$84,3)=0,"Total",VLOOKUP(A172,Journal!$C$7:$D$84,2)))</f>
        <v/>
      </c>
      <c r="C172" s="86" t="str">
        <f>IF(B172="","",VLOOKUP(A172,Journal!$C$7:$E$84,3))</f>
        <v/>
      </c>
      <c r="D172" s="84" t="str">
        <f>IF(B172="","",VLOOKUP(A172,Journal!$C$7:$J$84,8))</f>
        <v/>
      </c>
      <c r="E172" s="84" t="str">
        <f>IF(B172="","",VLOOKUP(A172,Journal!$C$7:$L$84,10))</f>
        <v/>
      </c>
      <c r="F172" s="84" t="str">
        <f>IF(B172="","",VLOOKUP(A172,Journal!$C$7:$M$84,11))</f>
        <v/>
      </c>
      <c r="G172" s="102">
        <f>IF(B172="Total",SUM(G$8:G171)+0.0001,IF(OR(B172="",M172=0),0,VLOOKUP(A172,Journal!$C$7:M$84,7)))</f>
        <v>0</v>
      </c>
      <c r="H172" s="102">
        <f>IF(B172="Total",SUM(H$8:H171)+0.0001,IF(OR(B172="",N172=0),0,VLOOKUP(A172,Journal!$C$7:M$84,7)))</f>
        <v>0</v>
      </c>
      <c r="I172" s="87">
        <f t="shared" si="16"/>
        <v>0</v>
      </c>
      <c r="K172" s="13">
        <f>VLOOKUP(A172,Journal!$C$7:$M$84,4)</f>
        <v>0</v>
      </c>
      <c r="L172" s="13">
        <f>VLOOKUP(A172,Journal!$C$7:$M$84,5)</f>
        <v>0</v>
      </c>
      <c r="M172" s="13">
        <f t="shared" si="18"/>
        <v>0</v>
      </c>
      <c r="N172" s="13">
        <f t="shared" si="19"/>
        <v>0</v>
      </c>
      <c r="O172" s="13"/>
      <c r="P172" s="13">
        <f t="shared" si="20"/>
        <v>1.0000000000000001E-5</v>
      </c>
      <c r="T172" t="str">
        <f t="shared" si="15"/>
        <v/>
      </c>
    </row>
    <row r="173" spans="1:20" x14ac:dyDescent="0.25">
      <c r="A173">
        <f t="shared" si="17"/>
        <v>166</v>
      </c>
      <c r="B173" s="88" t="str">
        <f>IF(OR(B172="Total",B172=""),"",IF(VLOOKUP(A173,Journal!$C$7:$E$84,3)=0,"Total",VLOOKUP(A173,Journal!$C$7:$D$84,2)))</f>
        <v/>
      </c>
      <c r="C173" s="86" t="str">
        <f>IF(B173="","",VLOOKUP(A173,Journal!$C$7:$E$84,3))</f>
        <v/>
      </c>
      <c r="D173" s="84" t="str">
        <f>IF(B173="","",VLOOKUP(A173,Journal!$C$7:$J$84,8))</f>
        <v/>
      </c>
      <c r="E173" s="84" t="str">
        <f>IF(B173="","",VLOOKUP(A173,Journal!$C$7:$L$84,10))</f>
        <v/>
      </c>
      <c r="F173" s="84" t="str">
        <f>IF(B173="","",VLOOKUP(A173,Journal!$C$7:$M$84,11))</f>
        <v/>
      </c>
      <c r="G173" s="102">
        <f>IF(B173="Total",SUM(G$8:G172)+0.0001,IF(OR(B173="",M173=0),0,VLOOKUP(A173,Journal!$C$7:M$84,7)))</f>
        <v>0</v>
      </c>
      <c r="H173" s="102">
        <f>IF(B173="Total",SUM(H$8:H172)+0.0001,IF(OR(B173="",N173=0),0,VLOOKUP(A173,Journal!$C$7:M$84,7)))</f>
        <v>0</v>
      </c>
      <c r="I173" s="87">
        <f t="shared" si="16"/>
        <v>0</v>
      </c>
      <c r="K173" s="13">
        <f>VLOOKUP(A173,Journal!$C$7:$M$84,4)</f>
        <v>0</v>
      </c>
      <c r="L173" s="13">
        <f>VLOOKUP(A173,Journal!$C$7:$M$84,5)</f>
        <v>0</v>
      </c>
      <c r="M173" s="13">
        <f t="shared" si="18"/>
        <v>0</v>
      </c>
      <c r="N173" s="13">
        <f t="shared" si="19"/>
        <v>0</v>
      </c>
      <c r="O173" s="13"/>
      <c r="P173" s="13">
        <f t="shared" si="20"/>
        <v>1.0000000000000001E-5</v>
      </c>
      <c r="T173" t="str">
        <f t="shared" si="15"/>
        <v/>
      </c>
    </row>
    <row r="174" spans="1:20" x14ac:dyDescent="0.25">
      <c r="A174">
        <f t="shared" si="17"/>
        <v>167</v>
      </c>
      <c r="B174" s="88" t="str">
        <f>IF(OR(B173="Total",B173=""),"",IF(VLOOKUP(A174,Journal!$C$7:$E$84,3)=0,"Total",VLOOKUP(A174,Journal!$C$7:$D$84,2)))</f>
        <v/>
      </c>
      <c r="C174" s="86" t="str">
        <f>IF(B174="","",VLOOKUP(A174,Journal!$C$7:$E$84,3))</f>
        <v/>
      </c>
      <c r="D174" s="84" t="str">
        <f>IF(B174="","",VLOOKUP(A174,Journal!$C$7:$J$84,8))</f>
        <v/>
      </c>
      <c r="E174" s="84" t="str">
        <f>IF(B174="","",VLOOKUP(A174,Journal!$C$7:$L$84,10))</f>
        <v/>
      </c>
      <c r="F174" s="84" t="str">
        <f>IF(B174="","",VLOOKUP(A174,Journal!$C$7:$M$84,11))</f>
        <v/>
      </c>
      <c r="G174" s="102">
        <f>IF(B174="Total",SUM(G$8:G173)+0.0001,IF(OR(B174="",M174=0),0,VLOOKUP(A174,Journal!$C$7:M$84,7)))</f>
        <v>0</v>
      </c>
      <c r="H174" s="102">
        <f>IF(B174="Total",SUM(H$8:H173)+0.0001,IF(OR(B174="",N174=0),0,VLOOKUP(A174,Journal!$C$7:M$84,7)))</f>
        <v>0</v>
      </c>
      <c r="I174" s="87">
        <f t="shared" si="16"/>
        <v>0</v>
      </c>
      <c r="K174" s="13">
        <f>VLOOKUP(A174,Journal!$C$7:$M$84,4)</f>
        <v>0</v>
      </c>
      <c r="L174" s="13">
        <f>VLOOKUP(A174,Journal!$C$7:$M$84,5)</f>
        <v>0</v>
      </c>
      <c r="M174" s="13">
        <f t="shared" si="18"/>
        <v>0</v>
      </c>
      <c r="N174" s="13">
        <f t="shared" si="19"/>
        <v>0</v>
      </c>
      <c r="O174" s="13"/>
      <c r="P174" s="13">
        <f t="shared" si="20"/>
        <v>1.0000000000000001E-5</v>
      </c>
      <c r="T174" t="str">
        <f t="shared" si="15"/>
        <v/>
      </c>
    </row>
    <row r="175" spans="1:20" x14ac:dyDescent="0.25">
      <c r="A175">
        <f t="shared" si="17"/>
        <v>168</v>
      </c>
      <c r="B175" s="88" t="str">
        <f>IF(OR(B174="Total",B174=""),"",IF(VLOOKUP(A175,Journal!$C$7:$E$84,3)=0,"Total",VLOOKUP(A175,Journal!$C$7:$D$84,2)))</f>
        <v/>
      </c>
      <c r="C175" s="86" t="str">
        <f>IF(B175="","",VLOOKUP(A175,Journal!$C$7:$E$84,3))</f>
        <v/>
      </c>
      <c r="D175" s="84" t="str">
        <f>IF(B175="","",VLOOKUP(A175,Journal!$C$7:$J$84,8))</f>
        <v/>
      </c>
      <c r="E175" s="84" t="str">
        <f>IF(B175="","",VLOOKUP(A175,Journal!$C$7:$L$84,10))</f>
        <v/>
      </c>
      <c r="F175" s="84" t="str">
        <f>IF(B175="","",VLOOKUP(A175,Journal!$C$7:$M$84,11))</f>
        <v/>
      </c>
      <c r="G175" s="102">
        <f>IF(B175="Total",SUM(G$8:G174)+0.0001,IF(OR(B175="",M175=0),0,VLOOKUP(A175,Journal!$C$7:M$84,7)))</f>
        <v>0</v>
      </c>
      <c r="H175" s="102">
        <f>IF(B175="Total",SUM(H$8:H174)+0.0001,IF(OR(B175="",N175=0),0,VLOOKUP(A175,Journal!$C$7:M$84,7)))</f>
        <v>0</v>
      </c>
      <c r="I175" s="87">
        <f t="shared" si="16"/>
        <v>0</v>
      </c>
      <c r="K175" s="13">
        <f>VLOOKUP(A175,Journal!$C$7:$M$84,4)</f>
        <v>0</v>
      </c>
      <c r="L175" s="13">
        <f>VLOOKUP(A175,Journal!$C$7:$M$84,5)</f>
        <v>0</v>
      </c>
      <c r="M175" s="13">
        <f t="shared" si="18"/>
        <v>0</v>
      </c>
      <c r="N175" s="13">
        <f t="shared" si="19"/>
        <v>0</v>
      </c>
      <c r="O175" s="13"/>
      <c r="P175" s="13">
        <f t="shared" si="20"/>
        <v>1.0000000000000001E-5</v>
      </c>
      <c r="T175" t="str">
        <f t="shared" si="15"/>
        <v/>
      </c>
    </row>
    <row r="176" spans="1:20" x14ac:dyDescent="0.25">
      <c r="A176">
        <f t="shared" si="17"/>
        <v>169</v>
      </c>
      <c r="B176" s="88" t="str">
        <f>IF(OR(B175="Total",B175=""),"",IF(VLOOKUP(A176,Journal!$C$7:$E$84,3)=0,"Total",VLOOKUP(A176,Journal!$C$7:$D$84,2)))</f>
        <v/>
      </c>
      <c r="C176" s="86" t="str">
        <f>IF(B176="","",VLOOKUP(A176,Journal!$C$7:$E$84,3))</f>
        <v/>
      </c>
      <c r="D176" s="84" t="str">
        <f>IF(B176="","",VLOOKUP(A176,Journal!$C$7:$J$84,8))</f>
        <v/>
      </c>
      <c r="E176" s="84" t="str">
        <f>IF(B176="","",VLOOKUP(A176,Journal!$C$7:$L$84,10))</f>
        <v/>
      </c>
      <c r="F176" s="84" t="str">
        <f>IF(B176="","",VLOOKUP(A176,Journal!$C$7:$M$84,11))</f>
        <v/>
      </c>
      <c r="G176" s="102">
        <f>IF(B176="Total",SUM(G$8:G175)+0.0001,IF(OR(B176="",M176=0),0,VLOOKUP(A176,Journal!$C$7:M$84,7)))</f>
        <v>0</v>
      </c>
      <c r="H176" s="102">
        <f>IF(B176="Total",SUM(H$8:H175)+0.0001,IF(OR(B176="",N176=0),0,VLOOKUP(A176,Journal!$C$7:M$84,7)))</f>
        <v>0</v>
      </c>
      <c r="I176" s="87">
        <f t="shared" si="16"/>
        <v>0</v>
      </c>
      <c r="K176" s="13">
        <f>VLOOKUP(A176,Journal!$C$7:$M$84,4)</f>
        <v>0</v>
      </c>
      <c r="L176" s="13">
        <f>VLOOKUP(A176,Journal!$C$7:$M$84,5)</f>
        <v>0</v>
      </c>
      <c r="M176" s="13">
        <f t="shared" si="18"/>
        <v>0</v>
      </c>
      <c r="N176" s="13">
        <f t="shared" si="19"/>
        <v>0</v>
      </c>
      <c r="O176" s="13"/>
      <c r="P176" s="13">
        <f t="shared" si="20"/>
        <v>1.0000000000000001E-5</v>
      </c>
      <c r="T176" t="str">
        <f t="shared" si="15"/>
        <v/>
      </c>
    </row>
    <row r="177" spans="1:20" x14ac:dyDescent="0.25">
      <c r="A177">
        <f t="shared" si="17"/>
        <v>170</v>
      </c>
      <c r="B177" s="88" t="str">
        <f>IF(OR(B176="Total",B176=""),"",IF(VLOOKUP(A177,Journal!$C$7:$E$84,3)=0,"Total",VLOOKUP(A177,Journal!$C$7:$D$84,2)))</f>
        <v/>
      </c>
      <c r="C177" s="86" t="str">
        <f>IF(B177="","",VLOOKUP(A177,Journal!$C$7:$E$84,3))</f>
        <v/>
      </c>
      <c r="D177" s="84" t="str">
        <f>IF(B177="","",VLOOKUP(A177,Journal!$C$7:$J$84,8))</f>
        <v/>
      </c>
      <c r="E177" s="84" t="str">
        <f>IF(B177="","",VLOOKUP(A177,Journal!$C$7:$L$84,10))</f>
        <v/>
      </c>
      <c r="F177" s="84" t="str">
        <f>IF(B177="","",VLOOKUP(A177,Journal!$C$7:$M$84,11))</f>
        <v/>
      </c>
      <c r="G177" s="102">
        <f>IF(B177="Total",SUM(G$8:G176)+0.0001,IF(OR(B177="",M177=0),0,VLOOKUP(A177,Journal!$C$7:M$84,7)))</f>
        <v>0</v>
      </c>
      <c r="H177" s="102">
        <f>IF(B177="Total",SUM(H$8:H176)+0.0001,IF(OR(B177="",N177=0),0,VLOOKUP(A177,Journal!$C$7:M$84,7)))</f>
        <v>0</v>
      </c>
      <c r="I177" s="87">
        <f t="shared" si="16"/>
        <v>0</v>
      </c>
      <c r="K177" s="13">
        <f>VLOOKUP(A177,Journal!$C$7:$M$84,4)</f>
        <v>0</v>
      </c>
      <c r="L177" s="13">
        <f>VLOOKUP(A177,Journal!$C$7:$M$84,5)</f>
        <v>0</v>
      </c>
      <c r="M177" s="13">
        <f t="shared" si="18"/>
        <v>0</v>
      </c>
      <c r="N177" s="13">
        <f t="shared" si="19"/>
        <v>0</v>
      </c>
      <c r="O177" s="13"/>
      <c r="P177" s="13">
        <f t="shared" si="20"/>
        <v>1.0000000000000001E-5</v>
      </c>
      <c r="T177" t="str">
        <f t="shared" si="15"/>
        <v/>
      </c>
    </row>
    <row r="178" spans="1:20" x14ac:dyDescent="0.25">
      <c r="A178">
        <f t="shared" si="17"/>
        <v>171</v>
      </c>
      <c r="B178" s="88" t="str">
        <f>IF(OR(B177="Total",B177=""),"",IF(VLOOKUP(A178,Journal!$C$7:$E$84,3)=0,"Total",VLOOKUP(A178,Journal!$C$7:$D$84,2)))</f>
        <v/>
      </c>
      <c r="C178" s="86" t="str">
        <f>IF(B178="","",VLOOKUP(A178,Journal!$C$7:$E$84,3))</f>
        <v/>
      </c>
      <c r="D178" s="84" t="str">
        <f>IF(B178="","",VLOOKUP(A178,Journal!$C$7:$J$84,8))</f>
        <v/>
      </c>
      <c r="E178" s="84" t="str">
        <f>IF(B178="","",VLOOKUP(A178,Journal!$C$7:$L$84,10))</f>
        <v/>
      </c>
      <c r="F178" s="84" t="str">
        <f>IF(B178="","",VLOOKUP(A178,Journal!$C$7:$M$84,11))</f>
        <v/>
      </c>
      <c r="G178" s="102">
        <f>IF(B178="Total",SUM(G$8:G177)+0.0001,IF(OR(B178="",M178=0),0,VLOOKUP(A178,Journal!$C$7:M$84,7)))</f>
        <v>0</v>
      </c>
      <c r="H178" s="102">
        <f>IF(B178="Total",SUM(H$8:H177)+0.0001,IF(OR(B178="",N178=0),0,VLOOKUP(A178,Journal!$C$7:M$84,7)))</f>
        <v>0</v>
      </c>
      <c r="I178" s="87">
        <f t="shared" si="16"/>
        <v>0</v>
      </c>
      <c r="K178" s="13">
        <f>VLOOKUP(A178,Journal!$C$7:$M$84,4)</f>
        <v>0</v>
      </c>
      <c r="L178" s="13">
        <f>VLOOKUP(A178,Journal!$C$7:$M$84,5)</f>
        <v>0</v>
      </c>
      <c r="M178" s="13">
        <f t="shared" si="18"/>
        <v>0</v>
      </c>
      <c r="N178" s="13">
        <f t="shared" si="19"/>
        <v>0</v>
      </c>
      <c r="O178" s="13"/>
      <c r="P178" s="13">
        <f t="shared" si="20"/>
        <v>1.0000000000000001E-5</v>
      </c>
      <c r="T178" t="str">
        <f t="shared" si="15"/>
        <v/>
      </c>
    </row>
    <row r="179" spans="1:20" x14ac:dyDescent="0.25">
      <c r="A179">
        <f t="shared" si="17"/>
        <v>172</v>
      </c>
      <c r="B179" s="88" t="str">
        <f>IF(OR(B178="Total",B178=""),"",IF(VLOOKUP(A179,Journal!$C$7:$E$84,3)=0,"Total",VLOOKUP(A179,Journal!$C$7:$D$84,2)))</f>
        <v/>
      </c>
      <c r="C179" s="86" t="str">
        <f>IF(B179="","",VLOOKUP(A179,Journal!$C$7:$E$84,3))</f>
        <v/>
      </c>
      <c r="D179" s="84" t="str">
        <f>IF(B179="","",VLOOKUP(A179,Journal!$C$7:$J$84,8))</f>
        <v/>
      </c>
      <c r="E179" s="84" t="str">
        <f>IF(B179="","",VLOOKUP(A179,Journal!$C$7:$L$84,10))</f>
        <v/>
      </c>
      <c r="F179" s="84" t="str">
        <f>IF(B179="","",VLOOKUP(A179,Journal!$C$7:$M$84,11))</f>
        <v/>
      </c>
      <c r="G179" s="102">
        <f>IF(B179="Total",SUM(G$8:G178)+0.0001,IF(OR(B179="",M179=0),0,VLOOKUP(A179,Journal!$C$7:M$84,7)))</f>
        <v>0</v>
      </c>
      <c r="H179" s="102">
        <f>IF(B179="Total",SUM(H$8:H178)+0.0001,IF(OR(B179="",N179=0),0,VLOOKUP(A179,Journal!$C$7:M$84,7)))</f>
        <v>0</v>
      </c>
      <c r="I179" s="87">
        <f t="shared" si="16"/>
        <v>0</v>
      </c>
      <c r="K179" s="13">
        <f>VLOOKUP(A179,Journal!$C$7:$M$84,4)</f>
        <v>0</v>
      </c>
      <c r="L179" s="13">
        <f>VLOOKUP(A179,Journal!$C$7:$M$84,5)</f>
        <v>0</v>
      </c>
      <c r="M179" s="13">
        <f t="shared" si="18"/>
        <v>0</v>
      </c>
      <c r="N179" s="13">
        <f t="shared" si="19"/>
        <v>0</v>
      </c>
      <c r="O179" s="13"/>
      <c r="P179" s="13">
        <f t="shared" si="20"/>
        <v>1.0000000000000001E-5</v>
      </c>
      <c r="T179" t="str">
        <f t="shared" si="15"/>
        <v/>
      </c>
    </row>
    <row r="180" spans="1:20" x14ac:dyDescent="0.25">
      <c r="A180">
        <f t="shared" si="17"/>
        <v>173</v>
      </c>
      <c r="B180" s="88" t="str">
        <f>IF(OR(B179="Total",B179=""),"",IF(VLOOKUP(A180,Journal!$C$7:$E$84,3)=0,"Total",VLOOKUP(A180,Journal!$C$7:$D$84,2)))</f>
        <v/>
      </c>
      <c r="C180" s="86" t="str">
        <f>IF(B180="","",VLOOKUP(A180,Journal!$C$7:$E$84,3))</f>
        <v/>
      </c>
      <c r="D180" s="84" t="str">
        <f>IF(B180="","",VLOOKUP(A180,Journal!$C$7:$J$84,8))</f>
        <v/>
      </c>
      <c r="E180" s="84" t="str">
        <f>IF(B180="","",VLOOKUP(A180,Journal!$C$7:$L$84,10))</f>
        <v/>
      </c>
      <c r="F180" s="84" t="str">
        <f>IF(B180="","",VLOOKUP(A180,Journal!$C$7:$M$84,11))</f>
        <v/>
      </c>
      <c r="G180" s="102">
        <f>IF(B180="Total",SUM(G$8:G179)+0.0001,IF(OR(B180="",M180=0),0,VLOOKUP(A180,Journal!$C$7:M$84,7)))</f>
        <v>0</v>
      </c>
      <c r="H180" s="102">
        <f>IF(B180="Total",SUM(H$8:H179)+0.0001,IF(OR(B180="",N180=0),0,VLOOKUP(A180,Journal!$C$7:M$84,7)))</f>
        <v>0</v>
      </c>
      <c r="I180" s="87">
        <f t="shared" si="16"/>
        <v>0</v>
      </c>
      <c r="K180" s="13">
        <f>VLOOKUP(A180,Journal!$C$7:$M$84,4)</f>
        <v>0</v>
      </c>
      <c r="L180" s="13">
        <f>VLOOKUP(A180,Journal!$C$7:$M$84,5)</f>
        <v>0</v>
      </c>
      <c r="M180" s="13">
        <f t="shared" si="18"/>
        <v>0</v>
      </c>
      <c r="N180" s="13">
        <f t="shared" si="19"/>
        <v>0</v>
      </c>
      <c r="O180" s="13"/>
      <c r="P180" s="13">
        <f t="shared" si="20"/>
        <v>1.0000000000000001E-5</v>
      </c>
      <c r="T180" t="str">
        <f t="shared" si="15"/>
        <v/>
      </c>
    </row>
    <row r="181" spans="1:20" x14ac:dyDescent="0.25">
      <c r="A181">
        <f t="shared" si="17"/>
        <v>174</v>
      </c>
      <c r="B181" s="88" t="str">
        <f>IF(OR(B180="Total",B180=""),"",IF(VLOOKUP(A181,Journal!$C$7:$E$84,3)=0,"Total",VLOOKUP(A181,Journal!$C$7:$D$84,2)))</f>
        <v/>
      </c>
      <c r="C181" s="86" t="str">
        <f>IF(B181="","",VLOOKUP(A181,Journal!$C$7:$E$84,3))</f>
        <v/>
      </c>
      <c r="D181" s="84" t="str">
        <f>IF(B181="","",VLOOKUP(A181,Journal!$C$7:$J$84,8))</f>
        <v/>
      </c>
      <c r="E181" s="84" t="str">
        <f>IF(B181="","",VLOOKUP(A181,Journal!$C$7:$L$84,10))</f>
        <v/>
      </c>
      <c r="F181" s="84" t="str">
        <f>IF(B181="","",VLOOKUP(A181,Journal!$C$7:$M$84,11))</f>
        <v/>
      </c>
      <c r="G181" s="102">
        <f>IF(B181="Total",SUM(G$8:G180)+0.0001,IF(OR(B181="",M181=0),0,VLOOKUP(A181,Journal!$C$7:M$84,7)))</f>
        <v>0</v>
      </c>
      <c r="H181" s="102">
        <f>IF(B181="Total",SUM(H$8:H180)+0.0001,IF(OR(B181="",N181=0),0,VLOOKUP(A181,Journal!$C$7:M$84,7)))</f>
        <v>0</v>
      </c>
      <c r="I181" s="87">
        <f t="shared" si="16"/>
        <v>0</v>
      </c>
      <c r="K181" s="13">
        <f>VLOOKUP(A181,Journal!$C$7:$M$84,4)</f>
        <v>0</v>
      </c>
      <c r="L181" s="13">
        <f>VLOOKUP(A181,Journal!$C$7:$M$84,5)</f>
        <v>0</v>
      </c>
      <c r="M181" s="13">
        <f t="shared" si="18"/>
        <v>0</v>
      </c>
      <c r="N181" s="13">
        <f t="shared" si="19"/>
        <v>0</v>
      </c>
      <c r="O181" s="13"/>
      <c r="P181" s="13">
        <f t="shared" si="20"/>
        <v>1.0000000000000001E-5</v>
      </c>
      <c r="T181" t="str">
        <f t="shared" si="15"/>
        <v/>
      </c>
    </row>
    <row r="182" spans="1:20" x14ac:dyDescent="0.25">
      <c r="A182">
        <f t="shared" si="17"/>
        <v>175</v>
      </c>
      <c r="B182" s="88" t="str">
        <f>IF(OR(B181="Total",B181=""),"",IF(VLOOKUP(A182,Journal!$C$7:$E$84,3)=0,"Total",VLOOKUP(A182,Journal!$C$7:$D$84,2)))</f>
        <v/>
      </c>
      <c r="C182" s="86" t="str">
        <f>IF(B182="","",VLOOKUP(A182,Journal!$C$7:$E$84,3))</f>
        <v/>
      </c>
      <c r="D182" s="84" t="str">
        <f>IF(B182="","",VLOOKUP(A182,Journal!$C$7:$J$84,8))</f>
        <v/>
      </c>
      <c r="E182" s="84" t="str">
        <f>IF(B182="","",VLOOKUP(A182,Journal!$C$7:$L$84,10))</f>
        <v/>
      </c>
      <c r="F182" s="84" t="str">
        <f>IF(B182="","",VLOOKUP(A182,Journal!$C$7:$M$84,11))</f>
        <v/>
      </c>
      <c r="G182" s="102">
        <f>IF(B182="Total",SUM(G$8:G181)+0.0001,IF(OR(B182="",M182=0),0,VLOOKUP(A182,Journal!$C$7:M$84,7)))</f>
        <v>0</v>
      </c>
      <c r="H182" s="102">
        <f>IF(B182="Total",SUM(H$8:H181)+0.0001,IF(OR(B182="",N182=0),0,VLOOKUP(A182,Journal!$C$7:M$84,7)))</f>
        <v>0</v>
      </c>
      <c r="I182" s="87">
        <f t="shared" si="16"/>
        <v>0</v>
      </c>
      <c r="K182" s="13">
        <f>VLOOKUP(A182,Journal!$C$7:$M$84,4)</f>
        <v>0</v>
      </c>
      <c r="L182" s="13">
        <f>VLOOKUP(A182,Journal!$C$7:$M$84,5)</f>
        <v>0</v>
      </c>
      <c r="M182" s="13">
        <f t="shared" si="18"/>
        <v>0</v>
      </c>
      <c r="N182" s="13">
        <f t="shared" si="19"/>
        <v>0</v>
      </c>
      <c r="O182" s="13"/>
      <c r="P182" s="13">
        <f t="shared" si="20"/>
        <v>1.0000000000000001E-5</v>
      </c>
      <c r="T182" t="str">
        <f t="shared" si="15"/>
        <v/>
      </c>
    </row>
    <row r="183" spans="1:20" x14ac:dyDescent="0.25">
      <c r="A183">
        <f t="shared" si="17"/>
        <v>176</v>
      </c>
      <c r="B183" s="88" t="str">
        <f>IF(OR(B182="Total",B182=""),"",IF(VLOOKUP(A183,Journal!$C$7:$E$84,3)=0,"Total",VLOOKUP(A183,Journal!$C$7:$D$84,2)))</f>
        <v/>
      </c>
      <c r="C183" s="86" t="str">
        <f>IF(B183="","",VLOOKUP(A183,Journal!$C$7:$E$84,3))</f>
        <v/>
      </c>
      <c r="D183" s="84" t="str">
        <f>IF(B183="","",VLOOKUP(A183,Journal!$C$7:$J$84,8))</f>
        <v/>
      </c>
      <c r="E183" s="84" t="str">
        <f>IF(B183="","",VLOOKUP(A183,Journal!$C$7:$L$84,10))</f>
        <v/>
      </c>
      <c r="F183" s="84" t="str">
        <f>IF(B183="","",VLOOKUP(A183,Journal!$C$7:$M$84,11))</f>
        <v/>
      </c>
      <c r="G183" s="102">
        <f>IF(B183="Total",SUM(G$8:G182)+0.0001,IF(OR(B183="",M183=0),0,VLOOKUP(A183,Journal!$C$7:M$84,7)))</f>
        <v>0</v>
      </c>
      <c r="H183" s="102">
        <f>IF(B183="Total",SUM(H$8:H182)+0.0001,IF(OR(B183="",N183=0),0,VLOOKUP(A183,Journal!$C$7:M$84,7)))</f>
        <v>0</v>
      </c>
      <c r="I183" s="87">
        <f t="shared" si="16"/>
        <v>0</v>
      </c>
      <c r="K183" s="13">
        <f>VLOOKUP(A183,Journal!$C$7:$M$84,4)</f>
        <v>0</v>
      </c>
      <c r="L183" s="13">
        <f>VLOOKUP(A183,Journal!$C$7:$M$84,5)</f>
        <v>0</v>
      </c>
      <c r="M183" s="13">
        <f t="shared" si="18"/>
        <v>0</v>
      </c>
      <c r="N183" s="13">
        <f t="shared" si="19"/>
        <v>0</v>
      </c>
      <c r="O183" s="13"/>
      <c r="P183" s="13">
        <f t="shared" si="20"/>
        <v>1.0000000000000001E-5</v>
      </c>
      <c r="T183" t="str">
        <f t="shared" si="15"/>
        <v/>
      </c>
    </row>
    <row r="184" spans="1:20" x14ac:dyDescent="0.25">
      <c r="A184">
        <f t="shared" si="17"/>
        <v>177</v>
      </c>
      <c r="B184" s="88" t="str">
        <f>IF(OR(B183="Total",B183=""),"",IF(VLOOKUP(A184,Journal!$C$7:$E$84,3)=0,"Total",VLOOKUP(A184,Journal!$C$7:$D$84,2)))</f>
        <v/>
      </c>
      <c r="C184" s="86" t="str">
        <f>IF(B184="","",VLOOKUP(A184,Journal!$C$7:$E$84,3))</f>
        <v/>
      </c>
      <c r="D184" s="84" t="str">
        <f>IF(B184="","",VLOOKUP(A184,Journal!$C$7:$J$84,8))</f>
        <v/>
      </c>
      <c r="E184" s="84" t="str">
        <f>IF(B184="","",VLOOKUP(A184,Journal!$C$7:$L$84,10))</f>
        <v/>
      </c>
      <c r="F184" s="84" t="str">
        <f>IF(B184="","",VLOOKUP(A184,Journal!$C$7:$M$84,11))</f>
        <v/>
      </c>
      <c r="G184" s="102">
        <f>IF(B184="Total",SUM(G$8:G183)+0.0001,IF(OR(B184="",M184=0),0,VLOOKUP(A184,Journal!$C$7:M$84,7)))</f>
        <v>0</v>
      </c>
      <c r="H184" s="102">
        <f>IF(B184="Total",SUM(H$8:H183)+0.0001,IF(OR(B184="",N184=0),0,VLOOKUP(A184,Journal!$C$7:M$84,7)))</f>
        <v>0</v>
      </c>
      <c r="I184" s="87">
        <f t="shared" si="16"/>
        <v>0</v>
      </c>
      <c r="K184" s="13">
        <f>VLOOKUP(A184,Journal!$C$7:$M$84,4)</f>
        <v>0</v>
      </c>
      <c r="L184" s="13">
        <f>VLOOKUP(A184,Journal!$C$7:$M$84,5)</f>
        <v>0</v>
      </c>
      <c r="M184" s="13">
        <f t="shared" si="18"/>
        <v>0</v>
      </c>
      <c r="N184" s="13">
        <f t="shared" si="19"/>
        <v>0</v>
      </c>
      <c r="O184" s="13"/>
      <c r="P184" s="13">
        <f t="shared" si="20"/>
        <v>1.0000000000000001E-5</v>
      </c>
      <c r="T184" t="str">
        <f t="shared" si="15"/>
        <v/>
      </c>
    </row>
    <row r="185" spans="1:20" x14ac:dyDescent="0.25">
      <c r="A185">
        <f t="shared" si="17"/>
        <v>178</v>
      </c>
      <c r="B185" s="88" t="str">
        <f>IF(OR(B184="Total",B184=""),"",IF(VLOOKUP(A185,Journal!$C$7:$E$84,3)=0,"Total",VLOOKUP(A185,Journal!$C$7:$D$84,2)))</f>
        <v/>
      </c>
      <c r="C185" s="86" t="str">
        <f>IF(B185="","",VLOOKUP(A185,Journal!$C$7:$E$84,3))</f>
        <v/>
      </c>
      <c r="D185" s="84" t="str">
        <f>IF(B185="","",VLOOKUP(A185,Journal!$C$7:$J$84,8))</f>
        <v/>
      </c>
      <c r="E185" s="84" t="str">
        <f>IF(B185="","",VLOOKUP(A185,Journal!$C$7:$L$84,10))</f>
        <v/>
      </c>
      <c r="F185" s="84" t="str">
        <f>IF(B185="","",VLOOKUP(A185,Journal!$C$7:$M$84,11))</f>
        <v/>
      </c>
      <c r="G185" s="102">
        <f>IF(B185="Total",SUM(G$8:G184)+0.0001,IF(OR(B185="",M185=0),0,VLOOKUP(A185,Journal!$C$7:M$84,7)))</f>
        <v>0</v>
      </c>
      <c r="H185" s="102">
        <f>IF(B185="Total",SUM(H$8:H184)+0.0001,IF(OR(B185="",N185=0),0,VLOOKUP(A185,Journal!$C$7:M$84,7)))</f>
        <v>0</v>
      </c>
      <c r="I185" s="87">
        <f t="shared" si="16"/>
        <v>0</v>
      </c>
      <c r="K185" s="13">
        <f>VLOOKUP(A185,Journal!$C$7:$M$84,4)</f>
        <v>0</v>
      </c>
      <c r="L185" s="13">
        <f>VLOOKUP(A185,Journal!$C$7:$M$84,5)</f>
        <v>0</v>
      </c>
      <c r="M185" s="13">
        <f t="shared" si="18"/>
        <v>0</v>
      </c>
      <c r="N185" s="13">
        <f t="shared" si="19"/>
        <v>0</v>
      </c>
      <c r="O185" s="13"/>
      <c r="P185" s="13">
        <f t="shared" si="20"/>
        <v>1.0000000000000001E-5</v>
      </c>
      <c r="T185" t="str">
        <f t="shared" si="15"/>
        <v/>
      </c>
    </row>
    <row r="186" spans="1:20" x14ac:dyDescent="0.25">
      <c r="A186">
        <f t="shared" si="17"/>
        <v>179</v>
      </c>
      <c r="B186" s="88" t="str">
        <f>IF(OR(B185="Total",B185=""),"",IF(VLOOKUP(A186,Journal!$C$7:$E$84,3)=0,"Total",VLOOKUP(A186,Journal!$C$7:$D$84,2)))</f>
        <v/>
      </c>
      <c r="C186" s="86" t="str">
        <f>IF(B186="","",VLOOKUP(A186,Journal!$C$7:$E$84,3))</f>
        <v/>
      </c>
      <c r="D186" s="84" t="str">
        <f>IF(B186="","",VLOOKUP(A186,Journal!$C$7:$J$84,8))</f>
        <v/>
      </c>
      <c r="E186" s="84" t="str">
        <f>IF(B186="","",VLOOKUP(A186,Journal!$C$7:$L$84,10))</f>
        <v/>
      </c>
      <c r="F186" s="84" t="str">
        <f>IF(B186="","",VLOOKUP(A186,Journal!$C$7:$M$84,11))</f>
        <v/>
      </c>
      <c r="G186" s="102">
        <f>IF(B186="Total",SUM(G$8:G185)+0.0001,IF(OR(B186="",M186=0),0,VLOOKUP(A186,Journal!$C$7:M$84,7)))</f>
        <v>0</v>
      </c>
      <c r="H186" s="102">
        <f>IF(B186="Total",SUM(H$8:H185)+0.0001,IF(OR(B186="",N186=0),0,VLOOKUP(A186,Journal!$C$7:M$84,7)))</f>
        <v>0</v>
      </c>
      <c r="I186" s="87">
        <f t="shared" si="16"/>
        <v>0</v>
      </c>
      <c r="K186" s="13">
        <f>VLOOKUP(A186,Journal!$C$7:$M$84,4)</f>
        <v>0</v>
      </c>
      <c r="L186" s="13">
        <f>VLOOKUP(A186,Journal!$C$7:$M$84,5)</f>
        <v>0</v>
      </c>
      <c r="M186" s="13">
        <f t="shared" si="18"/>
        <v>0</v>
      </c>
      <c r="N186" s="13">
        <f t="shared" si="19"/>
        <v>0</v>
      </c>
      <c r="O186" s="13"/>
      <c r="P186" s="13">
        <f t="shared" si="20"/>
        <v>1.0000000000000001E-5</v>
      </c>
      <c r="T186" t="str">
        <f t="shared" si="15"/>
        <v/>
      </c>
    </row>
    <row r="187" spans="1:20" x14ac:dyDescent="0.25">
      <c r="A187">
        <f t="shared" si="17"/>
        <v>180</v>
      </c>
      <c r="B187" s="88" t="str">
        <f>IF(OR(B186="Total",B186=""),"",IF(VLOOKUP(A187,Journal!$C$7:$E$84,3)=0,"Total",VLOOKUP(A187,Journal!$C$7:$D$84,2)))</f>
        <v/>
      </c>
      <c r="C187" s="86" t="str">
        <f>IF(B187="","",VLOOKUP(A187,Journal!$C$7:$E$84,3))</f>
        <v/>
      </c>
      <c r="D187" s="84" t="str">
        <f>IF(B187="","",VLOOKUP(A187,Journal!$C$7:$J$84,8))</f>
        <v/>
      </c>
      <c r="E187" s="84" t="str">
        <f>IF(B187="","",VLOOKUP(A187,Journal!$C$7:$L$84,10))</f>
        <v/>
      </c>
      <c r="F187" s="84" t="str">
        <f>IF(B187="","",VLOOKUP(A187,Journal!$C$7:$M$84,11))</f>
        <v/>
      </c>
      <c r="G187" s="102">
        <f>IF(B187="Total",SUM(G$8:G186)+0.0001,IF(OR(B187="",M187=0),0,VLOOKUP(A187,Journal!$C$7:M$84,7)))</f>
        <v>0</v>
      </c>
      <c r="H187" s="102">
        <f>IF(B187="Total",SUM(H$8:H186)+0.0001,IF(OR(B187="",N187=0),0,VLOOKUP(A187,Journal!$C$7:M$84,7)))</f>
        <v>0</v>
      </c>
      <c r="I187" s="87">
        <f t="shared" si="16"/>
        <v>0</v>
      </c>
      <c r="K187" s="13">
        <f>VLOOKUP(A187,Journal!$C$7:$M$84,4)</f>
        <v>0</v>
      </c>
      <c r="L187" s="13">
        <f>VLOOKUP(A187,Journal!$C$7:$M$84,5)</f>
        <v>0</v>
      </c>
      <c r="M187" s="13">
        <f t="shared" si="18"/>
        <v>0</v>
      </c>
      <c r="N187" s="13">
        <f t="shared" si="19"/>
        <v>0</v>
      </c>
      <c r="O187" s="13"/>
      <c r="P187" s="13">
        <f t="shared" si="20"/>
        <v>1.0000000000000001E-5</v>
      </c>
      <c r="T187" t="str">
        <f t="shared" si="15"/>
        <v/>
      </c>
    </row>
    <row r="188" spans="1:20" x14ac:dyDescent="0.25">
      <c r="A188">
        <f t="shared" si="17"/>
        <v>181</v>
      </c>
      <c r="B188" s="88" t="str">
        <f>IF(OR(B187="Total",B187=""),"",IF(VLOOKUP(A188,Journal!$C$7:$E$84,3)=0,"Total",VLOOKUP(A188,Journal!$C$7:$D$84,2)))</f>
        <v/>
      </c>
      <c r="C188" s="86" t="str">
        <f>IF(B188="","",VLOOKUP(A188,Journal!$C$7:$E$84,3))</f>
        <v/>
      </c>
      <c r="D188" s="84" t="str">
        <f>IF(B188="","",VLOOKUP(A188,Journal!$C$7:$J$84,8))</f>
        <v/>
      </c>
      <c r="E188" s="84" t="str">
        <f>IF(B188="","",VLOOKUP(A188,Journal!$C$7:$L$84,10))</f>
        <v/>
      </c>
      <c r="F188" s="84" t="str">
        <f>IF(B188="","",VLOOKUP(A188,Journal!$C$7:$M$84,11))</f>
        <v/>
      </c>
      <c r="G188" s="102">
        <f>IF(B188="Total",SUM(G$8:G187)+0.0001,IF(OR(B188="",M188=0),0,VLOOKUP(A188,Journal!$C$7:M$84,7)))</f>
        <v>0</v>
      </c>
      <c r="H188" s="102">
        <f>IF(B188="Total",SUM(H$8:H187)+0.0001,IF(OR(B188="",N188=0),0,VLOOKUP(A188,Journal!$C$7:M$84,7)))</f>
        <v>0</v>
      </c>
      <c r="I188" s="87">
        <f t="shared" si="16"/>
        <v>0</v>
      </c>
      <c r="K188" s="13">
        <f>VLOOKUP(A188,Journal!$C$7:$M$84,4)</f>
        <v>0</v>
      </c>
      <c r="L188" s="13">
        <f>VLOOKUP(A188,Journal!$C$7:$M$84,5)</f>
        <v>0</v>
      </c>
      <c r="M188" s="13">
        <f t="shared" si="18"/>
        <v>0</v>
      </c>
      <c r="N188" s="13">
        <f t="shared" si="19"/>
        <v>0</v>
      </c>
      <c r="O188" s="13"/>
      <c r="P188" s="13">
        <f t="shared" si="20"/>
        <v>1.0000000000000001E-5</v>
      </c>
      <c r="T188" t="str">
        <f t="shared" si="15"/>
        <v/>
      </c>
    </row>
    <row r="189" spans="1:20" x14ac:dyDescent="0.25">
      <c r="A189">
        <f t="shared" si="17"/>
        <v>182</v>
      </c>
      <c r="B189" s="88" t="str">
        <f>IF(OR(B188="Total",B188=""),"",IF(VLOOKUP(A189,Journal!$C$7:$E$84,3)=0,"Total",VLOOKUP(A189,Journal!$C$7:$D$84,2)))</f>
        <v/>
      </c>
      <c r="C189" s="86" t="str">
        <f>IF(B189="","",VLOOKUP(A189,Journal!$C$7:$E$84,3))</f>
        <v/>
      </c>
      <c r="D189" s="84" t="str">
        <f>IF(B189="","",VLOOKUP(A189,Journal!$C$7:$J$84,8))</f>
        <v/>
      </c>
      <c r="E189" s="84" t="str">
        <f>IF(B189="","",VLOOKUP(A189,Journal!$C$7:$L$84,10))</f>
        <v/>
      </c>
      <c r="F189" s="84" t="str">
        <f>IF(B189="","",VLOOKUP(A189,Journal!$C$7:$M$84,11))</f>
        <v/>
      </c>
      <c r="G189" s="102">
        <f>IF(B189="Total",SUM(G$8:G188)+0.0001,IF(OR(B189="",M189=0),0,VLOOKUP(A189,Journal!$C$7:M$84,7)))</f>
        <v>0</v>
      </c>
      <c r="H189" s="102">
        <f>IF(B189="Total",SUM(H$8:H188)+0.0001,IF(OR(B189="",N189=0),0,VLOOKUP(A189,Journal!$C$7:M$84,7)))</f>
        <v>0</v>
      </c>
      <c r="I189" s="87">
        <f t="shared" si="16"/>
        <v>0</v>
      </c>
      <c r="K189" s="13">
        <f>VLOOKUP(A189,Journal!$C$7:$M$84,4)</f>
        <v>0</v>
      </c>
      <c r="L189" s="13">
        <f>VLOOKUP(A189,Journal!$C$7:$M$84,5)</f>
        <v>0</v>
      </c>
      <c r="M189" s="13">
        <f t="shared" si="18"/>
        <v>0</v>
      </c>
      <c r="N189" s="13">
        <f t="shared" si="19"/>
        <v>0</v>
      </c>
      <c r="O189" s="13"/>
      <c r="P189" s="13">
        <f t="shared" si="20"/>
        <v>1.0000000000000001E-5</v>
      </c>
      <c r="T189" t="str">
        <f t="shared" si="15"/>
        <v/>
      </c>
    </row>
    <row r="190" spans="1:20" x14ac:dyDescent="0.25">
      <c r="A190">
        <f t="shared" si="17"/>
        <v>183</v>
      </c>
      <c r="B190" s="88" t="str">
        <f>IF(OR(B189="Total",B189=""),"",IF(VLOOKUP(A190,Journal!$C$7:$E$84,3)=0,"Total",VLOOKUP(A190,Journal!$C$7:$D$84,2)))</f>
        <v/>
      </c>
      <c r="C190" s="86" t="str">
        <f>IF(B190="","",VLOOKUP(A190,Journal!$C$7:$E$84,3))</f>
        <v/>
      </c>
      <c r="D190" s="84" t="str">
        <f>IF(B190="","",VLOOKUP(A190,Journal!$C$7:$J$84,8))</f>
        <v/>
      </c>
      <c r="E190" s="84" t="str">
        <f>IF(B190="","",VLOOKUP(A190,Journal!$C$7:$L$84,10))</f>
        <v/>
      </c>
      <c r="F190" s="84" t="str">
        <f>IF(B190="","",VLOOKUP(A190,Journal!$C$7:$M$84,11))</f>
        <v/>
      </c>
      <c r="G190" s="102">
        <f>IF(B190="Total",SUM(G$8:G189)+0.0001,IF(OR(B190="",M190=0),0,VLOOKUP(A190,Journal!$C$7:M$84,7)))</f>
        <v>0</v>
      </c>
      <c r="H190" s="102">
        <f>IF(B190="Total",SUM(H$8:H189)+0.0001,IF(OR(B190="",N190=0),0,VLOOKUP(A190,Journal!$C$7:M$84,7)))</f>
        <v>0</v>
      </c>
      <c r="I190" s="87">
        <f t="shared" si="16"/>
        <v>0</v>
      </c>
      <c r="K190" s="13">
        <f>VLOOKUP(A190,Journal!$C$7:$M$84,4)</f>
        <v>0</v>
      </c>
      <c r="L190" s="13">
        <f>VLOOKUP(A190,Journal!$C$7:$M$84,5)</f>
        <v>0</v>
      </c>
      <c r="M190" s="13">
        <f t="shared" si="18"/>
        <v>0</v>
      </c>
      <c r="N190" s="13">
        <f t="shared" si="19"/>
        <v>0</v>
      </c>
      <c r="O190" s="13"/>
      <c r="P190" s="13">
        <f t="shared" si="20"/>
        <v>1.0000000000000001E-5</v>
      </c>
      <c r="T190" t="str">
        <f t="shared" si="15"/>
        <v/>
      </c>
    </row>
    <row r="191" spans="1:20" x14ac:dyDescent="0.25">
      <c r="A191">
        <f t="shared" si="17"/>
        <v>184</v>
      </c>
      <c r="B191" s="88" t="str">
        <f>IF(OR(B190="Total",B190=""),"",IF(VLOOKUP(A191,Journal!$C$7:$E$84,3)=0,"Total",VLOOKUP(A191,Journal!$C$7:$D$84,2)))</f>
        <v/>
      </c>
      <c r="C191" s="86" t="str">
        <f>IF(B191="","",VLOOKUP(A191,Journal!$C$7:$E$84,3))</f>
        <v/>
      </c>
      <c r="D191" s="84" t="str">
        <f>IF(B191="","",VLOOKUP(A191,Journal!$C$7:$J$84,8))</f>
        <v/>
      </c>
      <c r="E191" s="84" t="str">
        <f>IF(B191="","",VLOOKUP(A191,Journal!$C$7:$L$84,10))</f>
        <v/>
      </c>
      <c r="F191" s="84" t="str">
        <f>IF(B191="","",VLOOKUP(A191,Journal!$C$7:$M$84,11))</f>
        <v/>
      </c>
      <c r="G191" s="102">
        <f>IF(B191="Total",SUM(G$8:G190)+0.0001,IF(OR(B191="",M191=0),0,VLOOKUP(A191,Journal!$C$7:M$84,7)))</f>
        <v>0</v>
      </c>
      <c r="H191" s="102">
        <f>IF(B191="Total",SUM(H$8:H190)+0.0001,IF(OR(B191="",N191=0),0,VLOOKUP(A191,Journal!$C$7:M$84,7)))</f>
        <v>0</v>
      </c>
      <c r="I191" s="87">
        <f t="shared" si="16"/>
        <v>0</v>
      </c>
      <c r="K191" s="13">
        <f>VLOOKUP(A191,Journal!$C$7:$M$84,4)</f>
        <v>0</v>
      </c>
      <c r="L191" s="13">
        <f>VLOOKUP(A191,Journal!$C$7:$M$84,5)</f>
        <v>0</v>
      </c>
      <c r="M191" s="13">
        <f t="shared" si="18"/>
        <v>0</v>
      </c>
      <c r="N191" s="13">
        <f t="shared" si="19"/>
        <v>0</v>
      </c>
      <c r="O191" s="13"/>
      <c r="P191" s="13">
        <f t="shared" si="20"/>
        <v>1.0000000000000001E-5</v>
      </c>
      <c r="T191" t="str">
        <f t="shared" si="15"/>
        <v/>
      </c>
    </row>
    <row r="192" spans="1:20" x14ac:dyDescent="0.25">
      <c r="A192">
        <f t="shared" si="17"/>
        <v>185</v>
      </c>
      <c r="B192" s="88" t="str">
        <f>IF(OR(B191="Total",B191=""),"",IF(VLOOKUP(A192,Journal!$C$7:$E$84,3)=0,"Total",VLOOKUP(A192,Journal!$C$7:$D$84,2)))</f>
        <v/>
      </c>
      <c r="C192" s="86" t="str">
        <f>IF(B192="","",VLOOKUP(A192,Journal!$C$7:$E$84,3))</f>
        <v/>
      </c>
      <c r="D192" s="84" t="str">
        <f>IF(B192="","",VLOOKUP(A192,Journal!$C$7:$J$84,8))</f>
        <v/>
      </c>
      <c r="E192" s="84" t="str">
        <f>IF(B192="","",VLOOKUP(A192,Journal!$C$7:$L$84,10))</f>
        <v/>
      </c>
      <c r="F192" s="84" t="str">
        <f>IF(B192="","",VLOOKUP(A192,Journal!$C$7:$M$84,11))</f>
        <v/>
      </c>
      <c r="G192" s="102">
        <f>IF(B192="Total",SUM(G$8:G191)+0.0001,IF(OR(B192="",M192=0),0,VLOOKUP(A192,Journal!$C$7:M$84,7)))</f>
        <v>0</v>
      </c>
      <c r="H192" s="102">
        <f>IF(B192="Total",SUM(H$8:H191)+0.0001,IF(OR(B192="",N192=0),0,VLOOKUP(A192,Journal!$C$7:M$84,7)))</f>
        <v>0</v>
      </c>
      <c r="I192" s="87">
        <f t="shared" si="16"/>
        <v>0</v>
      </c>
      <c r="K192" s="13">
        <f>VLOOKUP(A192,Journal!$C$7:$M$84,4)</f>
        <v>0</v>
      </c>
      <c r="L192" s="13">
        <f>VLOOKUP(A192,Journal!$C$7:$M$84,5)</f>
        <v>0</v>
      </c>
      <c r="M192" s="13">
        <f t="shared" si="18"/>
        <v>0</v>
      </c>
      <c r="N192" s="13">
        <f t="shared" si="19"/>
        <v>0</v>
      </c>
      <c r="O192" s="13"/>
      <c r="P192" s="13">
        <f t="shared" si="20"/>
        <v>1.0000000000000001E-5</v>
      </c>
      <c r="T192" t="str">
        <f t="shared" si="15"/>
        <v/>
      </c>
    </row>
    <row r="193" spans="1:20" x14ac:dyDescent="0.25">
      <c r="A193">
        <f t="shared" si="17"/>
        <v>186</v>
      </c>
      <c r="B193" s="88" t="str">
        <f>IF(OR(B192="Total",B192=""),"",IF(VLOOKUP(A193,Journal!$C$7:$E$84,3)=0,"Total",VLOOKUP(A193,Journal!$C$7:$D$84,2)))</f>
        <v/>
      </c>
      <c r="C193" s="86" t="str">
        <f>IF(B193="","",VLOOKUP(A193,Journal!$C$7:$E$84,3))</f>
        <v/>
      </c>
      <c r="D193" s="84" t="str">
        <f>IF(B193="","",VLOOKUP(A193,Journal!$C$7:$J$84,8))</f>
        <v/>
      </c>
      <c r="E193" s="84" t="str">
        <f>IF(B193="","",VLOOKUP(A193,Journal!$C$7:$L$84,10))</f>
        <v/>
      </c>
      <c r="F193" s="84" t="str">
        <f>IF(B193="","",VLOOKUP(A193,Journal!$C$7:$M$84,11))</f>
        <v/>
      </c>
      <c r="G193" s="102">
        <f>IF(B193="Total",SUM(G$8:G192)+0.0001,IF(OR(B193="",M193=0),0,VLOOKUP(A193,Journal!$C$7:M$84,7)))</f>
        <v>0</v>
      </c>
      <c r="H193" s="102">
        <f>IF(B193="Total",SUM(H$8:H192)+0.0001,IF(OR(B193="",N193=0),0,VLOOKUP(A193,Journal!$C$7:M$84,7)))</f>
        <v>0</v>
      </c>
      <c r="I193" s="87">
        <f t="shared" si="16"/>
        <v>0</v>
      </c>
      <c r="K193" s="13">
        <f>VLOOKUP(A193,Journal!$C$7:$M$84,4)</f>
        <v>0</v>
      </c>
      <c r="L193" s="13">
        <f>VLOOKUP(A193,Journal!$C$7:$M$84,5)</f>
        <v>0</v>
      </c>
      <c r="M193" s="13">
        <f t="shared" si="18"/>
        <v>0</v>
      </c>
      <c r="N193" s="13">
        <f t="shared" si="19"/>
        <v>0</v>
      </c>
      <c r="O193" s="13"/>
      <c r="P193" s="13">
        <f t="shared" si="20"/>
        <v>1.0000000000000001E-5</v>
      </c>
      <c r="T193" t="str">
        <f t="shared" si="15"/>
        <v/>
      </c>
    </row>
    <row r="194" spans="1:20" x14ac:dyDescent="0.25">
      <c r="A194">
        <f t="shared" si="17"/>
        <v>187</v>
      </c>
      <c r="B194" s="88" t="str">
        <f>IF(OR(B193="Total",B193=""),"",IF(VLOOKUP(A194,Journal!$C$7:$E$84,3)=0,"Total",VLOOKUP(A194,Journal!$C$7:$D$84,2)))</f>
        <v/>
      </c>
      <c r="C194" s="86" t="str">
        <f>IF(B194="","",VLOOKUP(A194,Journal!$C$7:$E$84,3))</f>
        <v/>
      </c>
      <c r="D194" s="84" t="str">
        <f>IF(B194="","",VLOOKUP(A194,Journal!$C$7:$J$84,8))</f>
        <v/>
      </c>
      <c r="E194" s="84" t="str">
        <f>IF(B194="","",VLOOKUP(A194,Journal!$C$7:$L$84,10))</f>
        <v/>
      </c>
      <c r="F194" s="84" t="str">
        <f>IF(B194="","",VLOOKUP(A194,Journal!$C$7:$M$84,11))</f>
        <v/>
      </c>
      <c r="G194" s="102">
        <f>IF(B194="Total",SUM(G$8:G193)+0.0001,IF(OR(B194="",M194=0),0,VLOOKUP(A194,Journal!$C$7:M$84,7)))</f>
        <v>0</v>
      </c>
      <c r="H194" s="102">
        <f>IF(B194="Total",SUM(H$8:H193)+0.0001,IF(OR(B194="",N194=0),0,VLOOKUP(A194,Journal!$C$7:M$84,7)))</f>
        <v>0</v>
      </c>
      <c r="I194" s="87">
        <f t="shared" si="16"/>
        <v>0</v>
      </c>
      <c r="K194" s="13">
        <f>VLOOKUP(A194,Journal!$C$7:$M$84,4)</f>
        <v>0</v>
      </c>
      <c r="L194" s="13">
        <f>VLOOKUP(A194,Journal!$C$7:$M$84,5)</f>
        <v>0</v>
      </c>
      <c r="M194" s="13">
        <f t="shared" si="18"/>
        <v>0</v>
      </c>
      <c r="N194" s="13">
        <f t="shared" si="19"/>
        <v>0</v>
      </c>
      <c r="O194" s="13"/>
      <c r="P194" s="13">
        <f t="shared" si="20"/>
        <v>1.0000000000000001E-5</v>
      </c>
      <c r="T194" t="str">
        <f t="shared" si="15"/>
        <v/>
      </c>
    </row>
    <row r="195" spans="1:20" x14ac:dyDescent="0.25">
      <c r="A195">
        <f t="shared" si="17"/>
        <v>188</v>
      </c>
      <c r="B195" s="88" t="str">
        <f>IF(OR(B194="Total",B194=""),"",IF(VLOOKUP(A195,Journal!$C$7:$E$84,3)=0,"Total",VLOOKUP(A195,Journal!$C$7:$D$84,2)))</f>
        <v/>
      </c>
      <c r="C195" s="86" t="str">
        <f>IF(B195="","",VLOOKUP(A195,Journal!$C$7:$E$84,3))</f>
        <v/>
      </c>
      <c r="D195" s="84" t="str">
        <f>IF(B195="","",VLOOKUP(A195,Journal!$C$7:$J$84,8))</f>
        <v/>
      </c>
      <c r="E195" s="84" t="str">
        <f>IF(B195="","",VLOOKUP(A195,Journal!$C$7:$L$84,10))</f>
        <v/>
      </c>
      <c r="F195" s="84" t="str">
        <f>IF(B195="","",VLOOKUP(A195,Journal!$C$7:$M$84,11))</f>
        <v/>
      </c>
      <c r="G195" s="102">
        <f>IF(B195="Total",SUM(G$8:G194)+0.0001,IF(OR(B195="",M195=0),0,VLOOKUP(A195,Journal!$C$7:M$84,7)))</f>
        <v>0</v>
      </c>
      <c r="H195" s="102">
        <f>IF(B195="Total",SUM(H$8:H194)+0.0001,IF(OR(B195="",N195=0),0,VLOOKUP(A195,Journal!$C$7:M$84,7)))</f>
        <v>0</v>
      </c>
      <c r="I195" s="87">
        <f t="shared" si="16"/>
        <v>0</v>
      </c>
      <c r="K195" s="13">
        <f>VLOOKUP(A195,Journal!$C$7:$M$84,4)</f>
        <v>0</v>
      </c>
      <c r="L195" s="13">
        <f>VLOOKUP(A195,Journal!$C$7:$M$84,5)</f>
        <v>0</v>
      </c>
      <c r="M195" s="13">
        <f t="shared" si="18"/>
        <v>0</v>
      </c>
      <c r="N195" s="13">
        <f t="shared" si="19"/>
        <v>0</v>
      </c>
      <c r="O195" s="13"/>
      <c r="P195" s="13">
        <f t="shared" si="20"/>
        <v>1.0000000000000001E-5</v>
      </c>
      <c r="T195" t="str">
        <f t="shared" si="15"/>
        <v/>
      </c>
    </row>
    <row r="196" spans="1:20" x14ac:dyDescent="0.25">
      <c r="A196">
        <f t="shared" si="17"/>
        <v>189</v>
      </c>
      <c r="B196" s="88" t="str">
        <f>IF(OR(B195="Total",B195=""),"",IF(VLOOKUP(A196,Journal!$C$7:$E$84,3)=0,"Total",VLOOKUP(A196,Journal!$C$7:$D$84,2)))</f>
        <v/>
      </c>
      <c r="C196" s="86" t="str">
        <f>IF(B196="","",VLOOKUP(A196,Journal!$C$7:$E$84,3))</f>
        <v/>
      </c>
      <c r="D196" s="84" t="str">
        <f>IF(B196="","",VLOOKUP(A196,Journal!$C$7:$J$84,8))</f>
        <v/>
      </c>
      <c r="E196" s="84" t="str">
        <f>IF(B196="","",VLOOKUP(A196,Journal!$C$7:$L$84,10))</f>
        <v/>
      </c>
      <c r="F196" s="84" t="str">
        <f>IF(B196="","",VLOOKUP(A196,Journal!$C$7:$M$84,11))</f>
        <v/>
      </c>
      <c r="G196" s="102">
        <f>IF(B196="Total",SUM(G$8:G195)+0.0001,IF(OR(B196="",M196=0),0,VLOOKUP(A196,Journal!$C$7:M$84,7)))</f>
        <v>0</v>
      </c>
      <c r="H196" s="102">
        <f>IF(B196="Total",SUM(H$8:H195)+0.0001,IF(OR(B196="",N196=0),0,VLOOKUP(A196,Journal!$C$7:M$84,7)))</f>
        <v>0</v>
      </c>
      <c r="I196" s="87">
        <f t="shared" si="16"/>
        <v>0</v>
      </c>
      <c r="K196" s="13">
        <f>VLOOKUP(A196,Journal!$C$7:$M$84,4)</f>
        <v>0</v>
      </c>
      <c r="L196" s="13">
        <f>VLOOKUP(A196,Journal!$C$7:$M$84,5)</f>
        <v>0</v>
      </c>
      <c r="M196" s="13">
        <f t="shared" si="18"/>
        <v>0</v>
      </c>
      <c r="N196" s="13">
        <f t="shared" si="19"/>
        <v>0</v>
      </c>
      <c r="O196" s="13"/>
      <c r="P196" s="13">
        <f t="shared" si="20"/>
        <v>1.0000000000000001E-5</v>
      </c>
      <c r="T196" t="str">
        <f t="shared" si="15"/>
        <v/>
      </c>
    </row>
    <row r="197" spans="1:20" x14ac:dyDescent="0.25">
      <c r="A197">
        <f t="shared" si="17"/>
        <v>190</v>
      </c>
      <c r="B197" s="88" t="str">
        <f>IF(OR(B196="Total",B196=""),"",IF(VLOOKUP(A197,Journal!$C$7:$E$84,3)=0,"Total",VLOOKUP(A197,Journal!$C$7:$D$84,2)))</f>
        <v/>
      </c>
      <c r="C197" s="86" t="str">
        <f>IF(B197="","",VLOOKUP(A197,Journal!$C$7:$E$84,3))</f>
        <v/>
      </c>
      <c r="D197" s="84" t="str">
        <f>IF(B197="","",VLOOKUP(A197,Journal!$C$7:$J$84,8))</f>
        <v/>
      </c>
      <c r="E197" s="84" t="str">
        <f>IF(B197="","",VLOOKUP(A197,Journal!$C$7:$L$84,10))</f>
        <v/>
      </c>
      <c r="F197" s="84" t="str">
        <f>IF(B197="","",VLOOKUP(A197,Journal!$C$7:$M$84,11))</f>
        <v/>
      </c>
      <c r="G197" s="102">
        <f>IF(B197="Total",SUM(G$8:G196)+0.0001,IF(OR(B197="",M197=0),0,VLOOKUP(A197,Journal!$C$7:M$84,7)))</f>
        <v>0</v>
      </c>
      <c r="H197" s="102">
        <f>IF(B197="Total",SUM(H$8:H196)+0.0001,IF(OR(B197="",N197=0),0,VLOOKUP(A197,Journal!$C$7:M$84,7)))</f>
        <v>0</v>
      </c>
      <c r="I197" s="87">
        <f t="shared" si="16"/>
        <v>0</v>
      </c>
      <c r="K197" s="13">
        <f>VLOOKUP(A197,Journal!$C$7:$M$84,4)</f>
        <v>0</v>
      </c>
      <c r="L197" s="13">
        <f>VLOOKUP(A197,Journal!$C$7:$M$84,5)</f>
        <v>0</v>
      </c>
      <c r="M197" s="13">
        <f t="shared" si="18"/>
        <v>0</v>
      </c>
      <c r="N197" s="13">
        <f t="shared" si="19"/>
        <v>0</v>
      </c>
      <c r="O197" s="13"/>
      <c r="P197" s="13">
        <f t="shared" si="20"/>
        <v>1.0000000000000001E-5</v>
      </c>
      <c r="T197" t="str">
        <f t="shared" si="15"/>
        <v/>
      </c>
    </row>
    <row r="198" spans="1:20" x14ac:dyDescent="0.25">
      <c r="A198">
        <f t="shared" si="17"/>
        <v>191</v>
      </c>
      <c r="B198" s="88" t="str">
        <f>IF(OR(B197="Total",B197=""),"",IF(VLOOKUP(A198,Journal!$C$7:$E$84,3)=0,"Total",VLOOKUP(A198,Journal!$C$7:$D$84,2)))</f>
        <v/>
      </c>
      <c r="C198" s="86" t="str">
        <f>IF(B198="","",VLOOKUP(A198,Journal!$C$7:$E$84,3))</f>
        <v/>
      </c>
      <c r="D198" s="84" t="str">
        <f>IF(B198="","",VLOOKUP(A198,Journal!$C$7:$J$84,8))</f>
        <v/>
      </c>
      <c r="E198" s="84" t="str">
        <f>IF(B198="","",VLOOKUP(A198,Journal!$C$7:$L$84,10))</f>
        <v/>
      </c>
      <c r="F198" s="84" t="str">
        <f>IF(B198="","",VLOOKUP(A198,Journal!$C$7:$M$84,11))</f>
        <v/>
      </c>
      <c r="G198" s="102">
        <f>IF(B198="Total",SUM(G$8:G197)+0.0001,IF(OR(B198="",M198=0),0,VLOOKUP(A198,Journal!$C$7:M$84,7)))</f>
        <v>0</v>
      </c>
      <c r="H198" s="102">
        <f>IF(B198="Total",SUM(H$8:H197)+0.0001,IF(OR(B198="",N198=0),0,VLOOKUP(A198,Journal!$C$7:M$84,7)))</f>
        <v>0</v>
      </c>
      <c r="I198" s="87">
        <f t="shared" si="16"/>
        <v>0</v>
      </c>
      <c r="K198" s="13">
        <f>VLOOKUP(A198,Journal!$C$7:$M$84,4)</f>
        <v>0</v>
      </c>
      <c r="L198" s="13">
        <f>VLOOKUP(A198,Journal!$C$7:$M$84,5)</f>
        <v>0</v>
      </c>
      <c r="M198" s="13">
        <f t="shared" si="18"/>
        <v>0</v>
      </c>
      <c r="N198" s="13">
        <f t="shared" si="19"/>
        <v>0</v>
      </c>
      <c r="O198" s="13"/>
      <c r="P198" s="13">
        <f t="shared" si="20"/>
        <v>1.0000000000000001E-5</v>
      </c>
      <c r="T198" t="str">
        <f t="shared" si="15"/>
        <v/>
      </c>
    </row>
    <row r="199" spans="1:20" x14ac:dyDescent="0.25">
      <c r="A199">
        <f t="shared" si="17"/>
        <v>192</v>
      </c>
      <c r="B199" s="88" t="str">
        <f>IF(OR(B198="Total",B198=""),"",IF(VLOOKUP(A199,Journal!$C$7:$E$84,3)=0,"Total",VLOOKUP(A199,Journal!$C$7:$D$84,2)))</f>
        <v/>
      </c>
      <c r="C199" s="86" t="str">
        <f>IF(B199="","",VLOOKUP(A199,Journal!$C$7:$E$84,3))</f>
        <v/>
      </c>
      <c r="D199" s="84" t="str">
        <f>IF(B199="","",VLOOKUP(A199,Journal!$C$7:$J$84,8))</f>
        <v/>
      </c>
      <c r="E199" s="84" t="str">
        <f>IF(B199="","",VLOOKUP(A199,Journal!$C$7:$L$84,10))</f>
        <v/>
      </c>
      <c r="F199" s="84" t="str">
        <f>IF(B199="","",VLOOKUP(A199,Journal!$C$7:$M$84,11))</f>
        <v/>
      </c>
      <c r="G199" s="102">
        <f>IF(B199="Total",SUM(G$8:G198)+0.0001,IF(OR(B199="",M199=0),0,VLOOKUP(A199,Journal!$C$7:M$84,7)))</f>
        <v>0</v>
      </c>
      <c r="H199" s="102">
        <f>IF(B199="Total",SUM(H$8:H198)+0.0001,IF(OR(B199="",N199=0),0,VLOOKUP(A199,Journal!$C$7:M$84,7)))</f>
        <v>0</v>
      </c>
      <c r="I199" s="87">
        <f t="shared" si="16"/>
        <v>0</v>
      </c>
      <c r="K199" s="13">
        <f>VLOOKUP(A199,Journal!$C$7:$M$84,4)</f>
        <v>0</v>
      </c>
      <c r="L199" s="13">
        <f>VLOOKUP(A199,Journal!$C$7:$M$84,5)</f>
        <v>0</v>
      </c>
      <c r="M199" s="13">
        <f t="shared" si="18"/>
        <v>0</v>
      </c>
      <c r="N199" s="13">
        <f t="shared" si="19"/>
        <v>0</v>
      </c>
      <c r="O199" s="13"/>
      <c r="P199" s="13">
        <f t="shared" si="20"/>
        <v>1.0000000000000001E-5</v>
      </c>
      <c r="T199" t="str">
        <f t="shared" si="15"/>
        <v/>
      </c>
    </row>
    <row r="200" spans="1:20" x14ac:dyDescent="0.25">
      <c r="A200">
        <f t="shared" si="17"/>
        <v>193</v>
      </c>
      <c r="B200" s="88" t="str">
        <f>IF(OR(B199="Total",B199=""),"",IF(VLOOKUP(A200,Journal!$C$7:$E$84,3)=0,"Total",VLOOKUP(A200,Journal!$C$7:$D$84,2)))</f>
        <v/>
      </c>
      <c r="C200" s="86" t="str">
        <f>IF(B200="","",VLOOKUP(A200,Journal!$C$7:$E$84,3))</f>
        <v/>
      </c>
      <c r="D200" s="84" t="str">
        <f>IF(B200="","",VLOOKUP(A200,Journal!$C$7:$J$84,8))</f>
        <v/>
      </c>
      <c r="E200" s="84" t="str">
        <f>IF(B200="","",VLOOKUP(A200,Journal!$C$7:$L$84,10))</f>
        <v/>
      </c>
      <c r="F200" s="84" t="str">
        <f>IF(B200="","",VLOOKUP(A200,Journal!$C$7:$M$84,11))</f>
        <v/>
      </c>
      <c r="G200" s="102">
        <f>IF(B200="Total",SUM(G$8:G199)+0.0001,IF(OR(B200="",M200=0),0,VLOOKUP(A200,Journal!$C$7:M$84,7)))</f>
        <v>0</v>
      </c>
      <c r="H200" s="102">
        <f>IF(B200="Total",SUM(H$8:H199)+0.0001,IF(OR(B200="",N200=0),0,VLOOKUP(A200,Journal!$C$7:M$84,7)))</f>
        <v>0</v>
      </c>
      <c r="I200" s="87">
        <f t="shared" si="16"/>
        <v>0</v>
      </c>
      <c r="K200" s="13">
        <f>VLOOKUP(A200,Journal!$C$7:$M$84,4)</f>
        <v>0</v>
      </c>
      <c r="L200" s="13">
        <f>VLOOKUP(A200,Journal!$C$7:$M$84,5)</f>
        <v>0</v>
      </c>
      <c r="M200" s="13">
        <f t="shared" si="18"/>
        <v>0</v>
      </c>
      <c r="N200" s="13">
        <f t="shared" si="19"/>
        <v>0</v>
      </c>
      <c r="O200" s="13"/>
      <c r="P200" s="13">
        <f t="shared" si="20"/>
        <v>1.0000000000000001E-5</v>
      </c>
      <c r="T200" t="str">
        <f t="shared" si="15"/>
        <v/>
      </c>
    </row>
    <row r="201" spans="1:20" x14ac:dyDescent="0.25">
      <c r="A201">
        <f t="shared" si="17"/>
        <v>194</v>
      </c>
      <c r="B201" s="88" t="str">
        <f>IF(OR(B200="Total",B200=""),"",IF(VLOOKUP(A201,Journal!$C$7:$E$84,3)=0,"Total",VLOOKUP(A201,Journal!$C$7:$D$84,2)))</f>
        <v/>
      </c>
      <c r="C201" s="86" t="str">
        <f>IF(B201="","",VLOOKUP(A201,Journal!$C$7:$E$84,3))</f>
        <v/>
      </c>
      <c r="D201" s="84" t="str">
        <f>IF(B201="","",VLOOKUP(A201,Journal!$C$7:$J$84,8))</f>
        <v/>
      </c>
      <c r="E201" s="84" t="str">
        <f>IF(B201="","",VLOOKUP(A201,Journal!$C$7:$L$84,10))</f>
        <v/>
      </c>
      <c r="F201" s="84" t="str">
        <f>IF(B201="","",VLOOKUP(A201,Journal!$C$7:$M$84,11))</f>
        <v/>
      </c>
      <c r="G201" s="102">
        <f>IF(B201="Total",SUM(G$8:G200)+0.0001,IF(OR(B201="",M201=0),0,VLOOKUP(A201,Journal!$C$7:M$84,7)))</f>
        <v>0</v>
      </c>
      <c r="H201" s="102">
        <f>IF(B201="Total",SUM(H$8:H200)+0.0001,IF(OR(B201="",N201=0),0,VLOOKUP(A201,Journal!$C$7:M$84,7)))</f>
        <v>0</v>
      </c>
      <c r="I201" s="87">
        <f t="shared" si="16"/>
        <v>0</v>
      </c>
      <c r="K201" s="13">
        <f>VLOOKUP(A201,Journal!$C$7:$M$84,4)</f>
        <v>0</v>
      </c>
      <c r="L201" s="13">
        <f>VLOOKUP(A201,Journal!$C$7:$M$84,5)</f>
        <v>0</v>
      </c>
      <c r="M201" s="13">
        <f t="shared" si="18"/>
        <v>0</v>
      </c>
      <c r="N201" s="13">
        <f t="shared" si="19"/>
        <v>0</v>
      </c>
      <c r="O201" s="13"/>
      <c r="P201" s="13">
        <f t="shared" si="20"/>
        <v>1.0000000000000001E-5</v>
      </c>
      <c r="T201" t="str">
        <f t="shared" ref="T201:T264" si="21">IF(AND(G201&lt;&gt;0,B201&lt;&gt;"Total",G201=H201),"Beide Konten sind Erfolgskonten, weshalb Saldo gleich bleibt","")</f>
        <v/>
      </c>
    </row>
    <row r="202" spans="1:20" x14ac:dyDescent="0.25">
      <c r="A202">
        <f t="shared" si="17"/>
        <v>195</v>
      </c>
      <c r="B202" s="88" t="str">
        <f>IF(OR(B201="Total",B201=""),"",IF(VLOOKUP(A202,Journal!$C$7:$E$84,3)=0,"Total",VLOOKUP(A202,Journal!$C$7:$D$84,2)))</f>
        <v/>
      </c>
      <c r="C202" s="86" t="str">
        <f>IF(B202="","",VLOOKUP(A202,Journal!$C$7:$E$84,3))</f>
        <v/>
      </c>
      <c r="D202" s="84" t="str">
        <f>IF(B202="","",VLOOKUP(A202,Journal!$C$7:$J$84,8))</f>
        <v/>
      </c>
      <c r="E202" s="84" t="str">
        <f>IF(B202="","",VLOOKUP(A202,Journal!$C$7:$L$84,10))</f>
        <v/>
      </c>
      <c r="F202" s="84" t="str">
        <f>IF(B202="","",VLOOKUP(A202,Journal!$C$7:$M$84,11))</f>
        <v/>
      </c>
      <c r="G202" s="102">
        <f>IF(B202="Total",SUM(G$8:G201)+0.0001,IF(OR(B202="",M202=0),0,VLOOKUP(A202,Journal!$C$7:M$84,7)))</f>
        <v>0</v>
      </c>
      <c r="H202" s="102">
        <f>IF(B202="Total",SUM(H$8:H201)+0.0001,IF(OR(B202="",N202=0),0,VLOOKUP(A202,Journal!$C$7:M$84,7)))</f>
        <v>0</v>
      </c>
      <c r="I202" s="87">
        <f t="shared" ref="I202:I265" si="22">IF(B202="Total",I201,IF(B202="",0,I201+G202-H202))</f>
        <v>0</v>
      </c>
      <c r="K202" s="13">
        <f>VLOOKUP(A202,Journal!$C$7:$M$84,4)</f>
        <v>0</v>
      </c>
      <c r="L202" s="13">
        <f>VLOOKUP(A202,Journal!$C$7:$M$84,5)</f>
        <v>0</v>
      </c>
      <c r="M202" s="13">
        <f t="shared" si="18"/>
        <v>0</v>
      </c>
      <c r="N202" s="13">
        <f t="shared" si="19"/>
        <v>0</v>
      </c>
      <c r="O202" s="13"/>
      <c r="P202" s="13">
        <f t="shared" si="20"/>
        <v>1.0000000000000001E-5</v>
      </c>
      <c r="T202" t="str">
        <f t="shared" si="21"/>
        <v/>
      </c>
    </row>
    <row r="203" spans="1:20" x14ac:dyDescent="0.25">
      <c r="A203">
        <f t="shared" ref="A203:A266" si="23">A202+1</f>
        <v>196</v>
      </c>
      <c r="B203" s="88" t="str">
        <f>IF(OR(B202="Total",B202=""),"",IF(VLOOKUP(A203,Journal!$C$7:$E$84,3)=0,"Total",VLOOKUP(A203,Journal!$C$7:$D$84,2)))</f>
        <v/>
      </c>
      <c r="C203" s="86" t="str">
        <f>IF(B203="","",VLOOKUP(A203,Journal!$C$7:$E$84,3))</f>
        <v/>
      </c>
      <c r="D203" s="84" t="str">
        <f>IF(B203="","",VLOOKUP(A203,Journal!$C$7:$J$84,8))</f>
        <v/>
      </c>
      <c r="E203" s="84" t="str">
        <f>IF(B203="","",VLOOKUP(A203,Journal!$C$7:$L$84,10))</f>
        <v/>
      </c>
      <c r="F203" s="84" t="str">
        <f>IF(B203="","",VLOOKUP(A203,Journal!$C$7:$M$84,11))</f>
        <v/>
      </c>
      <c r="G203" s="102">
        <f>IF(B203="Total",SUM(G$8:G202)+0.0001,IF(OR(B203="",M203=0),0,VLOOKUP(A203,Journal!$C$7:M$84,7)))</f>
        <v>0</v>
      </c>
      <c r="H203" s="102">
        <f>IF(B203="Total",SUM(H$8:H202)+0.0001,IF(OR(B203="",N203=0),0,VLOOKUP(A203,Journal!$C$7:M$84,7)))</f>
        <v>0</v>
      </c>
      <c r="I203" s="87">
        <f t="shared" si="22"/>
        <v>0</v>
      </c>
      <c r="K203" s="13">
        <f>VLOOKUP(A203,Journal!$C$7:$M$84,4)</f>
        <v>0</v>
      </c>
      <c r="L203" s="13">
        <f>VLOOKUP(A203,Journal!$C$7:$M$84,5)</f>
        <v>0</v>
      </c>
      <c r="M203" s="13">
        <f t="shared" si="18"/>
        <v>0</v>
      </c>
      <c r="N203" s="13">
        <f t="shared" si="19"/>
        <v>0</v>
      </c>
      <c r="O203" s="13"/>
      <c r="P203" s="13">
        <f t="shared" si="20"/>
        <v>1.0000000000000001E-5</v>
      </c>
      <c r="T203" t="str">
        <f t="shared" si="21"/>
        <v/>
      </c>
    </row>
    <row r="204" spans="1:20" x14ac:dyDescent="0.25">
      <c r="A204">
        <f t="shared" si="23"/>
        <v>197</v>
      </c>
      <c r="B204" s="88" t="str">
        <f>IF(OR(B203="Total",B203=""),"",IF(VLOOKUP(A204,Journal!$C$7:$E$84,3)=0,"Total",VLOOKUP(A204,Journal!$C$7:$D$84,2)))</f>
        <v/>
      </c>
      <c r="C204" s="86" t="str">
        <f>IF(B204="","",VLOOKUP(A204,Journal!$C$7:$E$84,3))</f>
        <v/>
      </c>
      <c r="D204" s="84" t="str">
        <f>IF(B204="","",VLOOKUP(A204,Journal!$C$7:$J$84,8))</f>
        <v/>
      </c>
      <c r="E204" s="84" t="str">
        <f>IF(B204="","",VLOOKUP(A204,Journal!$C$7:$L$84,10))</f>
        <v/>
      </c>
      <c r="F204" s="84" t="str">
        <f>IF(B204="","",VLOOKUP(A204,Journal!$C$7:$M$84,11))</f>
        <v/>
      </c>
      <c r="G204" s="102">
        <f>IF(B204="Total",SUM(G$8:G203)+0.0001,IF(OR(B204="",M204=0),0,VLOOKUP(A204,Journal!$C$7:M$84,7)))</f>
        <v>0</v>
      </c>
      <c r="H204" s="102">
        <f>IF(B204="Total",SUM(H$8:H203)+0.0001,IF(OR(B204="",N204=0),0,VLOOKUP(A204,Journal!$C$7:M$84,7)))</f>
        <v>0</v>
      </c>
      <c r="I204" s="87">
        <f t="shared" si="22"/>
        <v>0</v>
      </c>
      <c r="K204" s="13">
        <f>VLOOKUP(A204,Journal!$C$7:$M$84,4)</f>
        <v>0</v>
      </c>
      <c r="L204" s="13">
        <f>VLOOKUP(A204,Journal!$C$7:$M$84,5)</f>
        <v>0</v>
      </c>
      <c r="M204" s="13">
        <f t="shared" si="18"/>
        <v>0</v>
      </c>
      <c r="N204" s="13">
        <f t="shared" si="19"/>
        <v>0</v>
      </c>
      <c r="O204" s="13"/>
      <c r="P204" s="13">
        <f t="shared" si="20"/>
        <v>1.0000000000000001E-5</v>
      </c>
      <c r="T204" t="str">
        <f t="shared" si="21"/>
        <v/>
      </c>
    </row>
    <row r="205" spans="1:20" x14ac:dyDescent="0.25">
      <c r="A205">
        <f t="shared" si="23"/>
        <v>198</v>
      </c>
      <c r="B205" s="88" t="str">
        <f>IF(OR(B204="Total",B204=""),"",IF(VLOOKUP(A205,Journal!$C$7:$E$84,3)=0,"Total",VLOOKUP(A205,Journal!$C$7:$D$84,2)))</f>
        <v/>
      </c>
      <c r="C205" s="86" t="str">
        <f>IF(B205="","",VLOOKUP(A205,Journal!$C$7:$E$84,3))</f>
        <v/>
      </c>
      <c r="D205" s="84" t="str">
        <f>IF(B205="","",VLOOKUP(A205,Journal!$C$7:$J$84,8))</f>
        <v/>
      </c>
      <c r="E205" s="84" t="str">
        <f>IF(B205="","",VLOOKUP(A205,Journal!$C$7:$L$84,10))</f>
        <v/>
      </c>
      <c r="F205" s="84" t="str">
        <f>IF(B205="","",VLOOKUP(A205,Journal!$C$7:$M$84,11))</f>
        <v/>
      </c>
      <c r="G205" s="102">
        <f>IF(B205="Total",SUM(G$8:G204)+0.0001,IF(OR(B205="",M205=0),0,VLOOKUP(A205,Journal!$C$7:M$84,7)))</f>
        <v>0</v>
      </c>
      <c r="H205" s="102">
        <f>IF(B205="Total",SUM(H$8:H204)+0.0001,IF(OR(B205="",N205=0),0,VLOOKUP(A205,Journal!$C$7:M$84,7)))</f>
        <v>0</v>
      </c>
      <c r="I205" s="87">
        <f t="shared" si="22"/>
        <v>0</v>
      </c>
      <c r="K205" s="13">
        <f>VLOOKUP(A205,Journal!$C$7:$M$84,4)</f>
        <v>0</v>
      </c>
      <c r="L205" s="13">
        <f>VLOOKUP(A205,Journal!$C$7:$M$84,5)</f>
        <v>0</v>
      </c>
      <c r="M205" s="13">
        <f t="shared" si="18"/>
        <v>0</v>
      </c>
      <c r="N205" s="13">
        <f t="shared" si="19"/>
        <v>0</v>
      </c>
      <c r="O205" s="13"/>
      <c r="P205" s="13">
        <f t="shared" si="20"/>
        <v>1.0000000000000001E-5</v>
      </c>
      <c r="T205" t="str">
        <f t="shared" si="21"/>
        <v/>
      </c>
    </row>
    <row r="206" spans="1:20" x14ac:dyDescent="0.25">
      <c r="A206">
        <f t="shared" si="23"/>
        <v>199</v>
      </c>
      <c r="B206" s="88" t="str">
        <f>IF(OR(B205="Total",B205=""),"",IF(VLOOKUP(A206,Journal!$C$7:$E$84,3)=0,"Total",VLOOKUP(A206,Journal!$C$7:$D$84,2)))</f>
        <v/>
      </c>
      <c r="C206" s="86" t="str">
        <f>IF(B206="","",VLOOKUP(A206,Journal!$C$7:$E$84,3))</f>
        <v/>
      </c>
      <c r="D206" s="84" t="str">
        <f>IF(B206="","",VLOOKUP(A206,Journal!$C$7:$J$84,8))</f>
        <v/>
      </c>
      <c r="E206" s="84" t="str">
        <f>IF(B206="","",VLOOKUP(A206,Journal!$C$7:$L$84,10))</f>
        <v/>
      </c>
      <c r="F206" s="84" t="str">
        <f>IF(B206="","",VLOOKUP(A206,Journal!$C$7:$M$84,11))</f>
        <v/>
      </c>
      <c r="G206" s="102">
        <f>IF(B206="Total",SUM(G$8:G205)+0.0001,IF(OR(B206="",M206=0),0,VLOOKUP(A206,Journal!$C$7:M$84,7)))</f>
        <v>0</v>
      </c>
      <c r="H206" s="102">
        <f>IF(B206="Total",SUM(H$8:H205)+0.0001,IF(OR(B206="",N206=0),0,VLOOKUP(A206,Journal!$C$7:M$84,7)))</f>
        <v>0</v>
      </c>
      <c r="I206" s="87">
        <f t="shared" si="22"/>
        <v>0</v>
      </c>
      <c r="K206" s="13">
        <f>VLOOKUP(A206,Journal!$C$7:$M$84,4)</f>
        <v>0</v>
      </c>
      <c r="L206" s="13">
        <f>VLOOKUP(A206,Journal!$C$7:$M$84,5)</f>
        <v>0</v>
      </c>
      <c r="M206" s="13">
        <f t="shared" si="18"/>
        <v>0</v>
      </c>
      <c r="N206" s="13">
        <f t="shared" si="19"/>
        <v>0</v>
      </c>
      <c r="O206" s="13"/>
      <c r="P206" s="13">
        <f t="shared" si="20"/>
        <v>1.0000000000000001E-5</v>
      </c>
      <c r="T206" t="str">
        <f t="shared" si="21"/>
        <v/>
      </c>
    </row>
    <row r="207" spans="1:20" x14ac:dyDescent="0.25">
      <c r="A207">
        <f t="shared" si="23"/>
        <v>200</v>
      </c>
      <c r="B207" s="88" t="str">
        <f>IF(OR(B206="Total",B206=""),"",IF(VLOOKUP(A207,Journal!$C$7:$E$84,3)=0,"Total",VLOOKUP(A207,Journal!$C$7:$D$84,2)))</f>
        <v/>
      </c>
      <c r="C207" s="86" t="str">
        <f>IF(B207="","",VLOOKUP(A207,Journal!$C$7:$E$84,3))</f>
        <v/>
      </c>
      <c r="D207" s="84" t="str">
        <f>IF(B207="","",VLOOKUP(A207,Journal!$C$7:$J$84,8))</f>
        <v/>
      </c>
      <c r="E207" s="84" t="str">
        <f>IF(B207="","",VLOOKUP(A207,Journal!$C$7:$L$84,10))</f>
        <v/>
      </c>
      <c r="F207" s="84" t="str">
        <f>IF(B207="","",VLOOKUP(A207,Journal!$C$7:$M$84,11))</f>
        <v/>
      </c>
      <c r="G207" s="102">
        <f>IF(B207="Total",SUM(G$8:G206)+0.0001,IF(OR(B207="",M207=0),0,VLOOKUP(A207,Journal!$C$7:M$84,7)))</f>
        <v>0</v>
      </c>
      <c r="H207" s="102">
        <f>IF(B207="Total",SUM(H$8:H206)+0.0001,IF(OR(B207="",N207=0),0,VLOOKUP(A207,Journal!$C$7:M$84,7)))</f>
        <v>0</v>
      </c>
      <c r="I207" s="87">
        <f t="shared" si="22"/>
        <v>0</v>
      </c>
      <c r="K207" s="13">
        <f>VLOOKUP(A207,Journal!$C$7:$M$84,4)</f>
        <v>0</v>
      </c>
      <c r="L207" s="13">
        <f>VLOOKUP(A207,Journal!$C$7:$M$84,5)</f>
        <v>0</v>
      </c>
      <c r="M207" s="13">
        <f t="shared" si="18"/>
        <v>0</v>
      </c>
      <c r="N207" s="13">
        <f t="shared" si="19"/>
        <v>0</v>
      </c>
      <c r="O207" s="13"/>
      <c r="P207" s="13">
        <f t="shared" si="20"/>
        <v>1.0000000000000001E-5</v>
      </c>
      <c r="T207" t="str">
        <f t="shared" si="21"/>
        <v/>
      </c>
    </row>
    <row r="208" spans="1:20" x14ac:dyDescent="0.25">
      <c r="A208">
        <f t="shared" si="23"/>
        <v>201</v>
      </c>
      <c r="B208" s="88" t="str">
        <f>IF(OR(B207="Total",B207=""),"",IF(VLOOKUP(A208,Journal!$C$7:$E$84,3)=0,"Total",VLOOKUP(A208,Journal!$C$7:$D$84,2)))</f>
        <v/>
      </c>
      <c r="C208" s="86" t="str">
        <f>IF(B208="","",VLOOKUP(A208,Journal!$C$7:$E$84,3))</f>
        <v/>
      </c>
      <c r="D208" s="84" t="str">
        <f>IF(B208="","",VLOOKUP(A208,Journal!$C$7:$J$84,8))</f>
        <v/>
      </c>
      <c r="E208" s="84" t="str">
        <f>IF(B208="","",VLOOKUP(A208,Journal!$C$7:$L$84,10))</f>
        <v/>
      </c>
      <c r="F208" s="84" t="str">
        <f>IF(B208="","",VLOOKUP(A208,Journal!$C$7:$M$84,11))</f>
        <v/>
      </c>
      <c r="G208" s="102">
        <f>IF(B208="Total",SUM(G$8:G207)+0.0001,IF(OR(B208="",M208=0),0,VLOOKUP(A208,Journal!$C$7:M$84,7)))</f>
        <v>0</v>
      </c>
      <c r="H208" s="102">
        <f>IF(B208="Total",SUM(H$8:H207)+0.0001,IF(OR(B208="",N208=0),0,VLOOKUP(A208,Journal!$C$7:M$84,7)))</f>
        <v>0</v>
      </c>
      <c r="I208" s="87">
        <f t="shared" si="22"/>
        <v>0</v>
      </c>
      <c r="K208" s="13">
        <f>VLOOKUP(A208,Journal!$C$7:$M$84,4)</f>
        <v>0</v>
      </c>
      <c r="L208" s="13">
        <f>VLOOKUP(A208,Journal!$C$7:$M$84,5)</f>
        <v>0</v>
      </c>
      <c r="M208" s="13">
        <f t="shared" si="18"/>
        <v>0</v>
      </c>
      <c r="N208" s="13">
        <f t="shared" si="19"/>
        <v>0</v>
      </c>
      <c r="O208" s="13"/>
      <c r="P208" s="13">
        <f t="shared" si="20"/>
        <v>1.0000000000000001E-5</v>
      </c>
      <c r="T208" t="str">
        <f t="shared" si="21"/>
        <v/>
      </c>
    </row>
    <row r="209" spans="1:20" x14ac:dyDescent="0.25">
      <c r="A209">
        <f t="shared" si="23"/>
        <v>202</v>
      </c>
      <c r="B209" s="88" t="str">
        <f>IF(OR(B208="Total",B208=""),"",IF(VLOOKUP(A209,Journal!$C$7:$E$84,3)=0,"Total",VLOOKUP(A209,Journal!$C$7:$D$84,2)))</f>
        <v/>
      </c>
      <c r="C209" s="86" t="str">
        <f>IF(B209="","",VLOOKUP(A209,Journal!$C$7:$E$84,3))</f>
        <v/>
      </c>
      <c r="D209" s="84" t="str">
        <f>IF(B209="","",VLOOKUP(A209,Journal!$C$7:$J$84,8))</f>
        <v/>
      </c>
      <c r="E209" s="84" t="str">
        <f>IF(B209="","",VLOOKUP(A209,Journal!$C$7:$L$84,10))</f>
        <v/>
      </c>
      <c r="F209" s="84" t="str">
        <f>IF(B209="","",VLOOKUP(A209,Journal!$C$7:$M$84,11))</f>
        <v/>
      </c>
      <c r="G209" s="102">
        <f>IF(B209="Total",SUM(G$8:G208)+0.0001,IF(OR(B209="",M209=0),0,VLOOKUP(A209,Journal!$C$7:M$84,7)))</f>
        <v>0</v>
      </c>
      <c r="H209" s="102">
        <f>IF(B209="Total",SUM(H$8:H208)+0.0001,IF(OR(B209="",N209=0),0,VLOOKUP(A209,Journal!$C$7:M$84,7)))</f>
        <v>0</v>
      </c>
      <c r="I209" s="87">
        <f t="shared" si="22"/>
        <v>0</v>
      </c>
      <c r="K209" s="13">
        <f>VLOOKUP(A209,Journal!$C$7:$M$84,4)</f>
        <v>0</v>
      </c>
      <c r="L209" s="13">
        <f>VLOOKUP(A209,Journal!$C$7:$M$84,5)</f>
        <v>0</v>
      </c>
      <c r="M209" s="13">
        <f t="shared" si="18"/>
        <v>0</v>
      </c>
      <c r="N209" s="13">
        <f t="shared" si="19"/>
        <v>0</v>
      </c>
      <c r="O209" s="13"/>
      <c r="P209" s="13">
        <f t="shared" si="20"/>
        <v>1.0000000000000001E-5</v>
      </c>
      <c r="T209" t="str">
        <f t="shared" si="21"/>
        <v/>
      </c>
    </row>
    <row r="210" spans="1:20" x14ac:dyDescent="0.25">
      <c r="A210">
        <f t="shared" si="23"/>
        <v>203</v>
      </c>
      <c r="B210" s="88" t="str">
        <f>IF(OR(B209="Total",B209=""),"",IF(VLOOKUP(A210,Journal!$C$7:$E$84,3)=0,"Total",VLOOKUP(A210,Journal!$C$7:$D$84,2)))</f>
        <v/>
      </c>
      <c r="C210" s="86" t="str">
        <f>IF(B210="","",VLOOKUP(A210,Journal!$C$7:$E$84,3))</f>
        <v/>
      </c>
      <c r="D210" s="84" t="str">
        <f>IF(B210="","",VLOOKUP(A210,Journal!$C$7:$J$84,8))</f>
        <v/>
      </c>
      <c r="E210" s="84" t="str">
        <f>IF(B210="","",VLOOKUP(A210,Journal!$C$7:$L$84,10))</f>
        <v/>
      </c>
      <c r="F210" s="84" t="str">
        <f>IF(B210="","",VLOOKUP(A210,Journal!$C$7:$M$84,11))</f>
        <v/>
      </c>
      <c r="G210" s="102">
        <f>IF(B210="Total",SUM(G$8:G209)+0.0001,IF(OR(B210="",M210=0),0,VLOOKUP(A210,Journal!$C$7:M$84,7)))</f>
        <v>0</v>
      </c>
      <c r="H210" s="102">
        <f>IF(B210="Total",SUM(H$8:H209)+0.0001,IF(OR(B210="",N210=0),0,VLOOKUP(A210,Journal!$C$7:M$84,7)))</f>
        <v>0</v>
      </c>
      <c r="I210" s="87">
        <f t="shared" si="22"/>
        <v>0</v>
      </c>
      <c r="K210" s="13">
        <f>VLOOKUP(A210,Journal!$C$7:$M$84,4)</f>
        <v>0</v>
      </c>
      <c r="L210" s="13">
        <f>VLOOKUP(A210,Journal!$C$7:$M$84,5)</f>
        <v>0</v>
      </c>
      <c r="M210" s="13">
        <f t="shared" si="18"/>
        <v>0</v>
      </c>
      <c r="N210" s="13">
        <f t="shared" si="19"/>
        <v>0</v>
      </c>
      <c r="O210" s="13"/>
      <c r="P210" s="13">
        <f t="shared" si="20"/>
        <v>1.0000000000000001E-5</v>
      </c>
      <c r="T210" t="str">
        <f t="shared" si="21"/>
        <v/>
      </c>
    </row>
    <row r="211" spans="1:20" x14ac:dyDescent="0.25">
      <c r="A211">
        <f t="shared" si="23"/>
        <v>204</v>
      </c>
      <c r="B211" s="88" t="str">
        <f>IF(OR(B210="Total",B210=""),"",IF(VLOOKUP(A211,Journal!$C$7:$E$84,3)=0,"Total",VLOOKUP(A211,Journal!$C$7:$D$84,2)))</f>
        <v/>
      </c>
      <c r="C211" s="86" t="str">
        <f>IF(B211="","",VLOOKUP(A211,Journal!$C$7:$E$84,3))</f>
        <v/>
      </c>
      <c r="D211" s="84" t="str">
        <f>IF(B211="","",VLOOKUP(A211,Journal!$C$7:$J$84,8))</f>
        <v/>
      </c>
      <c r="E211" s="84" t="str">
        <f>IF(B211="","",VLOOKUP(A211,Journal!$C$7:$L$84,10))</f>
        <v/>
      </c>
      <c r="F211" s="84" t="str">
        <f>IF(B211="","",VLOOKUP(A211,Journal!$C$7:$M$84,11))</f>
        <v/>
      </c>
      <c r="G211" s="102">
        <f>IF(B211="Total",SUM(G$8:G210)+0.0001,IF(OR(B211="",M211=0),0,VLOOKUP(A211,Journal!$C$7:M$84,7)))</f>
        <v>0</v>
      </c>
      <c r="H211" s="102">
        <f>IF(B211="Total",SUM(H$8:H210)+0.0001,IF(OR(B211="",N211=0),0,VLOOKUP(A211,Journal!$C$7:M$84,7)))</f>
        <v>0</v>
      </c>
      <c r="I211" s="87">
        <f t="shared" si="22"/>
        <v>0</v>
      </c>
      <c r="K211" s="13">
        <f>VLOOKUP(A211,Journal!$C$7:$M$84,4)</f>
        <v>0</v>
      </c>
      <c r="L211" s="13">
        <f>VLOOKUP(A211,Journal!$C$7:$M$84,5)</f>
        <v>0</v>
      </c>
      <c r="M211" s="13">
        <f t="shared" si="18"/>
        <v>0</v>
      </c>
      <c r="N211" s="13">
        <f t="shared" si="19"/>
        <v>0</v>
      </c>
      <c r="O211" s="13"/>
      <c r="P211" s="13">
        <f t="shared" si="20"/>
        <v>1.0000000000000001E-5</v>
      </c>
      <c r="T211" t="str">
        <f t="shared" si="21"/>
        <v/>
      </c>
    </row>
    <row r="212" spans="1:20" x14ac:dyDescent="0.25">
      <c r="A212">
        <f t="shared" si="23"/>
        <v>205</v>
      </c>
      <c r="B212" s="88" t="str">
        <f>IF(OR(B211="Total",B211=""),"",IF(VLOOKUP(A212,Journal!$C$7:$E$84,3)=0,"Total",VLOOKUP(A212,Journal!$C$7:$D$84,2)))</f>
        <v/>
      </c>
      <c r="C212" s="86" t="str">
        <f>IF(B212="","",VLOOKUP(A212,Journal!$C$7:$E$84,3))</f>
        <v/>
      </c>
      <c r="D212" s="84" t="str">
        <f>IF(B212="","",VLOOKUP(A212,Journal!$C$7:$J$84,8))</f>
        <v/>
      </c>
      <c r="E212" s="84" t="str">
        <f>IF(B212="","",VLOOKUP(A212,Journal!$C$7:$L$84,10))</f>
        <v/>
      </c>
      <c r="F212" s="84" t="str">
        <f>IF(B212="","",VLOOKUP(A212,Journal!$C$7:$M$84,11))</f>
        <v/>
      </c>
      <c r="G212" s="102">
        <f>IF(B212="Total",SUM(G$8:G211)+0.0001,IF(OR(B212="",M212=0),0,VLOOKUP(A212,Journal!$C$7:M$84,7)))</f>
        <v>0</v>
      </c>
      <c r="H212" s="102">
        <f>IF(B212="Total",SUM(H$8:H211)+0.0001,IF(OR(B212="",N212=0),0,VLOOKUP(A212,Journal!$C$7:M$84,7)))</f>
        <v>0</v>
      </c>
      <c r="I212" s="87">
        <f t="shared" si="22"/>
        <v>0</v>
      </c>
      <c r="K212" s="13">
        <f>VLOOKUP(A212,Journal!$C$7:$M$84,4)</f>
        <v>0</v>
      </c>
      <c r="L212" s="13">
        <f>VLOOKUP(A212,Journal!$C$7:$M$84,5)</f>
        <v>0</v>
      </c>
      <c r="M212" s="13">
        <f t="shared" si="18"/>
        <v>0</v>
      </c>
      <c r="N212" s="13">
        <f t="shared" si="19"/>
        <v>0</v>
      </c>
      <c r="O212" s="13"/>
      <c r="P212" s="13">
        <f t="shared" si="20"/>
        <v>1.0000000000000001E-5</v>
      </c>
      <c r="T212" t="str">
        <f t="shared" si="21"/>
        <v/>
      </c>
    </row>
    <row r="213" spans="1:20" x14ac:dyDescent="0.25">
      <c r="A213">
        <f t="shared" si="23"/>
        <v>206</v>
      </c>
      <c r="B213" s="88" t="str">
        <f>IF(OR(B212="Total",B212=""),"",IF(VLOOKUP(A213,Journal!$C$7:$E$84,3)=0,"Total",VLOOKUP(A213,Journal!$C$7:$D$84,2)))</f>
        <v/>
      </c>
      <c r="C213" s="86" t="str">
        <f>IF(B213="","",VLOOKUP(A213,Journal!$C$7:$E$84,3))</f>
        <v/>
      </c>
      <c r="D213" s="84" t="str">
        <f>IF(B213="","",VLOOKUP(A213,Journal!$C$7:$J$84,8))</f>
        <v/>
      </c>
      <c r="E213" s="84" t="str">
        <f>IF(B213="","",VLOOKUP(A213,Journal!$C$7:$L$84,10))</f>
        <v/>
      </c>
      <c r="F213" s="84" t="str">
        <f>IF(B213="","",VLOOKUP(A213,Journal!$C$7:$M$84,11))</f>
        <v/>
      </c>
      <c r="G213" s="102">
        <f>IF(B213="Total",SUM(G$8:G212)+0.0001,IF(OR(B213="",M213=0),0,VLOOKUP(A213,Journal!$C$7:M$84,7)))</f>
        <v>0</v>
      </c>
      <c r="H213" s="102">
        <f>IF(B213="Total",SUM(H$8:H212)+0.0001,IF(OR(B213="",N213=0),0,VLOOKUP(A213,Journal!$C$7:M$84,7)))</f>
        <v>0</v>
      </c>
      <c r="I213" s="87">
        <f t="shared" si="22"/>
        <v>0</v>
      </c>
      <c r="K213" s="13">
        <f>VLOOKUP(A213,Journal!$C$7:$M$84,4)</f>
        <v>0</v>
      </c>
      <c r="L213" s="13">
        <f>VLOOKUP(A213,Journal!$C$7:$M$84,5)</f>
        <v>0</v>
      </c>
      <c r="M213" s="13">
        <f t="shared" si="18"/>
        <v>0</v>
      </c>
      <c r="N213" s="13">
        <f t="shared" si="19"/>
        <v>0</v>
      </c>
      <c r="O213" s="13"/>
      <c r="P213" s="13">
        <f t="shared" si="20"/>
        <v>1.0000000000000001E-5</v>
      </c>
      <c r="T213" t="str">
        <f t="shared" si="21"/>
        <v/>
      </c>
    </row>
    <row r="214" spans="1:20" x14ac:dyDescent="0.25">
      <c r="A214">
        <f t="shared" si="23"/>
        <v>207</v>
      </c>
      <c r="B214" s="88" t="str">
        <f>IF(OR(B213="Total",B213=""),"",IF(VLOOKUP(A214,Journal!$C$7:$E$84,3)=0,"Total",VLOOKUP(A214,Journal!$C$7:$D$84,2)))</f>
        <v/>
      </c>
      <c r="C214" s="86" t="str">
        <f>IF(B214="","",VLOOKUP(A214,Journal!$C$7:$E$84,3))</f>
        <v/>
      </c>
      <c r="D214" s="84" t="str">
        <f>IF(B214="","",VLOOKUP(A214,Journal!$C$7:$J$84,8))</f>
        <v/>
      </c>
      <c r="E214" s="84" t="str">
        <f>IF(B214="","",VLOOKUP(A214,Journal!$C$7:$L$84,10))</f>
        <v/>
      </c>
      <c r="F214" s="84" t="str">
        <f>IF(B214="","",VLOOKUP(A214,Journal!$C$7:$M$84,11))</f>
        <v/>
      </c>
      <c r="G214" s="102">
        <f>IF(B214="Total",SUM(G$8:G213)+0.0001,IF(OR(B214="",M214=0),0,VLOOKUP(A214,Journal!$C$7:M$84,7)))</f>
        <v>0</v>
      </c>
      <c r="H214" s="102">
        <f>IF(B214="Total",SUM(H$8:H213)+0.0001,IF(OR(B214="",N214=0),0,VLOOKUP(A214,Journal!$C$7:M$84,7)))</f>
        <v>0</v>
      </c>
      <c r="I214" s="87">
        <f t="shared" si="22"/>
        <v>0</v>
      </c>
      <c r="K214" s="13">
        <f>VLOOKUP(A214,Journal!$C$7:$M$84,4)</f>
        <v>0</v>
      </c>
      <c r="L214" s="13">
        <f>VLOOKUP(A214,Journal!$C$7:$M$84,5)</f>
        <v>0</v>
      </c>
      <c r="M214" s="13">
        <f t="shared" si="18"/>
        <v>0</v>
      </c>
      <c r="N214" s="13">
        <f t="shared" si="19"/>
        <v>0</v>
      </c>
      <c r="O214" s="13"/>
      <c r="P214" s="13">
        <f t="shared" si="20"/>
        <v>1.0000000000000001E-5</v>
      </c>
      <c r="T214" t="str">
        <f t="shared" si="21"/>
        <v/>
      </c>
    </row>
    <row r="215" spans="1:20" x14ac:dyDescent="0.25">
      <c r="A215">
        <f t="shared" si="23"/>
        <v>208</v>
      </c>
      <c r="B215" s="88" t="str">
        <f>IF(OR(B214="Total",B214=""),"",IF(VLOOKUP(A215,Journal!$C$7:$E$84,3)=0,"Total",VLOOKUP(A215,Journal!$C$7:$D$84,2)))</f>
        <v/>
      </c>
      <c r="C215" s="86" t="str">
        <f>IF(B215="","",VLOOKUP(A215,Journal!$C$7:$E$84,3))</f>
        <v/>
      </c>
      <c r="D215" s="84" t="str">
        <f>IF(B215="","",VLOOKUP(A215,Journal!$C$7:$J$84,8))</f>
        <v/>
      </c>
      <c r="E215" s="84" t="str">
        <f>IF(B215="","",VLOOKUP(A215,Journal!$C$7:$L$84,10))</f>
        <v/>
      </c>
      <c r="F215" s="84" t="str">
        <f>IF(B215="","",VLOOKUP(A215,Journal!$C$7:$M$84,11))</f>
        <v/>
      </c>
      <c r="G215" s="102">
        <f>IF(B215="Total",SUM(G$8:G214)+0.0001,IF(OR(B215="",M215=0),0,VLOOKUP(A215,Journal!$C$7:M$84,7)))</f>
        <v>0</v>
      </c>
      <c r="H215" s="102">
        <f>IF(B215="Total",SUM(H$8:H214)+0.0001,IF(OR(B215="",N215=0),0,VLOOKUP(A215,Journal!$C$7:M$84,7)))</f>
        <v>0</v>
      </c>
      <c r="I215" s="87">
        <f t="shared" si="22"/>
        <v>0</v>
      </c>
      <c r="K215" s="13">
        <f>VLOOKUP(A215,Journal!$C$7:$M$84,4)</f>
        <v>0</v>
      </c>
      <c r="L215" s="13">
        <f>VLOOKUP(A215,Journal!$C$7:$M$84,5)</f>
        <v>0</v>
      </c>
      <c r="M215" s="13">
        <f t="shared" si="18"/>
        <v>0</v>
      </c>
      <c r="N215" s="13">
        <f t="shared" si="19"/>
        <v>0</v>
      </c>
      <c r="O215" s="13"/>
      <c r="P215" s="13">
        <f t="shared" si="20"/>
        <v>1.0000000000000001E-5</v>
      </c>
      <c r="T215" t="str">
        <f t="shared" si="21"/>
        <v/>
      </c>
    </row>
    <row r="216" spans="1:20" x14ac:dyDescent="0.25">
      <c r="A216">
        <f t="shared" si="23"/>
        <v>209</v>
      </c>
      <c r="B216" s="88" t="str">
        <f>IF(OR(B215="Total",B215=""),"",IF(VLOOKUP(A216,Journal!$C$7:$E$84,3)=0,"Total",VLOOKUP(A216,Journal!$C$7:$D$84,2)))</f>
        <v/>
      </c>
      <c r="C216" s="86" t="str">
        <f>IF(B216="","",VLOOKUP(A216,Journal!$C$7:$E$84,3))</f>
        <v/>
      </c>
      <c r="D216" s="84" t="str">
        <f>IF(B216="","",VLOOKUP(A216,Journal!$C$7:$J$84,8))</f>
        <v/>
      </c>
      <c r="E216" s="84" t="str">
        <f>IF(B216="","",VLOOKUP(A216,Journal!$C$7:$L$84,10))</f>
        <v/>
      </c>
      <c r="F216" s="84" t="str">
        <f>IF(B216="","",VLOOKUP(A216,Journal!$C$7:$M$84,11))</f>
        <v/>
      </c>
      <c r="G216" s="102">
        <f>IF(B216="Total",SUM(G$8:G215)+0.0001,IF(OR(B216="",M216=0),0,VLOOKUP(A216,Journal!$C$7:M$84,7)))</f>
        <v>0</v>
      </c>
      <c r="H216" s="102">
        <f>IF(B216="Total",SUM(H$8:H215)+0.0001,IF(OR(B216="",N216=0),0,VLOOKUP(A216,Journal!$C$7:M$84,7)))</f>
        <v>0</v>
      </c>
      <c r="I216" s="87">
        <f t="shared" si="22"/>
        <v>0</v>
      </c>
      <c r="K216" s="13">
        <f>VLOOKUP(A216,Journal!$C$7:$M$84,4)</f>
        <v>0</v>
      </c>
      <c r="L216" s="13">
        <f>VLOOKUP(A216,Journal!$C$7:$M$84,5)</f>
        <v>0</v>
      </c>
      <c r="M216" s="13">
        <f t="shared" si="18"/>
        <v>0</v>
      </c>
      <c r="N216" s="13">
        <f t="shared" si="19"/>
        <v>0</v>
      </c>
      <c r="O216" s="13"/>
      <c r="P216" s="13">
        <f t="shared" si="20"/>
        <v>1.0000000000000001E-5</v>
      </c>
      <c r="T216" t="str">
        <f t="shared" si="21"/>
        <v/>
      </c>
    </row>
    <row r="217" spans="1:20" x14ac:dyDescent="0.25">
      <c r="A217">
        <f t="shared" si="23"/>
        <v>210</v>
      </c>
      <c r="B217" s="88" t="str">
        <f>IF(OR(B216="Total",B216=""),"",IF(VLOOKUP(A217,Journal!$C$7:$E$84,3)=0,"Total",VLOOKUP(A217,Journal!$C$7:$D$84,2)))</f>
        <v/>
      </c>
      <c r="C217" s="86" t="str">
        <f>IF(B217="","",VLOOKUP(A217,Journal!$C$7:$E$84,3))</f>
        <v/>
      </c>
      <c r="D217" s="84" t="str">
        <f>IF(B217="","",VLOOKUP(A217,Journal!$C$7:$J$84,8))</f>
        <v/>
      </c>
      <c r="E217" s="84" t="str">
        <f>IF(B217="","",VLOOKUP(A217,Journal!$C$7:$L$84,10))</f>
        <v/>
      </c>
      <c r="F217" s="84" t="str">
        <f>IF(B217="","",VLOOKUP(A217,Journal!$C$7:$M$84,11))</f>
        <v/>
      </c>
      <c r="G217" s="102">
        <f>IF(B217="Total",SUM(G$8:G216)+0.0001,IF(OR(B217="",M217=0),0,VLOOKUP(A217,Journal!$C$7:M$84,7)))</f>
        <v>0</v>
      </c>
      <c r="H217" s="102">
        <f>IF(B217="Total",SUM(H$8:H216)+0.0001,IF(OR(B217="",N217=0),0,VLOOKUP(A217,Journal!$C$7:M$84,7)))</f>
        <v>0</v>
      </c>
      <c r="I217" s="87">
        <f t="shared" si="22"/>
        <v>0</v>
      </c>
      <c r="K217" s="13">
        <f>VLOOKUP(A217,Journal!$C$7:$M$84,4)</f>
        <v>0</v>
      </c>
      <c r="L217" s="13">
        <f>VLOOKUP(A217,Journal!$C$7:$M$84,5)</f>
        <v>0</v>
      </c>
      <c r="M217" s="13">
        <f t="shared" ref="M217:M280" si="24">IF(AND(L217&gt;=$F$1,L217&lt;9999),1,0)</f>
        <v>0</v>
      </c>
      <c r="N217" s="13">
        <f t="shared" ref="N217:N280" si="25">IF(AND(K217&gt;=$F$1,K217&lt;9999),1,0)</f>
        <v>0</v>
      </c>
      <c r="O217" s="13"/>
      <c r="P217" s="13">
        <f t="shared" ref="P217:P280" si="26">IF(I216=I217,I216+0.00001,I217)</f>
        <v>1.0000000000000001E-5</v>
      </c>
      <c r="T217" t="str">
        <f t="shared" si="21"/>
        <v/>
      </c>
    </row>
    <row r="218" spans="1:20" x14ac:dyDescent="0.25">
      <c r="A218">
        <f t="shared" si="23"/>
        <v>211</v>
      </c>
      <c r="B218" s="88" t="str">
        <f>IF(OR(B217="Total",B217=""),"",IF(VLOOKUP(A218,Journal!$C$7:$E$84,3)=0,"Total",VLOOKUP(A218,Journal!$C$7:$D$84,2)))</f>
        <v/>
      </c>
      <c r="C218" s="86" t="str">
        <f>IF(B218="","",VLOOKUP(A218,Journal!$C$7:$E$84,3))</f>
        <v/>
      </c>
      <c r="D218" s="84" t="str">
        <f>IF(B218="","",VLOOKUP(A218,Journal!$C$7:$J$84,8))</f>
        <v/>
      </c>
      <c r="E218" s="84" t="str">
        <f>IF(B218="","",VLOOKUP(A218,Journal!$C$7:$L$84,10))</f>
        <v/>
      </c>
      <c r="F218" s="84" t="str">
        <f>IF(B218="","",VLOOKUP(A218,Journal!$C$7:$M$84,11))</f>
        <v/>
      </c>
      <c r="G218" s="102">
        <f>IF(B218="Total",SUM(G$8:G217)+0.0001,IF(OR(B218="",M218=0),0,VLOOKUP(A218,Journal!$C$7:M$84,7)))</f>
        <v>0</v>
      </c>
      <c r="H218" s="102">
        <f>IF(B218="Total",SUM(H$8:H217)+0.0001,IF(OR(B218="",N218=0),0,VLOOKUP(A218,Journal!$C$7:M$84,7)))</f>
        <v>0</v>
      </c>
      <c r="I218" s="87">
        <f t="shared" si="22"/>
        <v>0</v>
      </c>
      <c r="K218" s="13">
        <f>VLOOKUP(A218,Journal!$C$7:$M$84,4)</f>
        <v>0</v>
      </c>
      <c r="L218" s="13">
        <f>VLOOKUP(A218,Journal!$C$7:$M$84,5)</f>
        <v>0</v>
      </c>
      <c r="M218" s="13">
        <f t="shared" si="24"/>
        <v>0</v>
      </c>
      <c r="N218" s="13">
        <f t="shared" si="25"/>
        <v>0</v>
      </c>
      <c r="O218" s="13"/>
      <c r="P218" s="13">
        <f t="shared" si="26"/>
        <v>1.0000000000000001E-5</v>
      </c>
      <c r="T218" t="str">
        <f t="shared" si="21"/>
        <v/>
      </c>
    </row>
    <row r="219" spans="1:20" x14ac:dyDescent="0.25">
      <c r="A219">
        <f t="shared" si="23"/>
        <v>212</v>
      </c>
      <c r="B219" s="88" t="str">
        <f>IF(OR(B218="Total",B218=""),"",IF(VLOOKUP(A219,Journal!$C$7:$E$84,3)=0,"Total",VLOOKUP(A219,Journal!$C$7:$D$84,2)))</f>
        <v/>
      </c>
      <c r="C219" s="86" t="str">
        <f>IF(B219="","",VLOOKUP(A219,Journal!$C$7:$E$84,3))</f>
        <v/>
      </c>
      <c r="D219" s="84" t="str">
        <f>IF(B219="","",VLOOKUP(A219,Journal!$C$7:$J$84,8))</f>
        <v/>
      </c>
      <c r="E219" s="84" t="str">
        <f>IF(B219="","",VLOOKUP(A219,Journal!$C$7:$L$84,10))</f>
        <v/>
      </c>
      <c r="F219" s="84" t="str">
        <f>IF(B219="","",VLOOKUP(A219,Journal!$C$7:$M$84,11))</f>
        <v/>
      </c>
      <c r="G219" s="102">
        <f>IF(B219="Total",SUM(G$8:G218)+0.0001,IF(OR(B219="",M219=0),0,VLOOKUP(A219,Journal!$C$7:M$84,7)))</f>
        <v>0</v>
      </c>
      <c r="H219" s="102">
        <f>IF(B219="Total",SUM(H$8:H218)+0.0001,IF(OR(B219="",N219=0),0,VLOOKUP(A219,Journal!$C$7:M$84,7)))</f>
        <v>0</v>
      </c>
      <c r="I219" s="87">
        <f t="shared" si="22"/>
        <v>0</v>
      </c>
      <c r="K219" s="13">
        <f>VLOOKUP(A219,Journal!$C$7:$M$84,4)</f>
        <v>0</v>
      </c>
      <c r="L219" s="13">
        <f>VLOOKUP(A219,Journal!$C$7:$M$84,5)</f>
        <v>0</v>
      </c>
      <c r="M219" s="13">
        <f t="shared" si="24"/>
        <v>0</v>
      </c>
      <c r="N219" s="13">
        <f t="shared" si="25"/>
        <v>0</v>
      </c>
      <c r="O219" s="13"/>
      <c r="P219" s="13">
        <f t="shared" si="26"/>
        <v>1.0000000000000001E-5</v>
      </c>
      <c r="T219" t="str">
        <f t="shared" si="21"/>
        <v/>
      </c>
    </row>
    <row r="220" spans="1:20" x14ac:dyDescent="0.25">
      <c r="A220">
        <f t="shared" si="23"/>
        <v>213</v>
      </c>
      <c r="B220" s="88" t="str">
        <f>IF(OR(B219="Total",B219=""),"",IF(VLOOKUP(A220,Journal!$C$7:$E$84,3)=0,"Total",VLOOKUP(A220,Journal!$C$7:$D$84,2)))</f>
        <v/>
      </c>
      <c r="C220" s="86" t="str">
        <f>IF(B220="","",VLOOKUP(A220,Journal!$C$7:$E$84,3))</f>
        <v/>
      </c>
      <c r="D220" s="84" t="str">
        <f>IF(B220="","",VLOOKUP(A220,Journal!$C$7:$J$84,8))</f>
        <v/>
      </c>
      <c r="E220" s="84" t="str">
        <f>IF(B220="","",VLOOKUP(A220,Journal!$C$7:$L$84,10))</f>
        <v/>
      </c>
      <c r="F220" s="84" t="str">
        <f>IF(B220="","",VLOOKUP(A220,Journal!$C$7:$M$84,11))</f>
        <v/>
      </c>
      <c r="G220" s="102">
        <f>IF(B220="Total",SUM(G$8:G219)+0.0001,IF(OR(B220="",M220=0),0,VLOOKUP(A220,Journal!$C$7:M$84,7)))</f>
        <v>0</v>
      </c>
      <c r="H220" s="102">
        <f>IF(B220="Total",SUM(H$8:H219)+0.0001,IF(OR(B220="",N220=0),0,VLOOKUP(A220,Journal!$C$7:M$84,7)))</f>
        <v>0</v>
      </c>
      <c r="I220" s="87">
        <f t="shared" si="22"/>
        <v>0</v>
      </c>
      <c r="K220" s="13">
        <f>VLOOKUP(A220,Journal!$C$7:$M$84,4)</f>
        <v>0</v>
      </c>
      <c r="L220" s="13">
        <f>VLOOKUP(A220,Journal!$C$7:$M$84,5)</f>
        <v>0</v>
      </c>
      <c r="M220" s="13">
        <f t="shared" si="24"/>
        <v>0</v>
      </c>
      <c r="N220" s="13">
        <f t="shared" si="25"/>
        <v>0</v>
      </c>
      <c r="O220" s="13"/>
      <c r="P220" s="13">
        <f t="shared" si="26"/>
        <v>1.0000000000000001E-5</v>
      </c>
      <c r="T220" t="str">
        <f t="shared" si="21"/>
        <v/>
      </c>
    </row>
    <row r="221" spans="1:20" x14ac:dyDescent="0.25">
      <c r="A221">
        <f t="shared" si="23"/>
        <v>214</v>
      </c>
      <c r="B221" s="88" t="str">
        <f>IF(OR(B220="Total",B220=""),"",IF(VLOOKUP(A221,Journal!$C$7:$E$84,3)=0,"Total",VLOOKUP(A221,Journal!$C$7:$D$84,2)))</f>
        <v/>
      </c>
      <c r="C221" s="86" t="str">
        <f>IF(B221="","",VLOOKUP(A221,Journal!$C$7:$E$84,3))</f>
        <v/>
      </c>
      <c r="D221" s="84" t="str">
        <f>IF(B221="","",VLOOKUP(A221,Journal!$C$7:$J$84,8))</f>
        <v/>
      </c>
      <c r="E221" s="84" t="str">
        <f>IF(B221="","",VLOOKUP(A221,Journal!$C$7:$L$84,10))</f>
        <v/>
      </c>
      <c r="F221" s="84" t="str">
        <f>IF(B221="","",VLOOKUP(A221,Journal!$C$7:$M$84,11))</f>
        <v/>
      </c>
      <c r="G221" s="102">
        <f>IF(B221="Total",SUM(G$8:G220)+0.0001,IF(OR(B221="",M221=0),0,VLOOKUP(A221,Journal!$C$7:M$84,7)))</f>
        <v>0</v>
      </c>
      <c r="H221" s="102">
        <f>IF(B221="Total",SUM(H$8:H220)+0.0001,IF(OR(B221="",N221=0),0,VLOOKUP(A221,Journal!$C$7:M$84,7)))</f>
        <v>0</v>
      </c>
      <c r="I221" s="87">
        <f t="shared" si="22"/>
        <v>0</v>
      </c>
      <c r="K221" s="13">
        <f>VLOOKUP(A221,Journal!$C$7:$M$84,4)</f>
        <v>0</v>
      </c>
      <c r="L221" s="13">
        <f>VLOOKUP(A221,Journal!$C$7:$M$84,5)</f>
        <v>0</v>
      </c>
      <c r="M221" s="13">
        <f t="shared" si="24"/>
        <v>0</v>
      </c>
      <c r="N221" s="13">
        <f t="shared" si="25"/>
        <v>0</v>
      </c>
      <c r="O221" s="13"/>
      <c r="P221" s="13">
        <f t="shared" si="26"/>
        <v>1.0000000000000001E-5</v>
      </c>
      <c r="T221" t="str">
        <f t="shared" si="21"/>
        <v/>
      </c>
    </row>
    <row r="222" spans="1:20" x14ac:dyDescent="0.25">
      <c r="A222">
        <f t="shared" si="23"/>
        <v>215</v>
      </c>
      <c r="B222" s="88" t="str">
        <f>IF(OR(B221="Total",B221=""),"",IF(VLOOKUP(A222,Journal!$C$7:$E$84,3)=0,"Total",VLOOKUP(A222,Journal!$C$7:$D$84,2)))</f>
        <v/>
      </c>
      <c r="C222" s="86" t="str">
        <f>IF(B222="","",VLOOKUP(A222,Journal!$C$7:$E$84,3))</f>
        <v/>
      </c>
      <c r="D222" s="84" t="str">
        <f>IF(B222="","",VLOOKUP(A222,Journal!$C$7:$J$84,8))</f>
        <v/>
      </c>
      <c r="E222" s="84" t="str">
        <f>IF(B222="","",VLOOKUP(A222,Journal!$C$7:$L$84,10))</f>
        <v/>
      </c>
      <c r="F222" s="84" t="str">
        <f>IF(B222="","",VLOOKUP(A222,Journal!$C$7:$M$84,11))</f>
        <v/>
      </c>
      <c r="G222" s="102">
        <f>IF(B222="Total",SUM(G$8:G221)+0.0001,IF(OR(B222="",M222=0),0,VLOOKUP(A222,Journal!$C$7:M$84,7)))</f>
        <v>0</v>
      </c>
      <c r="H222" s="102">
        <f>IF(B222="Total",SUM(H$8:H221)+0.0001,IF(OR(B222="",N222=0),0,VLOOKUP(A222,Journal!$C$7:M$84,7)))</f>
        <v>0</v>
      </c>
      <c r="I222" s="87">
        <f t="shared" si="22"/>
        <v>0</v>
      </c>
      <c r="K222" s="13">
        <f>VLOOKUP(A222,Journal!$C$7:$M$84,4)</f>
        <v>0</v>
      </c>
      <c r="L222" s="13">
        <f>VLOOKUP(A222,Journal!$C$7:$M$84,5)</f>
        <v>0</v>
      </c>
      <c r="M222" s="13">
        <f t="shared" si="24"/>
        <v>0</v>
      </c>
      <c r="N222" s="13">
        <f t="shared" si="25"/>
        <v>0</v>
      </c>
      <c r="O222" s="13"/>
      <c r="P222" s="13">
        <f t="shared" si="26"/>
        <v>1.0000000000000001E-5</v>
      </c>
      <c r="T222" t="str">
        <f t="shared" si="21"/>
        <v/>
      </c>
    </row>
    <row r="223" spans="1:20" x14ac:dyDescent="0.25">
      <c r="A223">
        <f t="shared" si="23"/>
        <v>216</v>
      </c>
      <c r="B223" s="88" t="str">
        <f>IF(OR(B222="Total",B222=""),"",IF(VLOOKUP(A223,Journal!$C$7:$E$84,3)=0,"Total",VLOOKUP(A223,Journal!$C$7:$D$84,2)))</f>
        <v/>
      </c>
      <c r="C223" s="86" t="str">
        <f>IF(B223="","",VLOOKUP(A223,Journal!$C$7:$E$84,3))</f>
        <v/>
      </c>
      <c r="D223" s="84" t="str">
        <f>IF(B223="","",VLOOKUP(A223,Journal!$C$7:$J$84,8))</f>
        <v/>
      </c>
      <c r="E223" s="84" t="str">
        <f>IF(B223="","",VLOOKUP(A223,Journal!$C$7:$L$84,10))</f>
        <v/>
      </c>
      <c r="F223" s="84" t="str">
        <f>IF(B223="","",VLOOKUP(A223,Journal!$C$7:$M$84,11))</f>
        <v/>
      </c>
      <c r="G223" s="102">
        <f>IF(B223="Total",SUM(G$8:G222)+0.0001,IF(OR(B223="",M223=0),0,VLOOKUP(A223,Journal!$C$7:M$84,7)))</f>
        <v>0</v>
      </c>
      <c r="H223" s="102">
        <f>IF(B223="Total",SUM(H$8:H222)+0.0001,IF(OR(B223="",N223=0),0,VLOOKUP(A223,Journal!$C$7:M$84,7)))</f>
        <v>0</v>
      </c>
      <c r="I223" s="87">
        <f t="shared" si="22"/>
        <v>0</v>
      </c>
      <c r="K223" s="13">
        <f>VLOOKUP(A223,Journal!$C$7:$M$84,4)</f>
        <v>0</v>
      </c>
      <c r="L223" s="13">
        <f>VLOOKUP(A223,Journal!$C$7:$M$84,5)</f>
        <v>0</v>
      </c>
      <c r="M223" s="13">
        <f t="shared" si="24"/>
        <v>0</v>
      </c>
      <c r="N223" s="13">
        <f t="shared" si="25"/>
        <v>0</v>
      </c>
      <c r="O223" s="13"/>
      <c r="P223" s="13">
        <f t="shared" si="26"/>
        <v>1.0000000000000001E-5</v>
      </c>
      <c r="T223" t="str">
        <f t="shared" si="21"/>
        <v/>
      </c>
    </row>
    <row r="224" spans="1:20" x14ac:dyDescent="0.25">
      <c r="A224">
        <f t="shared" si="23"/>
        <v>217</v>
      </c>
      <c r="B224" s="88" t="str">
        <f>IF(OR(B223="Total",B223=""),"",IF(VLOOKUP(A224,Journal!$C$7:$E$84,3)=0,"Total",VLOOKUP(A224,Journal!$C$7:$D$84,2)))</f>
        <v/>
      </c>
      <c r="C224" s="86" t="str">
        <f>IF(B224="","",VLOOKUP(A224,Journal!$C$7:$E$84,3))</f>
        <v/>
      </c>
      <c r="D224" s="84" t="str">
        <f>IF(B224="","",VLOOKUP(A224,Journal!$C$7:$J$84,8))</f>
        <v/>
      </c>
      <c r="E224" s="84" t="str">
        <f>IF(B224="","",VLOOKUP(A224,Journal!$C$7:$L$84,10))</f>
        <v/>
      </c>
      <c r="F224" s="84" t="str">
        <f>IF(B224="","",VLOOKUP(A224,Journal!$C$7:$M$84,11))</f>
        <v/>
      </c>
      <c r="G224" s="102">
        <f>IF(B224="Total",SUM(G$8:G223)+0.0001,IF(OR(B224="",M224=0),0,VLOOKUP(A224,Journal!$C$7:M$84,7)))</f>
        <v>0</v>
      </c>
      <c r="H224" s="102">
        <f>IF(B224="Total",SUM(H$8:H223)+0.0001,IF(OR(B224="",N224=0),0,VLOOKUP(A224,Journal!$C$7:M$84,7)))</f>
        <v>0</v>
      </c>
      <c r="I224" s="87">
        <f t="shared" si="22"/>
        <v>0</v>
      </c>
      <c r="K224" s="13">
        <f>VLOOKUP(A224,Journal!$C$7:$M$84,4)</f>
        <v>0</v>
      </c>
      <c r="L224" s="13">
        <f>VLOOKUP(A224,Journal!$C$7:$M$84,5)</f>
        <v>0</v>
      </c>
      <c r="M224" s="13">
        <f t="shared" si="24"/>
        <v>0</v>
      </c>
      <c r="N224" s="13">
        <f t="shared" si="25"/>
        <v>0</v>
      </c>
      <c r="O224" s="13"/>
      <c r="P224" s="13">
        <f t="shared" si="26"/>
        <v>1.0000000000000001E-5</v>
      </c>
      <c r="T224" t="str">
        <f t="shared" si="21"/>
        <v/>
      </c>
    </row>
    <row r="225" spans="1:20" x14ac:dyDescent="0.25">
      <c r="A225">
        <f t="shared" si="23"/>
        <v>218</v>
      </c>
      <c r="B225" s="88" t="str">
        <f>IF(OR(B224="Total",B224=""),"",IF(VLOOKUP(A225,Journal!$C$7:$E$84,3)=0,"Total",VLOOKUP(A225,Journal!$C$7:$D$84,2)))</f>
        <v/>
      </c>
      <c r="C225" s="86" t="str">
        <f>IF(B225="","",VLOOKUP(A225,Journal!$C$7:$E$84,3))</f>
        <v/>
      </c>
      <c r="D225" s="84" t="str">
        <f>IF(B225="","",VLOOKUP(A225,Journal!$C$7:$J$84,8))</f>
        <v/>
      </c>
      <c r="E225" s="84" t="str">
        <f>IF(B225="","",VLOOKUP(A225,Journal!$C$7:$L$84,10))</f>
        <v/>
      </c>
      <c r="F225" s="84" t="str">
        <f>IF(B225="","",VLOOKUP(A225,Journal!$C$7:$M$84,11))</f>
        <v/>
      </c>
      <c r="G225" s="102">
        <f>IF(B225="Total",SUM(G$8:G224)+0.0001,IF(OR(B225="",M225=0),0,VLOOKUP(A225,Journal!$C$7:M$84,7)))</f>
        <v>0</v>
      </c>
      <c r="H225" s="102">
        <f>IF(B225="Total",SUM(H$8:H224)+0.0001,IF(OR(B225="",N225=0),0,VLOOKUP(A225,Journal!$C$7:M$84,7)))</f>
        <v>0</v>
      </c>
      <c r="I225" s="87">
        <f t="shared" si="22"/>
        <v>0</v>
      </c>
      <c r="K225" s="13">
        <f>VLOOKUP(A225,Journal!$C$7:$M$84,4)</f>
        <v>0</v>
      </c>
      <c r="L225" s="13">
        <f>VLOOKUP(A225,Journal!$C$7:$M$84,5)</f>
        <v>0</v>
      </c>
      <c r="M225" s="13">
        <f t="shared" si="24"/>
        <v>0</v>
      </c>
      <c r="N225" s="13">
        <f t="shared" si="25"/>
        <v>0</v>
      </c>
      <c r="O225" s="13"/>
      <c r="P225" s="13">
        <f t="shared" si="26"/>
        <v>1.0000000000000001E-5</v>
      </c>
      <c r="T225" t="str">
        <f t="shared" si="21"/>
        <v/>
      </c>
    </row>
    <row r="226" spans="1:20" x14ac:dyDescent="0.25">
      <c r="A226">
        <f t="shared" si="23"/>
        <v>219</v>
      </c>
      <c r="B226" s="88" t="str">
        <f>IF(OR(B225="Total",B225=""),"",IF(VLOOKUP(A226,Journal!$C$7:$E$84,3)=0,"Total",VLOOKUP(A226,Journal!$C$7:$D$84,2)))</f>
        <v/>
      </c>
      <c r="C226" s="86" t="str">
        <f>IF(B226="","",VLOOKUP(A226,Journal!$C$7:$E$84,3))</f>
        <v/>
      </c>
      <c r="D226" s="84" t="str">
        <f>IF(B226="","",VLOOKUP(A226,Journal!$C$7:$J$84,8))</f>
        <v/>
      </c>
      <c r="E226" s="84" t="str">
        <f>IF(B226="","",VLOOKUP(A226,Journal!$C$7:$L$84,10))</f>
        <v/>
      </c>
      <c r="F226" s="84" t="str">
        <f>IF(B226="","",VLOOKUP(A226,Journal!$C$7:$M$84,11))</f>
        <v/>
      </c>
      <c r="G226" s="102">
        <f>IF(B226="Total",SUM(G$8:G225)+0.0001,IF(OR(B226="",M226=0),0,VLOOKUP(A226,Journal!$C$7:M$84,7)))</f>
        <v>0</v>
      </c>
      <c r="H226" s="102">
        <f>IF(B226="Total",SUM(H$8:H225)+0.0001,IF(OR(B226="",N226=0),0,VLOOKUP(A226,Journal!$C$7:M$84,7)))</f>
        <v>0</v>
      </c>
      <c r="I226" s="87">
        <f t="shared" si="22"/>
        <v>0</v>
      </c>
      <c r="K226" s="13">
        <f>VLOOKUP(A226,Journal!$C$7:$M$84,4)</f>
        <v>0</v>
      </c>
      <c r="L226" s="13">
        <f>VLOOKUP(A226,Journal!$C$7:$M$84,5)</f>
        <v>0</v>
      </c>
      <c r="M226" s="13">
        <f t="shared" si="24"/>
        <v>0</v>
      </c>
      <c r="N226" s="13">
        <f t="shared" si="25"/>
        <v>0</v>
      </c>
      <c r="O226" s="13"/>
      <c r="P226" s="13">
        <f t="shared" si="26"/>
        <v>1.0000000000000001E-5</v>
      </c>
      <c r="T226" t="str">
        <f t="shared" si="21"/>
        <v/>
      </c>
    </row>
    <row r="227" spans="1:20" x14ac:dyDescent="0.25">
      <c r="A227">
        <f t="shared" si="23"/>
        <v>220</v>
      </c>
      <c r="B227" s="88" t="str">
        <f>IF(OR(B226="Total",B226=""),"",IF(VLOOKUP(A227,Journal!$C$7:$E$84,3)=0,"Total",VLOOKUP(A227,Journal!$C$7:$D$84,2)))</f>
        <v/>
      </c>
      <c r="C227" s="86" t="str">
        <f>IF(B227="","",VLOOKUP(A227,Journal!$C$7:$E$84,3))</f>
        <v/>
      </c>
      <c r="D227" s="84" t="str">
        <f>IF(B227="","",VLOOKUP(A227,Journal!$C$7:$J$84,8))</f>
        <v/>
      </c>
      <c r="E227" s="84" t="str">
        <f>IF(B227="","",VLOOKUP(A227,Journal!$C$7:$L$84,10))</f>
        <v/>
      </c>
      <c r="F227" s="84" t="str">
        <f>IF(B227="","",VLOOKUP(A227,Journal!$C$7:$M$84,11))</f>
        <v/>
      </c>
      <c r="G227" s="102">
        <f>IF(B227="Total",SUM(G$8:G226)+0.0001,IF(OR(B227="",M227=0),0,VLOOKUP(A227,Journal!$C$7:M$84,7)))</f>
        <v>0</v>
      </c>
      <c r="H227" s="102">
        <f>IF(B227="Total",SUM(H$8:H226)+0.0001,IF(OR(B227="",N227=0),0,VLOOKUP(A227,Journal!$C$7:M$84,7)))</f>
        <v>0</v>
      </c>
      <c r="I227" s="87">
        <f t="shared" si="22"/>
        <v>0</v>
      </c>
      <c r="K227" s="13">
        <f>VLOOKUP(A227,Journal!$C$7:$M$84,4)</f>
        <v>0</v>
      </c>
      <c r="L227" s="13">
        <f>VLOOKUP(A227,Journal!$C$7:$M$84,5)</f>
        <v>0</v>
      </c>
      <c r="M227" s="13">
        <f t="shared" si="24"/>
        <v>0</v>
      </c>
      <c r="N227" s="13">
        <f t="shared" si="25"/>
        <v>0</v>
      </c>
      <c r="O227" s="13"/>
      <c r="P227" s="13">
        <f t="shared" si="26"/>
        <v>1.0000000000000001E-5</v>
      </c>
      <c r="T227" t="str">
        <f t="shared" si="21"/>
        <v/>
      </c>
    </row>
    <row r="228" spans="1:20" x14ac:dyDescent="0.25">
      <c r="A228">
        <f t="shared" si="23"/>
        <v>221</v>
      </c>
      <c r="B228" s="88" t="str">
        <f>IF(OR(B227="Total",B227=""),"",IF(VLOOKUP(A228,Journal!$C$7:$E$84,3)=0,"Total",VLOOKUP(A228,Journal!$C$7:$D$84,2)))</f>
        <v/>
      </c>
      <c r="C228" s="86" t="str">
        <f>IF(B228="","",VLOOKUP(A228,Journal!$C$7:$E$84,3))</f>
        <v/>
      </c>
      <c r="D228" s="84" t="str">
        <f>IF(B228="","",VLOOKUP(A228,Journal!$C$7:$J$84,8))</f>
        <v/>
      </c>
      <c r="E228" s="84" t="str">
        <f>IF(B228="","",VLOOKUP(A228,Journal!$C$7:$L$84,10))</f>
        <v/>
      </c>
      <c r="F228" s="84" t="str">
        <f>IF(B228="","",VLOOKUP(A228,Journal!$C$7:$M$84,11))</f>
        <v/>
      </c>
      <c r="G228" s="102">
        <f>IF(B228="Total",SUM(G$8:G227)+0.0001,IF(OR(B228="",M228=0),0,VLOOKUP(A228,Journal!$C$7:M$84,7)))</f>
        <v>0</v>
      </c>
      <c r="H228" s="102">
        <f>IF(B228="Total",SUM(H$8:H227)+0.0001,IF(OR(B228="",N228=0),0,VLOOKUP(A228,Journal!$C$7:M$84,7)))</f>
        <v>0</v>
      </c>
      <c r="I228" s="87">
        <f t="shared" si="22"/>
        <v>0</v>
      </c>
      <c r="K228" s="13">
        <f>VLOOKUP(A228,Journal!$C$7:$M$84,4)</f>
        <v>0</v>
      </c>
      <c r="L228" s="13">
        <f>VLOOKUP(A228,Journal!$C$7:$M$84,5)</f>
        <v>0</v>
      </c>
      <c r="M228" s="13">
        <f t="shared" si="24"/>
        <v>0</v>
      </c>
      <c r="N228" s="13">
        <f t="shared" si="25"/>
        <v>0</v>
      </c>
      <c r="O228" s="13"/>
      <c r="P228" s="13">
        <f t="shared" si="26"/>
        <v>1.0000000000000001E-5</v>
      </c>
      <c r="T228" t="str">
        <f t="shared" si="21"/>
        <v/>
      </c>
    </row>
    <row r="229" spans="1:20" x14ac:dyDescent="0.25">
      <c r="A229">
        <f t="shared" si="23"/>
        <v>222</v>
      </c>
      <c r="B229" s="88" t="str">
        <f>IF(OR(B228="Total",B228=""),"",IF(VLOOKUP(A229,Journal!$C$7:$E$84,3)=0,"Total",VLOOKUP(A229,Journal!$C$7:$D$84,2)))</f>
        <v/>
      </c>
      <c r="C229" s="86" t="str">
        <f>IF(B229="","",VLOOKUP(A229,Journal!$C$7:$E$84,3))</f>
        <v/>
      </c>
      <c r="D229" s="84" t="str">
        <f>IF(B229="","",VLOOKUP(A229,Journal!$C$7:$J$84,8))</f>
        <v/>
      </c>
      <c r="E229" s="84" t="str">
        <f>IF(B229="","",VLOOKUP(A229,Journal!$C$7:$L$84,10))</f>
        <v/>
      </c>
      <c r="F229" s="84" t="str">
        <f>IF(B229="","",VLOOKUP(A229,Journal!$C$7:$M$84,11))</f>
        <v/>
      </c>
      <c r="G229" s="102">
        <f>IF(B229="Total",SUM(G$8:G228)+0.0001,IF(OR(B229="",M229=0),0,VLOOKUP(A229,Journal!$C$7:M$84,7)))</f>
        <v>0</v>
      </c>
      <c r="H229" s="102">
        <f>IF(B229="Total",SUM(H$8:H228)+0.0001,IF(OR(B229="",N229=0),0,VLOOKUP(A229,Journal!$C$7:M$84,7)))</f>
        <v>0</v>
      </c>
      <c r="I229" s="87">
        <f t="shared" si="22"/>
        <v>0</v>
      </c>
      <c r="K229" s="13">
        <f>VLOOKUP(A229,Journal!$C$7:$M$84,4)</f>
        <v>0</v>
      </c>
      <c r="L229" s="13">
        <f>VLOOKUP(A229,Journal!$C$7:$M$84,5)</f>
        <v>0</v>
      </c>
      <c r="M229" s="13">
        <f t="shared" si="24"/>
        <v>0</v>
      </c>
      <c r="N229" s="13">
        <f t="shared" si="25"/>
        <v>0</v>
      </c>
      <c r="O229" s="13"/>
      <c r="P229" s="13">
        <f t="shared" si="26"/>
        <v>1.0000000000000001E-5</v>
      </c>
      <c r="T229" t="str">
        <f t="shared" si="21"/>
        <v/>
      </c>
    </row>
    <row r="230" spans="1:20" x14ac:dyDescent="0.25">
      <c r="A230">
        <f t="shared" si="23"/>
        <v>223</v>
      </c>
      <c r="B230" s="88" t="str">
        <f>IF(OR(B229="Total",B229=""),"",IF(VLOOKUP(A230,Journal!$C$7:$E$84,3)=0,"Total",VLOOKUP(A230,Journal!$C$7:$D$84,2)))</f>
        <v/>
      </c>
      <c r="C230" s="86" t="str">
        <f>IF(B230="","",VLOOKUP(A230,Journal!$C$7:$E$84,3))</f>
        <v/>
      </c>
      <c r="D230" s="84" t="str">
        <f>IF(B230="","",VLOOKUP(A230,Journal!$C$7:$J$84,8))</f>
        <v/>
      </c>
      <c r="E230" s="84" t="str">
        <f>IF(B230="","",VLOOKUP(A230,Journal!$C$7:$L$84,10))</f>
        <v/>
      </c>
      <c r="F230" s="84" t="str">
        <f>IF(B230="","",VLOOKUP(A230,Journal!$C$7:$M$84,11))</f>
        <v/>
      </c>
      <c r="G230" s="102">
        <f>IF(B230="Total",SUM(G$8:G229)+0.0001,IF(OR(B230="",M230=0),0,VLOOKUP(A230,Journal!$C$7:M$84,7)))</f>
        <v>0</v>
      </c>
      <c r="H230" s="102">
        <f>IF(B230="Total",SUM(H$8:H229)+0.0001,IF(OR(B230="",N230=0),0,VLOOKUP(A230,Journal!$C$7:M$84,7)))</f>
        <v>0</v>
      </c>
      <c r="I230" s="87">
        <f t="shared" si="22"/>
        <v>0</v>
      </c>
      <c r="K230" s="13">
        <f>VLOOKUP(A230,Journal!$C$7:$M$84,4)</f>
        <v>0</v>
      </c>
      <c r="L230" s="13">
        <f>VLOOKUP(A230,Journal!$C$7:$M$84,5)</f>
        <v>0</v>
      </c>
      <c r="M230" s="13">
        <f t="shared" si="24"/>
        <v>0</v>
      </c>
      <c r="N230" s="13">
        <f t="shared" si="25"/>
        <v>0</v>
      </c>
      <c r="O230" s="13"/>
      <c r="P230" s="13">
        <f t="shared" si="26"/>
        <v>1.0000000000000001E-5</v>
      </c>
      <c r="T230" t="str">
        <f t="shared" si="21"/>
        <v/>
      </c>
    </row>
    <row r="231" spans="1:20" x14ac:dyDescent="0.25">
      <c r="A231">
        <f t="shared" si="23"/>
        <v>224</v>
      </c>
      <c r="B231" s="88" t="str">
        <f>IF(OR(B230="Total",B230=""),"",IF(VLOOKUP(A231,Journal!$C$7:$E$84,3)=0,"Total",VLOOKUP(A231,Journal!$C$7:$D$84,2)))</f>
        <v/>
      </c>
      <c r="C231" s="86" t="str">
        <f>IF(B231="","",VLOOKUP(A231,Journal!$C$7:$E$84,3))</f>
        <v/>
      </c>
      <c r="D231" s="84" t="str">
        <f>IF(B231="","",VLOOKUP(A231,Journal!$C$7:$J$84,8))</f>
        <v/>
      </c>
      <c r="E231" s="84" t="str">
        <f>IF(B231="","",VLOOKUP(A231,Journal!$C$7:$L$84,10))</f>
        <v/>
      </c>
      <c r="F231" s="84" t="str">
        <f>IF(B231="","",VLOOKUP(A231,Journal!$C$7:$M$84,11))</f>
        <v/>
      </c>
      <c r="G231" s="102">
        <f>IF(B231="Total",SUM(G$8:G230)+0.0001,IF(OR(B231="",M231=0),0,VLOOKUP(A231,Journal!$C$7:M$84,7)))</f>
        <v>0</v>
      </c>
      <c r="H231" s="102">
        <f>IF(B231="Total",SUM(H$8:H230)+0.0001,IF(OR(B231="",N231=0),0,VLOOKUP(A231,Journal!$C$7:M$84,7)))</f>
        <v>0</v>
      </c>
      <c r="I231" s="87">
        <f t="shared" si="22"/>
        <v>0</v>
      </c>
      <c r="K231" s="13">
        <f>VLOOKUP(A231,Journal!$C$7:$M$84,4)</f>
        <v>0</v>
      </c>
      <c r="L231" s="13">
        <f>VLOOKUP(A231,Journal!$C$7:$M$84,5)</f>
        <v>0</v>
      </c>
      <c r="M231" s="13">
        <f t="shared" si="24"/>
        <v>0</v>
      </c>
      <c r="N231" s="13">
        <f t="shared" si="25"/>
        <v>0</v>
      </c>
      <c r="O231" s="13"/>
      <c r="P231" s="13">
        <f t="shared" si="26"/>
        <v>1.0000000000000001E-5</v>
      </c>
      <c r="T231" t="str">
        <f t="shared" si="21"/>
        <v/>
      </c>
    </row>
    <row r="232" spans="1:20" x14ac:dyDescent="0.25">
      <c r="A232">
        <f t="shared" si="23"/>
        <v>225</v>
      </c>
      <c r="B232" s="88" t="str">
        <f>IF(OR(B231="Total",B231=""),"",IF(VLOOKUP(A232,Journal!$C$7:$E$84,3)=0,"Total",VLOOKUP(A232,Journal!$C$7:$D$84,2)))</f>
        <v/>
      </c>
      <c r="C232" s="86" t="str">
        <f>IF(B232="","",VLOOKUP(A232,Journal!$C$7:$E$84,3))</f>
        <v/>
      </c>
      <c r="D232" s="84" t="str">
        <f>IF(B232="","",VLOOKUP(A232,Journal!$C$7:$J$84,8))</f>
        <v/>
      </c>
      <c r="E232" s="84" t="str">
        <f>IF(B232="","",VLOOKUP(A232,Journal!$C$7:$L$84,10))</f>
        <v/>
      </c>
      <c r="F232" s="84" t="str">
        <f>IF(B232="","",VLOOKUP(A232,Journal!$C$7:$M$84,11))</f>
        <v/>
      </c>
      <c r="G232" s="102">
        <f>IF(B232="Total",SUM(G$8:G231)+0.0001,IF(OR(B232="",M232=0),0,VLOOKUP(A232,Journal!$C$7:M$84,7)))</f>
        <v>0</v>
      </c>
      <c r="H232" s="102">
        <f>IF(B232="Total",SUM(H$8:H231)+0.0001,IF(OR(B232="",N232=0),0,VLOOKUP(A232,Journal!$C$7:M$84,7)))</f>
        <v>0</v>
      </c>
      <c r="I232" s="87">
        <f t="shared" si="22"/>
        <v>0</v>
      </c>
      <c r="K232" s="13">
        <f>VLOOKUP(A232,Journal!$C$7:$M$84,4)</f>
        <v>0</v>
      </c>
      <c r="L232" s="13">
        <f>VLOOKUP(A232,Journal!$C$7:$M$84,5)</f>
        <v>0</v>
      </c>
      <c r="M232" s="13">
        <f t="shared" si="24"/>
        <v>0</v>
      </c>
      <c r="N232" s="13">
        <f t="shared" si="25"/>
        <v>0</v>
      </c>
      <c r="O232" s="13"/>
      <c r="P232" s="13">
        <f t="shared" si="26"/>
        <v>1.0000000000000001E-5</v>
      </c>
      <c r="T232" t="str">
        <f t="shared" si="21"/>
        <v/>
      </c>
    </row>
    <row r="233" spans="1:20" x14ac:dyDescent="0.25">
      <c r="A233">
        <f t="shared" si="23"/>
        <v>226</v>
      </c>
      <c r="B233" s="88" t="str">
        <f>IF(OR(B232="Total",B232=""),"",IF(VLOOKUP(A233,Journal!$C$7:$E$84,3)=0,"Total",VLOOKUP(A233,Journal!$C$7:$D$84,2)))</f>
        <v/>
      </c>
      <c r="C233" s="86" t="str">
        <f>IF(B233="","",VLOOKUP(A233,Journal!$C$7:$E$84,3))</f>
        <v/>
      </c>
      <c r="D233" s="84" t="str">
        <f>IF(B233="","",VLOOKUP(A233,Journal!$C$7:$J$84,8))</f>
        <v/>
      </c>
      <c r="E233" s="84" t="str">
        <f>IF(B233="","",VLOOKUP(A233,Journal!$C$7:$L$84,10))</f>
        <v/>
      </c>
      <c r="F233" s="84" t="str">
        <f>IF(B233="","",VLOOKUP(A233,Journal!$C$7:$M$84,11))</f>
        <v/>
      </c>
      <c r="G233" s="102">
        <f>IF(B233="Total",SUM(G$8:G232)+0.0001,IF(OR(B233="",M233=0),0,VLOOKUP(A233,Journal!$C$7:M$84,7)))</f>
        <v>0</v>
      </c>
      <c r="H233" s="102">
        <f>IF(B233="Total",SUM(H$8:H232)+0.0001,IF(OR(B233="",N233=0),0,VLOOKUP(A233,Journal!$C$7:M$84,7)))</f>
        <v>0</v>
      </c>
      <c r="I233" s="87">
        <f t="shared" si="22"/>
        <v>0</v>
      </c>
      <c r="K233" s="13">
        <f>VLOOKUP(A233,Journal!$C$7:$M$84,4)</f>
        <v>0</v>
      </c>
      <c r="L233" s="13">
        <f>VLOOKUP(A233,Journal!$C$7:$M$84,5)</f>
        <v>0</v>
      </c>
      <c r="M233" s="13">
        <f t="shared" si="24"/>
        <v>0</v>
      </c>
      <c r="N233" s="13">
        <f t="shared" si="25"/>
        <v>0</v>
      </c>
      <c r="O233" s="13"/>
      <c r="P233" s="13">
        <f t="shared" si="26"/>
        <v>1.0000000000000001E-5</v>
      </c>
      <c r="T233" t="str">
        <f t="shared" si="21"/>
        <v/>
      </c>
    </row>
    <row r="234" spans="1:20" x14ac:dyDescent="0.25">
      <c r="A234">
        <f t="shared" si="23"/>
        <v>227</v>
      </c>
      <c r="B234" s="88" t="str">
        <f>IF(OR(B233="Total",B233=""),"",IF(VLOOKUP(A234,Journal!$C$7:$E$84,3)=0,"Total",VLOOKUP(A234,Journal!$C$7:$D$84,2)))</f>
        <v/>
      </c>
      <c r="C234" s="86" t="str">
        <f>IF(B234="","",VLOOKUP(A234,Journal!$C$7:$E$84,3))</f>
        <v/>
      </c>
      <c r="D234" s="84" t="str">
        <f>IF(B234="","",VLOOKUP(A234,Journal!$C$7:$J$84,8))</f>
        <v/>
      </c>
      <c r="E234" s="84" t="str">
        <f>IF(B234="","",VLOOKUP(A234,Journal!$C$7:$L$84,10))</f>
        <v/>
      </c>
      <c r="F234" s="84" t="str">
        <f>IF(B234="","",VLOOKUP(A234,Journal!$C$7:$M$84,11))</f>
        <v/>
      </c>
      <c r="G234" s="102">
        <f>IF(B234="Total",SUM(G$8:G233)+0.0001,IF(OR(B234="",M234=0),0,VLOOKUP(A234,Journal!$C$7:M$84,7)))</f>
        <v>0</v>
      </c>
      <c r="H234" s="102">
        <f>IF(B234="Total",SUM(H$8:H233)+0.0001,IF(OR(B234="",N234=0),0,VLOOKUP(A234,Journal!$C$7:M$84,7)))</f>
        <v>0</v>
      </c>
      <c r="I234" s="87">
        <f t="shared" si="22"/>
        <v>0</v>
      </c>
      <c r="K234" s="13">
        <f>VLOOKUP(A234,Journal!$C$7:$M$84,4)</f>
        <v>0</v>
      </c>
      <c r="L234" s="13">
        <f>VLOOKUP(A234,Journal!$C$7:$M$84,5)</f>
        <v>0</v>
      </c>
      <c r="M234" s="13">
        <f t="shared" si="24"/>
        <v>0</v>
      </c>
      <c r="N234" s="13">
        <f t="shared" si="25"/>
        <v>0</v>
      </c>
      <c r="O234" s="13"/>
      <c r="P234" s="13">
        <f t="shared" si="26"/>
        <v>1.0000000000000001E-5</v>
      </c>
      <c r="T234" t="str">
        <f t="shared" si="21"/>
        <v/>
      </c>
    </row>
    <row r="235" spans="1:20" x14ac:dyDescent="0.25">
      <c r="A235">
        <f t="shared" si="23"/>
        <v>228</v>
      </c>
      <c r="B235" s="88" t="str">
        <f>IF(OR(B234="Total",B234=""),"",IF(VLOOKUP(A235,Journal!$C$7:$E$84,3)=0,"Total",VLOOKUP(A235,Journal!$C$7:$D$84,2)))</f>
        <v/>
      </c>
      <c r="C235" s="86" t="str">
        <f>IF(B235="","",VLOOKUP(A235,Journal!$C$7:$E$84,3))</f>
        <v/>
      </c>
      <c r="D235" s="84" t="str">
        <f>IF(B235="","",VLOOKUP(A235,Journal!$C$7:$J$84,8))</f>
        <v/>
      </c>
      <c r="E235" s="84" t="str">
        <f>IF(B235="","",VLOOKUP(A235,Journal!$C$7:$L$84,10))</f>
        <v/>
      </c>
      <c r="F235" s="84" t="str">
        <f>IF(B235="","",VLOOKUP(A235,Journal!$C$7:$M$84,11))</f>
        <v/>
      </c>
      <c r="G235" s="102">
        <f>IF(B235="Total",SUM(G$8:G234)+0.0001,IF(OR(B235="",M235=0),0,VLOOKUP(A235,Journal!$C$7:M$84,7)))</f>
        <v>0</v>
      </c>
      <c r="H235" s="102">
        <f>IF(B235="Total",SUM(H$8:H234)+0.0001,IF(OR(B235="",N235=0),0,VLOOKUP(A235,Journal!$C$7:M$84,7)))</f>
        <v>0</v>
      </c>
      <c r="I235" s="87">
        <f t="shared" si="22"/>
        <v>0</v>
      </c>
      <c r="K235" s="13">
        <f>VLOOKUP(A235,Journal!$C$7:$M$84,4)</f>
        <v>0</v>
      </c>
      <c r="L235" s="13">
        <f>VLOOKUP(A235,Journal!$C$7:$M$84,5)</f>
        <v>0</v>
      </c>
      <c r="M235" s="13">
        <f t="shared" si="24"/>
        <v>0</v>
      </c>
      <c r="N235" s="13">
        <f t="shared" si="25"/>
        <v>0</v>
      </c>
      <c r="O235" s="13"/>
      <c r="P235" s="13">
        <f t="shared" si="26"/>
        <v>1.0000000000000001E-5</v>
      </c>
      <c r="T235" t="str">
        <f t="shared" si="21"/>
        <v/>
      </c>
    </row>
    <row r="236" spans="1:20" x14ac:dyDescent="0.25">
      <c r="A236">
        <f t="shared" si="23"/>
        <v>229</v>
      </c>
      <c r="B236" s="88" t="str">
        <f>IF(OR(B235="Total",B235=""),"",IF(VLOOKUP(A236,Journal!$C$7:$E$84,3)=0,"Total",VLOOKUP(A236,Journal!$C$7:$D$84,2)))</f>
        <v/>
      </c>
      <c r="C236" s="86" t="str">
        <f>IF(B236="","",VLOOKUP(A236,Journal!$C$7:$E$84,3))</f>
        <v/>
      </c>
      <c r="D236" s="84" t="str">
        <f>IF(B236="","",VLOOKUP(A236,Journal!$C$7:$J$84,8))</f>
        <v/>
      </c>
      <c r="E236" s="84" t="str">
        <f>IF(B236="","",VLOOKUP(A236,Journal!$C$7:$L$84,10))</f>
        <v/>
      </c>
      <c r="F236" s="84" t="str">
        <f>IF(B236="","",VLOOKUP(A236,Journal!$C$7:$M$84,11))</f>
        <v/>
      </c>
      <c r="G236" s="102">
        <f>IF(B236="Total",SUM(G$8:G235)+0.0001,IF(OR(B236="",M236=0),0,VLOOKUP(A236,Journal!$C$7:M$84,7)))</f>
        <v>0</v>
      </c>
      <c r="H236" s="102">
        <f>IF(B236="Total",SUM(H$8:H235)+0.0001,IF(OR(B236="",N236=0),0,VLOOKUP(A236,Journal!$C$7:M$84,7)))</f>
        <v>0</v>
      </c>
      <c r="I236" s="87">
        <f t="shared" si="22"/>
        <v>0</v>
      </c>
      <c r="K236" s="13">
        <f>VLOOKUP(A236,Journal!$C$7:$M$84,4)</f>
        <v>0</v>
      </c>
      <c r="L236" s="13">
        <f>VLOOKUP(A236,Journal!$C$7:$M$84,5)</f>
        <v>0</v>
      </c>
      <c r="M236" s="13">
        <f t="shared" si="24"/>
        <v>0</v>
      </c>
      <c r="N236" s="13">
        <f t="shared" si="25"/>
        <v>0</v>
      </c>
      <c r="O236" s="13"/>
      <c r="P236" s="13">
        <f t="shared" si="26"/>
        <v>1.0000000000000001E-5</v>
      </c>
      <c r="T236" t="str">
        <f t="shared" si="21"/>
        <v/>
      </c>
    </row>
    <row r="237" spans="1:20" x14ac:dyDescent="0.25">
      <c r="A237">
        <f t="shared" si="23"/>
        <v>230</v>
      </c>
      <c r="B237" s="88" t="str">
        <f>IF(OR(B236="Total",B236=""),"",IF(VLOOKUP(A237,Journal!$C$7:$E$84,3)=0,"Total",VLOOKUP(A237,Journal!$C$7:$D$84,2)))</f>
        <v/>
      </c>
      <c r="C237" s="86" t="str">
        <f>IF(B237="","",VLOOKUP(A237,Journal!$C$7:$E$84,3))</f>
        <v/>
      </c>
      <c r="D237" s="84" t="str">
        <f>IF(B237="","",VLOOKUP(A237,Journal!$C$7:$J$84,8))</f>
        <v/>
      </c>
      <c r="E237" s="84" t="str">
        <f>IF(B237="","",VLOOKUP(A237,Journal!$C$7:$L$84,10))</f>
        <v/>
      </c>
      <c r="F237" s="84" t="str">
        <f>IF(B237="","",VLOOKUP(A237,Journal!$C$7:$M$84,11))</f>
        <v/>
      </c>
      <c r="G237" s="102">
        <f>IF(B237="Total",SUM(G$8:G236)+0.0001,IF(OR(B237="",M237=0),0,VLOOKUP(A237,Journal!$C$7:M$84,7)))</f>
        <v>0</v>
      </c>
      <c r="H237" s="102">
        <f>IF(B237="Total",SUM(H$8:H236)+0.0001,IF(OR(B237="",N237=0),0,VLOOKUP(A237,Journal!$C$7:M$84,7)))</f>
        <v>0</v>
      </c>
      <c r="I237" s="87">
        <f t="shared" si="22"/>
        <v>0</v>
      </c>
      <c r="K237" s="13">
        <f>VLOOKUP(A237,Journal!$C$7:$M$84,4)</f>
        <v>0</v>
      </c>
      <c r="L237" s="13">
        <f>VLOOKUP(A237,Journal!$C$7:$M$84,5)</f>
        <v>0</v>
      </c>
      <c r="M237" s="13">
        <f t="shared" si="24"/>
        <v>0</v>
      </c>
      <c r="N237" s="13">
        <f t="shared" si="25"/>
        <v>0</v>
      </c>
      <c r="O237" s="13"/>
      <c r="P237" s="13">
        <f t="shared" si="26"/>
        <v>1.0000000000000001E-5</v>
      </c>
      <c r="T237" t="str">
        <f t="shared" si="21"/>
        <v/>
      </c>
    </row>
    <row r="238" spans="1:20" x14ac:dyDescent="0.25">
      <c r="A238">
        <f t="shared" si="23"/>
        <v>231</v>
      </c>
      <c r="B238" s="88" t="str">
        <f>IF(OR(B237="Total",B237=""),"",IF(VLOOKUP(A238,Journal!$C$7:$E$84,3)=0,"Total",VLOOKUP(A238,Journal!$C$7:$D$84,2)))</f>
        <v/>
      </c>
      <c r="C238" s="86" t="str">
        <f>IF(B238="","",VLOOKUP(A238,Journal!$C$7:$E$84,3))</f>
        <v/>
      </c>
      <c r="D238" s="84" t="str">
        <f>IF(B238="","",VLOOKUP(A238,Journal!$C$7:$J$84,8))</f>
        <v/>
      </c>
      <c r="E238" s="84" t="str">
        <f>IF(B238="","",VLOOKUP(A238,Journal!$C$7:$L$84,10))</f>
        <v/>
      </c>
      <c r="F238" s="84" t="str">
        <f>IF(B238="","",VLOOKUP(A238,Journal!$C$7:$M$84,11))</f>
        <v/>
      </c>
      <c r="G238" s="102">
        <f>IF(B238="Total",SUM(G$8:G237)+0.0001,IF(OR(B238="",M238=0),0,VLOOKUP(A238,Journal!$C$7:M$84,7)))</f>
        <v>0</v>
      </c>
      <c r="H238" s="102">
        <f>IF(B238="Total",SUM(H$8:H237)+0.0001,IF(OR(B238="",N238=0),0,VLOOKUP(A238,Journal!$C$7:M$84,7)))</f>
        <v>0</v>
      </c>
      <c r="I238" s="87">
        <f t="shared" si="22"/>
        <v>0</v>
      </c>
      <c r="K238" s="13">
        <f>VLOOKUP(A238,Journal!$C$7:$M$84,4)</f>
        <v>0</v>
      </c>
      <c r="L238" s="13">
        <f>VLOOKUP(A238,Journal!$C$7:$M$84,5)</f>
        <v>0</v>
      </c>
      <c r="M238" s="13">
        <f t="shared" si="24"/>
        <v>0</v>
      </c>
      <c r="N238" s="13">
        <f t="shared" si="25"/>
        <v>0</v>
      </c>
      <c r="O238" s="13"/>
      <c r="P238" s="13">
        <f t="shared" si="26"/>
        <v>1.0000000000000001E-5</v>
      </c>
      <c r="T238" t="str">
        <f t="shared" si="21"/>
        <v/>
      </c>
    </row>
    <row r="239" spans="1:20" x14ac:dyDescent="0.25">
      <c r="A239">
        <f t="shared" si="23"/>
        <v>232</v>
      </c>
      <c r="B239" s="88" t="str">
        <f>IF(OR(B238="Total",B238=""),"",IF(VLOOKUP(A239,Journal!$C$7:$E$84,3)=0,"Total",VLOOKUP(A239,Journal!$C$7:$D$84,2)))</f>
        <v/>
      </c>
      <c r="C239" s="86" t="str">
        <f>IF(B239="","",VLOOKUP(A239,Journal!$C$7:$E$84,3))</f>
        <v/>
      </c>
      <c r="D239" s="84" t="str">
        <f>IF(B239="","",VLOOKUP(A239,Journal!$C$7:$J$84,8))</f>
        <v/>
      </c>
      <c r="E239" s="84" t="str">
        <f>IF(B239="","",VLOOKUP(A239,Journal!$C$7:$L$84,10))</f>
        <v/>
      </c>
      <c r="F239" s="84" t="str">
        <f>IF(B239="","",VLOOKUP(A239,Journal!$C$7:$M$84,11))</f>
        <v/>
      </c>
      <c r="G239" s="102">
        <f>IF(B239="Total",SUM(G$8:G238)+0.0001,IF(OR(B239="",M239=0),0,VLOOKUP(A239,Journal!$C$7:M$84,7)))</f>
        <v>0</v>
      </c>
      <c r="H239" s="102">
        <f>IF(B239="Total",SUM(H$8:H238)+0.0001,IF(OR(B239="",N239=0),0,VLOOKUP(A239,Journal!$C$7:M$84,7)))</f>
        <v>0</v>
      </c>
      <c r="I239" s="87">
        <f t="shared" si="22"/>
        <v>0</v>
      </c>
      <c r="K239" s="13">
        <f>VLOOKUP(A239,Journal!$C$7:$M$84,4)</f>
        <v>0</v>
      </c>
      <c r="L239" s="13">
        <f>VLOOKUP(A239,Journal!$C$7:$M$84,5)</f>
        <v>0</v>
      </c>
      <c r="M239" s="13">
        <f t="shared" si="24"/>
        <v>0</v>
      </c>
      <c r="N239" s="13">
        <f t="shared" si="25"/>
        <v>0</v>
      </c>
      <c r="O239" s="13"/>
      <c r="P239" s="13">
        <f t="shared" si="26"/>
        <v>1.0000000000000001E-5</v>
      </c>
      <c r="T239" t="str">
        <f t="shared" si="21"/>
        <v/>
      </c>
    </row>
    <row r="240" spans="1:20" x14ac:dyDescent="0.25">
      <c r="A240">
        <f t="shared" si="23"/>
        <v>233</v>
      </c>
      <c r="B240" s="88" t="str">
        <f>IF(OR(B239="Total",B239=""),"",IF(VLOOKUP(A240,Journal!$C$7:$E$84,3)=0,"Total",VLOOKUP(A240,Journal!$C$7:$D$84,2)))</f>
        <v/>
      </c>
      <c r="C240" s="86" t="str">
        <f>IF(B240="","",VLOOKUP(A240,Journal!$C$7:$E$84,3))</f>
        <v/>
      </c>
      <c r="D240" s="84" t="str">
        <f>IF(B240="","",VLOOKUP(A240,Journal!$C$7:$J$84,8))</f>
        <v/>
      </c>
      <c r="E240" s="84" t="str">
        <f>IF(B240="","",VLOOKUP(A240,Journal!$C$7:$L$84,10))</f>
        <v/>
      </c>
      <c r="F240" s="84" t="str">
        <f>IF(B240="","",VLOOKUP(A240,Journal!$C$7:$M$84,11))</f>
        <v/>
      </c>
      <c r="G240" s="102">
        <f>IF(B240="Total",SUM(G$8:G239)+0.0001,IF(OR(B240="",M240=0),0,VLOOKUP(A240,Journal!$C$7:M$84,7)))</f>
        <v>0</v>
      </c>
      <c r="H240" s="102">
        <f>IF(B240="Total",SUM(H$8:H239)+0.0001,IF(OR(B240="",N240=0),0,VLOOKUP(A240,Journal!$C$7:M$84,7)))</f>
        <v>0</v>
      </c>
      <c r="I240" s="87">
        <f t="shared" si="22"/>
        <v>0</v>
      </c>
      <c r="K240" s="13">
        <f>VLOOKUP(A240,Journal!$C$7:$M$84,4)</f>
        <v>0</v>
      </c>
      <c r="L240" s="13">
        <f>VLOOKUP(A240,Journal!$C$7:$M$84,5)</f>
        <v>0</v>
      </c>
      <c r="M240" s="13">
        <f t="shared" si="24"/>
        <v>0</v>
      </c>
      <c r="N240" s="13">
        <f t="shared" si="25"/>
        <v>0</v>
      </c>
      <c r="O240" s="13"/>
      <c r="P240" s="13">
        <f t="shared" si="26"/>
        <v>1.0000000000000001E-5</v>
      </c>
      <c r="T240" t="str">
        <f t="shared" si="21"/>
        <v/>
      </c>
    </row>
    <row r="241" spans="1:20" x14ac:dyDescent="0.25">
      <c r="A241">
        <f t="shared" si="23"/>
        <v>234</v>
      </c>
      <c r="B241" s="88" t="str">
        <f>IF(OR(B240="Total",B240=""),"",IF(VLOOKUP(A241,Journal!$C$7:$E$84,3)=0,"Total",VLOOKUP(A241,Journal!$C$7:$D$84,2)))</f>
        <v/>
      </c>
      <c r="C241" s="86" t="str">
        <f>IF(B241="","",VLOOKUP(A241,Journal!$C$7:$E$84,3))</f>
        <v/>
      </c>
      <c r="D241" s="84" t="str">
        <f>IF(B241="","",VLOOKUP(A241,Journal!$C$7:$J$84,8))</f>
        <v/>
      </c>
      <c r="E241" s="84" t="str">
        <f>IF(B241="","",VLOOKUP(A241,Journal!$C$7:$L$84,10))</f>
        <v/>
      </c>
      <c r="F241" s="84" t="str">
        <f>IF(B241="","",VLOOKUP(A241,Journal!$C$7:$M$84,11))</f>
        <v/>
      </c>
      <c r="G241" s="102">
        <f>IF(B241="Total",SUM(G$8:G240)+0.0001,IF(OR(B241="",M241=0),0,VLOOKUP(A241,Journal!$C$7:M$84,7)))</f>
        <v>0</v>
      </c>
      <c r="H241" s="102">
        <f>IF(B241="Total",SUM(H$8:H240)+0.0001,IF(OR(B241="",N241=0),0,VLOOKUP(A241,Journal!$C$7:M$84,7)))</f>
        <v>0</v>
      </c>
      <c r="I241" s="87">
        <f t="shared" si="22"/>
        <v>0</v>
      </c>
      <c r="K241" s="13">
        <f>VLOOKUP(A241,Journal!$C$7:$M$84,4)</f>
        <v>0</v>
      </c>
      <c r="L241" s="13">
        <f>VLOOKUP(A241,Journal!$C$7:$M$84,5)</f>
        <v>0</v>
      </c>
      <c r="M241" s="13">
        <f t="shared" si="24"/>
        <v>0</v>
      </c>
      <c r="N241" s="13">
        <f t="shared" si="25"/>
        <v>0</v>
      </c>
      <c r="O241" s="13"/>
      <c r="P241" s="13">
        <f t="shared" si="26"/>
        <v>1.0000000000000001E-5</v>
      </c>
      <c r="T241" t="str">
        <f t="shared" si="21"/>
        <v/>
      </c>
    </row>
    <row r="242" spans="1:20" x14ac:dyDescent="0.25">
      <c r="A242">
        <f t="shared" si="23"/>
        <v>235</v>
      </c>
      <c r="B242" s="88" t="str">
        <f>IF(OR(B241="Total",B241=""),"",IF(VLOOKUP(A242,Journal!$C$7:$E$84,3)=0,"Total",VLOOKUP(A242,Journal!$C$7:$D$84,2)))</f>
        <v/>
      </c>
      <c r="C242" s="86" t="str">
        <f>IF(B242="","",VLOOKUP(A242,Journal!$C$7:$E$84,3))</f>
        <v/>
      </c>
      <c r="D242" s="84" t="str">
        <f>IF(B242="","",VLOOKUP(A242,Journal!$C$7:$J$84,8))</f>
        <v/>
      </c>
      <c r="E242" s="84" t="str">
        <f>IF(B242="","",VLOOKUP(A242,Journal!$C$7:$L$84,10))</f>
        <v/>
      </c>
      <c r="F242" s="84" t="str">
        <f>IF(B242="","",VLOOKUP(A242,Journal!$C$7:$M$84,11))</f>
        <v/>
      </c>
      <c r="G242" s="102">
        <f>IF(B242="Total",SUM(G$8:G241)+0.0001,IF(OR(B242="",M242=0),0,VLOOKUP(A242,Journal!$C$7:M$84,7)))</f>
        <v>0</v>
      </c>
      <c r="H242" s="102">
        <f>IF(B242="Total",SUM(H$8:H241)+0.0001,IF(OR(B242="",N242=0),0,VLOOKUP(A242,Journal!$C$7:M$84,7)))</f>
        <v>0</v>
      </c>
      <c r="I242" s="87">
        <f t="shared" si="22"/>
        <v>0</v>
      </c>
      <c r="K242" s="13">
        <f>VLOOKUP(A242,Journal!$C$7:$M$84,4)</f>
        <v>0</v>
      </c>
      <c r="L242" s="13">
        <f>VLOOKUP(A242,Journal!$C$7:$M$84,5)</f>
        <v>0</v>
      </c>
      <c r="M242" s="13">
        <f t="shared" si="24"/>
        <v>0</v>
      </c>
      <c r="N242" s="13">
        <f t="shared" si="25"/>
        <v>0</v>
      </c>
      <c r="O242" s="13"/>
      <c r="P242" s="13">
        <f t="shared" si="26"/>
        <v>1.0000000000000001E-5</v>
      </c>
      <c r="T242" t="str">
        <f t="shared" si="21"/>
        <v/>
      </c>
    </row>
    <row r="243" spans="1:20" x14ac:dyDescent="0.25">
      <c r="A243">
        <f t="shared" si="23"/>
        <v>236</v>
      </c>
      <c r="B243" s="88" t="str">
        <f>IF(OR(B242="Total",B242=""),"",IF(VLOOKUP(A243,Journal!$C$7:$E$84,3)=0,"Total",VLOOKUP(A243,Journal!$C$7:$D$84,2)))</f>
        <v/>
      </c>
      <c r="C243" s="86" t="str">
        <f>IF(B243="","",VLOOKUP(A243,Journal!$C$7:$E$84,3))</f>
        <v/>
      </c>
      <c r="D243" s="84" t="str">
        <f>IF(B243="","",VLOOKUP(A243,Journal!$C$7:$J$84,8))</f>
        <v/>
      </c>
      <c r="E243" s="84" t="str">
        <f>IF(B243="","",VLOOKUP(A243,Journal!$C$7:$L$84,10))</f>
        <v/>
      </c>
      <c r="F243" s="84" t="str">
        <f>IF(B243="","",VLOOKUP(A243,Journal!$C$7:$M$84,11))</f>
        <v/>
      </c>
      <c r="G243" s="102">
        <f>IF(B243="Total",SUM(G$8:G242)+0.0001,IF(OR(B243="",M243=0),0,VLOOKUP(A243,Journal!$C$7:M$84,7)))</f>
        <v>0</v>
      </c>
      <c r="H243" s="102">
        <f>IF(B243="Total",SUM(H$8:H242)+0.0001,IF(OR(B243="",N243=0),0,VLOOKUP(A243,Journal!$C$7:M$84,7)))</f>
        <v>0</v>
      </c>
      <c r="I243" s="87">
        <f t="shared" si="22"/>
        <v>0</v>
      </c>
      <c r="K243" s="13">
        <f>VLOOKUP(A243,Journal!$C$7:$M$84,4)</f>
        <v>0</v>
      </c>
      <c r="L243" s="13">
        <f>VLOOKUP(A243,Journal!$C$7:$M$84,5)</f>
        <v>0</v>
      </c>
      <c r="M243" s="13">
        <f t="shared" si="24"/>
        <v>0</v>
      </c>
      <c r="N243" s="13">
        <f t="shared" si="25"/>
        <v>0</v>
      </c>
      <c r="O243" s="13"/>
      <c r="P243" s="13">
        <f t="shared" si="26"/>
        <v>1.0000000000000001E-5</v>
      </c>
      <c r="T243" t="str">
        <f t="shared" si="21"/>
        <v/>
      </c>
    </row>
    <row r="244" spans="1:20" x14ac:dyDescent="0.25">
      <c r="A244">
        <f t="shared" si="23"/>
        <v>237</v>
      </c>
      <c r="B244" s="88" t="str">
        <f>IF(OR(B243="Total",B243=""),"",IF(VLOOKUP(A244,Journal!$C$7:$E$84,3)=0,"Total",VLOOKUP(A244,Journal!$C$7:$D$84,2)))</f>
        <v/>
      </c>
      <c r="C244" s="86" t="str">
        <f>IF(B244="","",VLOOKUP(A244,Journal!$C$7:$E$84,3))</f>
        <v/>
      </c>
      <c r="D244" s="84" t="str">
        <f>IF(B244="","",VLOOKUP(A244,Journal!$C$7:$J$84,8))</f>
        <v/>
      </c>
      <c r="E244" s="84" t="str">
        <f>IF(B244="","",VLOOKUP(A244,Journal!$C$7:$L$84,10))</f>
        <v/>
      </c>
      <c r="F244" s="84" t="str">
        <f>IF(B244="","",VLOOKUP(A244,Journal!$C$7:$M$84,11))</f>
        <v/>
      </c>
      <c r="G244" s="102">
        <f>IF(B244="Total",SUM(G$8:G243)+0.0001,IF(OR(B244="",M244=0),0,VLOOKUP(A244,Journal!$C$7:M$84,7)))</f>
        <v>0</v>
      </c>
      <c r="H244" s="102">
        <f>IF(B244="Total",SUM(H$8:H243)+0.0001,IF(OR(B244="",N244=0),0,VLOOKUP(A244,Journal!$C$7:M$84,7)))</f>
        <v>0</v>
      </c>
      <c r="I244" s="87">
        <f t="shared" si="22"/>
        <v>0</v>
      </c>
      <c r="K244" s="13">
        <f>VLOOKUP(A244,Journal!$C$7:$M$84,4)</f>
        <v>0</v>
      </c>
      <c r="L244" s="13">
        <f>VLOOKUP(A244,Journal!$C$7:$M$84,5)</f>
        <v>0</v>
      </c>
      <c r="M244" s="13">
        <f t="shared" si="24"/>
        <v>0</v>
      </c>
      <c r="N244" s="13">
        <f t="shared" si="25"/>
        <v>0</v>
      </c>
      <c r="O244" s="13"/>
      <c r="P244" s="13">
        <f t="shared" si="26"/>
        <v>1.0000000000000001E-5</v>
      </c>
      <c r="T244" t="str">
        <f t="shared" si="21"/>
        <v/>
      </c>
    </row>
    <row r="245" spans="1:20" x14ac:dyDescent="0.25">
      <c r="A245">
        <f t="shared" si="23"/>
        <v>238</v>
      </c>
      <c r="B245" s="88" t="str">
        <f>IF(OR(B244="Total",B244=""),"",IF(VLOOKUP(A245,Journal!$C$7:$E$84,3)=0,"Total",VLOOKUP(A245,Journal!$C$7:$D$84,2)))</f>
        <v/>
      </c>
      <c r="C245" s="86" t="str">
        <f>IF(B245="","",VLOOKUP(A245,Journal!$C$7:$E$84,3))</f>
        <v/>
      </c>
      <c r="D245" s="84" t="str">
        <f>IF(B245="","",VLOOKUP(A245,Journal!$C$7:$J$84,8))</f>
        <v/>
      </c>
      <c r="E245" s="84" t="str">
        <f>IF(B245="","",VLOOKUP(A245,Journal!$C$7:$L$84,10))</f>
        <v/>
      </c>
      <c r="F245" s="84" t="str">
        <f>IF(B245="","",VLOOKUP(A245,Journal!$C$7:$M$84,11))</f>
        <v/>
      </c>
      <c r="G245" s="102">
        <f>IF(B245="Total",SUM(G$8:G244)+0.0001,IF(OR(B245="",M245=0),0,VLOOKUP(A245,Journal!$C$7:M$84,7)))</f>
        <v>0</v>
      </c>
      <c r="H245" s="102">
        <f>IF(B245="Total",SUM(H$8:H244)+0.0001,IF(OR(B245="",N245=0),0,VLOOKUP(A245,Journal!$C$7:M$84,7)))</f>
        <v>0</v>
      </c>
      <c r="I245" s="87">
        <f t="shared" si="22"/>
        <v>0</v>
      </c>
      <c r="K245" s="13">
        <f>VLOOKUP(A245,Journal!$C$7:$M$84,4)</f>
        <v>0</v>
      </c>
      <c r="L245" s="13">
        <f>VLOOKUP(A245,Journal!$C$7:$M$84,5)</f>
        <v>0</v>
      </c>
      <c r="M245" s="13">
        <f t="shared" si="24"/>
        <v>0</v>
      </c>
      <c r="N245" s="13">
        <f t="shared" si="25"/>
        <v>0</v>
      </c>
      <c r="O245" s="13"/>
      <c r="P245" s="13">
        <f t="shared" si="26"/>
        <v>1.0000000000000001E-5</v>
      </c>
      <c r="T245" t="str">
        <f t="shared" si="21"/>
        <v/>
      </c>
    </row>
    <row r="246" spans="1:20" x14ac:dyDescent="0.25">
      <c r="A246">
        <f t="shared" si="23"/>
        <v>239</v>
      </c>
      <c r="B246" s="88" t="str">
        <f>IF(OR(B245="Total",B245=""),"",IF(VLOOKUP(A246,Journal!$C$7:$E$84,3)=0,"Total",VLOOKUP(A246,Journal!$C$7:$D$84,2)))</f>
        <v/>
      </c>
      <c r="C246" s="86" t="str">
        <f>IF(B246="","",VLOOKUP(A246,Journal!$C$7:$E$84,3))</f>
        <v/>
      </c>
      <c r="D246" s="84" t="str">
        <f>IF(B246="","",VLOOKUP(A246,Journal!$C$7:$J$84,8))</f>
        <v/>
      </c>
      <c r="E246" s="84" t="str">
        <f>IF(B246="","",VLOOKUP(A246,Journal!$C$7:$L$84,10))</f>
        <v/>
      </c>
      <c r="F246" s="84" t="str">
        <f>IF(B246="","",VLOOKUP(A246,Journal!$C$7:$M$84,11))</f>
        <v/>
      </c>
      <c r="G246" s="102">
        <f>IF(B246="Total",SUM(G$8:G245)+0.0001,IF(OR(B246="",M246=0),0,VLOOKUP(A246,Journal!$C$7:M$84,7)))</f>
        <v>0</v>
      </c>
      <c r="H246" s="102">
        <f>IF(B246="Total",SUM(H$8:H245)+0.0001,IF(OR(B246="",N246=0),0,VLOOKUP(A246,Journal!$C$7:M$84,7)))</f>
        <v>0</v>
      </c>
      <c r="I246" s="87">
        <f t="shared" si="22"/>
        <v>0</v>
      </c>
      <c r="K246" s="13">
        <f>VLOOKUP(A246,Journal!$C$7:$M$84,4)</f>
        <v>0</v>
      </c>
      <c r="L246" s="13">
        <f>VLOOKUP(A246,Journal!$C$7:$M$84,5)</f>
        <v>0</v>
      </c>
      <c r="M246" s="13">
        <f t="shared" si="24"/>
        <v>0</v>
      </c>
      <c r="N246" s="13">
        <f t="shared" si="25"/>
        <v>0</v>
      </c>
      <c r="O246" s="13"/>
      <c r="P246" s="13">
        <f t="shared" si="26"/>
        <v>1.0000000000000001E-5</v>
      </c>
      <c r="T246" t="str">
        <f t="shared" si="21"/>
        <v/>
      </c>
    </row>
    <row r="247" spans="1:20" x14ac:dyDescent="0.25">
      <c r="A247">
        <f t="shared" si="23"/>
        <v>240</v>
      </c>
      <c r="B247" s="88" t="str">
        <f>IF(OR(B246="Total",B246=""),"",IF(VLOOKUP(A247,Journal!$C$7:$E$84,3)=0,"Total",VLOOKUP(A247,Journal!$C$7:$D$84,2)))</f>
        <v/>
      </c>
      <c r="C247" s="86" t="str">
        <f>IF(B247="","",VLOOKUP(A247,Journal!$C$7:$E$84,3))</f>
        <v/>
      </c>
      <c r="D247" s="84" t="str">
        <f>IF(B247="","",VLOOKUP(A247,Journal!$C$7:$J$84,8))</f>
        <v/>
      </c>
      <c r="E247" s="84" t="str">
        <f>IF(B247="","",VLOOKUP(A247,Journal!$C$7:$L$84,10))</f>
        <v/>
      </c>
      <c r="F247" s="84" t="str">
        <f>IF(B247="","",VLOOKUP(A247,Journal!$C$7:$M$84,11))</f>
        <v/>
      </c>
      <c r="G247" s="102">
        <f>IF(B247="Total",SUM(G$8:G246)+0.0001,IF(OR(B247="",M247=0),0,VLOOKUP(A247,Journal!$C$7:M$84,7)))</f>
        <v>0</v>
      </c>
      <c r="H247" s="102">
        <f>IF(B247="Total",SUM(H$8:H246)+0.0001,IF(OR(B247="",N247=0),0,VLOOKUP(A247,Journal!$C$7:M$84,7)))</f>
        <v>0</v>
      </c>
      <c r="I247" s="87">
        <f t="shared" si="22"/>
        <v>0</v>
      </c>
      <c r="K247" s="13">
        <f>VLOOKUP(A247,Journal!$C$7:$M$84,4)</f>
        <v>0</v>
      </c>
      <c r="L247" s="13">
        <f>VLOOKUP(A247,Journal!$C$7:$M$84,5)</f>
        <v>0</v>
      </c>
      <c r="M247" s="13">
        <f t="shared" si="24"/>
        <v>0</v>
      </c>
      <c r="N247" s="13">
        <f t="shared" si="25"/>
        <v>0</v>
      </c>
      <c r="O247" s="13"/>
      <c r="P247" s="13">
        <f t="shared" si="26"/>
        <v>1.0000000000000001E-5</v>
      </c>
      <c r="T247" t="str">
        <f t="shared" si="21"/>
        <v/>
      </c>
    </row>
    <row r="248" spans="1:20" x14ac:dyDescent="0.25">
      <c r="A248">
        <f t="shared" si="23"/>
        <v>241</v>
      </c>
      <c r="B248" s="88" t="str">
        <f>IF(OR(B247="Total",B247=""),"",IF(VLOOKUP(A248,Journal!$C$7:$E$84,3)=0,"Total",VLOOKUP(A248,Journal!$C$7:$D$84,2)))</f>
        <v/>
      </c>
      <c r="C248" s="86" t="str">
        <f>IF(B248="","",VLOOKUP(A248,Journal!$C$7:$E$84,3))</f>
        <v/>
      </c>
      <c r="D248" s="84" t="str">
        <f>IF(B248="","",VLOOKUP(A248,Journal!$C$7:$J$84,8))</f>
        <v/>
      </c>
      <c r="E248" s="84" t="str">
        <f>IF(B248="","",VLOOKUP(A248,Journal!$C$7:$L$84,10))</f>
        <v/>
      </c>
      <c r="F248" s="84" t="str">
        <f>IF(B248="","",VLOOKUP(A248,Journal!$C$7:$M$84,11))</f>
        <v/>
      </c>
      <c r="G248" s="102">
        <f>IF(B248="Total",SUM(G$8:G247)+0.0001,IF(OR(B248="",M248=0),0,VLOOKUP(A248,Journal!$C$7:M$84,7)))</f>
        <v>0</v>
      </c>
      <c r="H248" s="102">
        <f>IF(B248="Total",SUM(H$8:H247)+0.0001,IF(OR(B248="",N248=0),0,VLOOKUP(A248,Journal!$C$7:M$84,7)))</f>
        <v>0</v>
      </c>
      <c r="I248" s="87">
        <f t="shared" si="22"/>
        <v>0</v>
      </c>
      <c r="K248" s="13">
        <f>VLOOKUP(A248,Journal!$C$7:$M$84,4)</f>
        <v>0</v>
      </c>
      <c r="L248" s="13">
        <f>VLOOKUP(A248,Journal!$C$7:$M$84,5)</f>
        <v>0</v>
      </c>
      <c r="M248" s="13">
        <f t="shared" si="24"/>
        <v>0</v>
      </c>
      <c r="N248" s="13">
        <f t="shared" si="25"/>
        <v>0</v>
      </c>
      <c r="O248" s="13"/>
      <c r="P248" s="13">
        <f t="shared" si="26"/>
        <v>1.0000000000000001E-5</v>
      </c>
      <c r="T248" t="str">
        <f t="shared" si="21"/>
        <v/>
      </c>
    </row>
    <row r="249" spans="1:20" x14ac:dyDescent="0.25">
      <c r="A249">
        <f t="shared" si="23"/>
        <v>242</v>
      </c>
      <c r="B249" s="88" t="str">
        <f>IF(OR(B248="Total",B248=""),"",IF(VLOOKUP(A249,Journal!$C$7:$E$84,3)=0,"Total",VLOOKUP(A249,Journal!$C$7:$D$84,2)))</f>
        <v/>
      </c>
      <c r="C249" s="86" t="str">
        <f>IF(B249="","",VLOOKUP(A249,Journal!$C$7:$E$84,3))</f>
        <v/>
      </c>
      <c r="D249" s="84" t="str">
        <f>IF(B249="","",VLOOKUP(A249,Journal!$C$7:$J$84,8))</f>
        <v/>
      </c>
      <c r="E249" s="84" t="str">
        <f>IF(B249="","",VLOOKUP(A249,Journal!$C$7:$L$84,10))</f>
        <v/>
      </c>
      <c r="F249" s="84" t="str">
        <f>IF(B249="","",VLOOKUP(A249,Journal!$C$7:$M$84,11))</f>
        <v/>
      </c>
      <c r="G249" s="102">
        <f>IF(B249="Total",SUM(G$8:G248)+0.0001,IF(OR(B249="",M249=0),0,VLOOKUP(A249,Journal!$C$7:M$84,7)))</f>
        <v>0</v>
      </c>
      <c r="H249" s="102">
        <f>IF(B249="Total",SUM(H$8:H248)+0.0001,IF(OR(B249="",N249=0),0,VLOOKUP(A249,Journal!$C$7:M$84,7)))</f>
        <v>0</v>
      </c>
      <c r="I249" s="87">
        <f t="shared" si="22"/>
        <v>0</v>
      </c>
      <c r="K249" s="13">
        <f>VLOOKUP(A249,Journal!$C$7:$M$84,4)</f>
        <v>0</v>
      </c>
      <c r="L249" s="13">
        <f>VLOOKUP(A249,Journal!$C$7:$M$84,5)</f>
        <v>0</v>
      </c>
      <c r="M249" s="13">
        <f t="shared" si="24"/>
        <v>0</v>
      </c>
      <c r="N249" s="13">
        <f t="shared" si="25"/>
        <v>0</v>
      </c>
      <c r="O249" s="13"/>
      <c r="P249" s="13">
        <f t="shared" si="26"/>
        <v>1.0000000000000001E-5</v>
      </c>
      <c r="T249" t="str">
        <f t="shared" si="21"/>
        <v/>
      </c>
    </row>
    <row r="250" spans="1:20" x14ac:dyDescent="0.25">
      <c r="A250">
        <f t="shared" si="23"/>
        <v>243</v>
      </c>
      <c r="B250" s="88" t="str">
        <f>IF(OR(B249="Total",B249=""),"",IF(VLOOKUP(A250,Journal!$C$7:$E$84,3)=0,"Total",VLOOKUP(A250,Journal!$C$7:$D$84,2)))</f>
        <v/>
      </c>
      <c r="C250" s="86" t="str">
        <f>IF(B250="","",VLOOKUP(A250,Journal!$C$7:$E$84,3))</f>
        <v/>
      </c>
      <c r="D250" s="84" t="str">
        <f>IF(B250="","",VLOOKUP(A250,Journal!$C$7:$J$84,8))</f>
        <v/>
      </c>
      <c r="E250" s="84" t="str">
        <f>IF(B250="","",VLOOKUP(A250,Journal!$C$7:$L$84,10))</f>
        <v/>
      </c>
      <c r="F250" s="84" t="str">
        <f>IF(B250="","",VLOOKUP(A250,Journal!$C$7:$M$84,11))</f>
        <v/>
      </c>
      <c r="G250" s="102">
        <f>IF(B250="Total",SUM(G$8:G249)+0.0001,IF(OR(B250="",M250=0),0,VLOOKUP(A250,Journal!$C$7:M$84,7)))</f>
        <v>0</v>
      </c>
      <c r="H250" s="102">
        <f>IF(B250="Total",SUM(H$8:H249)+0.0001,IF(OR(B250="",N250=0),0,VLOOKUP(A250,Journal!$C$7:M$84,7)))</f>
        <v>0</v>
      </c>
      <c r="I250" s="87">
        <f t="shared" si="22"/>
        <v>0</v>
      </c>
      <c r="K250" s="13">
        <f>VLOOKUP(A250,Journal!$C$7:$M$84,4)</f>
        <v>0</v>
      </c>
      <c r="L250" s="13">
        <f>VLOOKUP(A250,Journal!$C$7:$M$84,5)</f>
        <v>0</v>
      </c>
      <c r="M250" s="13">
        <f t="shared" si="24"/>
        <v>0</v>
      </c>
      <c r="N250" s="13">
        <f t="shared" si="25"/>
        <v>0</v>
      </c>
      <c r="O250" s="13"/>
      <c r="P250" s="13">
        <f t="shared" si="26"/>
        <v>1.0000000000000001E-5</v>
      </c>
      <c r="T250" t="str">
        <f t="shared" si="21"/>
        <v/>
      </c>
    </row>
    <row r="251" spans="1:20" x14ac:dyDescent="0.25">
      <c r="A251">
        <f t="shared" si="23"/>
        <v>244</v>
      </c>
      <c r="B251" s="88" t="str">
        <f>IF(OR(B250="Total",B250=""),"",IF(VLOOKUP(A251,Journal!$C$7:$E$84,3)=0,"Total",VLOOKUP(A251,Journal!$C$7:$D$84,2)))</f>
        <v/>
      </c>
      <c r="C251" s="86" t="str">
        <f>IF(B251="","",VLOOKUP(A251,Journal!$C$7:$E$84,3))</f>
        <v/>
      </c>
      <c r="D251" s="84" t="str">
        <f>IF(B251="","",VLOOKUP(A251,Journal!$C$7:$J$84,8))</f>
        <v/>
      </c>
      <c r="E251" s="84" t="str">
        <f>IF(B251="","",VLOOKUP(A251,Journal!$C$7:$L$84,10))</f>
        <v/>
      </c>
      <c r="F251" s="84" t="str">
        <f>IF(B251="","",VLOOKUP(A251,Journal!$C$7:$M$84,11))</f>
        <v/>
      </c>
      <c r="G251" s="102">
        <f>IF(B251="Total",SUM(G$8:G250)+0.0001,IF(OR(B251="",M251=0),0,VLOOKUP(A251,Journal!$C$7:M$84,7)))</f>
        <v>0</v>
      </c>
      <c r="H251" s="102">
        <f>IF(B251="Total",SUM(H$8:H250)+0.0001,IF(OR(B251="",N251=0),0,VLOOKUP(A251,Journal!$C$7:M$84,7)))</f>
        <v>0</v>
      </c>
      <c r="I251" s="87">
        <f t="shared" si="22"/>
        <v>0</v>
      </c>
      <c r="K251" s="13">
        <f>VLOOKUP(A251,Journal!$C$7:$M$84,4)</f>
        <v>0</v>
      </c>
      <c r="L251" s="13">
        <f>VLOOKUP(A251,Journal!$C$7:$M$84,5)</f>
        <v>0</v>
      </c>
      <c r="M251" s="13">
        <f t="shared" si="24"/>
        <v>0</v>
      </c>
      <c r="N251" s="13">
        <f t="shared" si="25"/>
        <v>0</v>
      </c>
      <c r="O251" s="13"/>
      <c r="P251" s="13">
        <f t="shared" si="26"/>
        <v>1.0000000000000001E-5</v>
      </c>
      <c r="T251" t="str">
        <f t="shared" si="21"/>
        <v/>
      </c>
    </row>
    <row r="252" spans="1:20" x14ac:dyDescent="0.25">
      <c r="A252">
        <f t="shared" si="23"/>
        <v>245</v>
      </c>
      <c r="B252" s="88" t="str">
        <f>IF(OR(B251="Total",B251=""),"",IF(VLOOKUP(A252,Journal!$C$7:$E$84,3)=0,"Total",VLOOKUP(A252,Journal!$C$7:$D$84,2)))</f>
        <v/>
      </c>
      <c r="C252" s="86" t="str">
        <f>IF(B252="","",VLOOKUP(A252,Journal!$C$7:$E$84,3))</f>
        <v/>
      </c>
      <c r="D252" s="84" t="str">
        <f>IF(B252="","",VLOOKUP(A252,Journal!$C$7:$J$84,8))</f>
        <v/>
      </c>
      <c r="E252" s="84" t="str">
        <f>IF(B252="","",VLOOKUP(A252,Journal!$C$7:$L$84,10))</f>
        <v/>
      </c>
      <c r="F252" s="84" t="str">
        <f>IF(B252="","",VLOOKUP(A252,Journal!$C$7:$M$84,11))</f>
        <v/>
      </c>
      <c r="G252" s="102">
        <f>IF(B252="Total",SUM(G$8:G251)+0.0001,IF(OR(B252="",M252=0),0,VLOOKUP(A252,Journal!$C$7:M$84,7)))</f>
        <v>0</v>
      </c>
      <c r="H252" s="102">
        <f>IF(B252="Total",SUM(H$8:H251)+0.0001,IF(OR(B252="",N252=0),0,VLOOKUP(A252,Journal!$C$7:M$84,7)))</f>
        <v>0</v>
      </c>
      <c r="I252" s="87">
        <f t="shared" si="22"/>
        <v>0</v>
      </c>
      <c r="K252" s="13">
        <f>VLOOKUP(A252,Journal!$C$7:$M$84,4)</f>
        <v>0</v>
      </c>
      <c r="L252" s="13">
        <f>VLOOKUP(A252,Journal!$C$7:$M$84,5)</f>
        <v>0</v>
      </c>
      <c r="M252" s="13">
        <f t="shared" si="24"/>
        <v>0</v>
      </c>
      <c r="N252" s="13">
        <f t="shared" si="25"/>
        <v>0</v>
      </c>
      <c r="O252" s="13"/>
      <c r="P252" s="13">
        <f t="shared" si="26"/>
        <v>1.0000000000000001E-5</v>
      </c>
      <c r="T252" t="str">
        <f t="shared" si="21"/>
        <v/>
      </c>
    </row>
    <row r="253" spans="1:20" x14ac:dyDescent="0.25">
      <c r="A253">
        <f t="shared" si="23"/>
        <v>246</v>
      </c>
      <c r="B253" s="88" t="str">
        <f>IF(OR(B252="Total",B252=""),"",IF(VLOOKUP(A253,Journal!$C$7:$E$84,3)=0,"Total",VLOOKUP(A253,Journal!$C$7:$D$84,2)))</f>
        <v/>
      </c>
      <c r="C253" s="86" t="str">
        <f>IF(B253="","",VLOOKUP(A253,Journal!$C$7:$E$84,3))</f>
        <v/>
      </c>
      <c r="D253" s="84" t="str">
        <f>IF(B253="","",VLOOKUP(A253,Journal!$C$7:$J$84,8))</f>
        <v/>
      </c>
      <c r="E253" s="84" t="str">
        <f>IF(B253="","",VLOOKUP(A253,Journal!$C$7:$L$84,10))</f>
        <v/>
      </c>
      <c r="F253" s="84" t="str">
        <f>IF(B253="","",VLOOKUP(A253,Journal!$C$7:$M$84,11))</f>
        <v/>
      </c>
      <c r="G253" s="102">
        <f>IF(B253="Total",SUM(G$8:G252)+0.0001,IF(OR(B253="",M253=0),0,VLOOKUP(A253,Journal!$C$7:M$84,7)))</f>
        <v>0</v>
      </c>
      <c r="H253" s="102">
        <f>IF(B253="Total",SUM(H$8:H252)+0.0001,IF(OR(B253="",N253=0),0,VLOOKUP(A253,Journal!$C$7:M$84,7)))</f>
        <v>0</v>
      </c>
      <c r="I253" s="87">
        <f t="shared" si="22"/>
        <v>0</v>
      </c>
      <c r="K253" s="13">
        <f>VLOOKUP(A253,Journal!$C$7:$M$84,4)</f>
        <v>0</v>
      </c>
      <c r="L253" s="13">
        <f>VLOOKUP(A253,Journal!$C$7:$M$84,5)</f>
        <v>0</v>
      </c>
      <c r="M253" s="13">
        <f t="shared" si="24"/>
        <v>0</v>
      </c>
      <c r="N253" s="13">
        <f t="shared" si="25"/>
        <v>0</v>
      </c>
      <c r="O253" s="13"/>
      <c r="P253" s="13">
        <f t="shared" si="26"/>
        <v>1.0000000000000001E-5</v>
      </c>
      <c r="T253" t="str">
        <f t="shared" si="21"/>
        <v/>
      </c>
    </row>
    <row r="254" spans="1:20" x14ac:dyDescent="0.25">
      <c r="A254">
        <f t="shared" si="23"/>
        <v>247</v>
      </c>
      <c r="B254" s="88" t="str">
        <f>IF(OR(B253="Total",B253=""),"",IF(VLOOKUP(A254,Journal!$C$7:$E$84,3)=0,"Total",VLOOKUP(A254,Journal!$C$7:$D$84,2)))</f>
        <v/>
      </c>
      <c r="C254" s="86" t="str">
        <f>IF(B254="","",VLOOKUP(A254,Journal!$C$7:$E$84,3))</f>
        <v/>
      </c>
      <c r="D254" s="84" t="str">
        <f>IF(B254="","",VLOOKUP(A254,Journal!$C$7:$J$84,8))</f>
        <v/>
      </c>
      <c r="E254" s="84" t="str">
        <f>IF(B254="","",VLOOKUP(A254,Journal!$C$7:$L$84,10))</f>
        <v/>
      </c>
      <c r="F254" s="84" t="str">
        <f>IF(B254="","",VLOOKUP(A254,Journal!$C$7:$M$84,11))</f>
        <v/>
      </c>
      <c r="G254" s="102">
        <f>IF(B254="Total",SUM(G$8:G253)+0.0001,IF(OR(B254="",M254=0),0,VLOOKUP(A254,Journal!$C$7:M$84,7)))</f>
        <v>0</v>
      </c>
      <c r="H254" s="102">
        <f>IF(B254="Total",SUM(H$8:H253)+0.0001,IF(OR(B254="",N254=0),0,VLOOKUP(A254,Journal!$C$7:M$84,7)))</f>
        <v>0</v>
      </c>
      <c r="I254" s="87">
        <f t="shared" si="22"/>
        <v>0</v>
      </c>
      <c r="K254" s="13">
        <f>VLOOKUP(A254,Journal!$C$7:$M$84,4)</f>
        <v>0</v>
      </c>
      <c r="L254" s="13">
        <f>VLOOKUP(A254,Journal!$C$7:$M$84,5)</f>
        <v>0</v>
      </c>
      <c r="M254" s="13">
        <f t="shared" si="24"/>
        <v>0</v>
      </c>
      <c r="N254" s="13">
        <f t="shared" si="25"/>
        <v>0</v>
      </c>
      <c r="O254" s="13"/>
      <c r="P254" s="13">
        <f t="shared" si="26"/>
        <v>1.0000000000000001E-5</v>
      </c>
      <c r="T254" t="str">
        <f t="shared" si="21"/>
        <v/>
      </c>
    </row>
    <row r="255" spans="1:20" x14ac:dyDescent="0.25">
      <c r="A255">
        <f t="shared" si="23"/>
        <v>248</v>
      </c>
      <c r="B255" s="88" t="str">
        <f>IF(OR(B254="Total",B254=""),"",IF(VLOOKUP(A255,Journal!$C$7:$E$84,3)=0,"Total",VLOOKUP(A255,Journal!$C$7:$D$84,2)))</f>
        <v/>
      </c>
      <c r="C255" s="86" t="str">
        <f>IF(B255="","",VLOOKUP(A255,Journal!$C$7:$E$84,3))</f>
        <v/>
      </c>
      <c r="D255" s="84" t="str">
        <f>IF(B255="","",VLOOKUP(A255,Journal!$C$7:$J$84,8))</f>
        <v/>
      </c>
      <c r="E255" s="84" t="str">
        <f>IF(B255="","",VLOOKUP(A255,Journal!$C$7:$L$84,10))</f>
        <v/>
      </c>
      <c r="F255" s="84" t="str">
        <f>IF(B255="","",VLOOKUP(A255,Journal!$C$7:$M$84,11))</f>
        <v/>
      </c>
      <c r="G255" s="102">
        <f>IF(B255="Total",SUM(G$8:G254)+0.0001,IF(OR(B255="",M255=0),0,VLOOKUP(A255,Journal!$C$7:M$84,7)))</f>
        <v>0</v>
      </c>
      <c r="H255" s="102">
        <f>IF(B255="Total",SUM(H$8:H254)+0.0001,IF(OR(B255="",N255=0),0,VLOOKUP(A255,Journal!$C$7:M$84,7)))</f>
        <v>0</v>
      </c>
      <c r="I255" s="87">
        <f t="shared" si="22"/>
        <v>0</v>
      </c>
      <c r="K255" s="13">
        <f>VLOOKUP(A255,Journal!$C$7:$M$84,4)</f>
        <v>0</v>
      </c>
      <c r="L255" s="13">
        <f>VLOOKUP(A255,Journal!$C$7:$M$84,5)</f>
        <v>0</v>
      </c>
      <c r="M255" s="13">
        <f t="shared" si="24"/>
        <v>0</v>
      </c>
      <c r="N255" s="13">
        <f t="shared" si="25"/>
        <v>0</v>
      </c>
      <c r="O255" s="13"/>
      <c r="P255" s="13">
        <f t="shared" si="26"/>
        <v>1.0000000000000001E-5</v>
      </c>
      <c r="T255" t="str">
        <f t="shared" si="21"/>
        <v/>
      </c>
    </row>
    <row r="256" spans="1:20" x14ac:dyDescent="0.25">
      <c r="A256">
        <f t="shared" si="23"/>
        <v>249</v>
      </c>
      <c r="B256" s="88" t="str">
        <f>IF(OR(B255="Total",B255=""),"",IF(VLOOKUP(A256,Journal!$C$7:$E$84,3)=0,"Total",VLOOKUP(A256,Journal!$C$7:$D$84,2)))</f>
        <v/>
      </c>
      <c r="C256" s="86" t="str">
        <f>IF(B256="","",VLOOKUP(A256,Journal!$C$7:$E$84,3))</f>
        <v/>
      </c>
      <c r="D256" s="84" t="str">
        <f>IF(B256="","",VLOOKUP(A256,Journal!$C$7:$J$84,8))</f>
        <v/>
      </c>
      <c r="E256" s="84" t="str">
        <f>IF(B256="","",VLOOKUP(A256,Journal!$C$7:$L$84,10))</f>
        <v/>
      </c>
      <c r="F256" s="84" t="str">
        <f>IF(B256="","",VLOOKUP(A256,Journal!$C$7:$M$84,11))</f>
        <v/>
      </c>
      <c r="G256" s="102">
        <f>IF(B256="Total",SUM(G$8:G255)+0.0001,IF(OR(B256="",M256=0),0,VLOOKUP(A256,Journal!$C$7:M$84,7)))</f>
        <v>0</v>
      </c>
      <c r="H256" s="102">
        <f>IF(B256="Total",SUM(H$8:H255)+0.0001,IF(OR(B256="",N256=0),0,VLOOKUP(A256,Journal!$C$7:M$84,7)))</f>
        <v>0</v>
      </c>
      <c r="I256" s="87">
        <f t="shared" si="22"/>
        <v>0</v>
      </c>
      <c r="K256" s="13">
        <f>VLOOKUP(A256,Journal!$C$7:$M$84,4)</f>
        <v>0</v>
      </c>
      <c r="L256" s="13">
        <f>VLOOKUP(A256,Journal!$C$7:$M$84,5)</f>
        <v>0</v>
      </c>
      <c r="M256" s="13">
        <f t="shared" si="24"/>
        <v>0</v>
      </c>
      <c r="N256" s="13">
        <f t="shared" si="25"/>
        <v>0</v>
      </c>
      <c r="O256" s="13"/>
      <c r="P256" s="13">
        <f t="shared" si="26"/>
        <v>1.0000000000000001E-5</v>
      </c>
      <c r="T256" t="str">
        <f t="shared" si="21"/>
        <v/>
      </c>
    </row>
    <row r="257" spans="1:20" x14ac:dyDescent="0.25">
      <c r="A257">
        <f t="shared" si="23"/>
        <v>250</v>
      </c>
      <c r="B257" s="88" t="str">
        <f>IF(OR(B256="Total",B256=""),"",IF(VLOOKUP(A257,Journal!$C$7:$E$84,3)=0,"Total",VLOOKUP(A257,Journal!$C$7:$D$84,2)))</f>
        <v/>
      </c>
      <c r="C257" s="86" t="str">
        <f>IF(B257="","",VLOOKUP(A257,Journal!$C$7:$E$84,3))</f>
        <v/>
      </c>
      <c r="D257" s="84" t="str">
        <f>IF(B257="","",VLOOKUP(A257,Journal!$C$7:$J$84,8))</f>
        <v/>
      </c>
      <c r="E257" s="84" t="str">
        <f>IF(B257="","",VLOOKUP(A257,Journal!$C$7:$L$84,10))</f>
        <v/>
      </c>
      <c r="F257" s="84" t="str">
        <f>IF(B257="","",VLOOKUP(A257,Journal!$C$7:$M$84,11))</f>
        <v/>
      </c>
      <c r="G257" s="102">
        <f>IF(B257="Total",SUM(G$8:G256)+0.0001,IF(OR(B257="",M257=0),0,VLOOKUP(A257,Journal!$C$7:M$84,7)))</f>
        <v>0</v>
      </c>
      <c r="H257" s="102">
        <f>IF(B257="Total",SUM(H$8:H256)+0.0001,IF(OR(B257="",N257=0),0,VLOOKUP(A257,Journal!$C$7:M$84,7)))</f>
        <v>0</v>
      </c>
      <c r="I257" s="87">
        <f t="shared" si="22"/>
        <v>0</v>
      </c>
      <c r="K257" s="13">
        <f>VLOOKUP(A257,Journal!$C$7:$M$84,4)</f>
        <v>0</v>
      </c>
      <c r="L257" s="13">
        <f>VLOOKUP(A257,Journal!$C$7:$M$84,5)</f>
        <v>0</v>
      </c>
      <c r="M257" s="13">
        <f t="shared" si="24"/>
        <v>0</v>
      </c>
      <c r="N257" s="13">
        <f t="shared" si="25"/>
        <v>0</v>
      </c>
      <c r="O257" s="13"/>
      <c r="P257" s="13">
        <f t="shared" si="26"/>
        <v>1.0000000000000001E-5</v>
      </c>
      <c r="T257" t="str">
        <f t="shared" si="21"/>
        <v/>
      </c>
    </row>
    <row r="258" spans="1:20" x14ac:dyDescent="0.25">
      <c r="A258">
        <f t="shared" si="23"/>
        <v>251</v>
      </c>
      <c r="B258" s="88" t="str">
        <f>IF(OR(B257="Total",B257=""),"",IF(VLOOKUP(A258,Journal!$C$7:$E$84,3)=0,"Total",VLOOKUP(A258,Journal!$C$7:$D$84,2)))</f>
        <v/>
      </c>
      <c r="C258" s="86" t="str">
        <f>IF(B258="","",VLOOKUP(A258,Journal!$C$7:$E$84,3))</f>
        <v/>
      </c>
      <c r="D258" s="84" t="str">
        <f>IF(B258="","",VLOOKUP(A258,Journal!$C$7:$J$84,8))</f>
        <v/>
      </c>
      <c r="E258" s="84" t="str">
        <f>IF(B258="","",VLOOKUP(A258,Journal!$C$7:$L$84,10))</f>
        <v/>
      </c>
      <c r="F258" s="84" t="str">
        <f>IF(B258="","",VLOOKUP(A258,Journal!$C$7:$M$84,11))</f>
        <v/>
      </c>
      <c r="G258" s="102">
        <f>IF(B258="Total",SUM(G$8:G257)+0.0001,IF(OR(B258="",M258=0),0,VLOOKUP(A258,Journal!$C$7:M$84,7)))</f>
        <v>0</v>
      </c>
      <c r="H258" s="102">
        <f>IF(B258="Total",SUM(H$8:H257)+0.0001,IF(OR(B258="",N258=0),0,VLOOKUP(A258,Journal!$C$7:M$84,7)))</f>
        <v>0</v>
      </c>
      <c r="I258" s="87">
        <f t="shared" si="22"/>
        <v>0</v>
      </c>
      <c r="K258" s="13">
        <f>VLOOKUP(A258,Journal!$C$7:$M$84,4)</f>
        <v>0</v>
      </c>
      <c r="L258" s="13">
        <f>VLOOKUP(A258,Journal!$C$7:$M$84,5)</f>
        <v>0</v>
      </c>
      <c r="M258" s="13">
        <f t="shared" si="24"/>
        <v>0</v>
      </c>
      <c r="N258" s="13">
        <f t="shared" si="25"/>
        <v>0</v>
      </c>
      <c r="O258" s="13"/>
      <c r="P258" s="13">
        <f t="shared" si="26"/>
        <v>1.0000000000000001E-5</v>
      </c>
      <c r="T258" t="str">
        <f t="shared" si="21"/>
        <v/>
      </c>
    </row>
    <row r="259" spans="1:20" x14ac:dyDescent="0.25">
      <c r="A259">
        <f t="shared" si="23"/>
        <v>252</v>
      </c>
      <c r="B259" s="88" t="str">
        <f>IF(OR(B258="Total",B258=""),"",IF(VLOOKUP(A259,Journal!$C$7:$E$84,3)=0,"Total",VLOOKUP(A259,Journal!$C$7:$D$84,2)))</f>
        <v/>
      </c>
      <c r="C259" s="86" t="str">
        <f>IF(B259="","",VLOOKUP(A259,Journal!$C$7:$E$84,3))</f>
        <v/>
      </c>
      <c r="D259" s="84" t="str">
        <f>IF(B259="","",VLOOKUP(A259,Journal!$C$7:$J$84,8))</f>
        <v/>
      </c>
      <c r="E259" s="84" t="str">
        <f>IF(B259="","",VLOOKUP(A259,Journal!$C$7:$L$84,10))</f>
        <v/>
      </c>
      <c r="F259" s="84" t="str">
        <f>IF(B259="","",VLOOKUP(A259,Journal!$C$7:$M$84,11))</f>
        <v/>
      </c>
      <c r="G259" s="102">
        <f>IF(B259="Total",SUM(G$8:G258)+0.0001,IF(OR(B259="",M259=0),0,VLOOKUP(A259,Journal!$C$7:M$84,7)))</f>
        <v>0</v>
      </c>
      <c r="H259" s="102">
        <f>IF(B259="Total",SUM(H$8:H258)+0.0001,IF(OR(B259="",N259=0),0,VLOOKUP(A259,Journal!$C$7:M$84,7)))</f>
        <v>0</v>
      </c>
      <c r="I259" s="87">
        <f t="shared" si="22"/>
        <v>0</v>
      </c>
      <c r="K259" s="13">
        <f>VLOOKUP(A259,Journal!$C$7:$M$84,4)</f>
        <v>0</v>
      </c>
      <c r="L259" s="13">
        <f>VLOOKUP(A259,Journal!$C$7:$M$84,5)</f>
        <v>0</v>
      </c>
      <c r="M259" s="13">
        <f t="shared" si="24"/>
        <v>0</v>
      </c>
      <c r="N259" s="13">
        <f t="shared" si="25"/>
        <v>0</v>
      </c>
      <c r="O259" s="13"/>
      <c r="P259" s="13">
        <f t="shared" si="26"/>
        <v>1.0000000000000001E-5</v>
      </c>
      <c r="T259" t="str">
        <f t="shared" si="21"/>
        <v/>
      </c>
    </row>
    <row r="260" spans="1:20" x14ac:dyDescent="0.25">
      <c r="A260">
        <f t="shared" si="23"/>
        <v>253</v>
      </c>
      <c r="B260" s="88" t="str">
        <f>IF(OR(B259="Total",B259=""),"",IF(VLOOKUP(A260,Journal!$C$7:$E$84,3)=0,"Total",VLOOKUP(A260,Journal!$C$7:$D$84,2)))</f>
        <v/>
      </c>
      <c r="C260" s="86" t="str">
        <f>IF(B260="","",VLOOKUP(A260,Journal!$C$7:$E$84,3))</f>
        <v/>
      </c>
      <c r="D260" s="84" t="str">
        <f>IF(B260="","",VLOOKUP(A260,Journal!$C$7:$J$84,8))</f>
        <v/>
      </c>
      <c r="E260" s="84" t="str">
        <f>IF(B260="","",VLOOKUP(A260,Journal!$C$7:$L$84,10))</f>
        <v/>
      </c>
      <c r="F260" s="84" t="str">
        <f>IF(B260="","",VLOOKUP(A260,Journal!$C$7:$M$84,11))</f>
        <v/>
      </c>
      <c r="G260" s="102">
        <f>IF(B260="Total",SUM(G$8:G259)+0.0001,IF(OR(B260="",M260=0),0,VLOOKUP(A260,Journal!$C$7:M$84,7)))</f>
        <v>0</v>
      </c>
      <c r="H260" s="102">
        <f>IF(B260="Total",SUM(H$8:H259)+0.0001,IF(OR(B260="",N260=0),0,VLOOKUP(A260,Journal!$C$7:M$84,7)))</f>
        <v>0</v>
      </c>
      <c r="I260" s="87">
        <f t="shared" si="22"/>
        <v>0</v>
      </c>
      <c r="K260" s="13">
        <f>VLOOKUP(A260,Journal!$C$7:$M$84,4)</f>
        <v>0</v>
      </c>
      <c r="L260" s="13">
        <f>VLOOKUP(A260,Journal!$C$7:$M$84,5)</f>
        <v>0</v>
      </c>
      <c r="M260" s="13">
        <f t="shared" si="24"/>
        <v>0</v>
      </c>
      <c r="N260" s="13">
        <f t="shared" si="25"/>
        <v>0</v>
      </c>
      <c r="O260" s="13"/>
      <c r="P260" s="13">
        <f t="shared" si="26"/>
        <v>1.0000000000000001E-5</v>
      </c>
      <c r="T260" t="str">
        <f t="shared" si="21"/>
        <v/>
      </c>
    </row>
    <row r="261" spans="1:20" x14ac:dyDescent="0.25">
      <c r="A261">
        <f t="shared" si="23"/>
        <v>254</v>
      </c>
      <c r="B261" s="88" t="str">
        <f>IF(OR(B260="Total",B260=""),"",IF(VLOOKUP(A261,Journal!$C$7:$E$84,3)=0,"Total",VLOOKUP(A261,Journal!$C$7:$D$84,2)))</f>
        <v/>
      </c>
      <c r="C261" s="86" t="str">
        <f>IF(B261="","",VLOOKUP(A261,Journal!$C$7:$E$84,3))</f>
        <v/>
      </c>
      <c r="D261" s="84" t="str">
        <f>IF(B261="","",VLOOKUP(A261,Journal!$C$7:$J$84,8))</f>
        <v/>
      </c>
      <c r="E261" s="84" t="str">
        <f>IF(B261="","",VLOOKUP(A261,Journal!$C$7:$L$84,10))</f>
        <v/>
      </c>
      <c r="F261" s="84" t="str">
        <f>IF(B261="","",VLOOKUP(A261,Journal!$C$7:$M$84,11))</f>
        <v/>
      </c>
      <c r="G261" s="102">
        <f>IF(B261="Total",SUM(G$8:G260)+0.0001,IF(OR(B261="",M261=0),0,VLOOKUP(A261,Journal!$C$7:M$84,7)))</f>
        <v>0</v>
      </c>
      <c r="H261" s="102">
        <f>IF(B261="Total",SUM(H$8:H260)+0.0001,IF(OR(B261="",N261=0),0,VLOOKUP(A261,Journal!$C$7:M$84,7)))</f>
        <v>0</v>
      </c>
      <c r="I261" s="87">
        <f t="shared" si="22"/>
        <v>0</v>
      </c>
      <c r="K261" s="13">
        <f>VLOOKUP(A261,Journal!$C$7:$M$84,4)</f>
        <v>0</v>
      </c>
      <c r="L261" s="13">
        <f>VLOOKUP(A261,Journal!$C$7:$M$84,5)</f>
        <v>0</v>
      </c>
      <c r="M261" s="13">
        <f t="shared" si="24"/>
        <v>0</v>
      </c>
      <c r="N261" s="13">
        <f t="shared" si="25"/>
        <v>0</v>
      </c>
      <c r="O261" s="13"/>
      <c r="P261" s="13">
        <f t="shared" si="26"/>
        <v>1.0000000000000001E-5</v>
      </c>
      <c r="T261" t="str">
        <f t="shared" si="21"/>
        <v/>
      </c>
    </row>
    <row r="262" spans="1:20" x14ac:dyDescent="0.25">
      <c r="A262">
        <f t="shared" si="23"/>
        <v>255</v>
      </c>
      <c r="B262" s="88" t="str">
        <f>IF(OR(B261="Total",B261=""),"",IF(VLOOKUP(A262,Journal!$C$7:$E$84,3)=0,"Total",VLOOKUP(A262,Journal!$C$7:$D$84,2)))</f>
        <v/>
      </c>
      <c r="C262" s="86" t="str">
        <f>IF(B262="","",VLOOKUP(A262,Journal!$C$7:$E$84,3))</f>
        <v/>
      </c>
      <c r="D262" s="84" t="str">
        <f>IF(B262="","",VLOOKUP(A262,Journal!$C$7:$J$84,8))</f>
        <v/>
      </c>
      <c r="E262" s="84" t="str">
        <f>IF(B262="","",VLOOKUP(A262,Journal!$C$7:$L$84,10))</f>
        <v/>
      </c>
      <c r="F262" s="84" t="str">
        <f>IF(B262="","",VLOOKUP(A262,Journal!$C$7:$M$84,11))</f>
        <v/>
      </c>
      <c r="G262" s="102">
        <f>IF(B262="Total",SUM(G$8:G261)+0.0001,IF(OR(B262="",M262=0),0,VLOOKUP(A262,Journal!$C$7:M$84,7)))</f>
        <v>0</v>
      </c>
      <c r="H262" s="102">
        <f>IF(B262="Total",SUM(H$8:H261)+0.0001,IF(OR(B262="",N262=0),0,VLOOKUP(A262,Journal!$C$7:M$84,7)))</f>
        <v>0</v>
      </c>
      <c r="I262" s="87">
        <f t="shared" si="22"/>
        <v>0</v>
      </c>
      <c r="K262" s="13">
        <f>VLOOKUP(A262,Journal!$C$7:$M$84,4)</f>
        <v>0</v>
      </c>
      <c r="L262" s="13">
        <f>VLOOKUP(A262,Journal!$C$7:$M$84,5)</f>
        <v>0</v>
      </c>
      <c r="M262" s="13">
        <f t="shared" si="24"/>
        <v>0</v>
      </c>
      <c r="N262" s="13">
        <f t="shared" si="25"/>
        <v>0</v>
      </c>
      <c r="O262" s="13"/>
      <c r="P262" s="13">
        <f t="shared" si="26"/>
        <v>1.0000000000000001E-5</v>
      </c>
      <c r="T262" t="str">
        <f t="shared" si="21"/>
        <v/>
      </c>
    </row>
    <row r="263" spans="1:20" x14ac:dyDescent="0.25">
      <c r="A263">
        <f t="shared" si="23"/>
        <v>256</v>
      </c>
      <c r="B263" s="88" t="str">
        <f>IF(OR(B262="Total",B262=""),"",IF(VLOOKUP(A263,Journal!$C$7:$E$84,3)=0,"Total",VLOOKUP(A263,Journal!$C$7:$D$84,2)))</f>
        <v/>
      </c>
      <c r="C263" s="86" t="str">
        <f>IF(B263="","",VLOOKUP(A263,Journal!$C$7:$E$84,3))</f>
        <v/>
      </c>
      <c r="D263" s="84" t="str">
        <f>IF(B263="","",VLOOKUP(A263,Journal!$C$7:$J$84,8))</f>
        <v/>
      </c>
      <c r="E263" s="84" t="str">
        <f>IF(B263="","",VLOOKUP(A263,Journal!$C$7:$L$84,10))</f>
        <v/>
      </c>
      <c r="F263" s="84" t="str">
        <f>IF(B263="","",VLOOKUP(A263,Journal!$C$7:$M$84,11))</f>
        <v/>
      </c>
      <c r="G263" s="102">
        <f>IF(B263="Total",SUM(G$8:G262)+0.0001,IF(OR(B263="",M263=0),0,VLOOKUP(A263,Journal!$C$7:M$84,7)))</f>
        <v>0</v>
      </c>
      <c r="H263" s="102">
        <f>IF(B263="Total",SUM(H$8:H262)+0.0001,IF(OR(B263="",N263=0),0,VLOOKUP(A263,Journal!$C$7:M$84,7)))</f>
        <v>0</v>
      </c>
      <c r="I263" s="87">
        <f t="shared" si="22"/>
        <v>0</v>
      </c>
      <c r="K263" s="13">
        <f>VLOOKUP(A263,Journal!$C$7:$M$84,4)</f>
        <v>0</v>
      </c>
      <c r="L263" s="13">
        <f>VLOOKUP(A263,Journal!$C$7:$M$84,5)</f>
        <v>0</v>
      </c>
      <c r="M263" s="13">
        <f t="shared" si="24"/>
        <v>0</v>
      </c>
      <c r="N263" s="13">
        <f t="shared" si="25"/>
        <v>0</v>
      </c>
      <c r="O263" s="13"/>
      <c r="P263" s="13">
        <f t="shared" si="26"/>
        <v>1.0000000000000001E-5</v>
      </c>
      <c r="T263" t="str">
        <f t="shared" si="21"/>
        <v/>
      </c>
    </row>
    <row r="264" spans="1:20" x14ac:dyDescent="0.25">
      <c r="A264">
        <f t="shared" si="23"/>
        <v>257</v>
      </c>
      <c r="B264" s="88" t="str">
        <f>IF(OR(B263="Total",B263=""),"",IF(VLOOKUP(A264,Journal!$C$7:$E$84,3)=0,"Total",VLOOKUP(A264,Journal!$C$7:$D$84,2)))</f>
        <v/>
      </c>
      <c r="C264" s="86" t="str">
        <f>IF(B264="","",VLOOKUP(A264,Journal!$C$7:$E$84,3))</f>
        <v/>
      </c>
      <c r="D264" s="84" t="str">
        <f>IF(B264="","",VLOOKUP(A264,Journal!$C$7:$J$84,8))</f>
        <v/>
      </c>
      <c r="E264" s="84" t="str">
        <f>IF(B264="","",VLOOKUP(A264,Journal!$C$7:$L$84,10))</f>
        <v/>
      </c>
      <c r="F264" s="84" t="str">
        <f>IF(B264="","",VLOOKUP(A264,Journal!$C$7:$M$84,11))</f>
        <v/>
      </c>
      <c r="G264" s="102">
        <f>IF(B264="Total",SUM(G$8:G263)+0.0001,IF(OR(B264="",M264=0),0,VLOOKUP(A264,Journal!$C$7:M$84,7)))</f>
        <v>0</v>
      </c>
      <c r="H264" s="102">
        <f>IF(B264="Total",SUM(H$8:H263)+0.0001,IF(OR(B264="",N264=0),0,VLOOKUP(A264,Journal!$C$7:M$84,7)))</f>
        <v>0</v>
      </c>
      <c r="I264" s="87">
        <f t="shared" si="22"/>
        <v>0</v>
      </c>
      <c r="K264" s="13">
        <f>VLOOKUP(A264,Journal!$C$7:$M$84,4)</f>
        <v>0</v>
      </c>
      <c r="L264" s="13">
        <f>VLOOKUP(A264,Journal!$C$7:$M$84,5)</f>
        <v>0</v>
      </c>
      <c r="M264" s="13">
        <f t="shared" si="24"/>
        <v>0</v>
      </c>
      <c r="N264" s="13">
        <f t="shared" si="25"/>
        <v>0</v>
      </c>
      <c r="O264" s="13"/>
      <c r="P264" s="13">
        <f t="shared" si="26"/>
        <v>1.0000000000000001E-5</v>
      </c>
      <c r="T264" t="str">
        <f t="shared" si="21"/>
        <v/>
      </c>
    </row>
    <row r="265" spans="1:20" x14ac:dyDescent="0.25">
      <c r="A265">
        <f t="shared" si="23"/>
        <v>258</v>
      </c>
      <c r="B265" s="88" t="str">
        <f>IF(OR(B264="Total",B264=""),"",IF(VLOOKUP(A265,Journal!$C$7:$E$84,3)=0,"Total",VLOOKUP(A265,Journal!$C$7:$D$84,2)))</f>
        <v/>
      </c>
      <c r="C265" s="86" t="str">
        <f>IF(B265="","",VLOOKUP(A265,Journal!$C$7:$E$84,3))</f>
        <v/>
      </c>
      <c r="D265" s="84" t="str">
        <f>IF(B265="","",VLOOKUP(A265,Journal!$C$7:$J$84,8))</f>
        <v/>
      </c>
      <c r="E265" s="84" t="str">
        <f>IF(B265="","",VLOOKUP(A265,Journal!$C$7:$L$84,10))</f>
        <v/>
      </c>
      <c r="F265" s="84" t="str">
        <f>IF(B265="","",VLOOKUP(A265,Journal!$C$7:$M$84,11))</f>
        <v/>
      </c>
      <c r="G265" s="102">
        <f>IF(B265="Total",SUM(G$8:G264)+0.0001,IF(OR(B265="",M265=0),0,VLOOKUP(A265,Journal!$C$7:M$84,7)))</f>
        <v>0</v>
      </c>
      <c r="H265" s="102">
        <f>IF(B265="Total",SUM(H$8:H264)+0.0001,IF(OR(B265="",N265=0),0,VLOOKUP(A265,Journal!$C$7:M$84,7)))</f>
        <v>0</v>
      </c>
      <c r="I265" s="87">
        <f t="shared" si="22"/>
        <v>0</v>
      </c>
      <c r="K265" s="13">
        <f>VLOOKUP(A265,Journal!$C$7:$M$84,4)</f>
        <v>0</v>
      </c>
      <c r="L265" s="13">
        <f>VLOOKUP(A265,Journal!$C$7:$M$84,5)</f>
        <v>0</v>
      </c>
      <c r="M265" s="13">
        <f t="shared" si="24"/>
        <v>0</v>
      </c>
      <c r="N265" s="13">
        <f t="shared" si="25"/>
        <v>0</v>
      </c>
      <c r="O265" s="13"/>
      <c r="P265" s="13">
        <f t="shared" si="26"/>
        <v>1.0000000000000001E-5</v>
      </c>
      <c r="T265" t="str">
        <f t="shared" ref="T265:T328" si="27">IF(AND(G265&lt;&gt;0,B265&lt;&gt;"Total",G265=H265),"Beide Konten sind Erfolgskonten, weshalb Saldo gleich bleibt","")</f>
        <v/>
      </c>
    </row>
    <row r="266" spans="1:20" x14ac:dyDescent="0.25">
      <c r="A266">
        <f t="shared" si="23"/>
        <v>259</v>
      </c>
      <c r="B266" s="88" t="str">
        <f>IF(OR(B265="Total",B265=""),"",IF(VLOOKUP(A266,Journal!$C$7:$E$84,3)=0,"Total",VLOOKUP(A266,Journal!$C$7:$D$84,2)))</f>
        <v/>
      </c>
      <c r="C266" s="86" t="str">
        <f>IF(B266="","",VLOOKUP(A266,Journal!$C$7:$E$84,3))</f>
        <v/>
      </c>
      <c r="D266" s="84" t="str">
        <f>IF(B266="","",VLOOKUP(A266,Journal!$C$7:$J$84,8))</f>
        <v/>
      </c>
      <c r="E266" s="84" t="str">
        <f>IF(B266="","",VLOOKUP(A266,Journal!$C$7:$L$84,10))</f>
        <v/>
      </c>
      <c r="F266" s="84" t="str">
        <f>IF(B266="","",VLOOKUP(A266,Journal!$C$7:$M$84,11))</f>
        <v/>
      </c>
      <c r="G266" s="102">
        <f>IF(B266="Total",SUM(G$8:G265)+0.0001,IF(OR(B266="",M266=0),0,VLOOKUP(A266,Journal!$C$7:M$84,7)))</f>
        <v>0</v>
      </c>
      <c r="H266" s="102">
        <f>IF(B266="Total",SUM(H$8:H265)+0.0001,IF(OR(B266="",N266=0),0,VLOOKUP(A266,Journal!$C$7:M$84,7)))</f>
        <v>0</v>
      </c>
      <c r="I266" s="87">
        <f t="shared" ref="I266:I329" si="28">IF(B266="Total",I265,IF(B266="",0,I265+G266-H266))</f>
        <v>0</v>
      </c>
      <c r="K266" s="13">
        <f>VLOOKUP(A266,Journal!$C$7:$M$84,4)</f>
        <v>0</v>
      </c>
      <c r="L266" s="13">
        <f>VLOOKUP(A266,Journal!$C$7:$M$84,5)</f>
        <v>0</v>
      </c>
      <c r="M266" s="13">
        <f t="shared" si="24"/>
        <v>0</v>
      </c>
      <c r="N266" s="13">
        <f t="shared" si="25"/>
        <v>0</v>
      </c>
      <c r="O266" s="13"/>
      <c r="P266" s="13">
        <f t="shared" si="26"/>
        <v>1.0000000000000001E-5</v>
      </c>
      <c r="T266" t="str">
        <f t="shared" si="27"/>
        <v/>
      </c>
    </row>
    <row r="267" spans="1:20" x14ac:dyDescent="0.25">
      <c r="A267">
        <f t="shared" ref="A267:A330" si="29">A266+1</f>
        <v>260</v>
      </c>
      <c r="B267" s="88" t="str">
        <f>IF(OR(B266="Total",B266=""),"",IF(VLOOKUP(A267,Journal!$C$7:$E$84,3)=0,"Total",VLOOKUP(A267,Journal!$C$7:$D$84,2)))</f>
        <v/>
      </c>
      <c r="C267" s="86" t="str">
        <f>IF(B267="","",VLOOKUP(A267,Journal!$C$7:$E$84,3))</f>
        <v/>
      </c>
      <c r="D267" s="84" t="str">
        <f>IF(B267="","",VLOOKUP(A267,Journal!$C$7:$J$84,8))</f>
        <v/>
      </c>
      <c r="E267" s="84" t="str">
        <f>IF(B267="","",VLOOKUP(A267,Journal!$C$7:$L$84,10))</f>
        <v/>
      </c>
      <c r="F267" s="84" t="str">
        <f>IF(B267="","",VLOOKUP(A267,Journal!$C$7:$M$84,11))</f>
        <v/>
      </c>
      <c r="G267" s="102">
        <f>IF(B267="Total",SUM(G$8:G266)+0.0001,IF(OR(B267="",M267=0),0,VLOOKUP(A267,Journal!$C$7:M$84,7)))</f>
        <v>0</v>
      </c>
      <c r="H267" s="102">
        <f>IF(B267="Total",SUM(H$8:H266)+0.0001,IF(OR(B267="",N267=0),0,VLOOKUP(A267,Journal!$C$7:M$84,7)))</f>
        <v>0</v>
      </c>
      <c r="I267" s="87">
        <f t="shared" si="28"/>
        <v>0</v>
      </c>
      <c r="K267" s="13">
        <f>VLOOKUP(A267,Journal!$C$7:$M$84,4)</f>
        <v>0</v>
      </c>
      <c r="L267" s="13">
        <f>VLOOKUP(A267,Journal!$C$7:$M$84,5)</f>
        <v>0</v>
      </c>
      <c r="M267" s="13">
        <f t="shared" si="24"/>
        <v>0</v>
      </c>
      <c r="N267" s="13">
        <f t="shared" si="25"/>
        <v>0</v>
      </c>
      <c r="O267" s="13"/>
      <c r="P267" s="13">
        <f t="shared" si="26"/>
        <v>1.0000000000000001E-5</v>
      </c>
      <c r="T267" t="str">
        <f t="shared" si="27"/>
        <v/>
      </c>
    </row>
    <row r="268" spans="1:20" x14ac:dyDescent="0.25">
      <c r="A268">
        <f t="shared" si="29"/>
        <v>261</v>
      </c>
      <c r="B268" s="88" t="str">
        <f>IF(OR(B267="Total",B267=""),"",IF(VLOOKUP(A268,Journal!$C$7:$E$84,3)=0,"Total",VLOOKUP(A268,Journal!$C$7:$D$84,2)))</f>
        <v/>
      </c>
      <c r="C268" s="86" t="str">
        <f>IF(B268="","",VLOOKUP(A268,Journal!$C$7:$E$84,3))</f>
        <v/>
      </c>
      <c r="D268" s="84" t="str">
        <f>IF(B268="","",VLOOKUP(A268,Journal!$C$7:$J$84,8))</f>
        <v/>
      </c>
      <c r="E268" s="84" t="str">
        <f>IF(B268="","",VLOOKUP(A268,Journal!$C$7:$L$84,10))</f>
        <v/>
      </c>
      <c r="F268" s="84" t="str">
        <f>IF(B268="","",VLOOKUP(A268,Journal!$C$7:$M$84,11))</f>
        <v/>
      </c>
      <c r="G268" s="102">
        <f>IF(B268="Total",SUM(G$8:G267)+0.0001,IF(OR(B268="",M268=0),0,VLOOKUP(A268,Journal!$C$7:M$84,7)))</f>
        <v>0</v>
      </c>
      <c r="H268" s="102">
        <f>IF(B268="Total",SUM(H$8:H267)+0.0001,IF(OR(B268="",N268=0),0,VLOOKUP(A268,Journal!$C$7:M$84,7)))</f>
        <v>0</v>
      </c>
      <c r="I268" s="87">
        <f t="shared" si="28"/>
        <v>0</v>
      </c>
      <c r="K268" s="13">
        <f>VLOOKUP(A268,Journal!$C$7:$M$84,4)</f>
        <v>0</v>
      </c>
      <c r="L268" s="13">
        <f>VLOOKUP(A268,Journal!$C$7:$M$84,5)</f>
        <v>0</v>
      </c>
      <c r="M268" s="13">
        <f t="shared" si="24"/>
        <v>0</v>
      </c>
      <c r="N268" s="13">
        <f t="shared" si="25"/>
        <v>0</v>
      </c>
      <c r="O268" s="13"/>
      <c r="P268" s="13">
        <f t="shared" si="26"/>
        <v>1.0000000000000001E-5</v>
      </c>
      <c r="T268" t="str">
        <f t="shared" si="27"/>
        <v/>
      </c>
    </row>
    <row r="269" spans="1:20" x14ac:dyDescent="0.25">
      <c r="A269">
        <f t="shared" si="29"/>
        <v>262</v>
      </c>
      <c r="B269" s="88" t="str">
        <f>IF(OR(B268="Total",B268=""),"",IF(VLOOKUP(A269,Journal!$C$7:$E$84,3)=0,"Total",VLOOKUP(A269,Journal!$C$7:$D$84,2)))</f>
        <v/>
      </c>
      <c r="C269" s="86" t="str">
        <f>IF(B269="","",VLOOKUP(A269,Journal!$C$7:$E$84,3))</f>
        <v/>
      </c>
      <c r="D269" s="84" t="str">
        <f>IF(B269="","",VLOOKUP(A269,Journal!$C$7:$J$84,8))</f>
        <v/>
      </c>
      <c r="E269" s="84" t="str">
        <f>IF(B269="","",VLOOKUP(A269,Journal!$C$7:$L$84,10))</f>
        <v/>
      </c>
      <c r="F269" s="84" t="str">
        <f>IF(B269="","",VLOOKUP(A269,Journal!$C$7:$M$84,11))</f>
        <v/>
      </c>
      <c r="G269" s="102">
        <f>IF(B269="Total",SUM(G$8:G268)+0.0001,IF(OR(B269="",M269=0),0,VLOOKUP(A269,Journal!$C$7:M$84,7)))</f>
        <v>0</v>
      </c>
      <c r="H269" s="102">
        <f>IF(B269="Total",SUM(H$8:H268)+0.0001,IF(OR(B269="",N269=0),0,VLOOKUP(A269,Journal!$C$7:M$84,7)))</f>
        <v>0</v>
      </c>
      <c r="I269" s="87">
        <f t="shared" si="28"/>
        <v>0</v>
      </c>
      <c r="K269" s="13">
        <f>VLOOKUP(A269,Journal!$C$7:$M$84,4)</f>
        <v>0</v>
      </c>
      <c r="L269" s="13">
        <f>VLOOKUP(A269,Journal!$C$7:$M$84,5)</f>
        <v>0</v>
      </c>
      <c r="M269" s="13">
        <f t="shared" si="24"/>
        <v>0</v>
      </c>
      <c r="N269" s="13">
        <f t="shared" si="25"/>
        <v>0</v>
      </c>
      <c r="O269" s="13"/>
      <c r="P269" s="13">
        <f t="shared" si="26"/>
        <v>1.0000000000000001E-5</v>
      </c>
      <c r="T269" t="str">
        <f t="shared" si="27"/>
        <v/>
      </c>
    </row>
    <row r="270" spans="1:20" x14ac:dyDescent="0.25">
      <c r="A270">
        <f t="shared" si="29"/>
        <v>263</v>
      </c>
      <c r="B270" s="88" t="str">
        <f>IF(OR(B269="Total",B269=""),"",IF(VLOOKUP(A270,Journal!$C$7:$E$84,3)=0,"Total",VLOOKUP(A270,Journal!$C$7:$D$84,2)))</f>
        <v/>
      </c>
      <c r="C270" s="86" t="str">
        <f>IF(B270="","",VLOOKUP(A270,Journal!$C$7:$E$84,3))</f>
        <v/>
      </c>
      <c r="D270" s="84" t="str">
        <f>IF(B270="","",VLOOKUP(A270,Journal!$C$7:$J$84,8))</f>
        <v/>
      </c>
      <c r="E270" s="84" t="str">
        <f>IF(B270="","",VLOOKUP(A270,Journal!$C$7:$L$84,10))</f>
        <v/>
      </c>
      <c r="F270" s="84" t="str">
        <f>IF(B270="","",VLOOKUP(A270,Journal!$C$7:$M$84,11))</f>
        <v/>
      </c>
      <c r="G270" s="102">
        <f>IF(B270="Total",SUM(G$8:G269)+0.0001,IF(OR(B270="",M270=0),0,VLOOKUP(A270,Journal!$C$7:M$84,7)))</f>
        <v>0</v>
      </c>
      <c r="H270" s="102">
        <f>IF(B270="Total",SUM(H$8:H269)+0.0001,IF(OR(B270="",N270=0),0,VLOOKUP(A270,Journal!$C$7:M$84,7)))</f>
        <v>0</v>
      </c>
      <c r="I270" s="87">
        <f t="shared" si="28"/>
        <v>0</v>
      </c>
      <c r="K270" s="13">
        <f>VLOOKUP(A270,Journal!$C$7:$M$84,4)</f>
        <v>0</v>
      </c>
      <c r="L270" s="13">
        <f>VLOOKUP(A270,Journal!$C$7:$M$84,5)</f>
        <v>0</v>
      </c>
      <c r="M270" s="13">
        <f t="shared" si="24"/>
        <v>0</v>
      </c>
      <c r="N270" s="13">
        <f t="shared" si="25"/>
        <v>0</v>
      </c>
      <c r="O270" s="13"/>
      <c r="P270" s="13">
        <f t="shared" si="26"/>
        <v>1.0000000000000001E-5</v>
      </c>
      <c r="T270" t="str">
        <f t="shared" si="27"/>
        <v/>
      </c>
    </row>
    <row r="271" spans="1:20" x14ac:dyDescent="0.25">
      <c r="A271">
        <f t="shared" si="29"/>
        <v>264</v>
      </c>
      <c r="B271" s="88" t="str">
        <f>IF(OR(B270="Total",B270=""),"",IF(VLOOKUP(A271,Journal!$C$7:$E$84,3)=0,"Total",VLOOKUP(A271,Journal!$C$7:$D$84,2)))</f>
        <v/>
      </c>
      <c r="C271" s="86" t="str">
        <f>IF(B271="","",VLOOKUP(A271,Journal!$C$7:$E$84,3))</f>
        <v/>
      </c>
      <c r="D271" s="84" t="str">
        <f>IF(B271="","",VLOOKUP(A271,Journal!$C$7:$J$84,8))</f>
        <v/>
      </c>
      <c r="E271" s="84" t="str">
        <f>IF(B271="","",VLOOKUP(A271,Journal!$C$7:$L$84,10))</f>
        <v/>
      </c>
      <c r="F271" s="84" t="str">
        <f>IF(B271="","",VLOOKUP(A271,Journal!$C$7:$M$84,11))</f>
        <v/>
      </c>
      <c r="G271" s="102">
        <f>IF(B271="Total",SUM(G$8:G270)+0.0001,IF(OR(B271="",M271=0),0,VLOOKUP(A271,Journal!$C$7:M$84,7)))</f>
        <v>0</v>
      </c>
      <c r="H271" s="102">
        <f>IF(B271="Total",SUM(H$8:H270)+0.0001,IF(OR(B271="",N271=0),0,VLOOKUP(A271,Journal!$C$7:M$84,7)))</f>
        <v>0</v>
      </c>
      <c r="I271" s="87">
        <f t="shared" si="28"/>
        <v>0</v>
      </c>
      <c r="K271" s="13">
        <f>VLOOKUP(A271,Journal!$C$7:$M$84,4)</f>
        <v>0</v>
      </c>
      <c r="L271" s="13">
        <f>VLOOKUP(A271,Journal!$C$7:$M$84,5)</f>
        <v>0</v>
      </c>
      <c r="M271" s="13">
        <f t="shared" si="24"/>
        <v>0</v>
      </c>
      <c r="N271" s="13">
        <f t="shared" si="25"/>
        <v>0</v>
      </c>
      <c r="O271" s="13"/>
      <c r="P271" s="13">
        <f t="shared" si="26"/>
        <v>1.0000000000000001E-5</v>
      </c>
      <c r="T271" t="str">
        <f t="shared" si="27"/>
        <v/>
      </c>
    </row>
    <row r="272" spans="1:20" x14ac:dyDescent="0.25">
      <c r="A272">
        <f t="shared" si="29"/>
        <v>265</v>
      </c>
      <c r="B272" s="88" t="str">
        <f>IF(OR(B271="Total",B271=""),"",IF(VLOOKUP(A272,Journal!$C$7:$E$84,3)=0,"Total",VLOOKUP(A272,Journal!$C$7:$D$84,2)))</f>
        <v/>
      </c>
      <c r="C272" s="86" t="str">
        <f>IF(B272="","",VLOOKUP(A272,Journal!$C$7:$E$84,3))</f>
        <v/>
      </c>
      <c r="D272" s="84" t="str">
        <f>IF(B272="","",VLOOKUP(A272,Journal!$C$7:$J$84,8))</f>
        <v/>
      </c>
      <c r="E272" s="84" t="str">
        <f>IF(B272="","",VLOOKUP(A272,Journal!$C$7:$L$84,10))</f>
        <v/>
      </c>
      <c r="F272" s="84" t="str">
        <f>IF(B272="","",VLOOKUP(A272,Journal!$C$7:$M$84,11))</f>
        <v/>
      </c>
      <c r="G272" s="102">
        <f>IF(B272="Total",SUM(G$8:G271)+0.0001,IF(OR(B272="",M272=0),0,VLOOKUP(A272,Journal!$C$7:M$84,7)))</f>
        <v>0</v>
      </c>
      <c r="H272" s="102">
        <f>IF(B272="Total",SUM(H$8:H271)+0.0001,IF(OR(B272="",N272=0),0,VLOOKUP(A272,Journal!$C$7:M$84,7)))</f>
        <v>0</v>
      </c>
      <c r="I272" s="87">
        <f t="shared" si="28"/>
        <v>0</v>
      </c>
      <c r="K272" s="13">
        <f>VLOOKUP(A272,Journal!$C$7:$M$84,4)</f>
        <v>0</v>
      </c>
      <c r="L272" s="13">
        <f>VLOOKUP(A272,Journal!$C$7:$M$84,5)</f>
        <v>0</v>
      </c>
      <c r="M272" s="13">
        <f t="shared" si="24"/>
        <v>0</v>
      </c>
      <c r="N272" s="13">
        <f t="shared" si="25"/>
        <v>0</v>
      </c>
      <c r="O272" s="13"/>
      <c r="P272" s="13">
        <f t="shared" si="26"/>
        <v>1.0000000000000001E-5</v>
      </c>
      <c r="T272" t="str">
        <f t="shared" si="27"/>
        <v/>
      </c>
    </row>
    <row r="273" spans="1:20" x14ac:dyDescent="0.25">
      <c r="A273">
        <f t="shared" si="29"/>
        <v>266</v>
      </c>
      <c r="B273" s="88" t="str">
        <f>IF(OR(B272="Total",B272=""),"",IF(VLOOKUP(A273,Journal!$C$7:$E$84,3)=0,"Total",VLOOKUP(A273,Journal!$C$7:$D$84,2)))</f>
        <v/>
      </c>
      <c r="C273" s="86" t="str">
        <f>IF(B273="","",VLOOKUP(A273,Journal!$C$7:$E$84,3))</f>
        <v/>
      </c>
      <c r="D273" s="84" t="str">
        <f>IF(B273="","",VLOOKUP(A273,Journal!$C$7:$J$84,8))</f>
        <v/>
      </c>
      <c r="E273" s="84" t="str">
        <f>IF(B273="","",VLOOKUP(A273,Journal!$C$7:$L$84,10))</f>
        <v/>
      </c>
      <c r="F273" s="84" t="str">
        <f>IF(B273="","",VLOOKUP(A273,Journal!$C$7:$M$84,11))</f>
        <v/>
      </c>
      <c r="G273" s="102">
        <f>IF(B273="Total",SUM(G$8:G272)+0.0001,IF(OR(B273="",M273=0),0,VLOOKUP(A273,Journal!$C$7:M$84,7)))</f>
        <v>0</v>
      </c>
      <c r="H273" s="102">
        <f>IF(B273="Total",SUM(H$8:H272)+0.0001,IF(OR(B273="",N273=0),0,VLOOKUP(A273,Journal!$C$7:M$84,7)))</f>
        <v>0</v>
      </c>
      <c r="I273" s="87">
        <f t="shared" si="28"/>
        <v>0</v>
      </c>
      <c r="K273" s="13">
        <f>VLOOKUP(A273,Journal!$C$7:$M$84,4)</f>
        <v>0</v>
      </c>
      <c r="L273" s="13">
        <f>VLOOKUP(A273,Journal!$C$7:$M$84,5)</f>
        <v>0</v>
      </c>
      <c r="M273" s="13">
        <f t="shared" si="24"/>
        <v>0</v>
      </c>
      <c r="N273" s="13">
        <f t="shared" si="25"/>
        <v>0</v>
      </c>
      <c r="O273" s="13"/>
      <c r="P273" s="13">
        <f t="shared" si="26"/>
        <v>1.0000000000000001E-5</v>
      </c>
      <c r="T273" t="str">
        <f t="shared" si="27"/>
        <v/>
      </c>
    </row>
    <row r="274" spans="1:20" x14ac:dyDescent="0.25">
      <c r="A274">
        <f t="shared" si="29"/>
        <v>267</v>
      </c>
      <c r="B274" s="88" t="str">
        <f>IF(OR(B273="Total",B273=""),"",IF(VLOOKUP(A274,Journal!$C$7:$E$84,3)=0,"Total",VLOOKUP(A274,Journal!$C$7:$D$84,2)))</f>
        <v/>
      </c>
      <c r="C274" s="86" t="str">
        <f>IF(B274="","",VLOOKUP(A274,Journal!$C$7:$E$84,3))</f>
        <v/>
      </c>
      <c r="D274" s="84" t="str">
        <f>IF(B274="","",VLOOKUP(A274,Journal!$C$7:$J$84,8))</f>
        <v/>
      </c>
      <c r="E274" s="84" t="str">
        <f>IF(B274="","",VLOOKUP(A274,Journal!$C$7:$L$84,10))</f>
        <v/>
      </c>
      <c r="F274" s="84" t="str">
        <f>IF(B274="","",VLOOKUP(A274,Journal!$C$7:$M$84,11))</f>
        <v/>
      </c>
      <c r="G274" s="102">
        <f>IF(B274="Total",SUM(G$8:G273)+0.0001,IF(OR(B274="",M274=0),0,VLOOKUP(A274,Journal!$C$7:M$84,7)))</f>
        <v>0</v>
      </c>
      <c r="H274" s="102">
        <f>IF(B274="Total",SUM(H$8:H273)+0.0001,IF(OR(B274="",N274=0),0,VLOOKUP(A274,Journal!$C$7:M$84,7)))</f>
        <v>0</v>
      </c>
      <c r="I274" s="87">
        <f t="shared" si="28"/>
        <v>0</v>
      </c>
      <c r="K274" s="13">
        <f>VLOOKUP(A274,Journal!$C$7:$M$84,4)</f>
        <v>0</v>
      </c>
      <c r="L274" s="13">
        <f>VLOOKUP(A274,Journal!$C$7:$M$84,5)</f>
        <v>0</v>
      </c>
      <c r="M274" s="13">
        <f t="shared" si="24"/>
        <v>0</v>
      </c>
      <c r="N274" s="13">
        <f t="shared" si="25"/>
        <v>0</v>
      </c>
      <c r="O274" s="13"/>
      <c r="P274" s="13">
        <f t="shared" si="26"/>
        <v>1.0000000000000001E-5</v>
      </c>
      <c r="T274" t="str">
        <f t="shared" si="27"/>
        <v/>
      </c>
    </row>
    <row r="275" spans="1:20" x14ac:dyDescent="0.25">
      <c r="A275">
        <f t="shared" si="29"/>
        <v>268</v>
      </c>
      <c r="B275" s="88" t="str">
        <f>IF(OR(B274="Total",B274=""),"",IF(VLOOKUP(A275,Journal!$C$7:$E$84,3)=0,"Total",VLOOKUP(A275,Journal!$C$7:$D$84,2)))</f>
        <v/>
      </c>
      <c r="C275" s="86" t="str">
        <f>IF(B275="","",VLOOKUP(A275,Journal!$C$7:$E$84,3))</f>
        <v/>
      </c>
      <c r="D275" s="84" t="str">
        <f>IF(B275="","",VLOOKUP(A275,Journal!$C$7:$J$84,8))</f>
        <v/>
      </c>
      <c r="E275" s="84" t="str">
        <f>IF(B275="","",VLOOKUP(A275,Journal!$C$7:$L$84,10))</f>
        <v/>
      </c>
      <c r="F275" s="84" t="str">
        <f>IF(B275="","",VLOOKUP(A275,Journal!$C$7:$M$84,11))</f>
        <v/>
      </c>
      <c r="G275" s="102">
        <f>IF(B275="Total",SUM(G$8:G274)+0.0001,IF(OR(B275="",M275=0),0,VLOOKUP(A275,Journal!$C$7:M$84,7)))</f>
        <v>0</v>
      </c>
      <c r="H275" s="102">
        <f>IF(B275="Total",SUM(H$8:H274)+0.0001,IF(OR(B275="",N275=0),0,VLOOKUP(A275,Journal!$C$7:M$84,7)))</f>
        <v>0</v>
      </c>
      <c r="I275" s="87">
        <f t="shared" si="28"/>
        <v>0</v>
      </c>
      <c r="K275" s="13">
        <f>VLOOKUP(A275,Journal!$C$7:$M$84,4)</f>
        <v>0</v>
      </c>
      <c r="L275" s="13">
        <f>VLOOKUP(A275,Journal!$C$7:$M$84,5)</f>
        <v>0</v>
      </c>
      <c r="M275" s="13">
        <f t="shared" si="24"/>
        <v>0</v>
      </c>
      <c r="N275" s="13">
        <f t="shared" si="25"/>
        <v>0</v>
      </c>
      <c r="O275" s="13"/>
      <c r="P275" s="13">
        <f t="shared" si="26"/>
        <v>1.0000000000000001E-5</v>
      </c>
      <c r="T275" t="str">
        <f t="shared" si="27"/>
        <v/>
      </c>
    </row>
    <row r="276" spans="1:20" x14ac:dyDescent="0.25">
      <c r="A276">
        <f t="shared" si="29"/>
        <v>269</v>
      </c>
      <c r="B276" s="88" t="str">
        <f>IF(OR(B275="Total",B275=""),"",IF(VLOOKUP(A276,Journal!$C$7:$E$84,3)=0,"Total",VLOOKUP(A276,Journal!$C$7:$D$84,2)))</f>
        <v/>
      </c>
      <c r="C276" s="86" t="str">
        <f>IF(B276="","",VLOOKUP(A276,Journal!$C$7:$E$84,3))</f>
        <v/>
      </c>
      <c r="D276" s="84" t="str">
        <f>IF(B276="","",VLOOKUP(A276,Journal!$C$7:$J$84,8))</f>
        <v/>
      </c>
      <c r="E276" s="84" t="str">
        <f>IF(B276="","",VLOOKUP(A276,Journal!$C$7:$L$84,10))</f>
        <v/>
      </c>
      <c r="F276" s="84" t="str">
        <f>IF(B276="","",VLOOKUP(A276,Journal!$C$7:$M$84,11))</f>
        <v/>
      </c>
      <c r="G276" s="102">
        <f>IF(B276="Total",SUM(G$8:G275)+0.0001,IF(OR(B276="",M276=0),0,VLOOKUP(A276,Journal!$C$7:M$84,7)))</f>
        <v>0</v>
      </c>
      <c r="H276" s="102">
        <f>IF(B276="Total",SUM(H$8:H275)+0.0001,IF(OR(B276="",N276=0),0,VLOOKUP(A276,Journal!$C$7:M$84,7)))</f>
        <v>0</v>
      </c>
      <c r="I276" s="87">
        <f t="shared" si="28"/>
        <v>0</v>
      </c>
      <c r="K276" s="13">
        <f>VLOOKUP(A276,Journal!$C$7:$M$84,4)</f>
        <v>0</v>
      </c>
      <c r="L276" s="13">
        <f>VLOOKUP(A276,Journal!$C$7:$M$84,5)</f>
        <v>0</v>
      </c>
      <c r="M276" s="13">
        <f t="shared" si="24"/>
        <v>0</v>
      </c>
      <c r="N276" s="13">
        <f t="shared" si="25"/>
        <v>0</v>
      </c>
      <c r="O276" s="13"/>
      <c r="P276" s="13">
        <f t="shared" si="26"/>
        <v>1.0000000000000001E-5</v>
      </c>
      <c r="T276" t="str">
        <f t="shared" si="27"/>
        <v/>
      </c>
    </row>
    <row r="277" spans="1:20" x14ac:dyDescent="0.25">
      <c r="A277">
        <f t="shared" si="29"/>
        <v>270</v>
      </c>
      <c r="B277" s="88" t="str">
        <f>IF(OR(B276="Total",B276=""),"",IF(VLOOKUP(A277,Journal!$C$7:$E$84,3)=0,"Total",VLOOKUP(A277,Journal!$C$7:$D$84,2)))</f>
        <v/>
      </c>
      <c r="C277" s="86" t="str">
        <f>IF(B277="","",VLOOKUP(A277,Journal!$C$7:$E$84,3))</f>
        <v/>
      </c>
      <c r="D277" s="84" t="str">
        <f>IF(B277="","",VLOOKUP(A277,Journal!$C$7:$J$84,8))</f>
        <v/>
      </c>
      <c r="E277" s="84" t="str">
        <f>IF(B277="","",VLOOKUP(A277,Journal!$C$7:$L$84,10))</f>
        <v/>
      </c>
      <c r="F277" s="84" t="str">
        <f>IF(B277="","",VLOOKUP(A277,Journal!$C$7:$M$84,11))</f>
        <v/>
      </c>
      <c r="G277" s="102">
        <f>IF(B277="Total",SUM(G$8:G276)+0.0001,IF(OR(B277="",M277=0),0,VLOOKUP(A277,Journal!$C$7:M$84,7)))</f>
        <v>0</v>
      </c>
      <c r="H277" s="102">
        <f>IF(B277="Total",SUM(H$8:H276)+0.0001,IF(OR(B277="",N277=0),0,VLOOKUP(A277,Journal!$C$7:M$84,7)))</f>
        <v>0</v>
      </c>
      <c r="I277" s="87">
        <f t="shared" si="28"/>
        <v>0</v>
      </c>
      <c r="K277" s="13">
        <f>VLOOKUP(A277,Journal!$C$7:$M$84,4)</f>
        <v>0</v>
      </c>
      <c r="L277" s="13">
        <f>VLOOKUP(A277,Journal!$C$7:$M$84,5)</f>
        <v>0</v>
      </c>
      <c r="M277" s="13">
        <f t="shared" si="24"/>
        <v>0</v>
      </c>
      <c r="N277" s="13">
        <f t="shared" si="25"/>
        <v>0</v>
      </c>
      <c r="O277" s="13"/>
      <c r="P277" s="13">
        <f t="shared" si="26"/>
        <v>1.0000000000000001E-5</v>
      </c>
      <c r="T277" t="str">
        <f t="shared" si="27"/>
        <v/>
      </c>
    </row>
    <row r="278" spans="1:20" x14ac:dyDescent="0.25">
      <c r="A278">
        <f t="shared" si="29"/>
        <v>271</v>
      </c>
      <c r="B278" s="88" t="str">
        <f>IF(OR(B277="Total",B277=""),"",IF(VLOOKUP(A278,Journal!$C$7:$E$84,3)=0,"Total",VLOOKUP(A278,Journal!$C$7:$D$84,2)))</f>
        <v/>
      </c>
      <c r="C278" s="86" t="str">
        <f>IF(B278="","",VLOOKUP(A278,Journal!$C$7:$E$84,3))</f>
        <v/>
      </c>
      <c r="D278" s="84" t="str">
        <f>IF(B278="","",VLOOKUP(A278,Journal!$C$7:$J$84,8))</f>
        <v/>
      </c>
      <c r="E278" s="84" t="str">
        <f>IF(B278="","",VLOOKUP(A278,Journal!$C$7:$L$84,10))</f>
        <v/>
      </c>
      <c r="F278" s="84" t="str">
        <f>IF(B278="","",VLOOKUP(A278,Journal!$C$7:$M$84,11))</f>
        <v/>
      </c>
      <c r="G278" s="102">
        <f>IF(B278="Total",SUM(G$8:G277)+0.0001,IF(OR(B278="",M278=0),0,VLOOKUP(A278,Journal!$C$7:M$84,7)))</f>
        <v>0</v>
      </c>
      <c r="H278" s="102">
        <f>IF(B278="Total",SUM(H$8:H277)+0.0001,IF(OR(B278="",N278=0),0,VLOOKUP(A278,Journal!$C$7:M$84,7)))</f>
        <v>0</v>
      </c>
      <c r="I278" s="87">
        <f t="shared" si="28"/>
        <v>0</v>
      </c>
      <c r="K278" s="13">
        <f>VLOOKUP(A278,Journal!$C$7:$M$84,4)</f>
        <v>0</v>
      </c>
      <c r="L278" s="13">
        <f>VLOOKUP(A278,Journal!$C$7:$M$84,5)</f>
        <v>0</v>
      </c>
      <c r="M278" s="13">
        <f t="shared" si="24"/>
        <v>0</v>
      </c>
      <c r="N278" s="13">
        <f t="shared" si="25"/>
        <v>0</v>
      </c>
      <c r="O278" s="13"/>
      <c r="P278" s="13">
        <f t="shared" si="26"/>
        <v>1.0000000000000001E-5</v>
      </c>
      <c r="T278" t="str">
        <f t="shared" si="27"/>
        <v/>
      </c>
    </row>
    <row r="279" spans="1:20" x14ac:dyDescent="0.25">
      <c r="A279">
        <f t="shared" si="29"/>
        <v>272</v>
      </c>
      <c r="B279" s="88" t="str">
        <f>IF(OR(B278="Total",B278=""),"",IF(VLOOKUP(A279,Journal!$C$7:$E$84,3)=0,"Total",VLOOKUP(A279,Journal!$C$7:$D$84,2)))</f>
        <v/>
      </c>
      <c r="C279" s="86" t="str">
        <f>IF(B279="","",VLOOKUP(A279,Journal!$C$7:$E$84,3))</f>
        <v/>
      </c>
      <c r="D279" s="84" t="str">
        <f>IF(B279="","",VLOOKUP(A279,Journal!$C$7:$J$84,8))</f>
        <v/>
      </c>
      <c r="E279" s="84" t="str">
        <f>IF(B279="","",VLOOKUP(A279,Journal!$C$7:$L$84,10))</f>
        <v/>
      </c>
      <c r="F279" s="84" t="str">
        <f>IF(B279="","",VLOOKUP(A279,Journal!$C$7:$M$84,11))</f>
        <v/>
      </c>
      <c r="G279" s="102">
        <f>IF(B279="Total",SUM(G$8:G278)+0.0001,IF(OR(B279="",M279=0),0,VLOOKUP(A279,Journal!$C$7:M$84,7)))</f>
        <v>0</v>
      </c>
      <c r="H279" s="102">
        <f>IF(B279="Total",SUM(H$8:H278)+0.0001,IF(OR(B279="",N279=0),0,VLOOKUP(A279,Journal!$C$7:M$84,7)))</f>
        <v>0</v>
      </c>
      <c r="I279" s="87">
        <f t="shared" si="28"/>
        <v>0</v>
      </c>
      <c r="K279" s="13">
        <f>VLOOKUP(A279,Journal!$C$7:$M$84,4)</f>
        <v>0</v>
      </c>
      <c r="L279" s="13">
        <f>VLOOKUP(A279,Journal!$C$7:$M$84,5)</f>
        <v>0</v>
      </c>
      <c r="M279" s="13">
        <f t="shared" si="24"/>
        <v>0</v>
      </c>
      <c r="N279" s="13">
        <f t="shared" si="25"/>
        <v>0</v>
      </c>
      <c r="O279" s="13"/>
      <c r="P279" s="13">
        <f t="shared" si="26"/>
        <v>1.0000000000000001E-5</v>
      </c>
      <c r="T279" t="str">
        <f t="shared" si="27"/>
        <v/>
      </c>
    </row>
    <row r="280" spans="1:20" x14ac:dyDescent="0.25">
      <c r="A280">
        <f t="shared" si="29"/>
        <v>273</v>
      </c>
      <c r="B280" s="88" t="str">
        <f>IF(OR(B279="Total",B279=""),"",IF(VLOOKUP(A280,Journal!$C$7:$E$84,3)=0,"Total",VLOOKUP(A280,Journal!$C$7:$D$84,2)))</f>
        <v/>
      </c>
      <c r="C280" s="86" t="str">
        <f>IF(B280="","",VLOOKUP(A280,Journal!$C$7:$E$84,3))</f>
        <v/>
      </c>
      <c r="D280" s="84" t="str">
        <f>IF(B280="","",VLOOKUP(A280,Journal!$C$7:$J$84,8))</f>
        <v/>
      </c>
      <c r="E280" s="84" t="str">
        <f>IF(B280="","",VLOOKUP(A280,Journal!$C$7:$L$84,10))</f>
        <v/>
      </c>
      <c r="F280" s="84" t="str">
        <f>IF(B280="","",VLOOKUP(A280,Journal!$C$7:$M$84,11))</f>
        <v/>
      </c>
      <c r="G280" s="102">
        <f>IF(B280="Total",SUM(G$8:G279)+0.0001,IF(OR(B280="",M280=0),0,VLOOKUP(A280,Journal!$C$7:M$84,7)))</f>
        <v>0</v>
      </c>
      <c r="H280" s="102">
        <f>IF(B280="Total",SUM(H$8:H279)+0.0001,IF(OR(B280="",N280=0),0,VLOOKUP(A280,Journal!$C$7:M$84,7)))</f>
        <v>0</v>
      </c>
      <c r="I280" s="87">
        <f t="shared" si="28"/>
        <v>0</v>
      </c>
      <c r="K280" s="13">
        <f>VLOOKUP(A280,Journal!$C$7:$M$84,4)</f>
        <v>0</v>
      </c>
      <c r="L280" s="13">
        <f>VLOOKUP(A280,Journal!$C$7:$M$84,5)</f>
        <v>0</v>
      </c>
      <c r="M280" s="13">
        <f t="shared" si="24"/>
        <v>0</v>
      </c>
      <c r="N280" s="13">
        <f t="shared" si="25"/>
        <v>0</v>
      </c>
      <c r="O280" s="13"/>
      <c r="P280" s="13">
        <f t="shared" si="26"/>
        <v>1.0000000000000001E-5</v>
      </c>
      <c r="T280" t="str">
        <f t="shared" si="27"/>
        <v/>
      </c>
    </row>
    <row r="281" spans="1:20" x14ac:dyDescent="0.25">
      <c r="A281">
        <f t="shared" si="29"/>
        <v>274</v>
      </c>
      <c r="B281" s="88" t="str">
        <f>IF(OR(B280="Total",B280=""),"",IF(VLOOKUP(A281,Journal!$C$7:$E$84,3)=0,"Total",VLOOKUP(A281,Journal!$C$7:$D$84,2)))</f>
        <v/>
      </c>
      <c r="C281" s="86" t="str">
        <f>IF(B281="","",VLOOKUP(A281,Journal!$C$7:$E$84,3))</f>
        <v/>
      </c>
      <c r="D281" s="84" t="str">
        <f>IF(B281="","",VLOOKUP(A281,Journal!$C$7:$J$84,8))</f>
        <v/>
      </c>
      <c r="E281" s="84" t="str">
        <f>IF(B281="","",VLOOKUP(A281,Journal!$C$7:$L$84,10))</f>
        <v/>
      </c>
      <c r="F281" s="84" t="str">
        <f>IF(B281="","",VLOOKUP(A281,Journal!$C$7:$M$84,11))</f>
        <v/>
      </c>
      <c r="G281" s="102">
        <f>IF(B281="Total",SUM(G$8:G280)+0.0001,IF(OR(B281="",M281=0),0,VLOOKUP(A281,Journal!$C$7:M$84,7)))</f>
        <v>0</v>
      </c>
      <c r="H281" s="102">
        <f>IF(B281="Total",SUM(H$8:H280)+0.0001,IF(OR(B281="",N281=0),0,VLOOKUP(A281,Journal!$C$7:M$84,7)))</f>
        <v>0</v>
      </c>
      <c r="I281" s="87">
        <f t="shared" si="28"/>
        <v>0</v>
      </c>
      <c r="K281" s="13">
        <f>VLOOKUP(A281,Journal!$C$7:$M$84,4)</f>
        <v>0</v>
      </c>
      <c r="L281" s="13">
        <f>VLOOKUP(A281,Journal!$C$7:$M$84,5)</f>
        <v>0</v>
      </c>
      <c r="M281" s="13">
        <f t="shared" ref="M281:M344" si="30">IF(AND(L281&gt;=$F$1,L281&lt;9999),1,0)</f>
        <v>0</v>
      </c>
      <c r="N281" s="13">
        <f t="shared" ref="N281:N344" si="31">IF(AND(K281&gt;=$F$1,K281&lt;9999),1,0)</f>
        <v>0</v>
      </c>
      <c r="O281" s="13"/>
      <c r="P281" s="13">
        <f t="shared" ref="P281:P344" si="32">IF(I280=I281,I280+0.00001,I281)</f>
        <v>1.0000000000000001E-5</v>
      </c>
      <c r="T281" t="str">
        <f t="shared" si="27"/>
        <v/>
      </c>
    </row>
    <row r="282" spans="1:20" x14ac:dyDescent="0.25">
      <c r="A282">
        <f t="shared" si="29"/>
        <v>275</v>
      </c>
      <c r="B282" s="88" t="str">
        <f>IF(OR(B281="Total",B281=""),"",IF(VLOOKUP(A282,Journal!$C$7:$E$84,3)=0,"Total",VLOOKUP(A282,Journal!$C$7:$D$84,2)))</f>
        <v/>
      </c>
      <c r="C282" s="86" t="str">
        <f>IF(B282="","",VLOOKUP(A282,Journal!$C$7:$E$84,3))</f>
        <v/>
      </c>
      <c r="D282" s="84" t="str">
        <f>IF(B282="","",VLOOKUP(A282,Journal!$C$7:$J$84,8))</f>
        <v/>
      </c>
      <c r="E282" s="84" t="str">
        <f>IF(B282="","",VLOOKUP(A282,Journal!$C$7:$L$84,10))</f>
        <v/>
      </c>
      <c r="F282" s="84" t="str">
        <f>IF(B282="","",VLOOKUP(A282,Journal!$C$7:$M$84,11))</f>
        <v/>
      </c>
      <c r="G282" s="102">
        <f>IF(B282="Total",SUM(G$8:G281)+0.0001,IF(OR(B282="",M282=0),0,VLOOKUP(A282,Journal!$C$7:M$84,7)))</f>
        <v>0</v>
      </c>
      <c r="H282" s="102">
        <f>IF(B282="Total",SUM(H$8:H281)+0.0001,IF(OR(B282="",N282=0),0,VLOOKUP(A282,Journal!$C$7:M$84,7)))</f>
        <v>0</v>
      </c>
      <c r="I282" s="87">
        <f t="shared" si="28"/>
        <v>0</v>
      </c>
      <c r="K282" s="13">
        <f>VLOOKUP(A282,Journal!$C$7:$M$84,4)</f>
        <v>0</v>
      </c>
      <c r="L282" s="13">
        <f>VLOOKUP(A282,Journal!$C$7:$M$84,5)</f>
        <v>0</v>
      </c>
      <c r="M282" s="13">
        <f t="shared" si="30"/>
        <v>0</v>
      </c>
      <c r="N282" s="13">
        <f t="shared" si="31"/>
        <v>0</v>
      </c>
      <c r="O282" s="13"/>
      <c r="P282" s="13">
        <f t="shared" si="32"/>
        <v>1.0000000000000001E-5</v>
      </c>
      <c r="T282" t="str">
        <f t="shared" si="27"/>
        <v/>
      </c>
    </row>
    <row r="283" spans="1:20" x14ac:dyDescent="0.25">
      <c r="A283">
        <f t="shared" si="29"/>
        <v>276</v>
      </c>
      <c r="B283" s="88" t="str">
        <f>IF(OR(B282="Total",B282=""),"",IF(VLOOKUP(A283,Journal!$C$7:$E$84,3)=0,"Total",VLOOKUP(A283,Journal!$C$7:$D$84,2)))</f>
        <v/>
      </c>
      <c r="C283" s="86" t="str">
        <f>IF(B283="","",VLOOKUP(A283,Journal!$C$7:$E$84,3))</f>
        <v/>
      </c>
      <c r="D283" s="84" t="str">
        <f>IF(B283="","",VLOOKUP(A283,Journal!$C$7:$J$84,8))</f>
        <v/>
      </c>
      <c r="E283" s="84" t="str">
        <f>IF(B283="","",VLOOKUP(A283,Journal!$C$7:$L$84,10))</f>
        <v/>
      </c>
      <c r="F283" s="84" t="str">
        <f>IF(B283="","",VLOOKUP(A283,Journal!$C$7:$M$84,11))</f>
        <v/>
      </c>
      <c r="G283" s="102">
        <f>IF(B283="Total",SUM(G$8:G282)+0.0001,IF(OR(B283="",M283=0),0,VLOOKUP(A283,Journal!$C$7:M$84,7)))</f>
        <v>0</v>
      </c>
      <c r="H283" s="102">
        <f>IF(B283="Total",SUM(H$8:H282)+0.0001,IF(OR(B283="",N283=0),0,VLOOKUP(A283,Journal!$C$7:M$84,7)))</f>
        <v>0</v>
      </c>
      <c r="I283" s="87">
        <f t="shared" si="28"/>
        <v>0</v>
      </c>
      <c r="K283" s="13">
        <f>VLOOKUP(A283,Journal!$C$7:$M$84,4)</f>
        <v>0</v>
      </c>
      <c r="L283" s="13">
        <f>VLOOKUP(A283,Journal!$C$7:$M$84,5)</f>
        <v>0</v>
      </c>
      <c r="M283" s="13">
        <f t="shared" si="30"/>
        <v>0</v>
      </c>
      <c r="N283" s="13">
        <f t="shared" si="31"/>
        <v>0</v>
      </c>
      <c r="O283" s="13"/>
      <c r="P283" s="13">
        <f t="shared" si="32"/>
        <v>1.0000000000000001E-5</v>
      </c>
      <c r="T283" t="str">
        <f t="shared" si="27"/>
        <v/>
      </c>
    </row>
    <row r="284" spans="1:20" x14ac:dyDescent="0.25">
      <c r="A284">
        <f t="shared" si="29"/>
        <v>277</v>
      </c>
      <c r="B284" s="88" t="str">
        <f>IF(OR(B283="Total",B283=""),"",IF(VLOOKUP(A284,Journal!$C$7:$E$84,3)=0,"Total",VLOOKUP(A284,Journal!$C$7:$D$84,2)))</f>
        <v/>
      </c>
      <c r="C284" s="86" t="str">
        <f>IF(B284="","",VLOOKUP(A284,Journal!$C$7:$E$84,3))</f>
        <v/>
      </c>
      <c r="D284" s="84" t="str">
        <f>IF(B284="","",VLOOKUP(A284,Journal!$C$7:$J$84,8))</f>
        <v/>
      </c>
      <c r="E284" s="84" t="str">
        <f>IF(B284="","",VLOOKUP(A284,Journal!$C$7:$L$84,10))</f>
        <v/>
      </c>
      <c r="F284" s="84" t="str">
        <f>IF(B284="","",VLOOKUP(A284,Journal!$C$7:$M$84,11))</f>
        <v/>
      </c>
      <c r="G284" s="102">
        <f>IF(B284="Total",SUM(G$8:G283)+0.0001,IF(OR(B284="",M284=0),0,VLOOKUP(A284,Journal!$C$7:M$84,7)))</f>
        <v>0</v>
      </c>
      <c r="H284" s="102">
        <f>IF(B284="Total",SUM(H$8:H283)+0.0001,IF(OR(B284="",N284=0),0,VLOOKUP(A284,Journal!$C$7:M$84,7)))</f>
        <v>0</v>
      </c>
      <c r="I284" s="87">
        <f t="shared" si="28"/>
        <v>0</v>
      </c>
      <c r="K284" s="13">
        <f>VLOOKUP(A284,Journal!$C$7:$M$84,4)</f>
        <v>0</v>
      </c>
      <c r="L284" s="13">
        <f>VLOOKUP(A284,Journal!$C$7:$M$84,5)</f>
        <v>0</v>
      </c>
      <c r="M284" s="13">
        <f t="shared" si="30"/>
        <v>0</v>
      </c>
      <c r="N284" s="13">
        <f t="shared" si="31"/>
        <v>0</v>
      </c>
      <c r="O284" s="13"/>
      <c r="P284" s="13">
        <f t="shared" si="32"/>
        <v>1.0000000000000001E-5</v>
      </c>
      <c r="T284" t="str">
        <f t="shared" si="27"/>
        <v/>
      </c>
    </row>
    <row r="285" spans="1:20" x14ac:dyDescent="0.25">
      <c r="A285">
        <f t="shared" si="29"/>
        <v>278</v>
      </c>
      <c r="B285" s="88" t="str">
        <f>IF(OR(B284="Total",B284=""),"",IF(VLOOKUP(A285,Journal!$C$7:$E$84,3)=0,"Total",VLOOKUP(A285,Journal!$C$7:$D$84,2)))</f>
        <v/>
      </c>
      <c r="C285" s="86" t="str">
        <f>IF(B285="","",VLOOKUP(A285,Journal!$C$7:$E$84,3))</f>
        <v/>
      </c>
      <c r="D285" s="84" t="str">
        <f>IF(B285="","",VLOOKUP(A285,Journal!$C$7:$J$84,8))</f>
        <v/>
      </c>
      <c r="E285" s="84" t="str">
        <f>IF(B285="","",VLOOKUP(A285,Journal!$C$7:$L$84,10))</f>
        <v/>
      </c>
      <c r="F285" s="84" t="str">
        <f>IF(B285="","",VLOOKUP(A285,Journal!$C$7:$M$84,11))</f>
        <v/>
      </c>
      <c r="G285" s="102">
        <f>IF(B285="Total",SUM(G$8:G284)+0.0001,IF(OR(B285="",M285=0),0,VLOOKUP(A285,Journal!$C$7:M$84,7)))</f>
        <v>0</v>
      </c>
      <c r="H285" s="102">
        <f>IF(B285="Total",SUM(H$8:H284)+0.0001,IF(OR(B285="",N285=0),0,VLOOKUP(A285,Journal!$C$7:M$84,7)))</f>
        <v>0</v>
      </c>
      <c r="I285" s="87">
        <f t="shared" si="28"/>
        <v>0</v>
      </c>
      <c r="K285" s="13">
        <f>VLOOKUP(A285,Journal!$C$7:$M$84,4)</f>
        <v>0</v>
      </c>
      <c r="L285" s="13">
        <f>VLOOKUP(A285,Journal!$C$7:$M$84,5)</f>
        <v>0</v>
      </c>
      <c r="M285" s="13">
        <f t="shared" si="30"/>
        <v>0</v>
      </c>
      <c r="N285" s="13">
        <f t="shared" si="31"/>
        <v>0</v>
      </c>
      <c r="O285" s="13"/>
      <c r="P285" s="13">
        <f t="shared" si="32"/>
        <v>1.0000000000000001E-5</v>
      </c>
      <c r="T285" t="str">
        <f t="shared" si="27"/>
        <v/>
      </c>
    </row>
    <row r="286" spans="1:20" x14ac:dyDescent="0.25">
      <c r="A286">
        <f t="shared" si="29"/>
        <v>279</v>
      </c>
      <c r="B286" s="88" t="str">
        <f>IF(OR(B285="Total",B285=""),"",IF(VLOOKUP(A286,Journal!$C$7:$E$84,3)=0,"Total",VLOOKUP(A286,Journal!$C$7:$D$84,2)))</f>
        <v/>
      </c>
      <c r="C286" s="86" t="str">
        <f>IF(B286="","",VLOOKUP(A286,Journal!$C$7:$E$84,3))</f>
        <v/>
      </c>
      <c r="D286" s="84" t="str">
        <f>IF(B286="","",VLOOKUP(A286,Journal!$C$7:$J$84,8))</f>
        <v/>
      </c>
      <c r="E286" s="84" t="str">
        <f>IF(B286="","",VLOOKUP(A286,Journal!$C$7:$L$84,10))</f>
        <v/>
      </c>
      <c r="F286" s="84" t="str">
        <f>IF(B286="","",VLOOKUP(A286,Journal!$C$7:$M$84,11))</f>
        <v/>
      </c>
      <c r="G286" s="102">
        <f>IF(B286="Total",SUM(G$8:G285)+0.0001,IF(OR(B286="",M286=0),0,VLOOKUP(A286,Journal!$C$7:M$84,7)))</f>
        <v>0</v>
      </c>
      <c r="H286" s="102">
        <f>IF(B286="Total",SUM(H$8:H285)+0.0001,IF(OR(B286="",N286=0),0,VLOOKUP(A286,Journal!$C$7:M$84,7)))</f>
        <v>0</v>
      </c>
      <c r="I286" s="87">
        <f t="shared" si="28"/>
        <v>0</v>
      </c>
      <c r="K286" s="13">
        <f>VLOOKUP(A286,Journal!$C$7:$M$84,4)</f>
        <v>0</v>
      </c>
      <c r="L286" s="13">
        <f>VLOOKUP(A286,Journal!$C$7:$M$84,5)</f>
        <v>0</v>
      </c>
      <c r="M286" s="13">
        <f t="shared" si="30"/>
        <v>0</v>
      </c>
      <c r="N286" s="13">
        <f t="shared" si="31"/>
        <v>0</v>
      </c>
      <c r="O286" s="13"/>
      <c r="P286" s="13">
        <f t="shared" si="32"/>
        <v>1.0000000000000001E-5</v>
      </c>
      <c r="T286" t="str">
        <f t="shared" si="27"/>
        <v/>
      </c>
    </row>
    <row r="287" spans="1:20" x14ac:dyDescent="0.25">
      <c r="A287">
        <f t="shared" si="29"/>
        <v>280</v>
      </c>
      <c r="B287" s="88" t="str">
        <f>IF(OR(B286="Total",B286=""),"",IF(VLOOKUP(A287,Journal!$C$7:$E$84,3)=0,"Total",VLOOKUP(A287,Journal!$C$7:$D$84,2)))</f>
        <v/>
      </c>
      <c r="C287" s="86" t="str">
        <f>IF(B287="","",VLOOKUP(A287,Journal!$C$7:$E$84,3))</f>
        <v/>
      </c>
      <c r="D287" s="84" t="str">
        <f>IF(B287="","",VLOOKUP(A287,Journal!$C$7:$J$84,8))</f>
        <v/>
      </c>
      <c r="E287" s="84" t="str">
        <f>IF(B287="","",VLOOKUP(A287,Journal!$C$7:$L$84,10))</f>
        <v/>
      </c>
      <c r="F287" s="84" t="str">
        <f>IF(B287="","",VLOOKUP(A287,Journal!$C$7:$M$84,11))</f>
        <v/>
      </c>
      <c r="G287" s="102">
        <f>IF(B287="Total",SUM(G$8:G286)+0.0001,IF(OR(B287="",M287=0),0,VLOOKUP(A287,Journal!$C$7:M$84,7)))</f>
        <v>0</v>
      </c>
      <c r="H287" s="102">
        <f>IF(B287="Total",SUM(H$8:H286)+0.0001,IF(OR(B287="",N287=0),0,VLOOKUP(A287,Journal!$C$7:M$84,7)))</f>
        <v>0</v>
      </c>
      <c r="I287" s="87">
        <f t="shared" si="28"/>
        <v>0</v>
      </c>
      <c r="K287" s="13">
        <f>VLOOKUP(A287,Journal!$C$7:$M$84,4)</f>
        <v>0</v>
      </c>
      <c r="L287" s="13">
        <f>VLOOKUP(A287,Journal!$C$7:$M$84,5)</f>
        <v>0</v>
      </c>
      <c r="M287" s="13">
        <f t="shared" si="30"/>
        <v>0</v>
      </c>
      <c r="N287" s="13">
        <f t="shared" si="31"/>
        <v>0</v>
      </c>
      <c r="O287" s="13"/>
      <c r="P287" s="13">
        <f t="shared" si="32"/>
        <v>1.0000000000000001E-5</v>
      </c>
      <c r="T287" t="str">
        <f t="shared" si="27"/>
        <v/>
      </c>
    </row>
    <row r="288" spans="1:20" x14ac:dyDescent="0.25">
      <c r="A288">
        <f t="shared" si="29"/>
        <v>281</v>
      </c>
      <c r="B288" s="88" t="str">
        <f>IF(OR(B287="Total",B287=""),"",IF(VLOOKUP(A288,Journal!$C$7:$E$84,3)=0,"Total",VLOOKUP(A288,Journal!$C$7:$D$84,2)))</f>
        <v/>
      </c>
      <c r="C288" s="86" t="str">
        <f>IF(B288="","",VLOOKUP(A288,Journal!$C$7:$E$84,3))</f>
        <v/>
      </c>
      <c r="D288" s="84" t="str">
        <f>IF(B288="","",VLOOKUP(A288,Journal!$C$7:$J$84,8))</f>
        <v/>
      </c>
      <c r="E288" s="84" t="str">
        <f>IF(B288="","",VLOOKUP(A288,Journal!$C$7:$L$84,10))</f>
        <v/>
      </c>
      <c r="F288" s="84" t="str">
        <f>IF(B288="","",VLOOKUP(A288,Journal!$C$7:$M$84,11))</f>
        <v/>
      </c>
      <c r="G288" s="102">
        <f>IF(B288="Total",SUM(G$8:G287)+0.0001,IF(OR(B288="",M288=0),0,VLOOKUP(A288,Journal!$C$7:M$84,7)))</f>
        <v>0</v>
      </c>
      <c r="H288" s="102">
        <f>IF(B288="Total",SUM(H$8:H287)+0.0001,IF(OR(B288="",N288=0),0,VLOOKUP(A288,Journal!$C$7:M$84,7)))</f>
        <v>0</v>
      </c>
      <c r="I288" s="87">
        <f t="shared" si="28"/>
        <v>0</v>
      </c>
      <c r="K288" s="13">
        <f>VLOOKUP(A288,Journal!$C$7:$M$84,4)</f>
        <v>0</v>
      </c>
      <c r="L288" s="13">
        <f>VLOOKUP(A288,Journal!$C$7:$M$84,5)</f>
        <v>0</v>
      </c>
      <c r="M288" s="13">
        <f t="shared" si="30"/>
        <v>0</v>
      </c>
      <c r="N288" s="13">
        <f t="shared" si="31"/>
        <v>0</v>
      </c>
      <c r="O288" s="13"/>
      <c r="P288" s="13">
        <f t="shared" si="32"/>
        <v>1.0000000000000001E-5</v>
      </c>
      <c r="T288" t="str">
        <f t="shared" si="27"/>
        <v/>
      </c>
    </row>
    <row r="289" spans="1:20" x14ac:dyDescent="0.25">
      <c r="A289">
        <f t="shared" si="29"/>
        <v>282</v>
      </c>
      <c r="B289" s="88" t="str">
        <f>IF(OR(B288="Total",B288=""),"",IF(VLOOKUP(A289,Journal!$C$7:$E$84,3)=0,"Total",VLOOKUP(A289,Journal!$C$7:$D$84,2)))</f>
        <v/>
      </c>
      <c r="C289" s="86" t="str">
        <f>IF(B289="","",VLOOKUP(A289,Journal!$C$7:$E$84,3))</f>
        <v/>
      </c>
      <c r="D289" s="84" t="str">
        <f>IF(B289="","",VLOOKUP(A289,Journal!$C$7:$J$84,8))</f>
        <v/>
      </c>
      <c r="E289" s="84" t="str">
        <f>IF(B289="","",VLOOKUP(A289,Journal!$C$7:$L$84,10))</f>
        <v/>
      </c>
      <c r="F289" s="84" t="str">
        <f>IF(B289="","",VLOOKUP(A289,Journal!$C$7:$M$84,11))</f>
        <v/>
      </c>
      <c r="G289" s="102">
        <f>IF(B289="Total",SUM(G$8:G288)+0.0001,IF(OR(B289="",M289=0),0,VLOOKUP(A289,Journal!$C$7:M$84,7)))</f>
        <v>0</v>
      </c>
      <c r="H289" s="102">
        <f>IF(B289="Total",SUM(H$8:H288)+0.0001,IF(OR(B289="",N289=0),0,VLOOKUP(A289,Journal!$C$7:M$84,7)))</f>
        <v>0</v>
      </c>
      <c r="I289" s="87">
        <f t="shared" si="28"/>
        <v>0</v>
      </c>
      <c r="K289" s="13">
        <f>VLOOKUP(A289,Journal!$C$7:$M$84,4)</f>
        <v>0</v>
      </c>
      <c r="L289" s="13">
        <f>VLOOKUP(A289,Journal!$C$7:$M$84,5)</f>
        <v>0</v>
      </c>
      <c r="M289" s="13">
        <f t="shared" si="30"/>
        <v>0</v>
      </c>
      <c r="N289" s="13">
        <f t="shared" si="31"/>
        <v>0</v>
      </c>
      <c r="O289" s="13"/>
      <c r="P289" s="13">
        <f t="shared" si="32"/>
        <v>1.0000000000000001E-5</v>
      </c>
      <c r="T289" t="str">
        <f t="shared" si="27"/>
        <v/>
      </c>
    </row>
    <row r="290" spans="1:20" x14ac:dyDescent="0.25">
      <c r="A290">
        <f t="shared" si="29"/>
        <v>283</v>
      </c>
      <c r="B290" s="88" t="str">
        <f>IF(OR(B289="Total",B289=""),"",IF(VLOOKUP(A290,Journal!$C$7:$E$84,3)=0,"Total",VLOOKUP(A290,Journal!$C$7:$D$84,2)))</f>
        <v/>
      </c>
      <c r="C290" s="86" t="str">
        <f>IF(B290="","",VLOOKUP(A290,Journal!$C$7:$E$84,3))</f>
        <v/>
      </c>
      <c r="D290" s="84" t="str">
        <f>IF(B290="","",VLOOKUP(A290,Journal!$C$7:$J$84,8))</f>
        <v/>
      </c>
      <c r="E290" s="84" t="str">
        <f>IF(B290="","",VLOOKUP(A290,Journal!$C$7:$L$84,10))</f>
        <v/>
      </c>
      <c r="F290" s="84" t="str">
        <f>IF(B290="","",VLOOKUP(A290,Journal!$C$7:$M$84,11))</f>
        <v/>
      </c>
      <c r="G290" s="102">
        <f>IF(B290="Total",SUM(G$8:G289)+0.0001,IF(OR(B290="",M290=0),0,VLOOKUP(A290,Journal!$C$7:M$84,7)))</f>
        <v>0</v>
      </c>
      <c r="H290" s="102">
        <f>IF(B290="Total",SUM(H$8:H289)+0.0001,IF(OR(B290="",N290=0),0,VLOOKUP(A290,Journal!$C$7:M$84,7)))</f>
        <v>0</v>
      </c>
      <c r="I290" s="87">
        <f t="shared" si="28"/>
        <v>0</v>
      </c>
      <c r="K290" s="13">
        <f>VLOOKUP(A290,Journal!$C$7:$M$84,4)</f>
        <v>0</v>
      </c>
      <c r="L290" s="13">
        <f>VLOOKUP(A290,Journal!$C$7:$M$84,5)</f>
        <v>0</v>
      </c>
      <c r="M290" s="13">
        <f t="shared" si="30"/>
        <v>0</v>
      </c>
      <c r="N290" s="13">
        <f t="shared" si="31"/>
        <v>0</v>
      </c>
      <c r="O290" s="13"/>
      <c r="P290" s="13">
        <f t="shared" si="32"/>
        <v>1.0000000000000001E-5</v>
      </c>
      <c r="T290" t="str">
        <f t="shared" si="27"/>
        <v/>
      </c>
    </row>
    <row r="291" spans="1:20" x14ac:dyDescent="0.25">
      <c r="A291">
        <f t="shared" si="29"/>
        <v>284</v>
      </c>
      <c r="B291" s="88" t="str">
        <f>IF(OR(B290="Total",B290=""),"",IF(VLOOKUP(A291,Journal!$C$7:$E$84,3)=0,"Total",VLOOKUP(A291,Journal!$C$7:$D$84,2)))</f>
        <v/>
      </c>
      <c r="C291" s="86" t="str">
        <f>IF(B291="","",VLOOKUP(A291,Journal!$C$7:$E$84,3))</f>
        <v/>
      </c>
      <c r="D291" s="84" t="str">
        <f>IF(B291="","",VLOOKUP(A291,Journal!$C$7:$J$84,8))</f>
        <v/>
      </c>
      <c r="E291" s="84" t="str">
        <f>IF(B291="","",VLOOKUP(A291,Journal!$C$7:$L$84,10))</f>
        <v/>
      </c>
      <c r="F291" s="84" t="str">
        <f>IF(B291="","",VLOOKUP(A291,Journal!$C$7:$M$84,11))</f>
        <v/>
      </c>
      <c r="G291" s="102">
        <f>IF(B291="Total",SUM(G$8:G290)+0.0001,IF(OR(B291="",M291=0),0,VLOOKUP(A291,Journal!$C$7:M$84,7)))</f>
        <v>0</v>
      </c>
      <c r="H291" s="102">
        <f>IF(B291="Total",SUM(H$8:H290)+0.0001,IF(OR(B291="",N291=0),0,VLOOKUP(A291,Journal!$C$7:M$84,7)))</f>
        <v>0</v>
      </c>
      <c r="I291" s="87">
        <f t="shared" si="28"/>
        <v>0</v>
      </c>
      <c r="K291" s="13">
        <f>VLOOKUP(A291,Journal!$C$7:$M$84,4)</f>
        <v>0</v>
      </c>
      <c r="L291" s="13">
        <f>VLOOKUP(A291,Journal!$C$7:$M$84,5)</f>
        <v>0</v>
      </c>
      <c r="M291" s="13">
        <f t="shared" si="30"/>
        <v>0</v>
      </c>
      <c r="N291" s="13">
        <f t="shared" si="31"/>
        <v>0</v>
      </c>
      <c r="O291" s="13"/>
      <c r="P291" s="13">
        <f t="shared" si="32"/>
        <v>1.0000000000000001E-5</v>
      </c>
      <c r="T291" t="str">
        <f t="shared" si="27"/>
        <v/>
      </c>
    </row>
    <row r="292" spans="1:20" x14ac:dyDescent="0.25">
      <c r="A292">
        <f t="shared" si="29"/>
        <v>285</v>
      </c>
      <c r="B292" s="88" t="str">
        <f>IF(OR(B291="Total",B291=""),"",IF(VLOOKUP(A292,Journal!$C$7:$E$84,3)=0,"Total",VLOOKUP(A292,Journal!$C$7:$D$84,2)))</f>
        <v/>
      </c>
      <c r="C292" s="86" t="str">
        <f>IF(B292="","",VLOOKUP(A292,Journal!$C$7:$E$84,3))</f>
        <v/>
      </c>
      <c r="D292" s="84" t="str">
        <f>IF(B292="","",VLOOKUP(A292,Journal!$C$7:$J$84,8))</f>
        <v/>
      </c>
      <c r="E292" s="84" t="str">
        <f>IF(B292="","",VLOOKUP(A292,Journal!$C$7:$L$84,10))</f>
        <v/>
      </c>
      <c r="F292" s="84" t="str">
        <f>IF(B292="","",VLOOKUP(A292,Journal!$C$7:$M$84,11))</f>
        <v/>
      </c>
      <c r="G292" s="102">
        <f>IF(B292="Total",SUM(G$8:G291)+0.0001,IF(OR(B292="",M292=0),0,VLOOKUP(A292,Journal!$C$7:M$84,7)))</f>
        <v>0</v>
      </c>
      <c r="H292" s="102">
        <f>IF(B292="Total",SUM(H$8:H291)+0.0001,IF(OR(B292="",N292=0),0,VLOOKUP(A292,Journal!$C$7:M$84,7)))</f>
        <v>0</v>
      </c>
      <c r="I292" s="87">
        <f t="shared" si="28"/>
        <v>0</v>
      </c>
      <c r="K292" s="13">
        <f>VLOOKUP(A292,Journal!$C$7:$M$84,4)</f>
        <v>0</v>
      </c>
      <c r="L292" s="13">
        <f>VLOOKUP(A292,Journal!$C$7:$M$84,5)</f>
        <v>0</v>
      </c>
      <c r="M292" s="13">
        <f t="shared" si="30"/>
        <v>0</v>
      </c>
      <c r="N292" s="13">
        <f t="shared" si="31"/>
        <v>0</v>
      </c>
      <c r="O292" s="13"/>
      <c r="P292" s="13">
        <f t="shared" si="32"/>
        <v>1.0000000000000001E-5</v>
      </c>
      <c r="T292" t="str">
        <f t="shared" si="27"/>
        <v/>
      </c>
    </row>
    <row r="293" spans="1:20" x14ac:dyDescent="0.25">
      <c r="A293">
        <f t="shared" si="29"/>
        <v>286</v>
      </c>
      <c r="B293" s="88" t="str">
        <f>IF(OR(B292="Total",B292=""),"",IF(VLOOKUP(A293,Journal!$C$7:$E$84,3)=0,"Total",VLOOKUP(A293,Journal!$C$7:$D$84,2)))</f>
        <v/>
      </c>
      <c r="C293" s="86" t="str">
        <f>IF(B293="","",VLOOKUP(A293,Journal!$C$7:$E$84,3))</f>
        <v/>
      </c>
      <c r="D293" s="84" t="str">
        <f>IF(B293="","",VLOOKUP(A293,Journal!$C$7:$J$84,8))</f>
        <v/>
      </c>
      <c r="E293" s="84" t="str">
        <f>IF(B293="","",VLOOKUP(A293,Journal!$C$7:$L$84,10))</f>
        <v/>
      </c>
      <c r="F293" s="84" t="str">
        <f>IF(B293="","",VLOOKUP(A293,Journal!$C$7:$M$84,11))</f>
        <v/>
      </c>
      <c r="G293" s="102">
        <f>IF(B293="Total",SUM(G$8:G292)+0.0001,IF(OR(B293="",M293=0),0,VLOOKUP(A293,Journal!$C$7:M$84,7)))</f>
        <v>0</v>
      </c>
      <c r="H293" s="102">
        <f>IF(B293="Total",SUM(H$8:H292)+0.0001,IF(OR(B293="",N293=0),0,VLOOKUP(A293,Journal!$C$7:M$84,7)))</f>
        <v>0</v>
      </c>
      <c r="I293" s="87">
        <f t="shared" si="28"/>
        <v>0</v>
      </c>
      <c r="K293" s="13">
        <f>VLOOKUP(A293,Journal!$C$7:$M$84,4)</f>
        <v>0</v>
      </c>
      <c r="L293" s="13">
        <f>VLOOKUP(A293,Journal!$C$7:$M$84,5)</f>
        <v>0</v>
      </c>
      <c r="M293" s="13">
        <f t="shared" si="30"/>
        <v>0</v>
      </c>
      <c r="N293" s="13">
        <f t="shared" si="31"/>
        <v>0</v>
      </c>
      <c r="O293" s="13"/>
      <c r="P293" s="13">
        <f t="shared" si="32"/>
        <v>1.0000000000000001E-5</v>
      </c>
      <c r="T293" t="str">
        <f t="shared" si="27"/>
        <v/>
      </c>
    </row>
    <row r="294" spans="1:20" x14ac:dyDescent="0.25">
      <c r="A294">
        <f t="shared" si="29"/>
        <v>287</v>
      </c>
      <c r="B294" s="88" t="str">
        <f>IF(OR(B293="Total",B293=""),"",IF(VLOOKUP(A294,Journal!$C$7:$E$84,3)=0,"Total",VLOOKUP(A294,Journal!$C$7:$D$84,2)))</f>
        <v/>
      </c>
      <c r="C294" s="86" t="str">
        <f>IF(B294="","",VLOOKUP(A294,Journal!$C$7:$E$84,3))</f>
        <v/>
      </c>
      <c r="D294" s="84" t="str">
        <f>IF(B294="","",VLOOKUP(A294,Journal!$C$7:$J$84,8))</f>
        <v/>
      </c>
      <c r="E294" s="84" t="str">
        <f>IF(B294="","",VLOOKUP(A294,Journal!$C$7:$L$84,10))</f>
        <v/>
      </c>
      <c r="F294" s="84" t="str">
        <f>IF(B294="","",VLOOKUP(A294,Journal!$C$7:$M$84,11))</f>
        <v/>
      </c>
      <c r="G294" s="102">
        <f>IF(B294="Total",SUM(G$8:G293)+0.0001,IF(OR(B294="",M294=0),0,VLOOKUP(A294,Journal!$C$7:M$84,7)))</f>
        <v>0</v>
      </c>
      <c r="H294" s="102">
        <f>IF(B294="Total",SUM(H$8:H293)+0.0001,IF(OR(B294="",N294=0),0,VLOOKUP(A294,Journal!$C$7:M$84,7)))</f>
        <v>0</v>
      </c>
      <c r="I294" s="87">
        <f t="shared" si="28"/>
        <v>0</v>
      </c>
      <c r="K294" s="13">
        <f>VLOOKUP(A294,Journal!$C$7:$M$84,4)</f>
        <v>0</v>
      </c>
      <c r="L294" s="13">
        <f>VLOOKUP(A294,Journal!$C$7:$M$84,5)</f>
        <v>0</v>
      </c>
      <c r="M294" s="13">
        <f t="shared" si="30"/>
        <v>0</v>
      </c>
      <c r="N294" s="13">
        <f t="shared" si="31"/>
        <v>0</v>
      </c>
      <c r="O294" s="13"/>
      <c r="P294" s="13">
        <f t="shared" si="32"/>
        <v>1.0000000000000001E-5</v>
      </c>
      <c r="T294" t="str">
        <f t="shared" si="27"/>
        <v/>
      </c>
    </row>
    <row r="295" spans="1:20" x14ac:dyDescent="0.25">
      <c r="A295">
        <f t="shared" si="29"/>
        <v>288</v>
      </c>
      <c r="B295" s="88" t="str">
        <f>IF(OR(B294="Total",B294=""),"",IF(VLOOKUP(A295,Journal!$C$7:$E$84,3)=0,"Total",VLOOKUP(A295,Journal!$C$7:$D$84,2)))</f>
        <v/>
      </c>
      <c r="C295" s="86" t="str">
        <f>IF(B295="","",VLOOKUP(A295,Journal!$C$7:$E$84,3))</f>
        <v/>
      </c>
      <c r="D295" s="84" t="str">
        <f>IF(B295="","",VLOOKUP(A295,Journal!$C$7:$J$84,8))</f>
        <v/>
      </c>
      <c r="E295" s="84" t="str">
        <f>IF(B295="","",VLOOKUP(A295,Journal!$C$7:$L$84,10))</f>
        <v/>
      </c>
      <c r="F295" s="84" t="str">
        <f>IF(B295="","",VLOOKUP(A295,Journal!$C$7:$M$84,11))</f>
        <v/>
      </c>
      <c r="G295" s="102">
        <f>IF(B295="Total",SUM(G$8:G294)+0.0001,IF(OR(B295="",M295=0),0,VLOOKUP(A295,Journal!$C$7:M$84,7)))</f>
        <v>0</v>
      </c>
      <c r="H295" s="102">
        <f>IF(B295="Total",SUM(H$8:H294)+0.0001,IF(OR(B295="",N295=0),0,VLOOKUP(A295,Journal!$C$7:M$84,7)))</f>
        <v>0</v>
      </c>
      <c r="I295" s="87">
        <f t="shared" si="28"/>
        <v>0</v>
      </c>
      <c r="K295" s="13">
        <f>VLOOKUP(A295,Journal!$C$7:$M$84,4)</f>
        <v>0</v>
      </c>
      <c r="L295" s="13">
        <f>VLOOKUP(A295,Journal!$C$7:$M$84,5)</f>
        <v>0</v>
      </c>
      <c r="M295" s="13">
        <f t="shared" si="30"/>
        <v>0</v>
      </c>
      <c r="N295" s="13">
        <f t="shared" si="31"/>
        <v>0</v>
      </c>
      <c r="O295" s="13"/>
      <c r="P295" s="13">
        <f t="shared" si="32"/>
        <v>1.0000000000000001E-5</v>
      </c>
      <c r="T295" t="str">
        <f t="shared" si="27"/>
        <v/>
      </c>
    </row>
    <row r="296" spans="1:20" x14ac:dyDescent="0.25">
      <c r="A296">
        <f t="shared" si="29"/>
        <v>289</v>
      </c>
      <c r="B296" s="88" t="str">
        <f>IF(OR(B295="Total",B295=""),"",IF(VLOOKUP(A296,Journal!$C$7:$E$84,3)=0,"Total",VLOOKUP(A296,Journal!$C$7:$D$84,2)))</f>
        <v/>
      </c>
      <c r="C296" s="86" t="str">
        <f>IF(B296="","",VLOOKUP(A296,Journal!$C$7:$E$84,3))</f>
        <v/>
      </c>
      <c r="D296" s="84" t="str">
        <f>IF(B296="","",VLOOKUP(A296,Journal!$C$7:$J$84,8))</f>
        <v/>
      </c>
      <c r="E296" s="84" t="str">
        <f>IF(B296="","",VLOOKUP(A296,Journal!$C$7:$L$84,10))</f>
        <v/>
      </c>
      <c r="F296" s="84" t="str">
        <f>IF(B296="","",VLOOKUP(A296,Journal!$C$7:$M$84,11))</f>
        <v/>
      </c>
      <c r="G296" s="102">
        <f>IF(B296="Total",SUM(G$8:G295)+0.0001,IF(OR(B296="",M296=0),0,VLOOKUP(A296,Journal!$C$7:M$84,7)))</f>
        <v>0</v>
      </c>
      <c r="H296" s="102">
        <f>IF(B296="Total",SUM(H$8:H295)+0.0001,IF(OR(B296="",N296=0),0,VLOOKUP(A296,Journal!$C$7:M$84,7)))</f>
        <v>0</v>
      </c>
      <c r="I296" s="87">
        <f t="shared" si="28"/>
        <v>0</v>
      </c>
      <c r="K296" s="13">
        <f>VLOOKUP(A296,Journal!$C$7:$M$84,4)</f>
        <v>0</v>
      </c>
      <c r="L296" s="13">
        <f>VLOOKUP(A296,Journal!$C$7:$M$84,5)</f>
        <v>0</v>
      </c>
      <c r="M296" s="13">
        <f t="shared" si="30"/>
        <v>0</v>
      </c>
      <c r="N296" s="13">
        <f t="shared" si="31"/>
        <v>0</v>
      </c>
      <c r="O296" s="13"/>
      <c r="P296" s="13">
        <f t="shared" si="32"/>
        <v>1.0000000000000001E-5</v>
      </c>
      <c r="T296" t="str">
        <f t="shared" si="27"/>
        <v/>
      </c>
    </row>
    <row r="297" spans="1:20" x14ac:dyDescent="0.25">
      <c r="A297">
        <f t="shared" si="29"/>
        <v>290</v>
      </c>
      <c r="B297" s="88" t="str">
        <f>IF(OR(B296="Total",B296=""),"",IF(VLOOKUP(A297,Journal!$C$7:$E$84,3)=0,"Total",VLOOKUP(A297,Journal!$C$7:$D$84,2)))</f>
        <v/>
      </c>
      <c r="C297" s="86" t="str">
        <f>IF(B297="","",VLOOKUP(A297,Journal!$C$7:$E$84,3))</f>
        <v/>
      </c>
      <c r="D297" s="84" t="str">
        <f>IF(B297="","",VLOOKUP(A297,Journal!$C$7:$J$84,8))</f>
        <v/>
      </c>
      <c r="E297" s="84" t="str">
        <f>IF(B297="","",VLOOKUP(A297,Journal!$C$7:$L$84,10))</f>
        <v/>
      </c>
      <c r="F297" s="84" t="str">
        <f>IF(B297="","",VLOOKUP(A297,Journal!$C$7:$M$84,11))</f>
        <v/>
      </c>
      <c r="G297" s="102">
        <f>IF(B297="Total",SUM(G$8:G296)+0.0001,IF(OR(B297="",M297=0),0,VLOOKUP(A297,Journal!$C$7:M$84,7)))</f>
        <v>0</v>
      </c>
      <c r="H297" s="102">
        <f>IF(B297="Total",SUM(H$8:H296)+0.0001,IF(OR(B297="",N297=0),0,VLOOKUP(A297,Journal!$C$7:M$84,7)))</f>
        <v>0</v>
      </c>
      <c r="I297" s="87">
        <f t="shared" si="28"/>
        <v>0</v>
      </c>
      <c r="K297" s="13">
        <f>VLOOKUP(A297,Journal!$C$7:$M$84,4)</f>
        <v>0</v>
      </c>
      <c r="L297" s="13">
        <f>VLOOKUP(A297,Journal!$C$7:$M$84,5)</f>
        <v>0</v>
      </c>
      <c r="M297" s="13">
        <f t="shared" si="30"/>
        <v>0</v>
      </c>
      <c r="N297" s="13">
        <f t="shared" si="31"/>
        <v>0</v>
      </c>
      <c r="O297" s="13"/>
      <c r="P297" s="13">
        <f t="shared" si="32"/>
        <v>1.0000000000000001E-5</v>
      </c>
      <c r="T297" t="str">
        <f t="shared" si="27"/>
        <v/>
      </c>
    </row>
    <row r="298" spans="1:20" x14ac:dyDescent="0.25">
      <c r="A298">
        <f t="shared" si="29"/>
        <v>291</v>
      </c>
      <c r="B298" s="88" t="str">
        <f>IF(OR(B297="Total",B297=""),"",IF(VLOOKUP(A298,Journal!$C$7:$E$84,3)=0,"Total",VLOOKUP(A298,Journal!$C$7:$D$84,2)))</f>
        <v/>
      </c>
      <c r="C298" s="86" t="str">
        <f>IF(B298="","",VLOOKUP(A298,Journal!$C$7:$E$84,3))</f>
        <v/>
      </c>
      <c r="D298" s="84" t="str">
        <f>IF(B298="","",VLOOKUP(A298,Journal!$C$7:$J$84,8))</f>
        <v/>
      </c>
      <c r="E298" s="84" t="str">
        <f>IF(B298="","",VLOOKUP(A298,Journal!$C$7:$L$84,10))</f>
        <v/>
      </c>
      <c r="F298" s="84" t="str">
        <f>IF(B298="","",VLOOKUP(A298,Journal!$C$7:$M$84,11))</f>
        <v/>
      </c>
      <c r="G298" s="102">
        <f>IF(B298="Total",SUM(G$8:G297)+0.0001,IF(OR(B298="",M298=0),0,VLOOKUP(A298,Journal!$C$7:M$84,7)))</f>
        <v>0</v>
      </c>
      <c r="H298" s="102">
        <f>IF(B298="Total",SUM(H$8:H297)+0.0001,IF(OR(B298="",N298=0),0,VLOOKUP(A298,Journal!$C$7:M$84,7)))</f>
        <v>0</v>
      </c>
      <c r="I298" s="87">
        <f t="shared" si="28"/>
        <v>0</v>
      </c>
      <c r="K298" s="13">
        <f>VLOOKUP(A298,Journal!$C$7:$M$84,4)</f>
        <v>0</v>
      </c>
      <c r="L298" s="13">
        <f>VLOOKUP(A298,Journal!$C$7:$M$84,5)</f>
        <v>0</v>
      </c>
      <c r="M298" s="13">
        <f t="shared" si="30"/>
        <v>0</v>
      </c>
      <c r="N298" s="13">
        <f t="shared" si="31"/>
        <v>0</v>
      </c>
      <c r="O298" s="13"/>
      <c r="P298" s="13">
        <f t="shared" si="32"/>
        <v>1.0000000000000001E-5</v>
      </c>
      <c r="T298" t="str">
        <f t="shared" si="27"/>
        <v/>
      </c>
    </row>
    <row r="299" spans="1:20" x14ac:dyDescent="0.25">
      <c r="A299">
        <f t="shared" si="29"/>
        <v>292</v>
      </c>
      <c r="B299" s="88" t="str">
        <f>IF(OR(B298="Total",B298=""),"",IF(VLOOKUP(A299,Journal!$C$7:$E$84,3)=0,"Total",VLOOKUP(A299,Journal!$C$7:$D$84,2)))</f>
        <v/>
      </c>
      <c r="C299" s="86" t="str">
        <f>IF(B299="","",VLOOKUP(A299,Journal!$C$7:$E$84,3))</f>
        <v/>
      </c>
      <c r="D299" s="84" t="str">
        <f>IF(B299="","",VLOOKUP(A299,Journal!$C$7:$J$84,8))</f>
        <v/>
      </c>
      <c r="E299" s="84" t="str">
        <f>IF(B299="","",VLOOKUP(A299,Journal!$C$7:$L$84,10))</f>
        <v/>
      </c>
      <c r="F299" s="84" t="str">
        <f>IF(B299="","",VLOOKUP(A299,Journal!$C$7:$M$84,11))</f>
        <v/>
      </c>
      <c r="G299" s="102">
        <f>IF(B299="Total",SUM(G$8:G298)+0.0001,IF(OR(B299="",M299=0),0,VLOOKUP(A299,Journal!$C$7:M$84,7)))</f>
        <v>0</v>
      </c>
      <c r="H299" s="102">
        <f>IF(B299="Total",SUM(H$8:H298)+0.0001,IF(OR(B299="",N299=0),0,VLOOKUP(A299,Journal!$C$7:M$84,7)))</f>
        <v>0</v>
      </c>
      <c r="I299" s="87">
        <f t="shared" si="28"/>
        <v>0</v>
      </c>
      <c r="K299" s="13">
        <f>VLOOKUP(A299,Journal!$C$7:$M$84,4)</f>
        <v>0</v>
      </c>
      <c r="L299" s="13">
        <f>VLOOKUP(A299,Journal!$C$7:$M$84,5)</f>
        <v>0</v>
      </c>
      <c r="M299" s="13">
        <f t="shared" si="30"/>
        <v>0</v>
      </c>
      <c r="N299" s="13">
        <f t="shared" si="31"/>
        <v>0</v>
      </c>
      <c r="O299" s="13"/>
      <c r="P299" s="13">
        <f t="shared" si="32"/>
        <v>1.0000000000000001E-5</v>
      </c>
      <c r="T299" t="str">
        <f t="shared" si="27"/>
        <v/>
      </c>
    </row>
    <row r="300" spans="1:20" x14ac:dyDescent="0.25">
      <c r="A300">
        <f t="shared" si="29"/>
        <v>293</v>
      </c>
      <c r="B300" s="88" t="str">
        <f>IF(OR(B299="Total",B299=""),"",IF(VLOOKUP(A300,Journal!$C$7:$E$84,3)=0,"Total",VLOOKUP(A300,Journal!$C$7:$D$84,2)))</f>
        <v/>
      </c>
      <c r="C300" s="86" t="str">
        <f>IF(B300="","",VLOOKUP(A300,Journal!$C$7:$E$84,3))</f>
        <v/>
      </c>
      <c r="D300" s="84" t="str">
        <f>IF(B300="","",VLOOKUP(A300,Journal!$C$7:$J$84,8))</f>
        <v/>
      </c>
      <c r="E300" s="84" t="str">
        <f>IF(B300="","",VLOOKUP(A300,Journal!$C$7:$L$84,10))</f>
        <v/>
      </c>
      <c r="F300" s="84" t="str">
        <f>IF(B300="","",VLOOKUP(A300,Journal!$C$7:$M$84,11))</f>
        <v/>
      </c>
      <c r="G300" s="102">
        <f>IF(B300="Total",SUM(G$8:G299)+0.0001,IF(OR(B300="",M300=0),0,VLOOKUP(A300,Journal!$C$7:M$84,7)))</f>
        <v>0</v>
      </c>
      <c r="H300" s="102">
        <f>IF(B300="Total",SUM(H$8:H299)+0.0001,IF(OR(B300="",N300=0),0,VLOOKUP(A300,Journal!$C$7:M$84,7)))</f>
        <v>0</v>
      </c>
      <c r="I300" s="87">
        <f t="shared" si="28"/>
        <v>0</v>
      </c>
      <c r="K300" s="13">
        <f>VLOOKUP(A300,Journal!$C$7:$M$84,4)</f>
        <v>0</v>
      </c>
      <c r="L300" s="13">
        <f>VLOOKUP(A300,Journal!$C$7:$M$84,5)</f>
        <v>0</v>
      </c>
      <c r="M300" s="13">
        <f t="shared" si="30"/>
        <v>0</v>
      </c>
      <c r="N300" s="13">
        <f t="shared" si="31"/>
        <v>0</v>
      </c>
      <c r="O300" s="13"/>
      <c r="P300" s="13">
        <f t="shared" si="32"/>
        <v>1.0000000000000001E-5</v>
      </c>
      <c r="T300" t="str">
        <f t="shared" si="27"/>
        <v/>
      </c>
    </row>
    <row r="301" spans="1:20" x14ac:dyDescent="0.25">
      <c r="A301">
        <f t="shared" si="29"/>
        <v>294</v>
      </c>
      <c r="B301" s="88" t="str">
        <f>IF(OR(B300="Total",B300=""),"",IF(VLOOKUP(A301,Journal!$C$7:$E$84,3)=0,"Total",VLOOKUP(A301,Journal!$C$7:$D$84,2)))</f>
        <v/>
      </c>
      <c r="C301" s="86" t="str">
        <f>IF(B301="","",VLOOKUP(A301,Journal!$C$7:$E$84,3))</f>
        <v/>
      </c>
      <c r="D301" s="84" t="str">
        <f>IF(B301="","",VLOOKUP(A301,Journal!$C$7:$J$84,8))</f>
        <v/>
      </c>
      <c r="E301" s="84" t="str">
        <f>IF(B301="","",VLOOKUP(A301,Journal!$C$7:$L$84,10))</f>
        <v/>
      </c>
      <c r="F301" s="84" t="str">
        <f>IF(B301="","",VLOOKUP(A301,Journal!$C$7:$M$84,11))</f>
        <v/>
      </c>
      <c r="G301" s="102">
        <f>IF(B301="Total",SUM(G$8:G300)+0.0001,IF(OR(B301="",M301=0),0,VLOOKUP(A301,Journal!$C$7:M$84,7)))</f>
        <v>0</v>
      </c>
      <c r="H301" s="102">
        <f>IF(B301="Total",SUM(H$8:H300)+0.0001,IF(OR(B301="",N301=0),0,VLOOKUP(A301,Journal!$C$7:M$84,7)))</f>
        <v>0</v>
      </c>
      <c r="I301" s="87">
        <f t="shared" si="28"/>
        <v>0</v>
      </c>
      <c r="K301" s="13">
        <f>VLOOKUP(A301,Journal!$C$7:$M$84,4)</f>
        <v>0</v>
      </c>
      <c r="L301" s="13">
        <f>VLOOKUP(A301,Journal!$C$7:$M$84,5)</f>
        <v>0</v>
      </c>
      <c r="M301" s="13">
        <f t="shared" si="30"/>
        <v>0</v>
      </c>
      <c r="N301" s="13">
        <f t="shared" si="31"/>
        <v>0</v>
      </c>
      <c r="O301" s="13"/>
      <c r="P301" s="13">
        <f t="shared" si="32"/>
        <v>1.0000000000000001E-5</v>
      </c>
      <c r="T301" t="str">
        <f t="shared" si="27"/>
        <v/>
      </c>
    </row>
    <row r="302" spans="1:20" x14ac:dyDescent="0.25">
      <c r="A302">
        <f t="shared" si="29"/>
        <v>295</v>
      </c>
      <c r="B302" s="88" t="str">
        <f>IF(OR(B301="Total",B301=""),"",IF(VLOOKUP(A302,Journal!$C$7:$E$84,3)=0,"Total",VLOOKUP(A302,Journal!$C$7:$D$84,2)))</f>
        <v/>
      </c>
      <c r="C302" s="86" t="str">
        <f>IF(B302="","",VLOOKUP(A302,Journal!$C$7:$E$84,3))</f>
        <v/>
      </c>
      <c r="D302" s="84" t="str">
        <f>IF(B302="","",VLOOKUP(A302,Journal!$C$7:$J$84,8))</f>
        <v/>
      </c>
      <c r="E302" s="84" t="str">
        <f>IF(B302="","",VLOOKUP(A302,Journal!$C$7:$L$84,10))</f>
        <v/>
      </c>
      <c r="F302" s="84" t="str">
        <f>IF(B302="","",VLOOKUP(A302,Journal!$C$7:$M$84,11))</f>
        <v/>
      </c>
      <c r="G302" s="102">
        <f>IF(B302="Total",SUM(G$8:G301)+0.0001,IF(OR(B302="",M302=0),0,VLOOKUP(A302,Journal!$C$7:M$84,7)))</f>
        <v>0</v>
      </c>
      <c r="H302" s="102">
        <f>IF(B302="Total",SUM(H$8:H301)+0.0001,IF(OR(B302="",N302=0),0,VLOOKUP(A302,Journal!$C$7:M$84,7)))</f>
        <v>0</v>
      </c>
      <c r="I302" s="87">
        <f t="shared" si="28"/>
        <v>0</v>
      </c>
      <c r="K302" s="13">
        <f>VLOOKUP(A302,Journal!$C$7:$M$84,4)</f>
        <v>0</v>
      </c>
      <c r="L302" s="13">
        <f>VLOOKUP(A302,Journal!$C$7:$M$84,5)</f>
        <v>0</v>
      </c>
      <c r="M302" s="13">
        <f t="shared" si="30"/>
        <v>0</v>
      </c>
      <c r="N302" s="13">
        <f t="shared" si="31"/>
        <v>0</v>
      </c>
      <c r="O302" s="13"/>
      <c r="P302" s="13">
        <f t="shared" si="32"/>
        <v>1.0000000000000001E-5</v>
      </c>
      <c r="T302" t="str">
        <f t="shared" si="27"/>
        <v/>
      </c>
    </row>
    <row r="303" spans="1:20" x14ac:dyDescent="0.25">
      <c r="A303">
        <f t="shared" si="29"/>
        <v>296</v>
      </c>
      <c r="B303" s="88" t="str">
        <f>IF(OR(B302="Total",B302=""),"",IF(VLOOKUP(A303,Journal!$C$7:$E$84,3)=0,"Total",VLOOKUP(A303,Journal!$C$7:$D$84,2)))</f>
        <v/>
      </c>
      <c r="C303" s="86" t="str">
        <f>IF(B303="","",VLOOKUP(A303,Journal!$C$7:$E$84,3))</f>
        <v/>
      </c>
      <c r="D303" s="84" t="str">
        <f>IF(B303="","",VLOOKUP(A303,Journal!$C$7:$J$84,8))</f>
        <v/>
      </c>
      <c r="E303" s="84" t="str">
        <f>IF(B303="","",VLOOKUP(A303,Journal!$C$7:$L$84,10))</f>
        <v/>
      </c>
      <c r="F303" s="84" t="str">
        <f>IF(B303="","",VLOOKUP(A303,Journal!$C$7:$M$84,11))</f>
        <v/>
      </c>
      <c r="G303" s="102">
        <f>IF(B303="Total",SUM(G$8:G302)+0.0001,IF(OR(B303="",M303=0),0,VLOOKUP(A303,Journal!$C$7:M$84,7)))</f>
        <v>0</v>
      </c>
      <c r="H303" s="102">
        <f>IF(B303="Total",SUM(H$8:H302)+0.0001,IF(OR(B303="",N303=0),0,VLOOKUP(A303,Journal!$C$7:M$84,7)))</f>
        <v>0</v>
      </c>
      <c r="I303" s="87">
        <f t="shared" si="28"/>
        <v>0</v>
      </c>
      <c r="K303" s="13">
        <f>VLOOKUP(A303,Journal!$C$7:$M$84,4)</f>
        <v>0</v>
      </c>
      <c r="L303" s="13">
        <f>VLOOKUP(A303,Journal!$C$7:$M$84,5)</f>
        <v>0</v>
      </c>
      <c r="M303" s="13">
        <f t="shared" si="30"/>
        <v>0</v>
      </c>
      <c r="N303" s="13">
        <f t="shared" si="31"/>
        <v>0</v>
      </c>
      <c r="O303" s="13"/>
      <c r="P303" s="13">
        <f t="shared" si="32"/>
        <v>1.0000000000000001E-5</v>
      </c>
      <c r="T303" t="str">
        <f t="shared" si="27"/>
        <v/>
      </c>
    </row>
    <row r="304" spans="1:20" x14ac:dyDescent="0.25">
      <c r="A304">
        <f t="shared" si="29"/>
        <v>297</v>
      </c>
      <c r="B304" s="88" t="str">
        <f>IF(OR(B303="Total",B303=""),"",IF(VLOOKUP(A304,Journal!$C$7:$E$84,3)=0,"Total",VLOOKUP(A304,Journal!$C$7:$D$84,2)))</f>
        <v/>
      </c>
      <c r="C304" s="86" t="str">
        <f>IF(B304="","",VLOOKUP(A304,Journal!$C$7:$E$84,3))</f>
        <v/>
      </c>
      <c r="D304" s="84" t="str">
        <f>IF(B304="","",VLOOKUP(A304,Journal!$C$7:$J$84,8))</f>
        <v/>
      </c>
      <c r="E304" s="84" t="str">
        <f>IF(B304="","",VLOOKUP(A304,Journal!$C$7:$L$84,10))</f>
        <v/>
      </c>
      <c r="F304" s="84" t="str">
        <f>IF(B304="","",VLOOKUP(A304,Journal!$C$7:$M$84,11))</f>
        <v/>
      </c>
      <c r="G304" s="102">
        <f>IF(B304="Total",SUM(G$8:G303)+0.0001,IF(OR(B304="",M304=0),0,VLOOKUP(A304,Journal!$C$7:M$84,7)))</f>
        <v>0</v>
      </c>
      <c r="H304" s="102">
        <f>IF(B304="Total",SUM(H$8:H303)+0.0001,IF(OR(B304="",N304=0),0,VLOOKUP(A304,Journal!$C$7:M$84,7)))</f>
        <v>0</v>
      </c>
      <c r="I304" s="87">
        <f t="shared" si="28"/>
        <v>0</v>
      </c>
      <c r="K304" s="13">
        <f>VLOOKUP(A304,Journal!$C$7:$M$84,4)</f>
        <v>0</v>
      </c>
      <c r="L304" s="13">
        <f>VLOOKUP(A304,Journal!$C$7:$M$84,5)</f>
        <v>0</v>
      </c>
      <c r="M304" s="13">
        <f t="shared" si="30"/>
        <v>0</v>
      </c>
      <c r="N304" s="13">
        <f t="shared" si="31"/>
        <v>0</v>
      </c>
      <c r="O304" s="13"/>
      <c r="P304" s="13">
        <f t="shared" si="32"/>
        <v>1.0000000000000001E-5</v>
      </c>
      <c r="T304" t="str">
        <f t="shared" si="27"/>
        <v/>
      </c>
    </row>
    <row r="305" spans="1:20" x14ac:dyDescent="0.25">
      <c r="A305">
        <f t="shared" si="29"/>
        <v>298</v>
      </c>
      <c r="B305" s="88" t="str">
        <f>IF(OR(B304="Total",B304=""),"",IF(VLOOKUP(A305,Journal!$C$7:$E$84,3)=0,"Total",VLOOKUP(A305,Journal!$C$7:$D$84,2)))</f>
        <v/>
      </c>
      <c r="C305" s="86" t="str">
        <f>IF(B305="","",VLOOKUP(A305,Journal!$C$7:$E$84,3))</f>
        <v/>
      </c>
      <c r="D305" s="84" t="str">
        <f>IF(B305="","",VLOOKUP(A305,Journal!$C$7:$J$84,8))</f>
        <v/>
      </c>
      <c r="E305" s="84" t="str">
        <f>IF(B305="","",VLOOKUP(A305,Journal!$C$7:$L$84,10))</f>
        <v/>
      </c>
      <c r="F305" s="84" t="str">
        <f>IF(B305="","",VLOOKUP(A305,Journal!$C$7:$M$84,11))</f>
        <v/>
      </c>
      <c r="G305" s="102">
        <f>IF(B305="Total",SUM(G$8:G304)+0.0001,IF(OR(B305="",M305=0),0,VLOOKUP(A305,Journal!$C$7:M$84,7)))</f>
        <v>0</v>
      </c>
      <c r="H305" s="102">
        <f>IF(B305="Total",SUM(H$8:H304)+0.0001,IF(OR(B305="",N305=0),0,VLOOKUP(A305,Journal!$C$7:M$84,7)))</f>
        <v>0</v>
      </c>
      <c r="I305" s="87">
        <f t="shared" si="28"/>
        <v>0</v>
      </c>
      <c r="K305" s="13">
        <f>VLOOKUP(A305,Journal!$C$7:$M$84,4)</f>
        <v>0</v>
      </c>
      <c r="L305" s="13">
        <f>VLOOKUP(A305,Journal!$C$7:$M$84,5)</f>
        <v>0</v>
      </c>
      <c r="M305" s="13">
        <f t="shared" si="30"/>
        <v>0</v>
      </c>
      <c r="N305" s="13">
        <f t="shared" si="31"/>
        <v>0</v>
      </c>
      <c r="O305" s="13"/>
      <c r="P305" s="13">
        <f t="shared" si="32"/>
        <v>1.0000000000000001E-5</v>
      </c>
      <c r="T305" t="str">
        <f t="shared" si="27"/>
        <v/>
      </c>
    </row>
    <row r="306" spans="1:20" x14ac:dyDescent="0.25">
      <c r="A306">
        <f t="shared" si="29"/>
        <v>299</v>
      </c>
      <c r="B306" s="88" t="str">
        <f>IF(OR(B305="Total",B305=""),"",IF(VLOOKUP(A306,Journal!$C$7:$E$84,3)=0,"Total",VLOOKUP(A306,Journal!$C$7:$D$84,2)))</f>
        <v/>
      </c>
      <c r="C306" s="86" t="str">
        <f>IF(B306="","",VLOOKUP(A306,Journal!$C$7:$E$84,3))</f>
        <v/>
      </c>
      <c r="D306" s="84" t="str">
        <f>IF(B306="","",VLOOKUP(A306,Journal!$C$7:$J$84,8))</f>
        <v/>
      </c>
      <c r="E306" s="84" t="str">
        <f>IF(B306="","",VLOOKUP(A306,Journal!$C$7:$L$84,10))</f>
        <v/>
      </c>
      <c r="F306" s="84" t="str">
        <f>IF(B306="","",VLOOKUP(A306,Journal!$C$7:$M$84,11))</f>
        <v/>
      </c>
      <c r="G306" s="102">
        <f>IF(B306="Total",SUM(G$8:G305)+0.0001,IF(OR(B306="",M306=0),0,VLOOKUP(A306,Journal!$C$7:M$84,7)))</f>
        <v>0</v>
      </c>
      <c r="H306" s="102">
        <f>IF(B306="Total",SUM(H$8:H305)+0.0001,IF(OR(B306="",N306=0),0,VLOOKUP(A306,Journal!$C$7:M$84,7)))</f>
        <v>0</v>
      </c>
      <c r="I306" s="87">
        <f t="shared" si="28"/>
        <v>0</v>
      </c>
      <c r="K306" s="13">
        <f>VLOOKUP(A306,Journal!$C$7:$M$84,4)</f>
        <v>0</v>
      </c>
      <c r="L306" s="13">
        <f>VLOOKUP(A306,Journal!$C$7:$M$84,5)</f>
        <v>0</v>
      </c>
      <c r="M306" s="13">
        <f t="shared" si="30"/>
        <v>0</v>
      </c>
      <c r="N306" s="13">
        <f t="shared" si="31"/>
        <v>0</v>
      </c>
      <c r="O306" s="13"/>
      <c r="P306" s="13">
        <f t="shared" si="32"/>
        <v>1.0000000000000001E-5</v>
      </c>
      <c r="T306" t="str">
        <f t="shared" si="27"/>
        <v/>
      </c>
    </row>
    <row r="307" spans="1:20" x14ac:dyDescent="0.25">
      <c r="A307">
        <f t="shared" si="29"/>
        <v>300</v>
      </c>
      <c r="B307" s="88" t="str">
        <f>IF(OR(B306="Total",B306=""),"",IF(VLOOKUP(A307,Journal!$C$7:$E$84,3)=0,"Total",VLOOKUP(A307,Journal!$C$7:$D$84,2)))</f>
        <v/>
      </c>
      <c r="C307" s="86" t="str">
        <f>IF(B307="","",VLOOKUP(A307,Journal!$C$7:$E$84,3))</f>
        <v/>
      </c>
      <c r="D307" s="84" t="str">
        <f>IF(B307="","",VLOOKUP(A307,Journal!$C$7:$J$84,8))</f>
        <v/>
      </c>
      <c r="E307" s="84" t="str">
        <f>IF(B307="","",VLOOKUP(A307,Journal!$C$7:$L$84,10))</f>
        <v/>
      </c>
      <c r="F307" s="84" t="str">
        <f>IF(B307="","",VLOOKUP(A307,Journal!$C$7:$M$84,11))</f>
        <v/>
      </c>
      <c r="G307" s="102">
        <f>IF(B307="Total",SUM(G$8:G306)+0.0001,IF(OR(B307="",M307=0),0,VLOOKUP(A307,Journal!$C$7:M$84,7)))</f>
        <v>0</v>
      </c>
      <c r="H307" s="102">
        <f>IF(B307="Total",SUM(H$8:H306)+0.0001,IF(OR(B307="",N307=0),0,VLOOKUP(A307,Journal!$C$7:M$84,7)))</f>
        <v>0</v>
      </c>
      <c r="I307" s="87">
        <f t="shared" si="28"/>
        <v>0</v>
      </c>
      <c r="K307" s="13">
        <f>VLOOKUP(A307,Journal!$C$7:$M$84,4)</f>
        <v>0</v>
      </c>
      <c r="L307" s="13">
        <f>VLOOKUP(A307,Journal!$C$7:$M$84,5)</f>
        <v>0</v>
      </c>
      <c r="M307" s="13">
        <f t="shared" si="30"/>
        <v>0</v>
      </c>
      <c r="N307" s="13">
        <f t="shared" si="31"/>
        <v>0</v>
      </c>
      <c r="O307" s="13"/>
      <c r="P307" s="13">
        <f t="shared" si="32"/>
        <v>1.0000000000000001E-5</v>
      </c>
      <c r="T307" t="str">
        <f t="shared" si="27"/>
        <v/>
      </c>
    </row>
    <row r="308" spans="1:20" x14ac:dyDescent="0.25">
      <c r="A308">
        <f t="shared" si="29"/>
        <v>301</v>
      </c>
      <c r="B308" s="88" t="str">
        <f>IF(OR(B307="Total",B307=""),"",IF(VLOOKUP(A308,Journal!$C$7:$E$84,3)=0,"Total",VLOOKUP(A308,Journal!$C$7:$D$84,2)))</f>
        <v/>
      </c>
      <c r="C308" s="86" t="str">
        <f>IF(B308="","",VLOOKUP(A308,Journal!$C$7:$E$84,3))</f>
        <v/>
      </c>
      <c r="D308" s="84" t="str">
        <f>IF(B308="","",VLOOKUP(A308,Journal!$C$7:$J$84,8))</f>
        <v/>
      </c>
      <c r="E308" s="84" t="str">
        <f>IF(B308="","",VLOOKUP(A308,Journal!$C$7:$L$84,10))</f>
        <v/>
      </c>
      <c r="F308" s="84" t="str">
        <f>IF(B308="","",VLOOKUP(A308,Journal!$C$7:$M$84,11))</f>
        <v/>
      </c>
      <c r="G308" s="102">
        <f>IF(B308="Total",SUM(G$8:G307)+0.0001,IF(OR(B308="",M308=0),0,VLOOKUP(A308,Journal!$C$7:M$84,7)))</f>
        <v>0</v>
      </c>
      <c r="H308" s="102">
        <f>IF(B308="Total",SUM(H$8:H307)+0.0001,IF(OR(B308="",N308=0),0,VLOOKUP(A308,Journal!$C$7:M$84,7)))</f>
        <v>0</v>
      </c>
      <c r="I308" s="87">
        <f t="shared" si="28"/>
        <v>0</v>
      </c>
      <c r="K308" s="13">
        <f>VLOOKUP(A308,Journal!$C$7:$M$84,4)</f>
        <v>0</v>
      </c>
      <c r="L308" s="13">
        <f>VLOOKUP(A308,Journal!$C$7:$M$84,5)</f>
        <v>0</v>
      </c>
      <c r="M308" s="13">
        <f t="shared" si="30"/>
        <v>0</v>
      </c>
      <c r="N308" s="13">
        <f t="shared" si="31"/>
        <v>0</v>
      </c>
      <c r="O308" s="13"/>
      <c r="P308" s="13">
        <f t="shared" si="32"/>
        <v>1.0000000000000001E-5</v>
      </c>
      <c r="T308" t="str">
        <f t="shared" si="27"/>
        <v/>
      </c>
    </row>
    <row r="309" spans="1:20" x14ac:dyDescent="0.25">
      <c r="A309">
        <f t="shared" si="29"/>
        <v>302</v>
      </c>
      <c r="B309" s="88" t="str">
        <f>IF(OR(B308="Total",B308=""),"",IF(VLOOKUP(A309,Journal!$C$7:$E$84,3)=0,"Total",VLOOKUP(A309,Journal!$C$7:$D$84,2)))</f>
        <v/>
      </c>
      <c r="C309" s="86" t="str">
        <f>IF(B309="","",VLOOKUP(A309,Journal!$C$7:$E$84,3))</f>
        <v/>
      </c>
      <c r="D309" s="84" t="str">
        <f>IF(B309="","",VLOOKUP(A309,Journal!$C$7:$J$84,8))</f>
        <v/>
      </c>
      <c r="E309" s="84" t="str">
        <f>IF(B309="","",VLOOKUP(A309,Journal!$C$7:$L$84,10))</f>
        <v/>
      </c>
      <c r="F309" s="84" t="str">
        <f>IF(B309="","",VLOOKUP(A309,Journal!$C$7:$M$84,11))</f>
        <v/>
      </c>
      <c r="G309" s="102">
        <f>IF(B309="Total",SUM(G$8:G308)+0.0001,IF(OR(B309="",M309=0),0,VLOOKUP(A309,Journal!$C$7:M$84,7)))</f>
        <v>0</v>
      </c>
      <c r="H309" s="102">
        <f>IF(B309="Total",SUM(H$8:H308)+0.0001,IF(OR(B309="",N309=0),0,VLOOKUP(A309,Journal!$C$7:M$84,7)))</f>
        <v>0</v>
      </c>
      <c r="I309" s="87">
        <f t="shared" si="28"/>
        <v>0</v>
      </c>
      <c r="K309" s="13">
        <f>VLOOKUP(A309,Journal!$C$7:$M$84,4)</f>
        <v>0</v>
      </c>
      <c r="L309" s="13">
        <f>VLOOKUP(A309,Journal!$C$7:$M$84,5)</f>
        <v>0</v>
      </c>
      <c r="M309" s="13">
        <f t="shared" si="30"/>
        <v>0</v>
      </c>
      <c r="N309" s="13">
        <f t="shared" si="31"/>
        <v>0</v>
      </c>
      <c r="O309" s="13"/>
      <c r="P309" s="13">
        <f t="shared" si="32"/>
        <v>1.0000000000000001E-5</v>
      </c>
      <c r="T309" t="str">
        <f t="shared" si="27"/>
        <v/>
      </c>
    </row>
    <row r="310" spans="1:20" x14ac:dyDescent="0.25">
      <c r="A310">
        <f t="shared" si="29"/>
        <v>303</v>
      </c>
      <c r="B310" s="88" t="str">
        <f>IF(OR(B309="Total",B309=""),"",IF(VLOOKUP(A310,Journal!$C$7:$E$84,3)=0,"Total",VLOOKUP(A310,Journal!$C$7:$D$84,2)))</f>
        <v/>
      </c>
      <c r="C310" s="86" t="str">
        <f>IF(B310="","",VLOOKUP(A310,Journal!$C$7:$E$84,3))</f>
        <v/>
      </c>
      <c r="D310" s="84" t="str">
        <f>IF(B310="","",VLOOKUP(A310,Journal!$C$7:$J$84,8))</f>
        <v/>
      </c>
      <c r="E310" s="84" t="str">
        <f>IF(B310="","",VLOOKUP(A310,Journal!$C$7:$L$84,10))</f>
        <v/>
      </c>
      <c r="F310" s="84" t="str">
        <f>IF(B310="","",VLOOKUP(A310,Journal!$C$7:$M$84,11))</f>
        <v/>
      </c>
      <c r="G310" s="102">
        <f>IF(B310="Total",SUM(G$8:G309)+0.0001,IF(OR(B310="",M310=0),0,VLOOKUP(A310,Journal!$C$7:M$84,7)))</f>
        <v>0</v>
      </c>
      <c r="H310" s="102">
        <f>IF(B310="Total",SUM(H$8:H309)+0.0001,IF(OR(B310="",N310=0),0,VLOOKUP(A310,Journal!$C$7:M$84,7)))</f>
        <v>0</v>
      </c>
      <c r="I310" s="87">
        <f t="shared" si="28"/>
        <v>0</v>
      </c>
      <c r="K310" s="13">
        <f>VLOOKUP(A310,Journal!$C$7:$M$84,4)</f>
        <v>0</v>
      </c>
      <c r="L310" s="13">
        <f>VLOOKUP(A310,Journal!$C$7:$M$84,5)</f>
        <v>0</v>
      </c>
      <c r="M310" s="13">
        <f t="shared" si="30"/>
        <v>0</v>
      </c>
      <c r="N310" s="13">
        <f t="shared" si="31"/>
        <v>0</v>
      </c>
      <c r="O310" s="13"/>
      <c r="P310" s="13">
        <f t="shared" si="32"/>
        <v>1.0000000000000001E-5</v>
      </c>
      <c r="T310" t="str">
        <f t="shared" si="27"/>
        <v/>
      </c>
    </row>
    <row r="311" spans="1:20" x14ac:dyDescent="0.25">
      <c r="A311">
        <f t="shared" si="29"/>
        <v>304</v>
      </c>
      <c r="B311" s="88" t="str">
        <f>IF(OR(B310="Total",B310=""),"",IF(VLOOKUP(A311,Journal!$C$7:$E$84,3)=0,"Total",VLOOKUP(A311,Journal!$C$7:$D$84,2)))</f>
        <v/>
      </c>
      <c r="C311" s="86" t="str">
        <f>IF(B311="","",VLOOKUP(A311,Journal!$C$7:$E$84,3))</f>
        <v/>
      </c>
      <c r="D311" s="84" t="str">
        <f>IF(B311="","",VLOOKUP(A311,Journal!$C$7:$J$84,8))</f>
        <v/>
      </c>
      <c r="E311" s="84" t="str">
        <f>IF(B311="","",VLOOKUP(A311,Journal!$C$7:$L$84,10))</f>
        <v/>
      </c>
      <c r="F311" s="84" t="str">
        <f>IF(B311="","",VLOOKUP(A311,Journal!$C$7:$M$84,11))</f>
        <v/>
      </c>
      <c r="G311" s="102">
        <f>IF(B311="Total",SUM(G$8:G310)+0.0001,IF(OR(B311="",M311=0),0,VLOOKUP(A311,Journal!$C$7:M$84,7)))</f>
        <v>0</v>
      </c>
      <c r="H311" s="102">
        <f>IF(B311="Total",SUM(H$8:H310)+0.0001,IF(OR(B311="",N311=0),0,VLOOKUP(A311,Journal!$C$7:M$84,7)))</f>
        <v>0</v>
      </c>
      <c r="I311" s="87">
        <f t="shared" si="28"/>
        <v>0</v>
      </c>
      <c r="K311" s="13">
        <f>VLOOKUP(A311,Journal!$C$7:$M$84,4)</f>
        <v>0</v>
      </c>
      <c r="L311" s="13">
        <f>VLOOKUP(A311,Journal!$C$7:$M$84,5)</f>
        <v>0</v>
      </c>
      <c r="M311" s="13">
        <f t="shared" si="30"/>
        <v>0</v>
      </c>
      <c r="N311" s="13">
        <f t="shared" si="31"/>
        <v>0</v>
      </c>
      <c r="O311" s="13"/>
      <c r="P311" s="13">
        <f t="shared" si="32"/>
        <v>1.0000000000000001E-5</v>
      </c>
      <c r="T311" t="str">
        <f t="shared" si="27"/>
        <v/>
      </c>
    </row>
    <row r="312" spans="1:20" x14ac:dyDescent="0.25">
      <c r="A312">
        <f t="shared" si="29"/>
        <v>305</v>
      </c>
      <c r="B312" s="88" t="str">
        <f>IF(OR(B311="Total",B311=""),"",IF(VLOOKUP(A312,Journal!$C$7:$E$84,3)=0,"Total",VLOOKUP(A312,Journal!$C$7:$D$84,2)))</f>
        <v/>
      </c>
      <c r="C312" s="86" t="str">
        <f>IF(B312="","",VLOOKUP(A312,Journal!$C$7:$E$84,3))</f>
        <v/>
      </c>
      <c r="D312" s="84" t="str">
        <f>IF(B312="","",VLOOKUP(A312,Journal!$C$7:$J$84,8))</f>
        <v/>
      </c>
      <c r="E312" s="84" t="str">
        <f>IF(B312="","",VLOOKUP(A312,Journal!$C$7:$L$84,10))</f>
        <v/>
      </c>
      <c r="F312" s="84" t="str">
        <f>IF(B312="","",VLOOKUP(A312,Journal!$C$7:$M$84,11))</f>
        <v/>
      </c>
      <c r="G312" s="102">
        <f>IF(B312="Total",SUM(G$8:G311)+0.0001,IF(OR(B312="",M312=0),0,VLOOKUP(A312,Journal!$C$7:M$84,7)))</f>
        <v>0</v>
      </c>
      <c r="H312" s="102">
        <f>IF(B312="Total",SUM(H$8:H311)+0.0001,IF(OR(B312="",N312=0),0,VLOOKUP(A312,Journal!$C$7:M$84,7)))</f>
        <v>0</v>
      </c>
      <c r="I312" s="87">
        <f t="shared" si="28"/>
        <v>0</v>
      </c>
      <c r="K312" s="13">
        <f>VLOOKUP(A312,Journal!$C$7:$M$84,4)</f>
        <v>0</v>
      </c>
      <c r="L312" s="13">
        <f>VLOOKUP(A312,Journal!$C$7:$M$84,5)</f>
        <v>0</v>
      </c>
      <c r="M312" s="13">
        <f t="shared" si="30"/>
        <v>0</v>
      </c>
      <c r="N312" s="13">
        <f t="shared" si="31"/>
        <v>0</v>
      </c>
      <c r="O312" s="13"/>
      <c r="P312" s="13">
        <f t="shared" si="32"/>
        <v>1.0000000000000001E-5</v>
      </c>
      <c r="T312" t="str">
        <f t="shared" si="27"/>
        <v/>
      </c>
    </row>
    <row r="313" spans="1:20" x14ac:dyDescent="0.25">
      <c r="A313">
        <f t="shared" si="29"/>
        <v>306</v>
      </c>
      <c r="B313" s="88" t="str">
        <f>IF(OR(B312="Total",B312=""),"",IF(VLOOKUP(A313,Journal!$C$7:$E$84,3)=0,"Total",VLOOKUP(A313,Journal!$C$7:$D$84,2)))</f>
        <v/>
      </c>
      <c r="C313" s="86" t="str">
        <f>IF(B313="","",VLOOKUP(A313,Journal!$C$7:$E$84,3))</f>
        <v/>
      </c>
      <c r="D313" s="84" t="str">
        <f>IF(B313="","",VLOOKUP(A313,Journal!$C$7:$J$84,8))</f>
        <v/>
      </c>
      <c r="E313" s="84" t="str">
        <f>IF(B313="","",VLOOKUP(A313,Journal!$C$7:$L$84,10))</f>
        <v/>
      </c>
      <c r="F313" s="84" t="str">
        <f>IF(B313="","",VLOOKUP(A313,Journal!$C$7:$M$84,11))</f>
        <v/>
      </c>
      <c r="G313" s="102">
        <f>IF(B313="Total",SUM(G$8:G312)+0.0001,IF(OR(B313="",M313=0),0,VLOOKUP(A313,Journal!$C$7:M$84,7)))</f>
        <v>0</v>
      </c>
      <c r="H313" s="102">
        <f>IF(B313="Total",SUM(H$8:H312)+0.0001,IF(OR(B313="",N313=0),0,VLOOKUP(A313,Journal!$C$7:M$84,7)))</f>
        <v>0</v>
      </c>
      <c r="I313" s="87">
        <f t="shared" si="28"/>
        <v>0</v>
      </c>
      <c r="K313" s="13">
        <f>VLOOKUP(A313,Journal!$C$7:$M$84,4)</f>
        <v>0</v>
      </c>
      <c r="L313" s="13">
        <f>VLOOKUP(A313,Journal!$C$7:$M$84,5)</f>
        <v>0</v>
      </c>
      <c r="M313" s="13">
        <f t="shared" si="30"/>
        <v>0</v>
      </c>
      <c r="N313" s="13">
        <f t="shared" si="31"/>
        <v>0</v>
      </c>
      <c r="O313" s="13"/>
      <c r="P313" s="13">
        <f t="shared" si="32"/>
        <v>1.0000000000000001E-5</v>
      </c>
      <c r="T313" t="str">
        <f t="shared" si="27"/>
        <v/>
      </c>
    </row>
    <row r="314" spans="1:20" x14ac:dyDescent="0.25">
      <c r="A314">
        <f t="shared" si="29"/>
        <v>307</v>
      </c>
      <c r="B314" s="88" t="str">
        <f>IF(OR(B313="Total",B313=""),"",IF(VLOOKUP(A314,Journal!$C$7:$E$84,3)=0,"Total",VLOOKUP(A314,Journal!$C$7:$D$84,2)))</f>
        <v/>
      </c>
      <c r="C314" s="86" t="str">
        <f>IF(B314="","",VLOOKUP(A314,Journal!$C$7:$E$84,3))</f>
        <v/>
      </c>
      <c r="D314" s="84" t="str">
        <f>IF(B314="","",VLOOKUP(A314,Journal!$C$7:$J$84,8))</f>
        <v/>
      </c>
      <c r="E314" s="84" t="str">
        <f>IF(B314="","",VLOOKUP(A314,Journal!$C$7:$L$84,10))</f>
        <v/>
      </c>
      <c r="F314" s="84" t="str">
        <f>IF(B314="","",VLOOKUP(A314,Journal!$C$7:$M$84,11))</f>
        <v/>
      </c>
      <c r="G314" s="102">
        <f>IF(B314="Total",SUM(G$8:G313)+0.0001,IF(OR(B314="",M314=0),0,VLOOKUP(A314,Journal!$C$7:M$84,7)))</f>
        <v>0</v>
      </c>
      <c r="H314" s="102">
        <f>IF(B314="Total",SUM(H$8:H313)+0.0001,IF(OR(B314="",N314=0),0,VLOOKUP(A314,Journal!$C$7:M$84,7)))</f>
        <v>0</v>
      </c>
      <c r="I314" s="87">
        <f t="shared" si="28"/>
        <v>0</v>
      </c>
      <c r="K314" s="13">
        <f>VLOOKUP(A314,Journal!$C$7:$M$84,4)</f>
        <v>0</v>
      </c>
      <c r="L314" s="13">
        <f>VLOOKUP(A314,Journal!$C$7:$M$84,5)</f>
        <v>0</v>
      </c>
      <c r="M314" s="13">
        <f t="shared" si="30"/>
        <v>0</v>
      </c>
      <c r="N314" s="13">
        <f t="shared" si="31"/>
        <v>0</v>
      </c>
      <c r="O314" s="13"/>
      <c r="P314" s="13">
        <f t="shared" si="32"/>
        <v>1.0000000000000001E-5</v>
      </c>
      <c r="T314" t="str">
        <f t="shared" si="27"/>
        <v/>
      </c>
    </row>
    <row r="315" spans="1:20" x14ac:dyDescent="0.25">
      <c r="A315">
        <f t="shared" si="29"/>
        <v>308</v>
      </c>
      <c r="B315" s="88" t="str">
        <f>IF(OR(B314="Total",B314=""),"",IF(VLOOKUP(A315,Journal!$C$7:$E$84,3)=0,"Total",VLOOKUP(A315,Journal!$C$7:$D$84,2)))</f>
        <v/>
      </c>
      <c r="C315" s="86" t="str">
        <f>IF(B315="","",VLOOKUP(A315,Journal!$C$7:$E$84,3))</f>
        <v/>
      </c>
      <c r="D315" s="84" t="str">
        <f>IF(B315="","",VLOOKUP(A315,Journal!$C$7:$J$84,8))</f>
        <v/>
      </c>
      <c r="E315" s="84" t="str">
        <f>IF(B315="","",VLOOKUP(A315,Journal!$C$7:$L$84,10))</f>
        <v/>
      </c>
      <c r="F315" s="84" t="str">
        <f>IF(B315="","",VLOOKUP(A315,Journal!$C$7:$M$84,11))</f>
        <v/>
      </c>
      <c r="G315" s="102">
        <f>IF(B315="Total",SUM(G$8:G314)+0.0001,IF(OR(B315="",M315=0),0,VLOOKUP(A315,Journal!$C$7:M$84,7)))</f>
        <v>0</v>
      </c>
      <c r="H315" s="102">
        <f>IF(B315="Total",SUM(H$8:H314)+0.0001,IF(OR(B315="",N315=0),0,VLOOKUP(A315,Journal!$C$7:M$84,7)))</f>
        <v>0</v>
      </c>
      <c r="I315" s="87">
        <f t="shared" si="28"/>
        <v>0</v>
      </c>
      <c r="K315" s="13">
        <f>VLOOKUP(A315,Journal!$C$7:$M$84,4)</f>
        <v>0</v>
      </c>
      <c r="L315" s="13">
        <f>VLOOKUP(A315,Journal!$C$7:$M$84,5)</f>
        <v>0</v>
      </c>
      <c r="M315" s="13">
        <f t="shared" si="30"/>
        <v>0</v>
      </c>
      <c r="N315" s="13">
        <f t="shared" si="31"/>
        <v>0</v>
      </c>
      <c r="O315" s="13"/>
      <c r="P315" s="13">
        <f t="shared" si="32"/>
        <v>1.0000000000000001E-5</v>
      </c>
      <c r="T315" t="str">
        <f t="shared" si="27"/>
        <v/>
      </c>
    </row>
    <row r="316" spans="1:20" x14ac:dyDescent="0.25">
      <c r="A316">
        <f t="shared" si="29"/>
        <v>309</v>
      </c>
      <c r="B316" s="88" t="str">
        <f>IF(OR(B315="Total",B315=""),"",IF(VLOOKUP(A316,Journal!$C$7:$E$84,3)=0,"Total",VLOOKUP(A316,Journal!$C$7:$D$84,2)))</f>
        <v/>
      </c>
      <c r="C316" s="86" t="str">
        <f>IF(B316="","",VLOOKUP(A316,Journal!$C$7:$E$84,3))</f>
        <v/>
      </c>
      <c r="D316" s="84" t="str">
        <f>IF(B316="","",VLOOKUP(A316,Journal!$C$7:$J$84,8))</f>
        <v/>
      </c>
      <c r="E316" s="84" t="str">
        <f>IF(B316="","",VLOOKUP(A316,Journal!$C$7:$L$84,10))</f>
        <v/>
      </c>
      <c r="F316" s="84" t="str">
        <f>IF(B316="","",VLOOKUP(A316,Journal!$C$7:$M$84,11))</f>
        <v/>
      </c>
      <c r="G316" s="102">
        <f>IF(B316="Total",SUM(G$8:G315)+0.0001,IF(OR(B316="",M316=0),0,VLOOKUP(A316,Journal!$C$7:M$84,7)))</f>
        <v>0</v>
      </c>
      <c r="H316" s="102">
        <f>IF(B316="Total",SUM(H$8:H315)+0.0001,IF(OR(B316="",N316=0),0,VLOOKUP(A316,Journal!$C$7:M$84,7)))</f>
        <v>0</v>
      </c>
      <c r="I316" s="87">
        <f t="shared" si="28"/>
        <v>0</v>
      </c>
      <c r="K316" s="13">
        <f>VLOOKUP(A316,Journal!$C$7:$M$84,4)</f>
        <v>0</v>
      </c>
      <c r="L316" s="13">
        <f>VLOOKUP(A316,Journal!$C$7:$M$84,5)</f>
        <v>0</v>
      </c>
      <c r="M316" s="13">
        <f t="shared" si="30"/>
        <v>0</v>
      </c>
      <c r="N316" s="13">
        <f t="shared" si="31"/>
        <v>0</v>
      </c>
      <c r="O316" s="13"/>
      <c r="P316" s="13">
        <f t="shared" si="32"/>
        <v>1.0000000000000001E-5</v>
      </c>
      <c r="T316" t="str">
        <f t="shared" si="27"/>
        <v/>
      </c>
    </row>
    <row r="317" spans="1:20" x14ac:dyDescent="0.25">
      <c r="A317">
        <f t="shared" si="29"/>
        <v>310</v>
      </c>
      <c r="B317" s="88" t="str">
        <f>IF(OR(B316="Total",B316=""),"",IF(VLOOKUP(A317,Journal!$C$7:$E$84,3)=0,"Total",VLOOKUP(A317,Journal!$C$7:$D$84,2)))</f>
        <v/>
      </c>
      <c r="C317" s="86" t="str">
        <f>IF(B317="","",VLOOKUP(A317,Journal!$C$7:$E$84,3))</f>
        <v/>
      </c>
      <c r="D317" s="84" t="str">
        <f>IF(B317="","",VLOOKUP(A317,Journal!$C$7:$J$84,8))</f>
        <v/>
      </c>
      <c r="E317" s="84" t="str">
        <f>IF(B317="","",VLOOKUP(A317,Journal!$C$7:$L$84,10))</f>
        <v/>
      </c>
      <c r="F317" s="84" t="str">
        <f>IF(B317="","",VLOOKUP(A317,Journal!$C$7:$M$84,11))</f>
        <v/>
      </c>
      <c r="G317" s="102">
        <f>IF(B317="Total",SUM(G$8:G316)+0.0001,IF(OR(B317="",M317=0),0,VLOOKUP(A317,Journal!$C$7:M$84,7)))</f>
        <v>0</v>
      </c>
      <c r="H317" s="102">
        <f>IF(B317="Total",SUM(H$8:H316)+0.0001,IF(OR(B317="",N317=0),0,VLOOKUP(A317,Journal!$C$7:M$84,7)))</f>
        <v>0</v>
      </c>
      <c r="I317" s="87">
        <f t="shared" si="28"/>
        <v>0</v>
      </c>
      <c r="K317" s="13">
        <f>VLOOKUP(A317,Journal!$C$7:$M$84,4)</f>
        <v>0</v>
      </c>
      <c r="L317" s="13">
        <f>VLOOKUP(A317,Journal!$C$7:$M$84,5)</f>
        <v>0</v>
      </c>
      <c r="M317" s="13">
        <f t="shared" si="30"/>
        <v>0</v>
      </c>
      <c r="N317" s="13">
        <f t="shared" si="31"/>
        <v>0</v>
      </c>
      <c r="O317" s="13"/>
      <c r="P317" s="13">
        <f t="shared" si="32"/>
        <v>1.0000000000000001E-5</v>
      </c>
      <c r="T317" t="str">
        <f t="shared" si="27"/>
        <v/>
      </c>
    </row>
    <row r="318" spans="1:20" x14ac:dyDescent="0.25">
      <c r="A318">
        <f t="shared" si="29"/>
        <v>311</v>
      </c>
      <c r="B318" s="88" t="str">
        <f>IF(OR(B317="Total",B317=""),"",IF(VLOOKUP(A318,Journal!$C$7:$E$84,3)=0,"Total",VLOOKUP(A318,Journal!$C$7:$D$84,2)))</f>
        <v/>
      </c>
      <c r="C318" s="86" t="str">
        <f>IF(B318="","",VLOOKUP(A318,Journal!$C$7:$E$84,3))</f>
        <v/>
      </c>
      <c r="D318" s="84" t="str">
        <f>IF(B318="","",VLOOKUP(A318,Journal!$C$7:$J$84,8))</f>
        <v/>
      </c>
      <c r="E318" s="84" t="str">
        <f>IF(B318="","",VLOOKUP(A318,Journal!$C$7:$L$84,10))</f>
        <v/>
      </c>
      <c r="F318" s="84" t="str">
        <f>IF(B318="","",VLOOKUP(A318,Journal!$C$7:$M$84,11))</f>
        <v/>
      </c>
      <c r="G318" s="102">
        <f>IF(B318="Total",SUM(G$8:G317)+0.0001,IF(OR(B318="",M318=0),0,VLOOKUP(A318,Journal!$C$7:M$84,7)))</f>
        <v>0</v>
      </c>
      <c r="H318" s="102">
        <f>IF(B318="Total",SUM(H$8:H317)+0.0001,IF(OR(B318="",N318=0),0,VLOOKUP(A318,Journal!$C$7:M$84,7)))</f>
        <v>0</v>
      </c>
      <c r="I318" s="87">
        <f t="shared" si="28"/>
        <v>0</v>
      </c>
      <c r="K318" s="13">
        <f>VLOOKUP(A318,Journal!$C$7:$M$84,4)</f>
        <v>0</v>
      </c>
      <c r="L318" s="13">
        <f>VLOOKUP(A318,Journal!$C$7:$M$84,5)</f>
        <v>0</v>
      </c>
      <c r="M318" s="13">
        <f t="shared" si="30"/>
        <v>0</v>
      </c>
      <c r="N318" s="13">
        <f t="shared" si="31"/>
        <v>0</v>
      </c>
      <c r="O318" s="13"/>
      <c r="P318" s="13">
        <f t="shared" si="32"/>
        <v>1.0000000000000001E-5</v>
      </c>
      <c r="T318" t="str">
        <f t="shared" si="27"/>
        <v/>
      </c>
    </row>
    <row r="319" spans="1:20" x14ac:dyDescent="0.25">
      <c r="A319">
        <f t="shared" si="29"/>
        <v>312</v>
      </c>
      <c r="B319" s="88" t="str">
        <f>IF(OR(B318="Total",B318=""),"",IF(VLOOKUP(A319,Journal!$C$7:$E$84,3)=0,"Total",VLOOKUP(A319,Journal!$C$7:$D$84,2)))</f>
        <v/>
      </c>
      <c r="C319" s="86" t="str">
        <f>IF(B319="","",VLOOKUP(A319,Journal!$C$7:$E$84,3))</f>
        <v/>
      </c>
      <c r="D319" s="84" t="str">
        <f>IF(B319="","",VLOOKUP(A319,Journal!$C$7:$J$84,8))</f>
        <v/>
      </c>
      <c r="E319" s="84" t="str">
        <f>IF(B319="","",VLOOKUP(A319,Journal!$C$7:$L$84,10))</f>
        <v/>
      </c>
      <c r="F319" s="84" t="str">
        <f>IF(B319="","",VLOOKUP(A319,Journal!$C$7:$M$84,11))</f>
        <v/>
      </c>
      <c r="G319" s="102">
        <f>IF(B319="Total",SUM(G$8:G318)+0.0001,IF(OR(B319="",M319=0),0,VLOOKUP(A319,Journal!$C$7:M$84,7)))</f>
        <v>0</v>
      </c>
      <c r="H319" s="102">
        <f>IF(B319="Total",SUM(H$8:H318)+0.0001,IF(OR(B319="",N319=0),0,VLOOKUP(A319,Journal!$C$7:M$84,7)))</f>
        <v>0</v>
      </c>
      <c r="I319" s="87">
        <f t="shared" si="28"/>
        <v>0</v>
      </c>
      <c r="K319" s="13">
        <f>VLOOKUP(A319,Journal!$C$7:$M$84,4)</f>
        <v>0</v>
      </c>
      <c r="L319" s="13">
        <f>VLOOKUP(A319,Journal!$C$7:$M$84,5)</f>
        <v>0</v>
      </c>
      <c r="M319" s="13">
        <f t="shared" si="30"/>
        <v>0</v>
      </c>
      <c r="N319" s="13">
        <f t="shared" si="31"/>
        <v>0</v>
      </c>
      <c r="O319" s="13"/>
      <c r="P319" s="13">
        <f t="shared" si="32"/>
        <v>1.0000000000000001E-5</v>
      </c>
      <c r="T319" t="str">
        <f t="shared" si="27"/>
        <v/>
      </c>
    </row>
    <row r="320" spans="1:20" x14ac:dyDescent="0.25">
      <c r="A320">
        <f t="shared" si="29"/>
        <v>313</v>
      </c>
      <c r="B320" s="88" t="str">
        <f>IF(OR(B319="Total",B319=""),"",IF(VLOOKUP(A320,Journal!$C$7:$E$84,3)=0,"Total",VLOOKUP(A320,Journal!$C$7:$D$84,2)))</f>
        <v/>
      </c>
      <c r="C320" s="86" t="str">
        <f>IF(B320="","",VLOOKUP(A320,Journal!$C$7:$E$84,3))</f>
        <v/>
      </c>
      <c r="D320" s="84" t="str">
        <f>IF(B320="","",VLOOKUP(A320,Journal!$C$7:$J$84,8))</f>
        <v/>
      </c>
      <c r="E320" s="84" t="str">
        <f>IF(B320="","",VLOOKUP(A320,Journal!$C$7:$L$84,10))</f>
        <v/>
      </c>
      <c r="F320" s="84" t="str">
        <f>IF(B320="","",VLOOKUP(A320,Journal!$C$7:$M$84,11))</f>
        <v/>
      </c>
      <c r="G320" s="102">
        <f>IF(B320="Total",SUM(G$8:G319)+0.0001,IF(OR(B320="",M320=0),0,VLOOKUP(A320,Journal!$C$7:M$84,7)))</f>
        <v>0</v>
      </c>
      <c r="H320" s="102">
        <f>IF(B320="Total",SUM(H$8:H319)+0.0001,IF(OR(B320="",N320=0),0,VLOOKUP(A320,Journal!$C$7:M$84,7)))</f>
        <v>0</v>
      </c>
      <c r="I320" s="87">
        <f t="shared" si="28"/>
        <v>0</v>
      </c>
      <c r="K320" s="13">
        <f>VLOOKUP(A320,Journal!$C$7:$M$84,4)</f>
        <v>0</v>
      </c>
      <c r="L320" s="13">
        <f>VLOOKUP(A320,Journal!$C$7:$M$84,5)</f>
        <v>0</v>
      </c>
      <c r="M320" s="13">
        <f t="shared" si="30"/>
        <v>0</v>
      </c>
      <c r="N320" s="13">
        <f t="shared" si="31"/>
        <v>0</v>
      </c>
      <c r="O320" s="13"/>
      <c r="P320" s="13">
        <f t="shared" si="32"/>
        <v>1.0000000000000001E-5</v>
      </c>
      <c r="T320" t="str">
        <f t="shared" si="27"/>
        <v/>
      </c>
    </row>
    <row r="321" spans="1:20" x14ac:dyDescent="0.25">
      <c r="A321">
        <f t="shared" si="29"/>
        <v>314</v>
      </c>
      <c r="B321" s="88" t="str">
        <f>IF(OR(B320="Total",B320=""),"",IF(VLOOKUP(A321,Journal!$C$7:$E$84,3)=0,"Total",VLOOKUP(A321,Journal!$C$7:$D$84,2)))</f>
        <v/>
      </c>
      <c r="C321" s="86" t="str">
        <f>IF(B321="","",VLOOKUP(A321,Journal!$C$7:$E$84,3))</f>
        <v/>
      </c>
      <c r="D321" s="84" t="str">
        <f>IF(B321="","",VLOOKUP(A321,Journal!$C$7:$J$84,8))</f>
        <v/>
      </c>
      <c r="E321" s="84" t="str">
        <f>IF(B321="","",VLOOKUP(A321,Journal!$C$7:$L$84,10))</f>
        <v/>
      </c>
      <c r="F321" s="84" t="str">
        <f>IF(B321="","",VLOOKUP(A321,Journal!$C$7:$M$84,11))</f>
        <v/>
      </c>
      <c r="G321" s="102">
        <f>IF(B321="Total",SUM(G$8:G320)+0.0001,IF(OR(B321="",M321=0),0,VLOOKUP(A321,Journal!$C$7:M$84,7)))</f>
        <v>0</v>
      </c>
      <c r="H321" s="102">
        <f>IF(B321="Total",SUM(H$8:H320)+0.0001,IF(OR(B321="",N321=0),0,VLOOKUP(A321,Journal!$C$7:M$84,7)))</f>
        <v>0</v>
      </c>
      <c r="I321" s="87">
        <f t="shared" si="28"/>
        <v>0</v>
      </c>
      <c r="K321" s="13">
        <f>VLOOKUP(A321,Journal!$C$7:$M$84,4)</f>
        <v>0</v>
      </c>
      <c r="L321" s="13">
        <f>VLOOKUP(A321,Journal!$C$7:$M$84,5)</f>
        <v>0</v>
      </c>
      <c r="M321" s="13">
        <f t="shared" si="30"/>
        <v>0</v>
      </c>
      <c r="N321" s="13">
        <f t="shared" si="31"/>
        <v>0</v>
      </c>
      <c r="O321" s="13"/>
      <c r="P321" s="13">
        <f t="shared" si="32"/>
        <v>1.0000000000000001E-5</v>
      </c>
      <c r="T321" t="str">
        <f t="shared" si="27"/>
        <v/>
      </c>
    </row>
    <row r="322" spans="1:20" x14ac:dyDescent="0.25">
      <c r="A322">
        <f t="shared" si="29"/>
        <v>315</v>
      </c>
      <c r="B322" s="88" t="str">
        <f>IF(OR(B321="Total",B321=""),"",IF(VLOOKUP(A322,Journal!$C$7:$E$84,3)=0,"Total",VLOOKUP(A322,Journal!$C$7:$D$84,2)))</f>
        <v/>
      </c>
      <c r="C322" s="86" t="str">
        <f>IF(B322="","",VLOOKUP(A322,Journal!$C$7:$E$84,3))</f>
        <v/>
      </c>
      <c r="D322" s="84" t="str">
        <f>IF(B322="","",VLOOKUP(A322,Journal!$C$7:$J$84,8))</f>
        <v/>
      </c>
      <c r="E322" s="84" t="str">
        <f>IF(B322="","",VLOOKUP(A322,Journal!$C$7:$L$84,10))</f>
        <v/>
      </c>
      <c r="F322" s="84" t="str">
        <f>IF(B322="","",VLOOKUP(A322,Journal!$C$7:$M$84,11))</f>
        <v/>
      </c>
      <c r="G322" s="102">
        <f>IF(B322="Total",SUM(G$8:G321)+0.0001,IF(OR(B322="",M322=0),0,VLOOKUP(A322,Journal!$C$7:M$84,7)))</f>
        <v>0</v>
      </c>
      <c r="H322" s="102">
        <f>IF(B322="Total",SUM(H$8:H321)+0.0001,IF(OR(B322="",N322=0),0,VLOOKUP(A322,Journal!$C$7:M$84,7)))</f>
        <v>0</v>
      </c>
      <c r="I322" s="87">
        <f t="shared" si="28"/>
        <v>0</v>
      </c>
      <c r="K322" s="13">
        <f>VLOOKUP(A322,Journal!$C$7:$M$84,4)</f>
        <v>0</v>
      </c>
      <c r="L322" s="13">
        <f>VLOOKUP(A322,Journal!$C$7:$M$84,5)</f>
        <v>0</v>
      </c>
      <c r="M322" s="13">
        <f t="shared" si="30"/>
        <v>0</v>
      </c>
      <c r="N322" s="13">
        <f t="shared" si="31"/>
        <v>0</v>
      </c>
      <c r="O322" s="13"/>
      <c r="P322" s="13">
        <f t="shared" si="32"/>
        <v>1.0000000000000001E-5</v>
      </c>
      <c r="T322" t="str">
        <f t="shared" si="27"/>
        <v/>
      </c>
    </row>
    <row r="323" spans="1:20" x14ac:dyDescent="0.25">
      <c r="A323">
        <f t="shared" si="29"/>
        <v>316</v>
      </c>
      <c r="B323" s="88" t="str">
        <f>IF(OR(B322="Total",B322=""),"",IF(VLOOKUP(A323,Journal!$C$7:$E$84,3)=0,"Total",VLOOKUP(A323,Journal!$C$7:$D$84,2)))</f>
        <v/>
      </c>
      <c r="C323" s="86" t="str">
        <f>IF(B323="","",VLOOKUP(A323,Journal!$C$7:$E$84,3))</f>
        <v/>
      </c>
      <c r="D323" s="84" t="str">
        <f>IF(B323="","",VLOOKUP(A323,Journal!$C$7:$J$84,8))</f>
        <v/>
      </c>
      <c r="E323" s="84" t="str">
        <f>IF(B323="","",VLOOKUP(A323,Journal!$C$7:$L$84,10))</f>
        <v/>
      </c>
      <c r="F323" s="84" t="str">
        <f>IF(B323="","",VLOOKUP(A323,Journal!$C$7:$M$84,11))</f>
        <v/>
      </c>
      <c r="G323" s="102">
        <f>IF(B323="Total",SUM(G$8:G322)+0.0001,IF(OR(B323="",M323=0),0,VLOOKUP(A323,Journal!$C$7:M$84,7)))</f>
        <v>0</v>
      </c>
      <c r="H323" s="102">
        <f>IF(B323="Total",SUM(H$8:H322)+0.0001,IF(OR(B323="",N323=0),0,VLOOKUP(A323,Journal!$C$7:M$84,7)))</f>
        <v>0</v>
      </c>
      <c r="I323" s="87">
        <f t="shared" si="28"/>
        <v>0</v>
      </c>
      <c r="K323" s="13">
        <f>VLOOKUP(A323,Journal!$C$7:$M$84,4)</f>
        <v>0</v>
      </c>
      <c r="L323" s="13">
        <f>VLOOKUP(A323,Journal!$C$7:$M$84,5)</f>
        <v>0</v>
      </c>
      <c r="M323" s="13">
        <f t="shared" si="30"/>
        <v>0</v>
      </c>
      <c r="N323" s="13">
        <f t="shared" si="31"/>
        <v>0</v>
      </c>
      <c r="O323" s="13"/>
      <c r="P323" s="13">
        <f t="shared" si="32"/>
        <v>1.0000000000000001E-5</v>
      </c>
      <c r="T323" t="str">
        <f t="shared" si="27"/>
        <v/>
      </c>
    </row>
    <row r="324" spans="1:20" x14ac:dyDescent="0.25">
      <c r="A324">
        <f t="shared" si="29"/>
        <v>317</v>
      </c>
      <c r="B324" s="88" t="str">
        <f>IF(OR(B323="Total",B323=""),"",IF(VLOOKUP(A324,Journal!$C$7:$E$84,3)=0,"Total",VLOOKUP(A324,Journal!$C$7:$D$84,2)))</f>
        <v/>
      </c>
      <c r="C324" s="86" t="str">
        <f>IF(B324="","",VLOOKUP(A324,Journal!$C$7:$E$84,3))</f>
        <v/>
      </c>
      <c r="D324" s="84" t="str">
        <f>IF(B324="","",VLOOKUP(A324,Journal!$C$7:$J$84,8))</f>
        <v/>
      </c>
      <c r="E324" s="84" t="str">
        <f>IF(B324="","",VLOOKUP(A324,Journal!$C$7:$L$84,10))</f>
        <v/>
      </c>
      <c r="F324" s="84" t="str">
        <f>IF(B324="","",VLOOKUP(A324,Journal!$C$7:$M$84,11))</f>
        <v/>
      </c>
      <c r="G324" s="102">
        <f>IF(B324="Total",SUM(G$8:G323)+0.0001,IF(OR(B324="",M324=0),0,VLOOKUP(A324,Journal!$C$7:M$84,7)))</f>
        <v>0</v>
      </c>
      <c r="H324" s="102">
        <f>IF(B324="Total",SUM(H$8:H323)+0.0001,IF(OR(B324="",N324=0),0,VLOOKUP(A324,Journal!$C$7:M$84,7)))</f>
        <v>0</v>
      </c>
      <c r="I324" s="87">
        <f t="shared" si="28"/>
        <v>0</v>
      </c>
      <c r="K324" s="13">
        <f>VLOOKUP(A324,Journal!$C$7:$M$84,4)</f>
        <v>0</v>
      </c>
      <c r="L324" s="13">
        <f>VLOOKUP(A324,Journal!$C$7:$M$84,5)</f>
        <v>0</v>
      </c>
      <c r="M324" s="13">
        <f t="shared" si="30"/>
        <v>0</v>
      </c>
      <c r="N324" s="13">
        <f t="shared" si="31"/>
        <v>0</v>
      </c>
      <c r="O324" s="13"/>
      <c r="P324" s="13">
        <f t="shared" si="32"/>
        <v>1.0000000000000001E-5</v>
      </c>
      <c r="T324" t="str">
        <f t="shared" si="27"/>
        <v/>
      </c>
    </row>
    <row r="325" spans="1:20" x14ac:dyDescent="0.25">
      <c r="A325">
        <f t="shared" si="29"/>
        <v>318</v>
      </c>
      <c r="B325" s="88" t="str">
        <f>IF(OR(B324="Total",B324=""),"",IF(VLOOKUP(A325,Journal!$C$7:$E$84,3)=0,"Total",VLOOKUP(A325,Journal!$C$7:$D$84,2)))</f>
        <v/>
      </c>
      <c r="C325" s="86" t="str">
        <f>IF(B325="","",VLOOKUP(A325,Journal!$C$7:$E$84,3))</f>
        <v/>
      </c>
      <c r="D325" s="84" t="str">
        <f>IF(B325="","",VLOOKUP(A325,Journal!$C$7:$J$84,8))</f>
        <v/>
      </c>
      <c r="E325" s="84" t="str">
        <f>IF(B325="","",VLOOKUP(A325,Journal!$C$7:$L$84,10))</f>
        <v/>
      </c>
      <c r="F325" s="84" t="str">
        <f>IF(B325="","",VLOOKUP(A325,Journal!$C$7:$M$84,11))</f>
        <v/>
      </c>
      <c r="G325" s="102">
        <f>IF(B325="Total",SUM(G$8:G324)+0.0001,IF(OR(B325="",M325=0),0,VLOOKUP(A325,Journal!$C$7:M$84,7)))</f>
        <v>0</v>
      </c>
      <c r="H325" s="102">
        <f>IF(B325="Total",SUM(H$8:H324)+0.0001,IF(OR(B325="",N325=0),0,VLOOKUP(A325,Journal!$C$7:M$84,7)))</f>
        <v>0</v>
      </c>
      <c r="I325" s="87">
        <f t="shared" si="28"/>
        <v>0</v>
      </c>
      <c r="K325" s="13">
        <f>VLOOKUP(A325,Journal!$C$7:$M$84,4)</f>
        <v>0</v>
      </c>
      <c r="L325" s="13">
        <f>VLOOKUP(A325,Journal!$C$7:$M$84,5)</f>
        <v>0</v>
      </c>
      <c r="M325" s="13">
        <f t="shared" si="30"/>
        <v>0</v>
      </c>
      <c r="N325" s="13">
        <f t="shared" si="31"/>
        <v>0</v>
      </c>
      <c r="O325" s="13"/>
      <c r="P325" s="13">
        <f t="shared" si="32"/>
        <v>1.0000000000000001E-5</v>
      </c>
      <c r="T325" t="str">
        <f t="shared" si="27"/>
        <v/>
      </c>
    </row>
    <row r="326" spans="1:20" x14ac:dyDescent="0.25">
      <c r="A326">
        <f t="shared" si="29"/>
        <v>319</v>
      </c>
      <c r="B326" s="88" t="str">
        <f>IF(OR(B325="Total",B325=""),"",IF(VLOOKUP(A326,Journal!$C$7:$E$84,3)=0,"Total",VLOOKUP(A326,Journal!$C$7:$D$84,2)))</f>
        <v/>
      </c>
      <c r="C326" s="86" t="str">
        <f>IF(B326="","",VLOOKUP(A326,Journal!$C$7:$E$84,3))</f>
        <v/>
      </c>
      <c r="D326" s="84" t="str">
        <f>IF(B326="","",VLOOKUP(A326,Journal!$C$7:$J$84,8))</f>
        <v/>
      </c>
      <c r="E326" s="84" t="str">
        <f>IF(B326="","",VLOOKUP(A326,Journal!$C$7:$L$84,10))</f>
        <v/>
      </c>
      <c r="F326" s="84" t="str">
        <f>IF(B326="","",VLOOKUP(A326,Journal!$C$7:$M$84,11))</f>
        <v/>
      </c>
      <c r="G326" s="102">
        <f>IF(B326="Total",SUM(G$8:G325)+0.0001,IF(OR(B326="",M326=0),0,VLOOKUP(A326,Journal!$C$7:M$84,7)))</f>
        <v>0</v>
      </c>
      <c r="H326" s="102">
        <f>IF(B326="Total",SUM(H$8:H325)+0.0001,IF(OR(B326="",N326=0),0,VLOOKUP(A326,Journal!$C$7:M$84,7)))</f>
        <v>0</v>
      </c>
      <c r="I326" s="87">
        <f t="shared" si="28"/>
        <v>0</v>
      </c>
      <c r="K326" s="13">
        <f>VLOOKUP(A326,Journal!$C$7:$M$84,4)</f>
        <v>0</v>
      </c>
      <c r="L326" s="13">
        <f>VLOOKUP(A326,Journal!$C$7:$M$84,5)</f>
        <v>0</v>
      </c>
      <c r="M326" s="13">
        <f t="shared" si="30"/>
        <v>0</v>
      </c>
      <c r="N326" s="13">
        <f t="shared" si="31"/>
        <v>0</v>
      </c>
      <c r="O326" s="13"/>
      <c r="P326" s="13">
        <f t="shared" si="32"/>
        <v>1.0000000000000001E-5</v>
      </c>
      <c r="T326" t="str">
        <f t="shared" si="27"/>
        <v/>
      </c>
    </row>
    <row r="327" spans="1:20" x14ac:dyDescent="0.25">
      <c r="A327">
        <f t="shared" si="29"/>
        <v>320</v>
      </c>
      <c r="B327" s="88" t="str">
        <f>IF(OR(B326="Total",B326=""),"",IF(VLOOKUP(A327,Journal!$C$7:$E$84,3)=0,"Total",VLOOKUP(A327,Journal!$C$7:$D$84,2)))</f>
        <v/>
      </c>
      <c r="C327" s="86" t="str">
        <f>IF(B327="","",VLOOKUP(A327,Journal!$C$7:$E$84,3))</f>
        <v/>
      </c>
      <c r="D327" s="84" t="str">
        <f>IF(B327="","",VLOOKUP(A327,Journal!$C$7:$J$84,8))</f>
        <v/>
      </c>
      <c r="E327" s="84" t="str">
        <f>IF(B327="","",VLOOKUP(A327,Journal!$C$7:$L$84,10))</f>
        <v/>
      </c>
      <c r="F327" s="84" t="str">
        <f>IF(B327="","",VLOOKUP(A327,Journal!$C$7:$M$84,11))</f>
        <v/>
      </c>
      <c r="G327" s="102">
        <f>IF(B327="Total",SUM(G$8:G326)+0.0001,IF(OR(B327="",M327=0),0,VLOOKUP(A327,Journal!$C$7:M$84,7)))</f>
        <v>0</v>
      </c>
      <c r="H327" s="102">
        <f>IF(B327="Total",SUM(H$8:H326)+0.0001,IF(OR(B327="",N327=0),0,VLOOKUP(A327,Journal!$C$7:M$84,7)))</f>
        <v>0</v>
      </c>
      <c r="I327" s="87">
        <f t="shared" si="28"/>
        <v>0</v>
      </c>
      <c r="K327" s="13">
        <f>VLOOKUP(A327,Journal!$C$7:$M$84,4)</f>
        <v>0</v>
      </c>
      <c r="L327" s="13">
        <f>VLOOKUP(A327,Journal!$C$7:$M$84,5)</f>
        <v>0</v>
      </c>
      <c r="M327" s="13">
        <f t="shared" si="30"/>
        <v>0</v>
      </c>
      <c r="N327" s="13">
        <f t="shared" si="31"/>
        <v>0</v>
      </c>
      <c r="O327" s="13"/>
      <c r="P327" s="13">
        <f t="shared" si="32"/>
        <v>1.0000000000000001E-5</v>
      </c>
      <c r="T327" t="str">
        <f t="shared" si="27"/>
        <v/>
      </c>
    </row>
    <row r="328" spans="1:20" x14ac:dyDescent="0.25">
      <c r="A328">
        <f t="shared" si="29"/>
        <v>321</v>
      </c>
      <c r="B328" s="88" t="str">
        <f>IF(OR(B327="Total",B327=""),"",IF(VLOOKUP(A328,Journal!$C$7:$E$84,3)=0,"Total",VLOOKUP(A328,Journal!$C$7:$D$84,2)))</f>
        <v/>
      </c>
      <c r="C328" s="86" t="str">
        <f>IF(B328="","",VLOOKUP(A328,Journal!$C$7:$E$84,3))</f>
        <v/>
      </c>
      <c r="D328" s="84" t="str">
        <f>IF(B328="","",VLOOKUP(A328,Journal!$C$7:$J$84,8))</f>
        <v/>
      </c>
      <c r="E328" s="84" t="str">
        <f>IF(B328="","",VLOOKUP(A328,Journal!$C$7:$L$84,10))</f>
        <v/>
      </c>
      <c r="F328" s="84" t="str">
        <f>IF(B328="","",VLOOKUP(A328,Journal!$C$7:$M$84,11))</f>
        <v/>
      </c>
      <c r="G328" s="102">
        <f>IF(B328="Total",SUM(G$8:G327)+0.0001,IF(OR(B328="",M328=0),0,VLOOKUP(A328,Journal!$C$7:M$84,7)))</f>
        <v>0</v>
      </c>
      <c r="H328" s="102">
        <f>IF(B328="Total",SUM(H$8:H327)+0.0001,IF(OR(B328="",N328=0),0,VLOOKUP(A328,Journal!$C$7:M$84,7)))</f>
        <v>0</v>
      </c>
      <c r="I328" s="87">
        <f t="shared" si="28"/>
        <v>0</v>
      </c>
      <c r="K328" s="13">
        <f>VLOOKUP(A328,Journal!$C$7:$M$84,4)</f>
        <v>0</v>
      </c>
      <c r="L328" s="13">
        <f>VLOOKUP(A328,Journal!$C$7:$M$84,5)</f>
        <v>0</v>
      </c>
      <c r="M328" s="13">
        <f t="shared" si="30"/>
        <v>0</v>
      </c>
      <c r="N328" s="13">
        <f t="shared" si="31"/>
        <v>0</v>
      </c>
      <c r="O328" s="13"/>
      <c r="P328" s="13">
        <f t="shared" si="32"/>
        <v>1.0000000000000001E-5</v>
      </c>
      <c r="T328" t="str">
        <f t="shared" si="27"/>
        <v/>
      </c>
    </row>
    <row r="329" spans="1:20" x14ac:dyDescent="0.25">
      <c r="A329">
        <f t="shared" si="29"/>
        <v>322</v>
      </c>
      <c r="B329" s="88" t="str">
        <f>IF(OR(B328="Total",B328=""),"",IF(VLOOKUP(A329,Journal!$C$7:$E$84,3)=0,"Total",VLOOKUP(A329,Journal!$C$7:$D$84,2)))</f>
        <v/>
      </c>
      <c r="C329" s="86" t="str">
        <f>IF(B329="","",VLOOKUP(A329,Journal!$C$7:$E$84,3))</f>
        <v/>
      </c>
      <c r="D329" s="84" t="str">
        <f>IF(B329="","",VLOOKUP(A329,Journal!$C$7:$J$84,8))</f>
        <v/>
      </c>
      <c r="E329" s="84" t="str">
        <f>IF(B329="","",VLOOKUP(A329,Journal!$C$7:$L$84,10))</f>
        <v/>
      </c>
      <c r="F329" s="84" t="str">
        <f>IF(B329="","",VLOOKUP(A329,Journal!$C$7:$M$84,11))</f>
        <v/>
      </c>
      <c r="G329" s="102">
        <f>IF(B329="Total",SUM(G$8:G328)+0.0001,IF(OR(B329="",M329=0),0,VLOOKUP(A329,Journal!$C$7:M$84,7)))</f>
        <v>0</v>
      </c>
      <c r="H329" s="102">
        <f>IF(B329="Total",SUM(H$8:H328)+0.0001,IF(OR(B329="",N329=0),0,VLOOKUP(A329,Journal!$C$7:M$84,7)))</f>
        <v>0</v>
      </c>
      <c r="I329" s="87">
        <f t="shared" si="28"/>
        <v>0</v>
      </c>
      <c r="K329" s="13">
        <f>VLOOKUP(A329,Journal!$C$7:$M$84,4)</f>
        <v>0</v>
      </c>
      <c r="L329" s="13">
        <f>VLOOKUP(A329,Journal!$C$7:$M$84,5)</f>
        <v>0</v>
      </c>
      <c r="M329" s="13">
        <f t="shared" si="30"/>
        <v>0</v>
      </c>
      <c r="N329" s="13">
        <f t="shared" si="31"/>
        <v>0</v>
      </c>
      <c r="O329" s="13"/>
      <c r="P329" s="13">
        <f t="shared" si="32"/>
        <v>1.0000000000000001E-5</v>
      </c>
      <c r="T329" t="str">
        <f t="shared" ref="T329:T392" si="33">IF(AND(G329&lt;&gt;0,B329&lt;&gt;"Total",G329=H329),"Beide Konten sind Erfolgskonten, weshalb Saldo gleich bleibt","")</f>
        <v/>
      </c>
    </row>
    <row r="330" spans="1:20" x14ac:dyDescent="0.25">
      <c r="A330">
        <f t="shared" si="29"/>
        <v>323</v>
      </c>
      <c r="B330" s="88" t="str">
        <f>IF(OR(B329="Total",B329=""),"",IF(VLOOKUP(A330,Journal!$C$7:$E$84,3)=0,"Total",VLOOKUP(A330,Journal!$C$7:$D$84,2)))</f>
        <v/>
      </c>
      <c r="C330" s="86" t="str">
        <f>IF(B330="","",VLOOKUP(A330,Journal!$C$7:$E$84,3))</f>
        <v/>
      </c>
      <c r="D330" s="84" t="str">
        <f>IF(B330="","",VLOOKUP(A330,Journal!$C$7:$J$84,8))</f>
        <v/>
      </c>
      <c r="E330" s="84" t="str">
        <f>IF(B330="","",VLOOKUP(A330,Journal!$C$7:$L$84,10))</f>
        <v/>
      </c>
      <c r="F330" s="84" t="str">
        <f>IF(B330="","",VLOOKUP(A330,Journal!$C$7:$M$84,11))</f>
        <v/>
      </c>
      <c r="G330" s="102">
        <f>IF(B330="Total",SUM(G$8:G329)+0.0001,IF(OR(B330="",M330=0),0,VLOOKUP(A330,Journal!$C$7:M$84,7)))</f>
        <v>0</v>
      </c>
      <c r="H330" s="102">
        <f>IF(B330="Total",SUM(H$8:H329)+0.0001,IF(OR(B330="",N330=0),0,VLOOKUP(A330,Journal!$C$7:M$84,7)))</f>
        <v>0</v>
      </c>
      <c r="I330" s="87">
        <f t="shared" ref="I330:I393" si="34">IF(B330="Total",I329,IF(B330="",0,I329+G330-H330))</f>
        <v>0</v>
      </c>
      <c r="K330" s="13">
        <f>VLOOKUP(A330,Journal!$C$7:$M$84,4)</f>
        <v>0</v>
      </c>
      <c r="L330" s="13">
        <f>VLOOKUP(A330,Journal!$C$7:$M$84,5)</f>
        <v>0</v>
      </c>
      <c r="M330" s="13">
        <f t="shared" si="30"/>
        <v>0</v>
      </c>
      <c r="N330" s="13">
        <f t="shared" si="31"/>
        <v>0</v>
      </c>
      <c r="O330" s="13"/>
      <c r="P330" s="13">
        <f t="shared" si="32"/>
        <v>1.0000000000000001E-5</v>
      </c>
      <c r="T330" t="str">
        <f t="shared" si="33"/>
        <v/>
      </c>
    </row>
    <row r="331" spans="1:20" x14ac:dyDescent="0.25">
      <c r="A331">
        <f t="shared" ref="A331:A394" si="35">A330+1</f>
        <v>324</v>
      </c>
      <c r="B331" s="88" t="str">
        <f>IF(OR(B330="Total",B330=""),"",IF(VLOOKUP(A331,Journal!$C$7:$E$84,3)=0,"Total",VLOOKUP(A331,Journal!$C$7:$D$84,2)))</f>
        <v/>
      </c>
      <c r="C331" s="86" t="str">
        <f>IF(B331="","",VLOOKUP(A331,Journal!$C$7:$E$84,3))</f>
        <v/>
      </c>
      <c r="D331" s="84" t="str">
        <f>IF(B331="","",VLOOKUP(A331,Journal!$C$7:$J$84,8))</f>
        <v/>
      </c>
      <c r="E331" s="84" t="str">
        <f>IF(B331="","",VLOOKUP(A331,Journal!$C$7:$L$84,10))</f>
        <v/>
      </c>
      <c r="F331" s="84" t="str">
        <f>IF(B331="","",VLOOKUP(A331,Journal!$C$7:$M$84,11))</f>
        <v/>
      </c>
      <c r="G331" s="102">
        <f>IF(B331="Total",SUM(G$8:G330)+0.0001,IF(OR(B331="",M331=0),0,VLOOKUP(A331,Journal!$C$7:M$84,7)))</f>
        <v>0</v>
      </c>
      <c r="H331" s="102">
        <f>IF(B331="Total",SUM(H$8:H330)+0.0001,IF(OR(B331="",N331=0),0,VLOOKUP(A331,Journal!$C$7:M$84,7)))</f>
        <v>0</v>
      </c>
      <c r="I331" s="87">
        <f t="shared" si="34"/>
        <v>0</v>
      </c>
      <c r="K331" s="13">
        <f>VLOOKUP(A331,Journal!$C$7:$M$84,4)</f>
        <v>0</v>
      </c>
      <c r="L331" s="13">
        <f>VLOOKUP(A331,Journal!$C$7:$M$84,5)</f>
        <v>0</v>
      </c>
      <c r="M331" s="13">
        <f t="shared" si="30"/>
        <v>0</v>
      </c>
      <c r="N331" s="13">
        <f t="shared" si="31"/>
        <v>0</v>
      </c>
      <c r="O331" s="13"/>
      <c r="P331" s="13">
        <f t="shared" si="32"/>
        <v>1.0000000000000001E-5</v>
      </c>
      <c r="T331" t="str">
        <f t="shared" si="33"/>
        <v/>
      </c>
    </row>
    <row r="332" spans="1:20" x14ac:dyDescent="0.25">
      <c r="A332">
        <f t="shared" si="35"/>
        <v>325</v>
      </c>
      <c r="B332" s="88" t="str">
        <f>IF(OR(B331="Total",B331=""),"",IF(VLOOKUP(A332,Journal!$C$7:$E$84,3)=0,"Total",VLOOKUP(A332,Journal!$C$7:$D$84,2)))</f>
        <v/>
      </c>
      <c r="C332" s="86" t="str">
        <f>IF(B332="","",VLOOKUP(A332,Journal!$C$7:$E$84,3))</f>
        <v/>
      </c>
      <c r="D332" s="84" t="str">
        <f>IF(B332="","",VLOOKUP(A332,Journal!$C$7:$J$84,8))</f>
        <v/>
      </c>
      <c r="E332" s="84" t="str">
        <f>IF(B332="","",VLOOKUP(A332,Journal!$C$7:$L$84,10))</f>
        <v/>
      </c>
      <c r="F332" s="84" t="str">
        <f>IF(B332="","",VLOOKUP(A332,Journal!$C$7:$M$84,11))</f>
        <v/>
      </c>
      <c r="G332" s="102">
        <f>IF(B332="Total",SUM(G$8:G331)+0.0001,IF(OR(B332="",M332=0),0,VLOOKUP(A332,Journal!$C$7:M$84,7)))</f>
        <v>0</v>
      </c>
      <c r="H332" s="102">
        <f>IF(B332="Total",SUM(H$8:H331)+0.0001,IF(OR(B332="",N332=0),0,VLOOKUP(A332,Journal!$C$7:M$84,7)))</f>
        <v>0</v>
      </c>
      <c r="I332" s="87">
        <f t="shared" si="34"/>
        <v>0</v>
      </c>
      <c r="K332" s="13">
        <f>VLOOKUP(A332,Journal!$C$7:$M$84,4)</f>
        <v>0</v>
      </c>
      <c r="L332" s="13">
        <f>VLOOKUP(A332,Journal!$C$7:$M$84,5)</f>
        <v>0</v>
      </c>
      <c r="M332" s="13">
        <f t="shared" si="30"/>
        <v>0</v>
      </c>
      <c r="N332" s="13">
        <f t="shared" si="31"/>
        <v>0</v>
      </c>
      <c r="O332" s="13"/>
      <c r="P332" s="13">
        <f t="shared" si="32"/>
        <v>1.0000000000000001E-5</v>
      </c>
      <c r="T332" t="str">
        <f t="shared" si="33"/>
        <v/>
      </c>
    </row>
    <row r="333" spans="1:20" x14ac:dyDescent="0.25">
      <c r="A333">
        <f t="shared" si="35"/>
        <v>326</v>
      </c>
      <c r="B333" s="88" t="str">
        <f>IF(OR(B332="Total",B332=""),"",IF(VLOOKUP(A333,Journal!$C$7:$E$84,3)=0,"Total",VLOOKUP(A333,Journal!$C$7:$D$84,2)))</f>
        <v/>
      </c>
      <c r="C333" s="86" t="str">
        <f>IF(B333="","",VLOOKUP(A333,Journal!$C$7:$E$84,3))</f>
        <v/>
      </c>
      <c r="D333" s="84" t="str">
        <f>IF(B333="","",VLOOKUP(A333,Journal!$C$7:$J$84,8))</f>
        <v/>
      </c>
      <c r="E333" s="84" t="str">
        <f>IF(B333="","",VLOOKUP(A333,Journal!$C$7:$L$84,10))</f>
        <v/>
      </c>
      <c r="F333" s="84" t="str">
        <f>IF(B333="","",VLOOKUP(A333,Journal!$C$7:$M$84,11))</f>
        <v/>
      </c>
      <c r="G333" s="102">
        <f>IF(B333="Total",SUM(G$8:G332)+0.0001,IF(OR(B333="",M333=0),0,VLOOKUP(A333,Journal!$C$7:M$84,7)))</f>
        <v>0</v>
      </c>
      <c r="H333" s="102">
        <f>IF(B333="Total",SUM(H$8:H332)+0.0001,IF(OR(B333="",N333=0),0,VLOOKUP(A333,Journal!$C$7:M$84,7)))</f>
        <v>0</v>
      </c>
      <c r="I333" s="87">
        <f t="shared" si="34"/>
        <v>0</v>
      </c>
      <c r="K333" s="13">
        <f>VLOOKUP(A333,Journal!$C$7:$M$84,4)</f>
        <v>0</v>
      </c>
      <c r="L333" s="13">
        <f>VLOOKUP(A333,Journal!$C$7:$M$84,5)</f>
        <v>0</v>
      </c>
      <c r="M333" s="13">
        <f t="shared" si="30"/>
        <v>0</v>
      </c>
      <c r="N333" s="13">
        <f t="shared" si="31"/>
        <v>0</v>
      </c>
      <c r="O333" s="13"/>
      <c r="P333" s="13">
        <f t="shared" si="32"/>
        <v>1.0000000000000001E-5</v>
      </c>
      <c r="T333" t="str">
        <f t="shared" si="33"/>
        <v/>
      </c>
    </row>
    <row r="334" spans="1:20" x14ac:dyDescent="0.25">
      <c r="A334">
        <f t="shared" si="35"/>
        <v>327</v>
      </c>
      <c r="B334" s="88" t="str">
        <f>IF(OR(B333="Total",B333=""),"",IF(VLOOKUP(A334,Journal!$C$7:$E$84,3)=0,"Total",VLOOKUP(A334,Journal!$C$7:$D$84,2)))</f>
        <v/>
      </c>
      <c r="C334" s="86" t="str">
        <f>IF(B334="","",VLOOKUP(A334,Journal!$C$7:$E$84,3))</f>
        <v/>
      </c>
      <c r="D334" s="84" t="str">
        <f>IF(B334="","",VLOOKUP(A334,Journal!$C$7:$J$84,8))</f>
        <v/>
      </c>
      <c r="E334" s="84" t="str">
        <f>IF(B334="","",VLOOKUP(A334,Journal!$C$7:$L$84,10))</f>
        <v/>
      </c>
      <c r="F334" s="84" t="str">
        <f>IF(B334="","",VLOOKUP(A334,Journal!$C$7:$M$84,11))</f>
        <v/>
      </c>
      <c r="G334" s="102">
        <f>IF(B334="Total",SUM(G$8:G333)+0.0001,IF(OR(B334="",M334=0),0,VLOOKUP(A334,Journal!$C$7:M$84,7)))</f>
        <v>0</v>
      </c>
      <c r="H334" s="102">
        <f>IF(B334="Total",SUM(H$8:H333)+0.0001,IF(OR(B334="",N334=0),0,VLOOKUP(A334,Journal!$C$7:M$84,7)))</f>
        <v>0</v>
      </c>
      <c r="I334" s="87">
        <f t="shared" si="34"/>
        <v>0</v>
      </c>
      <c r="K334" s="13">
        <f>VLOOKUP(A334,Journal!$C$7:$M$84,4)</f>
        <v>0</v>
      </c>
      <c r="L334" s="13">
        <f>VLOOKUP(A334,Journal!$C$7:$M$84,5)</f>
        <v>0</v>
      </c>
      <c r="M334" s="13">
        <f t="shared" si="30"/>
        <v>0</v>
      </c>
      <c r="N334" s="13">
        <f t="shared" si="31"/>
        <v>0</v>
      </c>
      <c r="O334" s="13"/>
      <c r="P334" s="13">
        <f t="shared" si="32"/>
        <v>1.0000000000000001E-5</v>
      </c>
      <c r="T334" t="str">
        <f t="shared" si="33"/>
        <v/>
      </c>
    </row>
    <row r="335" spans="1:20" x14ac:dyDescent="0.25">
      <c r="A335">
        <f t="shared" si="35"/>
        <v>328</v>
      </c>
      <c r="B335" s="88" t="str">
        <f>IF(OR(B334="Total",B334=""),"",IF(VLOOKUP(A335,Journal!$C$7:$E$84,3)=0,"Total",VLOOKUP(A335,Journal!$C$7:$D$84,2)))</f>
        <v/>
      </c>
      <c r="C335" s="86" t="str">
        <f>IF(B335="","",VLOOKUP(A335,Journal!$C$7:$E$84,3))</f>
        <v/>
      </c>
      <c r="D335" s="84" t="str">
        <f>IF(B335="","",VLOOKUP(A335,Journal!$C$7:$J$84,8))</f>
        <v/>
      </c>
      <c r="E335" s="84" t="str">
        <f>IF(B335="","",VLOOKUP(A335,Journal!$C$7:$L$84,10))</f>
        <v/>
      </c>
      <c r="F335" s="84" t="str">
        <f>IF(B335="","",VLOOKUP(A335,Journal!$C$7:$M$84,11))</f>
        <v/>
      </c>
      <c r="G335" s="102">
        <f>IF(B335="Total",SUM(G$8:G334)+0.0001,IF(OR(B335="",M335=0),0,VLOOKUP(A335,Journal!$C$7:M$84,7)))</f>
        <v>0</v>
      </c>
      <c r="H335" s="102">
        <f>IF(B335="Total",SUM(H$8:H334)+0.0001,IF(OR(B335="",N335=0),0,VLOOKUP(A335,Journal!$C$7:M$84,7)))</f>
        <v>0</v>
      </c>
      <c r="I335" s="87">
        <f t="shared" si="34"/>
        <v>0</v>
      </c>
      <c r="K335" s="13">
        <f>VLOOKUP(A335,Journal!$C$7:$M$84,4)</f>
        <v>0</v>
      </c>
      <c r="L335" s="13">
        <f>VLOOKUP(A335,Journal!$C$7:$M$84,5)</f>
        <v>0</v>
      </c>
      <c r="M335" s="13">
        <f t="shared" si="30"/>
        <v>0</v>
      </c>
      <c r="N335" s="13">
        <f t="shared" si="31"/>
        <v>0</v>
      </c>
      <c r="O335" s="13"/>
      <c r="P335" s="13">
        <f t="shared" si="32"/>
        <v>1.0000000000000001E-5</v>
      </c>
      <c r="T335" t="str">
        <f t="shared" si="33"/>
        <v/>
      </c>
    </row>
    <row r="336" spans="1:20" x14ac:dyDescent="0.25">
      <c r="A336">
        <f t="shared" si="35"/>
        <v>329</v>
      </c>
      <c r="B336" s="88" t="str">
        <f>IF(OR(B335="Total",B335=""),"",IF(VLOOKUP(A336,Journal!$C$7:$E$84,3)=0,"Total",VLOOKUP(A336,Journal!$C$7:$D$84,2)))</f>
        <v/>
      </c>
      <c r="C336" s="86" t="str">
        <f>IF(B336="","",VLOOKUP(A336,Journal!$C$7:$E$84,3))</f>
        <v/>
      </c>
      <c r="D336" s="84" t="str">
        <f>IF(B336="","",VLOOKUP(A336,Journal!$C$7:$J$84,8))</f>
        <v/>
      </c>
      <c r="E336" s="84" t="str">
        <f>IF(B336="","",VLOOKUP(A336,Journal!$C$7:$L$84,10))</f>
        <v/>
      </c>
      <c r="F336" s="84" t="str">
        <f>IF(B336="","",VLOOKUP(A336,Journal!$C$7:$M$84,11))</f>
        <v/>
      </c>
      <c r="G336" s="102">
        <f>IF(B336="Total",SUM(G$8:G335)+0.0001,IF(OR(B336="",M336=0),0,VLOOKUP(A336,Journal!$C$7:M$84,7)))</f>
        <v>0</v>
      </c>
      <c r="H336" s="102">
        <f>IF(B336="Total",SUM(H$8:H335)+0.0001,IF(OR(B336="",N336=0),0,VLOOKUP(A336,Journal!$C$7:M$84,7)))</f>
        <v>0</v>
      </c>
      <c r="I336" s="87">
        <f t="shared" si="34"/>
        <v>0</v>
      </c>
      <c r="K336" s="13">
        <f>VLOOKUP(A336,Journal!$C$7:$M$84,4)</f>
        <v>0</v>
      </c>
      <c r="L336" s="13">
        <f>VLOOKUP(A336,Journal!$C$7:$M$84,5)</f>
        <v>0</v>
      </c>
      <c r="M336" s="13">
        <f t="shared" si="30"/>
        <v>0</v>
      </c>
      <c r="N336" s="13">
        <f t="shared" si="31"/>
        <v>0</v>
      </c>
      <c r="O336" s="13"/>
      <c r="P336" s="13">
        <f t="shared" si="32"/>
        <v>1.0000000000000001E-5</v>
      </c>
      <c r="T336" t="str">
        <f t="shared" si="33"/>
        <v/>
      </c>
    </row>
    <row r="337" spans="1:20" x14ac:dyDescent="0.25">
      <c r="A337">
        <f t="shared" si="35"/>
        <v>330</v>
      </c>
      <c r="B337" s="88" t="str">
        <f>IF(OR(B336="Total",B336=""),"",IF(VLOOKUP(A337,Journal!$C$7:$E$84,3)=0,"Total",VLOOKUP(A337,Journal!$C$7:$D$84,2)))</f>
        <v/>
      </c>
      <c r="C337" s="86" t="str">
        <f>IF(B337="","",VLOOKUP(A337,Journal!$C$7:$E$84,3))</f>
        <v/>
      </c>
      <c r="D337" s="84" t="str">
        <f>IF(B337="","",VLOOKUP(A337,Journal!$C$7:$J$84,8))</f>
        <v/>
      </c>
      <c r="E337" s="84" t="str">
        <f>IF(B337="","",VLOOKUP(A337,Journal!$C$7:$L$84,10))</f>
        <v/>
      </c>
      <c r="F337" s="84" t="str">
        <f>IF(B337="","",VLOOKUP(A337,Journal!$C$7:$M$84,11))</f>
        <v/>
      </c>
      <c r="G337" s="102">
        <f>IF(B337="Total",SUM(G$8:G336)+0.0001,IF(OR(B337="",M337=0),0,VLOOKUP(A337,Journal!$C$7:M$84,7)))</f>
        <v>0</v>
      </c>
      <c r="H337" s="102">
        <f>IF(B337="Total",SUM(H$8:H336)+0.0001,IF(OR(B337="",N337=0),0,VLOOKUP(A337,Journal!$C$7:M$84,7)))</f>
        <v>0</v>
      </c>
      <c r="I337" s="87">
        <f t="shared" si="34"/>
        <v>0</v>
      </c>
      <c r="K337" s="13">
        <f>VLOOKUP(A337,Journal!$C$7:$M$84,4)</f>
        <v>0</v>
      </c>
      <c r="L337" s="13">
        <f>VLOOKUP(A337,Journal!$C$7:$M$84,5)</f>
        <v>0</v>
      </c>
      <c r="M337" s="13">
        <f t="shared" si="30"/>
        <v>0</v>
      </c>
      <c r="N337" s="13">
        <f t="shared" si="31"/>
        <v>0</v>
      </c>
      <c r="O337" s="13"/>
      <c r="P337" s="13">
        <f t="shared" si="32"/>
        <v>1.0000000000000001E-5</v>
      </c>
      <c r="T337" t="str">
        <f t="shared" si="33"/>
        <v/>
      </c>
    </row>
    <row r="338" spans="1:20" x14ac:dyDescent="0.25">
      <c r="A338">
        <f t="shared" si="35"/>
        <v>331</v>
      </c>
      <c r="B338" s="88" t="str">
        <f>IF(OR(B337="Total",B337=""),"",IF(VLOOKUP(A338,Journal!$C$7:$E$84,3)=0,"Total",VLOOKUP(A338,Journal!$C$7:$D$84,2)))</f>
        <v/>
      </c>
      <c r="C338" s="86" t="str">
        <f>IF(B338="","",VLOOKUP(A338,Journal!$C$7:$E$84,3))</f>
        <v/>
      </c>
      <c r="D338" s="84" t="str">
        <f>IF(B338="","",VLOOKUP(A338,Journal!$C$7:$J$84,8))</f>
        <v/>
      </c>
      <c r="E338" s="84" t="str">
        <f>IF(B338="","",VLOOKUP(A338,Journal!$C$7:$L$84,10))</f>
        <v/>
      </c>
      <c r="F338" s="84" t="str">
        <f>IF(B338="","",VLOOKUP(A338,Journal!$C$7:$M$84,11))</f>
        <v/>
      </c>
      <c r="G338" s="102">
        <f>IF(B338="Total",SUM(G$8:G337)+0.0001,IF(OR(B338="",M338=0),0,VLOOKUP(A338,Journal!$C$7:M$84,7)))</f>
        <v>0</v>
      </c>
      <c r="H338" s="102">
        <f>IF(B338="Total",SUM(H$8:H337)+0.0001,IF(OR(B338="",N338=0),0,VLOOKUP(A338,Journal!$C$7:M$84,7)))</f>
        <v>0</v>
      </c>
      <c r="I338" s="87">
        <f t="shared" si="34"/>
        <v>0</v>
      </c>
      <c r="K338" s="13">
        <f>VLOOKUP(A338,Journal!$C$7:$M$84,4)</f>
        <v>0</v>
      </c>
      <c r="L338" s="13">
        <f>VLOOKUP(A338,Journal!$C$7:$M$84,5)</f>
        <v>0</v>
      </c>
      <c r="M338" s="13">
        <f t="shared" si="30"/>
        <v>0</v>
      </c>
      <c r="N338" s="13">
        <f t="shared" si="31"/>
        <v>0</v>
      </c>
      <c r="O338" s="13"/>
      <c r="P338" s="13">
        <f t="shared" si="32"/>
        <v>1.0000000000000001E-5</v>
      </c>
      <c r="T338" t="str">
        <f t="shared" si="33"/>
        <v/>
      </c>
    </row>
    <row r="339" spans="1:20" x14ac:dyDescent="0.25">
      <c r="A339">
        <f t="shared" si="35"/>
        <v>332</v>
      </c>
      <c r="B339" s="88" t="str">
        <f>IF(OR(B338="Total",B338=""),"",IF(VLOOKUP(A339,Journal!$C$7:$E$84,3)=0,"Total",VLOOKUP(A339,Journal!$C$7:$D$84,2)))</f>
        <v/>
      </c>
      <c r="C339" s="86" t="str">
        <f>IF(B339="","",VLOOKUP(A339,Journal!$C$7:$E$84,3))</f>
        <v/>
      </c>
      <c r="D339" s="84" t="str">
        <f>IF(B339="","",VLOOKUP(A339,Journal!$C$7:$J$84,8))</f>
        <v/>
      </c>
      <c r="E339" s="84" t="str">
        <f>IF(B339="","",VLOOKUP(A339,Journal!$C$7:$L$84,10))</f>
        <v/>
      </c>
      <c r="F339" s="84" t="str">
        <f>IF(B339="","",VLOOKUP(A339,Journal!$C$7:$M$84,11))</f>
        <v/>
      </c>
      <c r="G339" s="102">
        <f>IF(B339="Total",SUM(G$8:G338)+0.0001,IF(OR(B339="",M339=0),0,VLOOKUP(A339,Journal!$C$7:M$84,7)))</f>
        <v>0</v>
      </c>
      <c r="H339" s="102">
        <f>IF(B339="Total",SUM(H$8:H338)+0.0001,IF(OR(B339="",N339=0),0,VLOOKUP(A339,Journal!$C$7:M$84,7)))</f>
        <v>0</v>
      </c>
      <c r="I339" s="87">
        <f t="shared" si="34"/>
        <v>0</v>
      </c>
      <c r="K339" s="13">
        <f>VLOOKUP(A339,Journal!$C$7:$M$84,4)</f>
        <v>0</v>
      </c>
      <c r="L339" s="13">
        <f>VLOOKUP(A339,Journal!$C$7:$M$84,5)</f>
        <v>0</v>
      </c>
      <c r="M339" s="13">
        <f t="shared" si="30"/>
        <v>0</v>
      </c>
      <c r="N339" s="13">
        <f t="shared" si="31"/>
        <v>0</v>
      </c>
      <c r="O339" s="13"/>
      <c r="P339" s="13">
        <f t="shared" si="32"/>
        <v>1.0000000000000001E-5</v>
      </c>
      <c r="T339" t="str">
        <f t="shared" si="33"/>
        <v/>
      </c>
    </row>
    <row r="340" spans="1:20" x14ac:dyDescent="0.25">
      <c r="A340">
        <f t="shared" si="35"/>
        <v>333</v>
      </c>
      <c r="B340" s="88" t="str">
        <f>IF(OR(B339="Total",B339=""),"",IF(VLOOKUP(A340,Journal!$C$7:$E$84,3)=0,"Total",VLOOKUP(A340,Journal!$C$7:$D$84,2)))</f>
        <v/>
      </c>
      <c r="C340" s="86" t="str">
        <f>IF(B340="","",VLOOKUP(A340,Journal!$C$7:$E$84,3))</f>
        <v/>
      </c>
      <c r="D340" s="84" t="str">
        <f>IF(B340="","",VLOOKUP(A340,Journal!$C$7:$J$84,8))</f>
        <v/>
      </c>
      <c r="E340" s="84" t="str">
        <f>IF(B340="","",VLOOKUP(A340,Journal!$C$7:$L$84,10))</f>
        <v/>
      </c>
      <c r="F340" s="84" t="str">
        <f>IF(B340="","",VLOOKUP(A340,Journal!$C$7:$M$84,11))</f>
        <v/>
      </c>
      <c r="G340" s="102">
        <f>IF(B340="Total",SUM(G$8:G339)+0.0001,IF(OR(B340="",M340=0),0,VLOOKUP(A340,Journal!$C$7:M$84,7)))</f>
        <v>0</v>
      </c>
      <c r="H340" s="102">
        <f>IF(B340="Total",SUM(H$8:H339)+0.0001,IF(OR(B340="",N340=0),0,VLOOKUP(A340,Journal!$C$7:M$84,7)))</f>
        <v>0</v>
      </c>
      <c r="I340" s="87">
        <f t="shared" si="34"/>
        <v>0</v>
      </c>
      <c r="K340" s="13">
        <f>VLOOKUP(A340,Journal!$C$7:$M$84,4)</f>
        <v>0</v>
      </c>
      <c r="L340" s="13">
        <f>VLOOKUP(A340,Journal!$C$7:$M$84,5)</f>
        <v>0</v>
      </c>
      <c r="M340" s="13">
        <f t="shared" si="30"/>
        <v>0</v>
      </c>
      <c r="N340" s="13">
        <f t="shared" si="31"/>
        <v>0</v>
      </c>
      <c r="O340" s="13"/>
      <c r="P340" s="13">
        <f t="shared" si="32"/>
        <v>1.0000000000000001E-5</v>
      </c>
      <c r="T340" t="str">
        <f t="shared" si="33"/>
        <v/>
      </c>
    </row>
    <row r="341" spans="1:20" x14ac:dyDescent="0.25">
      <c r="A341">
        <f t="shared" si="35"/>
        <v>334</v>
      </c>
      <c r="B341" s="88" t="str">
        <f>IF(OR(B340="Total",B340=""),"",IF(VLOOKUP(A341,Journal!$C$7:$E$84,3)=0,"Total",VLOOKUP(A341,Journal!$C$7:$D$84,2)))</f>
        <v/>
      </c>
      <c r="C341" s="86" t="str">
        <f>IF(B341="","",VLOOKUP(A341,Journal!$C$7:$E$84,3))</f>
        <v/>
      </c>
      <c r="D341" s="84" t="str">
        <f>IF(B341="","",VLOOKUP(A341,Journal!$C$7:$J$84,8))</f>
        <v/>
      </c>
      <c r="E341" s="84" t="str">
        <f>IF(B341="","",VLOOKUP(A341,Journal!$C$7:$L$84,10))</f>
        <v/>
      </c>
      <c r="F341" s="84" t="str">
        <f>IF(B341="","",VLOOKUP(A341,Journal!$C$7:$M$84,11))</f>
        <v/>
      </c>
      <c r="G341" s="102">
        <f>IF(B341="Total",SUM(G$8:G340)+0.0001,IF(OR(B341="",M341=0),0,VLOOKUP(A341,Journal!$C$7:M$84,7)))</f>
        <v>0</v>
      </c>
      <c r="H341" s="102">
        <f>IF(B341="Total",SUM(H$8:H340)+0.0001,IF(OR(B341="",N341=0),0,VLOOKUP(A341,Journal!$C$7:M$84,7)))</f>
        <v>0</v>
      </c>
      <c r="I341" s="87">
        <f t="shared" si="34"/>
        <v>0</v>
      </c>
      <c r="K341" s="13">
        <f>VLOOKUP(A341,Journal!$C$7:$M$84,4)</f>
        <v>0</v>
      </c>
      <c r="L341" s="13">
        <f>VLOOKUP(A341,Journal!$C$7:$M$84,5)</f>
        <v>0</v>
      </c>
      <c r="M341" s="13">
        <f t="shared" si="30"/>
        <v>0</v>
      </c>
      <c r="N341" s="13">
        <f t="shared" si="31"/>
        <v>0</v>
      </c>
      <c r="O341" s="13"/>
      <c r="P341" s="13">
        <f t="shared" si="32"/>
        <v>1.0000000000000001E-5</v>
      </c>
      <c r="T341" t="str">
        <f t="shared" si="33"/>
        <v/>
      </c>
    </row>
    <row r="342" spans="1:20" x14ac:dyDescent="0.25">
      <c r="A342">
        <f t="shared" si="35"/>
        <v>335</v>
      </c>
      <c r="B342" s="88" t="str">
        <f>IF(OR(B341="Total",B341=""),"",IF(VLOOKUP(A342,Journal!$C$7:$E$84,3)=0,"Total",VLOOKUP(A342,Journal!$C$7:$D$84,2)))</f>
        <v/>
      </c>
      <c r="C342" s="86" t="str">
        <f>IF(B342="","",VLOOKUP(A342,Journal!$C$7:$E$84,3))</f>
        <v/>
      </c>
      <c r="D342" s="84" t="str">
        <f>IF(B342="","",VLOOKUP(A342,Journal!$C$7:$J$84,8))</f>
        <v/>
      </c>
      <c r="E342" s="84" t="str">
        <f>IF(B342="","",VLOOKUP(A342,Journal!$C$7:$L$84,10))</f>
        <v/>
      </c>
      <c r="F342" s="84" t="str">
        <f>IF(B342="","",VLOOKUP(A342,Journal!$C$7:$M$84,11))</f>
        <v/>
      </c>
      <c r="G342" s="102">
        <f>IF(B342="Total",SUM(G$8:G341)+0.0001,IF(OR(B342="",M342=0),0,VLOOKUP(A342,Journal!$C$7:M$84,7)))</f>
        <v>0</v>
      </c>
      <c r="H342" s="102">
        <f>IF(B342="Total",SUM(H$8:H341)+0.0001,IF(OR(B342="",N342=0),0,VLOOKUP(A342,Journal!$C$7:M$84,7)))</f>
        <v>0</v>
      </c>
      <c r="I342" s="87">
        <f t="shared" si="34"/>
        <v>0</v>
      </c>
      <c r="K342" s="13">
        <f>VLOOKUP(A342,Journal!$C$7:$M$84,4)</f>
        <v>0</v>
      </c>
      <c r="L342" s="13">
        <f>VLOOKUP(A342,Journal!$C$7:$M$84,5)</f>
        <v>0</v>
      </c>
      <c r="M342" s="13">
        <f t="shared" si="30"/>
        <v>0</v>
      </c>
      <c r="N342" s="13">
        <f t="shared" si="31"/>
        <v>0</v>
      </c>
      <c r="O342" s="13"/>
      <c r="P342" s="13">
        <f t="shared" si="32"/>
        <v>1.0000000000000001E-5</v>
      </c>
      <c r="T342" t="str">
        <f t="shared" si="33"/>
        <v/>
      </c>
    </row>
    <row r="343" spans="1:20" x14ac:dyDescent="0.25">
      <c r="A343">
        <f t="shared" si="35"/>
        <v>336</v>
      </c>
      <c r="B343" s="88" t="str">
        <f>IF(OR(B342="Total",B342=""),"",IF(VLOOKUP(A343,Journal!$C$7:$E$84,3)=0,"Total",VLOOKUP(A343,Journal!$C$7:$D$84,2)))</f>
        <v/>
      </c>
      <c r="C343" s="86" t="str">
        <f>IF(B343="","",VLOOKUP(A343,Journal!$C$7:$E$84,3))</f>
        <v/>
      </c>
      <c r="D343" s="84" t="str">
        <f>IF(B343="","",VLOOKUP(A343,Journal!$C$7:$J$84,8))</f>
        <v/>
      </c>
      <c r="E343" s="84" t="str">
        <f>IF(B343="","",VLOOKUP(A343,Journal!$C$7:$L$84,10))</f>
        <v/>
      </c>
      <c r="F343" s="84" t="str">
        <f>IF(B343="","",VLOOKUP(A343,Journal!$C$7:$M$84,11))</f>
        <v/>
      </c>
      <c r="G343" s="102">
        <f>IF(B343="Total",SUM(G$8:G342)+0.0001,IF(OR(B343="",M343=0),0,VLOOKUP(A343,Journal!$C$7:M$84,7)))</f>
        <v>0</v>
      </c>
      <c r="H343" s="102">
        <f>IF(B343="Total",SUM(H$8:H342)+0.0001,IF(OR(B343="",N343=0),0,VLOOKUP(A343,Journal!$C$7:M$84,7)))</f>
        <v>0</v>
      </c>
      <c r="I343" s="87">
        <f t="shared" si="34"/>
        <v>0</v>
      </c>
      <c r="K343" s="13">
        <f>VLOOKUP(A343,Journal!$C$7:$M$84,4)</f>
        <v>0</v>
      </c>
      <c r="L343" s="13">
        <f>VLOOKUP(A343,Journal!$C$7:$M$84,5)</f>
        <v>0</v>
      </c>
      <c r="M343" s="13">
        <f t="shared" si="30"/>
        <v>0</v>
      </c>
      <c r="N343" s="13">
        <f t="shared" si="31"/>
        <v>0</v>
      </c>
      <c r="O343" s="13"/>
      <c r="P343" s="13">
        <f t="shared" si="32"/>
        <v>1.0000000000000001E-5</v>
      </c>
      <c r="T343" t="str">
        <f t="shared" si="33"/>
        <v/>
      </c>
    </row>
    <row r="344" spans="1:20" x14ac:dyDescent="0.25">
      <c r="A344">
        <f t="shared" si="35"/>
        <v>337</v>
      </c>
      <c r="B344" s="88" t="str">
        <f>IF(OR(B343="Total",B343=""),"",IF(VLOOKUP(A344,Journal!$C$7:$E$84,3)=0,"Total",VLOOKUP(A344,Journal!$C$7:$D$84,2)))</f>
        <v/>
      </c>
      <c r="C344" s="86" t="str">
        <f>IF(B344="","",VLOOKUP(A344,Journal!$C$7:$E$84,3))</f>
        <v/>
      </c>
      <c r="D344" s="84" t="str">
        <f>IF(B344="","",VLOOKUP(A344,Journal!$C$7:$J$84,8))</f>
        <v/>
      </c>
      <c r="E344" s="84" t="str">
        <f>IF(B344="","",VLOOKUP(A344,Journal!$C$7:$L$84,10))</f>
        <v/>
      </c>
      <c r="F344" s="84" t="str">
        <f>IF(B344="","",VLOOKUP(A344,Journal!$C$7:$M$84,11))</f>
        <v/>
      </c>
      <c r="G344" s="102">
        <f>IF(B344="Total",SUM(G$8:G343)+0.0001,IF(OR(B344="",M344=0),0,VLOOKUP(A344,Journal!$C$7:M$84,7)))</f>
        <v>0</v>
      </c>
      <c r="H344" s="102">
        <f>IF(B344="Total",SUM(H$8:H343)+0.0001,IF(OR(B344="",N344=0),0,VLOOKUP(A344,Journal!$C$7:M$84,7)))</f>
        <v>0</v>
      </c>
      <c r="I344" s="87">
        <f t="shared" si="34"/>
        <v>0</v>
      </c>
      <c r="K344" s="13">
        <f>VLOOKUP(A344,Journal!$C$7:$M$84,4)</f>
        <v>0</v>
      </c>
      <c r="L344" s="13">
        <f>VLOOKUP(A344,Journal!$C$7:$M$84,5)</f>
        <v>0</v>
      </c>
      <c r="M344" s="13">
        <f t="shared" si="30"/>
        <v>0</v>
      </c>
      <c r="N344" s="13">
        <f t="shared" si="31"/>
        <v>0</v>
      </c>
      <c r="O344" s="13"/>
      <c r="P344" s="13">
        <f t="shared" si="32"/>
        <v>1.0000000000000001E-5</v>
      </c>
      <c r="T344" t="str">
        <f t="shared" si="33"/>
        <v/>
      </c>
    </row>
    <row r="345" spans="1:20" x14ac:dyDescent="0.25">
      <c r="A345">
        <f t="shared" si="35"/>
        <v>338</v>
      </c>
      <c r="B345" s="88" t="str">
        <f>IF(OR(B344="Total",B344=""),"",IF(VLOOKUP(A345,Journal!$C$7:$E$84,3)=0,"Total",VLOOKUP(A345,Journal!$C$7:$D$84,2)))</f>
        <v/>
      </c>
      <c r="C345" s="86" t="str">
        <f>IF(B345="","",VLOOKUP(A345,Journal!$C$7:$E$84,3))</f>
        <v/>
      </c>
      <c r="D345" s="84" t="str">
        <f>IF(B345="","",VLOOKUP(A345,Journal!$C$7:$J$84,8))</f>
        <v/>
      </c>
      <c r="E345" s="84" t="str">
        <f>IF(B345="","",VLOOKUP(A345,Journal!$C$7:$L$84,10))</f>
        <v/>
      </c>
      <c r="F345" s="84" t="str">
        <f>IF(B345="","",VLOOKUP(A345,Journal!$C$7:$M$84,11))</f>
        <v/>
      </c>
      <c r="G345" s="102">
        <f>IF(B345="Total",SUM(G$8:G344)+0.0001,IF(OR(B345="",M345=0),0,VLOOKUP(A345,Journal!$C$7:M$84,7)))</f>
        <v>0</v>
      </c>
      <c r="H345" s="102">
        <f>IF(B345="Total",SUM(H$8:H344)+0.0001,IF(OR(B345="",N345=0),0,VLOOKUP(A345,Journal!$C$7:M$84,7)))</f>
        <v>0</v>
      </c>
      <c r="I345" s="87">
        <f t="shared" si="34"/>
        <v>0</v>
      </c>
      <c r="K345" s="13">
        <f>VLOOKUP(A345,Journal!$C$7:$M$84,4)</f>
        <v>0</v>
      </c>
      <c r="L345" s="13">
        <f>VLOOKUP(A345,Journal!$C$7:$M$84,5)</f>
        <v>0</v>
      </c>
      <c r="M345" s="13">
        <f t="shared" ref="M345:M408" si="36">IF(AND(L345&gt;=$F$1,L345&lt;9999),1,0)</f>
        <v>0</v>
      </c>
      <c r="N345" s="13">
        <f t="shared" ref="N345:N408" si="37">IF(AND(K345&gt;=$F$1,K345&lt;9999),1,0)</f>
        <v>0</v>
      </c>
      <c r="O345" s="13"/>
      <c r="P345" s="13">
        <f t="shared" ref="P345:P408" si="38">IF(I344=I345,I344+0.00001,I345)</f>
        <v>1.0000000000000001E-5</v>
      </c>
      <c r="T345" t="str">
        <f t="shared" si="33"/>
        <v/>
      </c>
    </row>
    <row r="346" spans="1:20" x14ac:dyDescent="0.25">
      <c r="A346">
        <f t="shared" si="35"/>
        <v>339</v>
      </c>
      <c r="B346" s="88" t="str">
        <f>IF(OR(B345="Total",B345=""),"",IF(VLOOKUP(A346,Journal!$C$7:$E$84,3)=0,"Total",VLOOKUP(A346,Journal!$C$7:$D$84,2)))</f>
        <v/>
      </c>
      <c r="C346" s="86" t="str">
        <f>IF(B346="","",VLOOKUP(A346,Journal!$C$7:$E$84,3))</f>
        <v/>
      </c>
      <c r="D346" s="84" t="str">
        <f>IF(B346="","",VLOOKUP(A346,Journal!$C$7:$J$84,8))</f>
        <v/>
      </c>
      <c r="E346" s="84" t="str">
        <f>IF(B346="","",VLOOKUP(A346,Journal!$C$7:$L$84,10))</f>
        <v/>
      </c>
      <c r="F346" s="84" t="str">
        <f>IF(B346="","",VLOOKUP(A346,Journal!$C$7:$M$84,11))</f>
        <v/>
      </c>
      <c r="G346" s="102">
        <f>IF(B346="Total",SUM(G$8:G345)+0.0001,IF(OR(B346="",M346=0),0,VLOOKUP(A346,Journal!$C$7:M$84,7)))</f>
        <v>0</v>
      </c>
      <c r="H346" s="102">
        <f>IF(B346="Total",SUM(H$8:H345)+0.0001,IF(OR(B346="",N346=0),0,VLOOKUP(A346,Journal!$C$7:M$84,7)))</f>
        <v>0</v>
      </c>
      <c r="I346" s="87">
        <f t="shared" si="34"/>
        <v>0</v>
      </c>
      <c r="K346" s="13">
        <f>VLOOKUP(A346,Journal!$C$7:$M$84,4)</f>
        <v>0</v>
      </c>
      <c r="L346" s="13">
        <f>VLOOKUP(A346,Journal!$C$7:$M$84,5)</f>
        <v>0</v>
      </c>
      <c r="M346" s="13">
        <f t="shared" si="36"/>
        <v>0</v>
      </c>
      <c r="N346" s="13">
        <f t="shared" si="37"/>
        <v>0</v>
      </c>
      <c r="O346" s="13"/>
      <c r="P346" s="13">
        <f t="shared" si="38"/>
        <v>1.0000000000000001E-5</v>
      </c>
      <c r="T346" t="str">
        <f t="shared" si="33"/>
        <v/>
      </c>
    </row>
    <row r="347" spans="1:20" x14ac:dyDescent="0.25">
      <c r="A347">
        <f t="shared" si="35"/>
        <v>340</v>
      </c>
      <c r="B347" s="88" t="str">
        <f>IF(OR(B346="Total",B346=""),"",IF(VLOOKUP(A347,Journal!$C$7:$E$84,3)=0,"Total",VLOOKUP(A347,Journal!$C$7:$D$84,2)))</f>
        <v/>
      </c>
      <c r="C347" s="86" t="str">
        <f>IF(B347="","",VLOOKUP(A347,Journal!$C$7:$E$84,3))</f>
        <v/>
      </c>
      <c r="D347" s="84" t="str">
        <f>IF(B347="","",VLOOKUP(A347,Journal!$C$7:$J$84,8))</f>
        <v/>
      </c>
      <c r="E347" s="84" t="str">
        <f>IF(B347="","",VLOOKUP(A347,Journal!$C$7:$L$84,10))</f>
        <v/>
      </c>
      <c r="F347" s="84" t="str">
        <f>IF(B347="","",VLOOKUP(A347,Journal!$C$7:$M$84,11))</f>
        <v/>
      </c>
      <c r="G347" s="102">
        <f>IF(B347="Total",SUM(G$8:G346)+0.0001,IF(OR(B347="",M347=0),0,VLOOKUP(A347,Journal!$C$7:M$84,7)))</f>
        <v>0</v>
      </c>
      <c r="H347" s="102">
        <f>IF(B347="Total",SUM(H$8:H346)+0.0001,IF(OR(B347="",N347=0),0,VLOOKUP(A347,Journal!$C$7:M$84,7)))</f>
        <v>0</v>
      </c>
      <c r="I347" s="87">
        <f t="shared" si="34"/>
        <v>0</v>
      </c>
      <c r="K347" s="13">
        <f>VLOOKUP(A347,Journal!$C$7:$M$84,4)</f>
        <v>0</v>
      </c>
      <c r="L347" s="13">
        <f>VLOOKUP(A347,Journal!$C$7:$M$84,5)</f>
        <v>0</v>
      </c>
      <c r="M347" s="13">
        <f t="shared" si="36"/>
        <v>0</v>
      </c>
      <c r="N347" s="13">
        <f t="shared" si="37"/>
        <v>0</v>
      </c>
      <c r="O347" s="13"/>
      <c r="P347" s="13">
        <f t="shared" si="38"/>
        <v>1.0000000000000001E-5</v>
      </c>
      <c r="T347" t="str">
        <f t="shared" si="33"/>
        <v/>
      </c>
    </row>
    <row r="348" spans="1:20" x14ac:dyDescent="0.25">
      <c r="A348">
        <f t="shared" si="35"/>
        <v>341</v>
      </c>
      <c r="B348" s="88" t="str">
        <f>IF(OR(B347="Total",B347=""),"",IF(VLOOKUP(A348,Journal!$C$7:$E$84,3)=0,"Total",VLOOKUP(A348,Journal!$C$7:$D$84,2)))</f>
        <v/>
      </c>
      <c r="C348" s="86" t="str">
        <f>IF(B348="","",VLOOKUP(A348,Journal!$C$7:$E$84,3))</f>
        <v/>
      </c>
      <c r="D348" s="84" t="str">
        <f>IF(B348="","",VLOOKUP(A348,Journal!$C$7:$J$84,8))</f>
        <v/>
      </c>
      <c r="E348" s="84" t="str">
        <f>IF(B348="","",VLOOKUP(A348,Journal!$C$7:$L$84,10))</f>
        <v/>
      </c>
      <c r="F348" s="84" t="str">
        <f>IF(B348="","",VLOOKUP(A348,Journal!$C$7:$M$84,11))</f>
        <v/>
      </c>
      <c r="G348" s="102">
        <f>IF(B348="Total",SUM(G$8:G347)+0.0001,IF(OR(B348="",M348=0),0,VLOOKUP(A348,Journal!$C$7:M$84,7)))</f>
        <v>0</v>
      </c>
      <c r="H348" s="102">
        <f>IF(B348="Total",SUM(H$8:H347)+0.0001,IF(OR(B348="",N348=0),0,VLOOKUP(A348,Journal!$C$7:M$84,7)))</f>
        <v>0</v>
      </c>
      <c r="I348" s="87">
        <f t="shared" si="34"/>
        <v>0</v>
      </c>
      <c r="K348" s="13">
        <f>VLOOKUP(A348,Journal!$C$7:$M$84,4)</f>
        <v>0</v>
      </c>
      <c r="L348" s="13">
        <f>VLOOKUP(A348,Journal!$C$7:$M$84,5)</f>
        <v>0</v>
      </c>
      <c r="M348" s="13">
        <f t="shared" si="36"/>
        <v>0</v>
      </c>
      <c r="N348" s="13">
        <f t="shared" si="37"/>
        <v>0</v>
      </c>
      <c r="O348" s="13"/>
      <c r="P348" s="13">
        <f t="shared" si="38"/>
        <v>1.0000000000000001E-5</v>
      </c>
      <c r="T348" t="str">
        <f t="shared" si="33"/>
        <v/>
      </c>
    </row>
    <row r="349" spans="1:20" x14ac:dyDescent="0.25">
      <c r="A349">
        <f t="shared" si="35"/>
        <v>342</v>
      </c>
      <c r="B349" s="88" t="str">
        <f>IF(OR(B348="Total",B348=""),"",IF(VLOOKUP(A349,Journal!$C$7:$E$84,3)=0,"Total",VLOOKUP(A349,Journal!$C$7:$D$84,2)))</f>
        <v/>
      </c>
      <c r="C349" s="86" t="str">
        <f>IF(B349="","",VLOOKUP(A349,Journal!$C$7:$E$84,3))</f>
        <v/>
      </c>
      <c r="D349" s="84" t="str">
        <f>IF(B349="","",VLOOKUP(A349,Journal!$C$7:$J$84,8))</f>
        <v/>
      </c>
      <c r="E349" s="84" t="str">
        <f>IF(B349="","",VLOOKUP(A349,Journal!$C$7:$L$84,10))</f>
        <v/>
      </c>
      <c r="F349" s="84" t="str">
        <f>IF(B349="","",VLOOKUP(A349,Journal!$C$7:$M$84,11))</f>
        <v/>
      </c>
      <c r="G349" s="102">
        <f>IF(B349="Total",SUM(G$8:G348)+0.0001,IF(OR(B349="",M349=0),0,VLOOKUP(A349,Journal!$C$7:M$84,7)))</f>
        <v>0</v>
      </c>
      <c r="H349" s="102">
        <f>IF(B349="Total",SUM(H$8:H348)+0.0001,IF(OR(B349="",N349=0),0,VLOOKUP(A349,Journal!$C$7:M$84,7)))</f>
        <v>0</v>
      </c>
      <c r="I349" s="87">
        <f t="shared" si="34"/>
        <v>0</v>
      </c>
      <c r="K349" s="13">
        <f>VLOOKUP(A349,Journal!$C$7:$M$84,4)</f>
        <v>0</v>
      </c>
      <c r="L349" s="13">
        <f>VLOOKUP(A349,Journal!$C$7:$M$84,5)</f>
        <v>0</v>
      </c>
      <c r="M349" s="13">
        <f t="shared" si="36"/>
        <v>0</v>
      </c>
      <c r="N349" s="13">
        <f t="shared" si="37"/>
        <v>0</v>
      </c>
      <c r="O349" s="13"/>
      <c r="P349" s="13">
        <f t="shared" si="38"/>
        <v>1.0000000000000001E-5</v>
      </c>
      <c r="T349" t="str">
        <f t="shared" si="33"/>
        <v/>
      </c>
    </row>
    <row r="350" spans="1:20" x14ac:dyDescent="0.25">
      <c r="A350">
        <f t="shared" si="35"/>
        <v>343</v>
      </c>
      <c r="B350" s="88" t="str">
        <f>IF(OR(B349="Total",B349=""),"",IF(VLOOKUP(A350,Journal!$C$7:$E$84,3)=0,"Total",VLOOKUP(A350,Journal!$C$7:$D$84,2)))</f>
        <v/>
      </c>
      <c r="C350" s="86" t="str">
        <f>IF(B350="","",VLOOKUP(A350,Journal!$C$7:$E$84,3))</f>
        <v/>
      </c>
      <c r="D350" s="84" t="str">
        <f>IF(B350="","",VLOOKUP(A350,Journal!$C$7:$J$84,8))</f>
        <v/>
      </c>
      <c r="E350" s="84" t="str">
        <f>IF(B350="","",VLOOKUP(A350,Journal!$C$7:$L$84,10))</f>
        <v/>
      </c>
      <c r="F350" s="84" t="str">
        <f>IF(B350="","",VLOOKUP(A350,Journal!$C$7:$M$84,11))</f>
        <v/>
      </c>
      <c r="G350" s="102">
        <f>IF(B350="Total",SUM(G$8:G349)+0.0001,IF(OR(B350="",M350=0),0,VLOOKUP(A350,Journal!$C$7:M$84,7)))</f>
        <v>0</v>
      </c>
      <c r="H350" s="102">
        <f>IF(B350="Total",SUM(H$8:H349)+0.0001,IF(OR(B350="",N350=0),0,VLOOKUP(A350,Journal!$C$7:M$84,7)))</f>
        <v>0</v>
      </c>
      <c r="I350" s="87">
        <f t="shared" si="34"/>
        <v>0</v>
      </c>
      <c r="K350" s="13">
        <f>VLOOKUP(A350,Journal!$C$7:$M$84,4)</f>
        <v>0</v>
      </c>
      <c r="L350" s="13">
        <f>VLOOKUP(A350,Journal!$C$7:$M$84,5)</f>
        <v>0</v>
      </c>
      <c r="M350" s="13">
        <f t="shared" si="36"/>
        <v>0</v>
      </c>
      <c r="N350" s="13">
        <f t="shared" si="37"/>
        <v>0</v>
      </c>
      <c r="O350" s="13"/>
      <c r="P350" s="13">
        <f t="shared" si="38"/>
        <v>1.0000000000000001E-5</v>
      </c>
      <c r="T350" t="str">
        <f t="shared" si="33"/>
        <v/>
      </c>
    </row>
    <row r="351" spans="1:20" x14ac:dyDescent="0.25">
      <c r="A351">
        <f t="shared" si="35"/>
        <v>344</v>
      </c>
      <c r="B351" s="88" t="str">
        <f>IF(OR(B350="Total",B350=""),"",IF(VLOOKUP(A351,Journal!$C$7:$E$84,3)=0,"Total",VLOOKUP(A351,Journal!$C$7:$D$84,2)))</f>
        <v/>
      </c>
      <c r="C351" s="86" t="str">
        <f>IF(B351="","",VLOOKUP(A351,Journal!$C$7:$E$84,3))</f>
        <v/>
      </c>
      <c r="D351" s="84" t="str">
        <f>IF(B351="","",VLOOKUP(A351,Journal!$C$7:$J$84,8))</f>
        <v/>
      </c>
      <c r="E351" s="84" t="str">
        <f>IF(B351="","",VLOOKUP(A351,Journal!$C$7:$L$84,10))</f>
        <v/>
      </c>
      <c r="F351" s="84" t="str">
        <f>IF(B351="","",VLOOKUP(A351,Journal!$C$7:$M$84,11))</f>
        <v/>
      </c>
      <c r="G351" s="102">
        <f>IF(B351="Total",SUM(G$8:G350)+0.0001,IF(OR(B351="",M351=0),0,VLOOKUP(A351,Journal!$C$7:M$84,7)))</f>
        <v>0</v>
      </c>
      <c r="H351" s="102">
        <f>IF(B351="Total",SUM(H$8:H350)+0.0001,IF(OR(B351="",N351=0),0,VLOOKUP(A351,Journal!$C$7:M$84,7)))</f>
        <v>0</v>
      </c>
      <c r="I351" s="87">
        <f t="shared" si="34"/>
        <v>0</v>
      </c>
      <c r="K351" s="13">
        <f>VLOOKUP(A351,Journal!$C$7:$M$84,4)</f>
        <v>0</v>
      </c>
      <c r="L351" s="13">
        <f>VLOOKUP(A351,Journal!$C$7:$M$84,5)</f>
        <v>0</v>
      </c>
      <c r="M351" s="13">
        <f t="shared" si="36"/>
        <v>0</v>
      </c>
      <c r="N351" s="13">
        <f t="shared" si="37"/>
        <v>0</v>
      </c>
      <c r="O351" s="13"/>
      <c r="P351" s="13">
        <f t="shared" si="38"/>
        <v>1.0000000000000001E-5</v>
      </c>
      <c r="T351" t="str">
        <f t="shared" si="33"/>
        <v/>
      </c>
    </row>
    <row r="352" spans="1:20" x14ac:dyDescent="0.25">
      <c r="A352">
        <f t="shared" si="35"/>
        <v>345</v>
      </c>
      <c r="B352" s="88" t="str">
        <f>IF(OR(B351="Total",B351=""),"",IF(VLOOKUP(A352,Journal!$C$7:$E$84,3)=0,"Total",VLOOKUP(A352,Journal!$C$7:$D$84,2)))</f>
        <v/>
      </c>
      <c r="C352" s="86" t="str">
        <f>IF(B352="","",VLOOKUP(A352,Journal!$C$7:$E$84,3))</f>
        <v/>
      </c>
      <c r="D352" s="84" t="str">
        <f>IF(B352="","",VLOOKUP(A352,Journal!$C$7:$J$84,8))</f>
        <v/>
      </c>
      <c r="E352" s="84" t="str">
        <f>IF(B352="","",VLOOKUP(A352,Journal!$C$7:$L$84,10))</f>
        <v/>
      </c>
      <c r="F352" s="84" t="str">
        <f>IF(B352="","",VLOOKUP(A352,Journal!$C$7:$M$84,11))</f>
        <v/>
      </c>
      <c r="G352" s="102">
        <f>IF(B352="Total",SUM(G$8:G351)+0.0001,IF(OR(B352="",M352=0),0,VLOOKUP(A352,Journal!$C$7:M$84,7)))</f>
        <v>0</v>
      </c>
      <c r="H352" s="102">
        <f>IF(B352="Total",SUM(H$8:H351)+0.0001,IF(OR(B352="",N352=0),0,VLOOKUP(A352,Journal!$C$7:M$84,7)))</f>
        <v>0</v>
      </c>
      <c r="I352" s="87">
        <f t="shared" si="34"/>
        <v>0</v>
      </c>
      <c r="K352" s="13">
        <f>VLOOKUP(A352,Journal!$C$7:$M$84,4)</f>
        <v>0</v>
      </c>
      <c r="L352" s="13">
        <f>VLOOKUP(A352,Journal!$C$7:$M$84,5)</f>
        <v>0</v>
      </c>
      <c r="M352" s="13">
        <f t="shared" si="36"/>
        <v>0</v>
      </c>
      <c r="N352" s="13">
        <f t="shared" si="37"/>
        <v>0</v>
      </c>
      <c r="O352" s="13"/>
      <c r="P352" s="13">
        <f t="shared" si="38"/>
        <v>1.0000000000000001E-5</v>
      </c>
      <c r="T352" t="str">
        <f t="shared" si="33"/>
        <v/>
      </c>
    </row>
    <row r="353" spans="1:20" x14ac:dyDescent="0.25">
      <c r="A353">
        <f t="shared" si="35"/>
        <v>346</v>
      </c>
      <c r="B353" s="88" t="str">
        <f>IF(OR(B352="Total",B352=""),"",IF(VLOOKUP(A353,Journal!$C$7:$E$84,3)=0,"Total",VLOOKUP(A353,Journal!$C$7:$D$84,2)))</f>
        <v/>
      </c>
      <c r="C353" s="86" t="str">
        <f>IF(B353="","",VLOOKUP(A353,Journal!$C$7:$E$84,3))</f>
        <v/>
      </c>
      <c r="D353" s="84" t="str">
        <f>IF(B353="","",VLOOKUP(A353,Journal!$C$7:$J$84,8))</f>
        <v/>
      </c>
      <c r="E353" s="84" t="str">
        <f>IF(B353="","",VLOOKUP(A353,Journal!$C$7:$L$84,10))</f>
        <v/>
      </c>
      <c r="F353" s="84" t="str">
        <f>IF(B353="","",VLOOKUP(A353,Journal!$C$7:$M$84,11))</f>
        <v/>
      </c>
      <c r="G353" s="102">
        <f>IF(B353="Total",SUM(G$8:G352)+0.0001,IF(OR(B353="",M353=0),0,VLOOKUP(A353,Journal!$C$7:M$84,7)))</f>
        <v>0</v>
      </c>
      <c r="H353" s="102">
        <f>IF(B353="Total",SUM(H$8:H352)+0.0001,IF(OR(B353="",N353=0),0,VLOOKUP(A353,Journal!$C$7:M$84,7)))</f>
        <v>0</v>
      </c>
      <c r="I353" s="87">
        <f t="shared" si="34"/>
        <v>0</v>
      </c>
      <c r="K353" s="13">
        <f>VLOOKUP(A353,Journal!$C$7:$M$84,4)</f>
        <v>0</v>
      </c>
      <c r="L353" s="13">
        <f>VLOOKUP(A353,Journal!$C$7:$M$84,5)</f>
        <v>0</v>
      </c>
      <c r="M353" s="13">
        <f t="shared" si="36"/>
        <v>0</v>
      </c>
      <c r="N353" s="13">
        <f t="shared" si="37"/>
        <v>0</v>
      </c>
      <c r="O353" s="13"/>
      <c r="P353" s="13">
        <f t="shared" si="38"/>
        <v>1.0000000000000001E-5</v>
      </c>
      <c r="T353" t="str">
        <f t="shared" si="33"/>
        <v/>
      </c>
    </row>
    <row r="354" spans="1:20" x14ac:dyDescent="0.25">
      <c r="A354">
        <f t="shared" si="35"/>
        <v>347</v>
      </c>
      <c r="B354" s="88" t="str">
        <f>IF(OR(B353="Total",B353=""),"",IF(VLOOKUP(A354,Journal!$C$7:$E$84,3)=0,"Total",VLOOKUP(A354,Journal!$C$7:$D$84,2)))</f>
        <v/>
      </c>
      <c r="C354" s="86" t="str">
        <f>IF(B354="","",VLOOKUP(A354,Journal!$C$7:$E$84,3))</f>
        <v/>
      </c>
      <c r="D354" s="84" t="str">
        <f>IF(B354="","",VLOOKUP(A354,Journal!$C$7:$J$84,8))</f>
        <v/>
      </c>
      <c r="E354" s="84" t="str">
        <f>IF(B354="","",VLOOKUP(A354,Journal!$C$7:$L$84,10))</f>
        <v/>
      </c>
      <c r="F354" s="84" t="str">
        <f>IF(B354="","",VLOOKUP(A354,Journal!$C$7:$M$84,11))</f>
        <v/>
      </c>
      <c r="G354" s="102">
        <f>IF(B354="Total",SUM(G$8:G353)+0.0001,IF(OR(B354="",M354=0),0,VLOOKUP(A354,Journal!$C$7:M$84,7)))</f>
        <v>0</v>
      </c>
      <c r="H354" s="102">
        <f>IF(B354="Total",SUM(H$8:H353)+0.0001,IF(OR(B354="",N354=0),0,VLOOKUP(A354,Journal!$C$7:M$84,7)))</f>
        <v>0</v>
      </c>
      <c r="I354" s="87">
        <f t="shared" si="34"/>
        <v>0</v>
      </c>
      <c r="K354" s="13">
        <f>VLOOKUP(A354,Journal!$C$7:$M$84,4)</f>
        <v>0</v>
      </c>
      <c r="L354" s="13">
        <f>VLOOKUP(A354,Journal!$C$7:$M$84,5)</f>
        <v>0</v>
      </c>
      <c r="M354" s="13">
        <f t="shared" si="36"/>
        <v>0</v>
      </c>
      <c r="N354" s="13">
        <f t="shared" si="37"/>
        <v>0</v>
      </c>
      <c r="O354" s="13"/>
      <c r="P354" s="13">
        <f t="shared" si="38"/>
        <v>1.0000000000000001E-5</v>
      </c>
      <c r="T354" t="str">
        <f t="shared" si="33"/>
        <v/>
      </c>
    </row>
    <row r="355" spans="1:20" x14ac:dyDescent="0.25">
      <c r="A355">
        <f t="shared" si="35"/>
        <v>348</v>
      </c>
      <c r="B355" s="88" t="str">
        <f>IF(OR(B354="Total",B354=""),"",IF(VLOOKUP(A355,Journal!$C$7:$E$84,3)=0,"Total",VLOOKUP(A355,Journal!$C$7:$D$84,2)))</f>
        <v/>
      </c>
      <c r="C355" s="86" t="str">
        <f>IF(B355="","",VLOOKUP(A355,Journal!$C$7:$E$84,3))</f>
        <v/>
      </c>
      <c r="D355" s="84" t="str">
        <f>IF(B355="","",VLOOKUP(A355,Journal!$C$7:$J$84,8))</f>
        <v/>
      </c>
      <c r="E355" s="84" t="str">
        <f>IF(B355="","",VLOOKUP(A355,Journal!$C$7:$L$84,10))</f>
        <v/>
      </c>
      <c r="F355" s="84" t="str">
        <f>IF(B355="","",VLOOKUP(A355,Journal!$C$7:$M$84,11))</f>
        <v/>
      </c>
      <c r="G355" s="102">
        <f>IF(B355="Total",SUM(G$8:G354)+0.0001,IF(OR(B355="",M355=0),0,VLOOKUP(A355,Journal!$C$7:M$84,7)))</f>
        <v>0</v>
      </c>
      <c r="H355" s="102">
        <f>IF(B355="Total",SUM(H$8:H354)+0.0001,IF(OR(B355="",N355=0),0,VLOOKUP(A355,Journal!$C$7:M$84,7)))</f>
        <v>0</v>
      </c>
      <c r="I355" s="87">
        <f t="shared" si="34"/>
        <v>0</v>
      </c>
      <c r="K355" s="13">
        <f>VLOOKUP(A355,Journal!$C$7:$M$84,4)</f>
        <v>0</v>
      </c>
      <c r="L355" s="13">
        <f>VLOOKUP(A355,Journal!$C$7:$M$84,5)</f>
        <v>0</v>
      </c>
      <c r="M355" s="13">
        <f t="shared" si="36"/>
        <v>0</v>
      </c>
      <c r="N355" s="13">
        <f t="shared" si="37"/>
        <v>0</v>
      </c>
      <c r="O355" s="13"/>
      <c r="P355" s="13">
        <f t="shared" si="38"/>
        <v>1.0000000000000001E-5</v>
      </c>
      <c r="T355" t="str">
        <f t="shared" si="33"/>
        <v/>
      </c>
    </row>
    <row r="356" spans="1:20" x14ac:dyDescent="0.25">
      <c r="A356">
        <f t="shared" si="35"/>
        <v>349</v>
      </c>
      <c r="B356" s="88" t="str">
        <f>IF(OR(B355="Total",B355=""),"",IF(VLOOKUP(A356,Journal!$C$7:$E$84,3)=0,"Total",VLOOKUP(A356,Journal!$C$7:$D$84,2)))</f>
        <v/>
      </c>
      <c r="C356" s="86" t="str">
        <f>IF(B356="","",VLOOKUP(A356,Journal!$C$7:$E$84,3))</f>
        <v/>
      </c>
      <c r="D356" s="84" t="str">
        <f>IF(B356="","",VLOOKUP(A356,Journal!$C$7:$J$84,8))</f>
        <v/>
      </c>
      <c r="E356" s="84" t="str">
        <f>IF(B356="","",VLOOKUP(A356,Journal!$C$7:$L$84,10))</f>
        <v/>
      </c>
      <c r="F356" s="84" t="str">
        <f>IF(B356="","",VLOOKUP(A356,Journal!$C$7:$M$84,11))</f>
        <v/>
      </c>
      <c r="G356" s="102">
        <f>IF(B356="Total",SUM(G$8:G355)+0.0001,IF(OR(B356="",M356=0),0,VLOOKUP(A356,Journal!$C$7:M$84,7)))</f>
        <v>0</v>
      </c>
      <c r="H356" s="102">
        <f>IF(B356="Total",SUM(H$8:H355)+0.0001,IF(OR(B356="",N356=0),0,VLOOKUP(A356,Journal!$C$7:M$84,7)))</f>
        <v>0</v>
      </c>
      <c r="I356" s="87">
        <f t="shared" si="34"/>
        <v>0</v>
      </c>
      <c r="K356" s="13">
        <f>VLOOKUP(A356,Journal!$C$7:$M$84,4)</f>
        <v>0</v>
      </c>
      <c r="L356" s="13">
        <f>VLOOKUP(A356,Journal!$C$7:$M$84,5)</f>
        <v>0</v>
      </c>
      <c r="M356" s="13">
        <f t="shared" si="36"/>
        <v>0</v>
      </c>
      <c r="N356" s="13">
        <f t="shared" si="37"/>
        <v>0</v>
      </c>
      <c r="O356" s="13"/>
      <c r="P356" s="13">
        <f t="shared" si="38"/>
        <v>1.0000000000000001E-5</v>
      </c>
      <c r="T356" t="str">
        <f t="shared" si="33"/>
        <v/>
      </c>
    </row>
    <row r="357" spans="1:20" x14ac:dyDescent="0.25">
      <c r="A357">
        <f t="shared" si="35"/>
        <v>350</v>
      </c>
      <c r="B357" s="88" t="str">
        <f>IF(OR(B356="Total",B356=""),"",IF(VLOOKUP(A357,Journal!$C$7:$E$84,3)=0,"Total",VLOOKUP(A357,Journal!$C$7:$D$84,2)))</f>
        <v/>
      </c>
      <c r="C357" s="86" t="str">
        <f>IF(B357="","",VLOOKUP(A357,Journal!$C$7:$E$84,3))</f>
        <v/>
      </c>
      <c r="D357" s="84" t="str">
        <f>IF(B357="","",VLOOKUP(A357,Journal!$C$7:$J$84,8))</f>
        <v/>
      </c>
      <c r="E357" s="84" t="str">
        <f>IF(B357="","",VLOOKUP(A357,Journal!$C$7:$L$84,10))</f>
        <v/>
      </c>
      <c r="F357" s="84" t="str">
        <f>IF(B357="","",VLOOKUP(A357,Journal!$C$7:$M$84,11))</f>
        <v/>
      </c>
      <c r="G357" s="102">
        <f>IF(B357="Total",SUM(G$8:G356)+0.0001,IF(OR(B357="",M357=0),0,VLOOKUP(A357,Journal!$C$7:M$84,7)))</f>
        <v>0</v>
      </c>
      <c r="H357" s="102">
        <f>IF(B357="Total",SUM(H$8:H356)+0.0001,IF(OR(B357="",N357=0),0,VLOOKUP(A357,Journal!$C$7:M$84,7)))</f>
        <v>0</v>
      </c>
      <c r="I357" s="87">
        <f t="shared" si="34"/>
        <v>0</v>
      </c>
      <c r="K357" s="13">
        <f>VLOOKUP(A357,Journal!$C$7:$M$84,4)</f>
        <v>0</v>
      </c>
      <c r="L357" s="13">
        <f>VLOOKUP(A357,Journal!$C$7:$M$84,5)</f>
        <v>0</v>
      </c>
      <c r="M357" s="13">
        <f t="shared" si="36"/>
        <v>0</v>
      </c>
      <c r="N357" s="13">
        <f t="shared" si="37"/>
        <v>0</v>
      </c>
      <c r="O357" s="13"/>
      <c r="P357" s="13">
        <f t="shared" si="38"/>
        <v>1.0000000000000001E-5</v>
      </c>
      <c r="T357" t="str">
        <f t="shared" si="33"/>
        <v/>
      </c>
    </row>
    <row r="358" spans="1:20" x14ac:dyDescent="0.25">
      <c r="A358">
        <f t="shared" si="35"/>
        <v>351</v>
      </c>
      <c r="B358" s="88" t="str">
        <f>IF(OR(B357="Total",B357=""),"",IF(VLOOKUP(A358,Journal!$C$7:$E$84,3)=0,"Total",VLOOKUP(A358,Journal!$C$7:$D$84,2)))</f>
        <v/>
      </c>
      <c r="C358" s="86" t="str">
        <f>IF(B358="","",VLOOKUP(A358,Journal!$C$7:$E$84,3))</f>
        <v/>
      </c>
      <c r="D358" s="84" t="str">
        <f>IF(B358="","",VLOOKUP(A358,Journal!$C$7:$J$84,8))</f>
        <v/>
      </c>
      <c r="E358" s="84" t="str">
        <f>IF(B358="","",VLOOKUP(A358,Journal!$C$7:$L$84,10))</f>
        <v/>
      </c>
      <c r="F358" s="84" t="str">
        <f>IF(B358="","",VLOOKUP(A358,Journal!$C$7:$M$84,11))</f>
        <v/>
      </c>
      <c r="G358" s="102">
        <f>IF(B358="Total",SUM(G$8:G357)+0.0001,IF(OR(B358="",M358=0),0,VLOOKUP(A358,Journal!$C$7:M$84,7)))</f>
        <v>0</v>
      </c>
      <c r="H358" s="102">
        <f>IF(B358="Total",SUM(H$8:H357)+0.0001,IF(OR(B358="",N358=0),0,VLOOKUP(A358,Journal!$C$7:M$84,7)))</f>
        <v>0</v>
      </c>
      <c r="I358" s="87">
        <f t="shared" si="34"/>
        <v>0</v>
      </c>
      <c r="K358" s="13">
        <f>VLOOKUP(A358,Journal!$C$7:$M$84,4)</f>
        <v>0</v>
      </c>
      <c r="L358" s="13">
        <f>VLOOKUP(A358,Journal!$C$7:$M$84,5)</f>
        <v>0</v>
      </c>
      <c r="M358" s="13">
        <f t="shared" si="36"/>
        <v>0</v>
      </c>
      <c r="N358" s="13">
        <f t="shared" si="37"/>
        <v>0</v>
      </c>
      <c r="O358" s="13"/>
      <c r="P358" s="13">
        <f t="shared" si="38"/>
        <v>1.0000000000000001E-5</v>
      </c>
      <c r="T358" t="str">
        <f t="shared" si="33"/>
        <v/>
      </c>
    </row>
    <row r="359" spans="1:20" x14ac:dyDescent="0.25">
      <c r="A359">
        <f t="shared" si="35"/>
        <v>352</v>
      </c>
      <c r="B359" s="88" t="str">
        <f>IF(OR(B358="Total",B358=""),"",IF(VLOOKUP(A359,Journal!$C$7:$E$84,3)=0,"Total",VLOOKUP(A359,Journal!$C$7:$D$84,2)))</f>
        <v/>
      </c>
      <c r="C359" s="86" t="str">
        <f>IF(B359="","",VLOOKUP(A359,Journal!$C$7:$E$84,3))</f>
        <v/>
      </c>
      <c r="D359" s="84" t="str">
        <f>IF(B359="","",VLOOKUP(A359,Journal!$C$7:$J$84,8))</f>
        <v/>
      </c>
      <c r="E359" s="84" t="str">
        <f>IF(B359="","",VLOOKUP(A359,Journal!$C$7:$L$84,10))</f>
        <v/>
      </c>
      <c r="F359" s="84" t="str">
        <f>IF(B359="","",VLOOKUP(A359,Journal!$C$7:$M$84,11))</f>
        <v/>
      </c>
      <c r="G359" s="102">
        <f>IF(B359="Total",SUM(G$8:G358)+0.0001,IF(OR(B359="",M359=0),0,VLOOKUP(A359,Journal!$C$7:M$84,7)))</f>
        <v>0</v>
      </c>
      <c r="H359" s="102">
        <f>IF(B359="Total",SUM(H$8:H358)+0.0001,IF(OR(B359="",N359=0),0,VLOOKUP(A359,Journal!$C$7:M$84,7)))</f>
        <v>0</v>
      </c>
      <c r="I359" s="87">
        <f t="shared" si="34"/>
        <v>0</v>
      </c>
      <c r="K359" s="13">
        <f>VLOOKUP(A359,Journal!$C$7:$M$84,4)</f>
        <v>0</v>
      </c>
      <c r="L359" s="13">
        <f>VLOOKUP(A359,Journal!$C$7:$M$84,5)</f>
        <v>0</v>
      </c>
      <c r="M359" s="13">
        <f t="shared" si="36"/>
        <v>0</v>
      </c>
      <c r="N359" s="13">
        <f t="shared" si="37"/>
        <v>0</v>
      </c>
      <c r="O359" s="13"/>
      <c r="P359" s="13">
        <f t="shared" si="38"/>
        <v>1.0000000000000001E-5</v>
      </c>
      <c r="T359" t="str">
        <f t="shared" si="33"/>
        <v/>
      </c>
    </row>
    <row r="360" spans="1:20" x14ac:dyDescent="0.25">
      <c r="A360">
        <f t="shared" si="35"/>
        <v>353</v>
      </c>
      <c r="B360" s="88" t="str">
        <f>IF(OR(B359="Total",B359=""),"",IF(VLOOKUP(A360,Journal!$C$7:$E$84,3)=0,"Total",VLOOKUP(A360,Journal!$C$7:$D$84,2)))</f>
        <v/>
      </c>
      <c r="C360" s="86" t="str">
        <f>IF(B360="","",VLOOKUP(A360,Journal!$C$7:$E$84,3))</f>
        <v/>
      </c>
      <c r="D360" s="84" t="str">
        <f>IF(B360="","",VLOOKUP(A360,Journal!$C$7:$J$84,8))</f>
        <v/>
      </c>
      <c r="E360" s="84" t="str">
        <f>IF(B360="","",VLOOKUP(A360,Journal!$C$7:$L$84,10))</f>
        <v/>
      </c>
      <c r="F360" s="84" t="str">
        <f>IF(B360="","",VLOOKUP(A360,Journal!$C$7:$M$84,11))</f>
        <v/>
      </c>
      <c r="G360" s="102">
        <f>IF(B360="Total",SUM(G$8:G359)+0.0001,IF(OR(B360="",M360=0),0,VLOOKUP(A360,Journal!$C$7:M$84,7)))</f>
        <v>0</v>
      </c>
      <c r="H360" s="102">
        <f>IF(B360="Total",SUM(H$8:H359)+0.0001,IF(OR(B360="",N360=0),0,VLOOKUP(A360,Journal!$C$7:M$84,7)))</f>
        <v>0</v>
      </c>
      <c r="I360" s="87">
        <f t="shared" si="34"/>
        <v>0</v>
      </c>
      <c r="K360" s="13">
        <f>VLOOKUP(A360,Journal!$C$7:$M$84,4)</f>
        <v>0</v>
      </c>
      <c r="L360" s="13">
        <f>VLOOKUP(A360,Journal!$C$7:$M$84,5)</f>
        <v>0</v>
      </c>
      <c r="M360" s="13">
        <f t="shared" si="36"/>
        <v>0</v>
      </c>
      <c r="N360" s="13">
        <f t="shared" si="37"/>
        <v>0</v>
      </c>
      <c r="O360" s="13"/>
      <c r="P360" s="13">
        <f t="shared" si="38"/>
        <v>1.0000000000000001E-5</v>
      </c>
      <c r="T360" t="str">
        <f t="shared" si="33"/>
        <v/>
      </c>
    </row>
    <row r="361" spans="1:20" x14ac:dyDescent="0.25">
      <c r="A361">
        <f t="shared" si="35"/>
        <v>354</v>
      </c>
      <c r="B361" s="88" t="str">
        <f>IF(OR(B360="Total",B360=""),"",IF(VLOOKUP(A361,Journal!$C$7:$E$84,3)=0,"Total",VLOOKUP(A361,Journal!$C$7:$D$84,2)))</f>
        <v/>
      </c>
      <c r="C361" s="86" t="str">
        <f>IF(B361="","",VLOOKUP(A361,Journal!$C$7:$E$84,3))</f>
        <v/>
      </c>
      <c r="D361" s="84" t="str">
        <f>IF(B361="","",VLOOKUP(A361,Journal!$C$7:$J$84,8))</f>
        <v/>
      </c>
      <c r="E361" s="84" t="str">
        <f>IF(B361="","",VLOOKUP(A361,Journal!$C$7:$L$84,10))</f>
        <v/>
      </c>
      <c r="F361" s="84" t="str">
        <f>IF(B361="","",VLOOKUP(A361,Journal!$C$7:$M$84,11))</f>
        <v/>
      </c>
      <c r="G361" s="102">
        <f>IF(B361="Total",SUM(G$8:G360)+0.0001,IF(OR(B361="",M361=0),0,VLOOKUP(A361,Journal!$C$7:M$84,7)))</f>
        <v>0</v>
      </c>
      <c r="H361" s="102">
        <f>IF(B361="Total",SUM(H$8:H360)+0.0001,IF(OR(B361="",N361=0),0,VLOOKUP(A361,Journal!$C$7:M$84,7)))</f>
        <v>0</v>
      </c>
      <c r="I361" s="87">
        <f t="shared" si="34"/>
        <v>0</v>
      </c>
      <c r="K361" s="13">
        <f>VLOOKUP(A361,Journal!$C$7:$M$84,4)</f>
        <v>0</v>
      </c>
      <c r="L361" s="13">
        <f>VLOOKUP(A361,Journal!$C$7:$M$84,5)</f>
        <v>0</v>
      </c>
      <c r="M361" s="13">
        <f t="shared" si="36"/>
        <v>0</v>
      </c>
      <c r="N361" s="13">
        <f t="shared" si="37"/>
        <v>0</v>
      </c>
      <c r="O361" s="13"/>
      <c r="P361" s="13">
        <f t="shared" si="38"/>
        <v>1.0000000000000001E-5</v>
      </c>
      <c r="T361" t="str">
        <f t="shared" si="33"/>
        <v/>
      </c>
    </row>
    <row r="362" spans="1:20" x14ac:dyDescent="0.25">
      <c r="A362">
        <f t="shared" si="35"/>
        <v>355</v>
      </c>
      <c r="B362" s="88" t="str">
        <f>IF(OR(B361="Total",B361=""),"",IF(VLOOKUP(A362,Journal!$C$7:$E$84,3)=0,"Total",VLOOKUP(A362,Journal!$C$7:$D$84,2)))</f>
        <v/>
      </c>
      <c r="C362" s="86" t="str">
        <f>IF(B362="","",VLOOKUP(A362,Journal!$C$7:$E$84,3))</f>
        <v/>
      </c>
      <c r="D362" s="84" t="str">
        <f>IF(B362="","",VLOOKUP(A362,Journal!$C$7:$J$84,8))</f>
        <v/>
      </c>
      <c r="E362" s="84" t="str">
        <f>IF(B362="","",VLOOKUP(A362,Journal!$C$7:$L$84,10))</f>
        <v/>
      </c>
      <c r="F362" s="84" t="str">
        <f>IF(B362="","",VLOOKUP(A362,Journal!$C$7:$M$84,11))</f>
        <v/>
      </c>
      <c r="G362" s="102">
        <f>IF(B362="Total",SUM(G$8:G361)+0.0001,IF(OR(B362="",M362=0),0,VLOOKUP(A362,Journal!$C$7:M$84,7)))</f>
        <v>0</v>
      </c>
      <c r="H362" s="102">
        <f>IF(B362="Total",SUM(H$8:H361)+0.0001,IF(OR(B362="",N362=0),0,VLOOKUP(A362,Journal!$C$7:M$84,7)))</f>
        <v>0</v>
      </c>
      <c r="I362" s="87">
        <f t="shared" si="34"/>
        <v>0</v>
      </c>
      <c r="K362" s="13">
        <f>VLOOKUP(A362,Journal!$C$7:$M$84,4)</f>
        <v>0</v>
      </c>
      <c r="L362" s="13">
        <f>VLOOKUP(A362,Journal!$C$7:$M$84,5)</f>
        <v>0</v>
      </c>
      <c r="M362" s="13">
        <f t="shared" si="36"/>
        <v>0</v>
      </c>
      <c r="N362" s="13">
        <f t="shared" si="37"/>
        <v>0</v>
      </c>
      <c r="O362" s="13"/>
      <c r="P362" s="13">
        <f t="shared" si="38"/>
        <v>1.0000000000000001E-5</v>
      </c>
      <c r="T362" t="str">
        <f t="shared" si="33"/>
        <v/>
      </c>
    </row>
    <row r="363" spans="1:20" x14ac:dyDescent="0.25">
      <c r="A363">
        <f t="shared" si="35"/>
        <v>356</v>
      </c>
      <c r="B363" s="88" t="str">
        <f>IF(OR(B362="Total",B362=""),"",IF(VLOOKUP(A363,Journal!$C$7:$E$84,3)=0,"Total",VLOOKUP(A363,Journal!$C$7:$D$84,2)))</f>
        <v/>
      </c>
      <c r="C363" s="86" t="str">
        <f>IF(B363="","",VLOOKUP(A363,Journal!$C$7:$E$84,3))</f>
        <v/>
      </c>
      <c r="D363" s="84" t="str">
        <f>IF(B363="","",VLOOKUP(A363,Journal!$C$7:$J$84,8))</f>
        <v/>
      </c>
      <c r="E363" s="84" t="str">
        <f>IF(B363="","",VLOOKUP(A363,Journal!$C$7:$L$84,10))</f>
        <v/>
      </c>
      <c r="F363" s="84" t="str">
        <f>IF(B363="","",VLOOKUP(A363,Journal!$C$7:$M$84,11))</f>
        <v/>
      </c>
      <c r="G363" s="102">
        <f>IF(B363="Total",SUM(G$8:G362)+0.0001,IF(OR(B363="",M363=0),0,VLOOKUP(A363,Journal!$C$7:M$84,7)))</f>
        <v>0</v>
      </c>
      <c r="H363" s="102">
        <f>IF(B363="Total",SUM(H$8:H362)+0.0001,IF(OR(B363="",N363=0),0,VLOOKUP(A363,Journal!$C$7:M$84,7)))</f>
        <v>0</v>
      </c>
      <c r="I363" s="87">
        <f t="shared" si="34"/>
        <v>0</v>
      </c>
      <c r="K363" s="13">
        <f>VLOOKUP(A363,Journal!$C$7:$M$84,4)</f>
        <v>0</v>
      </c>
      <c r="L363" s="13">
        <f>VLOOKUP(A363,Journal!$C$7:$M$84,5)</f>
        <v>0</v>
      </c>
      <c r="M363" s="13">
        <f t="shared" si="36"/>
        <v>0</v>
      </c>
      <c r="N363" s="13">
        <f t="shared" si="37"/>
        <v>0</v>
      </c>
      <c r="O363" s="13"/>
      <c r="P363" s="13">
        <f t="shared" si="38"/>
        <v>1.0000000000000001E-5</v>
      </c>
      <c r="T363" t="str">
        <f t="shared" si="33"/>
        <v/>
      </c>
    </row>
    <row r="364" spans="1:20" x14ac:dyDescent="0.25">
      <c r="A364">
        <f t="shared" si="35"/>
        <v>357</v>
      </c>
      <c r="B364" s="88" t="str">
        <f>IF(OR(B363="Total",B363=""),"",IF(VLOOKUP(A364,Journal!$C$7:$E$84,3)=0,"Total",VLOOKUP(A364,Journal!$C$7:$D$84,2)))</f>
        <v/>
      </c>
      <c r="C364" s="86" t="str">
        <f>IF(B364="","",VLOOKUP(A364,Journal!$C$7:$E$84,3))</f>
        <v/>
      </c>
      <c r="D364" s="84" t="str">
        <f>IF(B364="","",VLOOKUP(A364,Journal!$C$7:$J$84,8))</f>
        <v/>
      </c>
      <c r="E364" s="84" t="str">
        <f>IF(B364="","",VLOOKUP(A364,Journal!$C$7:$L$84,10))</f>
        <v/>
      </c>
      <c r="F364" s="84" t="str">
        <f>IF(B364="","",VLOOKUP(A364,Journal!$C$7:$M$84,11))</f>
        <v/>
      </c>
      <c r="G364" s="102">
        <f>IF(B364="Total",SUM(G$8:G363)+0.0001,IF(OR(B364="",M364=0),0,VLOOKUP(A364,Journal!$C$7:M$84,7)))</f>
        <v>0</v>
      </c>
      <c r="H364" s="102">
        <f>IF(B364="Total",SUM(H$8:H363)+0.0001,IF(OR(B364="",N364=0),0,VLOOKUP(A364,Journal!$C$7:M$84,7)))</f>
        <v>0</v>
      </c>
      <c r="I364" s="87">
        <f t="shared" si="34"/>
        <v>0</v>
      </c>
      <c r="K364" s="13">
        <f>VLOOKUP(A364,Journal!$C$7:$M$84,4)</f>
        <v>0</v>
      </c>
      <c r="L364" s="13">
        <f>VLOOKUP(A364,Journal!$C$7:$M$84,5)</f>
        <v>0</v>
      </c>
      <c r="M364" s="13">
        <f t="shared" si="36"/>
        <v>0</v>
      </c>
      <c r="N364" s="13">
        <f t="shared" si="37"/>
        <v>0</v>
      </c>
      <c r="O364" s="13"/>
      <c r="P364" s="13">
        <f t="shared" si="38"/>
        <v>1.0000000000000001E-5</v>
      </c>
      <c r="T364" t="str">
        <f t="shared" si="33"/>
        <v/>
      </c>
    </row>
    <row r="365" spans="1:20" x14ac:dyDescent="0.25">
      <c r="A365">
        <f t="shared" si="35"/>
        <v>358</v>
      </c>
      <c r="B365" s="88" t="str">
        <f>IF(OR(B364="Total",B364=""),"",IF(VLOOKUP(A365,Journal!$C$7:$E$84,3)=0,"Total",VLOOKUP(A365,Journal!$C$7:$D$84,2)))</f>
        <v/>
      </c>
      <c r="C365" s="86" t="str">
        <f>IF(B365="","",VLOOKUP(A365,Journal!$C$7:$E$84,3))</f>
        <v/>
      </c>
      <c r="D365" s="84" t="str">
        <f>IF(B365="","",VLOOKUP(A365,Journal!$C$7:$J$84,8))</f>
        <v/>
      </c>
      <c r="E365" s="84" t="str">
        <f>IF(B365="","",VLOOKUP(A365,Journal!$C$7:$L$84,10))</f>
        <v/>
      </c>
      <c r="F365" s="84" t="str">
        <f>IF(B365="","",VLOOKUP(A365,Journal!$C$7:$M$84,11))</f>
        <v/>
      </c>
      <c r="G365" s="102">
        <f>IF(B365="Total",SUM(G$8:G364)+0.0001,IF(OR(B365="",M365=0),0,VLOOKUP(A365,Journal!$C$7:M$84,7)))</f>
        <v>0</v>
      </c>
      <c r="H365" s="102">
        <f>IF(B365="Total",SUM(H$8:H364)+0.0001,IF(OR(B365="",N365=0),0,VLOOKUP(A365,Journal!$C$7:M$84,7)))</f>
        <v>0</v>
      </c>
      <c r="I365" s="87">
        <f t="shared" si="34"/>
        <v>0</v>
      </c>
      <c r="K365" s="13">
        <f>VLOOKUP(A365,Journal!$C$7:$M$84,4)</f>
        <v>0</v>
      </c>
      <c r="L365" s="13">
        <f>VLOOKUP(A365,Journal!$C$7:$M$84,5)</f>
        <v>0</v>
      </c>
      <c r="M365" s="13">
        <f t="shared" si="36"/>
        <v>0</v>
      </c>
      <c r="N365" s="13">
        <f t="shared" si="37"/>
        <v>0</v>
      </c>
      <c r="O365" s="13"/>
      <c r="P365" s="13">
        <f t="shared" si="38"/>
        <v>1.0000000000000001E-5</v>
      </c>
      <c r="T365" t="str">
        <f t="shared" si="33"/>
        <v/>
      </c>
    </row>
    <row r="366" spans="1:20" x14ac:dyDescent="0.25">
      <c r="A366">
        <f t="shared" si="35"/>
        <v>359</v>
      </c>
      <c r="B366" s="88" t="str">
        <f>IF(OR(B365="Total",B365=""),"",IF(VLOOKUP(A366,Journal!$C$7:$E$84,3)=0,"Total",VLOOKUP(A366,Journal!$C$7:$D$84,2)))</f>
        <v/>
      </c>
      <c r="C366" s="86" t="str">
        <f>IF(B366="","",VLOOKUP(A366,Journal!$C$7:$E$84,3))</f>
        <v/>
      </c>
      <c r="D366" s="84" t="str">
        <f>IF(B366="","",VLOOKUP(A366,Journal!$C$7:$J$84,8))</f>
        <v/>
      </c>
      <c r="E366" s="84" t="str">
        <f>IF(B366="","",VLOOKUP(A366,Journal!$C$7:$L$84,10))</f>
        <v/>
      </c>
      <c r="F366" s="84" t="str">
        <f>IF(B366="","",VLOOKUP(A366,Journal!$C$7:$M$84,11))</f>
        <v/>
      </c>
      <c r="G366" s="102">
        <f>IF(B366="Total",SUM(G$8:G365)+0.0001,IF(OR(B366="",M366=0),0,VLOOKUP(A366,Journal!$C$7:M$84,7)))</f>
        <v>0</v>
      </c>
      <c r="H366" s="102">
        <f>IF(B366="Total",SUM(H$8:H365)+0.0001,IF(OR(B366="",N366=0),0,VLOOKUP(A366,Journal!$C$7:M$84,7)))</f>
        <v>0</v>
      </c>
      <c r="I366" s="87">
        <f t="shared" si="34"/>
        <v>0</v>
      </c>
      <c r="K366" s="13">
        <f>VLOOKUP(A366,Journal!$C$7:$M$84,4)</f>
        <v>0</v>
      </c>
      <c r="L366" s="13">
        <f>VLOOKUP(A366,Journal!$C$7:$M$84,5)</f>
        <v>0</v>
      </c>
      <c r="M366" s="13">
        <f t="shared" si="36"/>
        <v>0</v>
      </c>
      <c r="N366" s="13">
        <f t="shared" si="37"/>
        <v>0</v>
      </c>
      <c r="O366" s="13"/>
      <c r="P366" s="13">
        <f t="shared" si="38"/>
        <v>1.0000000000000001E-5</v>
      </c>
      <c r="T366" t="str">
        <f t="shared" si="33"/>
        <v/>
      </c>
    </row>
    <row r="367" spans="1:20" x14ac:dyDescent="0.25">
      <c r="A367">
        <f t="shared" si="35"/>
        <v>360</v>
      </c>
      <c r="B367" s="88" t="str">
        <f>IF(OR(B366="Total",B366=""),"",IF(VLOOKUP(A367,Journal!$C$7:$E$84,3)=0,"Total",VLOOKUP(A367,Journal!$C$7:$D$84,2)))</f>
        <v/>
      </c>
      <c r="C367" s="86" t="str">
        <f>IF(B367="","",VLOOKUP(A367,Journal!$C$7:$E$84,3))</f>
        <v/>
      </c>
      <c r="D367" s="84" t="str">
        <f>IF(B367="","",VLOOKUP(A367,Journal!$C$7:$J$84,8))</f>
        <v/>
      </c>
      <c r="E367" s="84" t="str">
        <f>IF(B367="","",VLOOKUP(A367,Journal!$C$7:$L$84,10))</f>
        <v/>
      </c>
      <c r="F367" s="84" t="str">
        <f>IF(B367="","",VLOOKUP(A367,Journal!$C$7:$M$84,11))</f>
        <v/>
      </c>
      <c r="G367" s="102">
        <f>IF(B367="Total",SUM(G$8:G366)+0.0001,IF(OR(B367="",M367=0),0,VLOOKUP(A367,Journal!$C$7:M$84,7)))</f>
        <v>0</v>
      </c>
      <c r="H367" s="102">
        <f>IF(B367="Total",SUM(H$8:H366)+0.0001,IF(OR(B367="",N367=0),0,VLOOKUP(A367,Journal!$C$7:M$84,7)))</f>
        <v>0</v>
      </c>
      <c r="I367" s="87">
        <f t="shared" si="34"/>
        <v>0</v>
      </c>
      <c r="K367" s="13">
        <f>VLOOKUP(A367,Journal!$C$7:$M$84,4)</f>
        <v>0</v>
      </c>
      <c r="L367" s="13">
        <f>VLOOKUP(A367,Journal!$C$7:$M$84,5)</f>
        <v>0</v>
      </c>
      <c r="M367" s="13">
        <f t="shared" si="36"/>
        <v>0</v>
      </c>
      <c r="N367" s="13">
        <f t="shared" si="37"/>
        <v>0</v>
      </c>
      <c r="O367" s="13"/>
      <c r="P367" s="13">
        <f t="shared" si="38"/>
        <v>1.0000000000000001E-5</v>
      </c>
      <c r="T367" t="str">
        <f t="shared" si="33"/>
        <v/>
      </c>
    </row>
    <row r="368" spans="1:20" x14ac:dyDescent="0.25">
      <c r="A368">
        <f t="shared" si="35"/>
        <v>361</v>
      </c>
      <c r="B368" s="88" t="str">
        <f>IF(OR(B367="Total",B367=""),"",IF(VLOOKUP(A368,Journal!$C$7:$E$84,3)=0,"Total",VLOOKUP(A368,Journal!$C$7:$D$84,2)))</f>
        <v/>
      </c>
      <c r="C368" s="86" t="str">
        <f>IF(B368="","",VLOOKUP(A368,Journal!$C$7:$E$84,3))</f>
        <v/>
      </c>
      <c r="D368" s="84" t="str">
        <f>IF(B368="","",VLOOKUP(A368,Journal!$C$7:$J$84,8))</f>
        <v/>
      </c>
      <c r="E368" s="84" t="str">
        <f>IF(B368="","",VLOOKUP(A368,Journal!$C$7:$L$84,10))</f>
        <v/>
      </c>
      <c r="F368" s="84" t="str">
        <f>IF(B368="","",VLOOKUP(A368,Journal!$C$7:$M$84,11))</f>
        <v/>
      </c>
      <c r="G368" s="102">
        <f>IF(B368="Total",SUM(G$8:G367)+0.0001,IF(OR(B368="",M368=0),0,VLOOKUP(A368,Journal!$C$7:M$84,7)))</f>
        <v>0</v>
      </c>
      <c r="H368" s="102">
        <f>IF(B368="Total",SUM(H$8:H367)+0.0001,IF(OR(B368="",N368=0),0,VLOOKUP(A368,Journal!$C$7:M$84,7)))</f>
        <v>0</v>
      </c>
      <c r="I368" s="87">
        <f t="shared" si="34"/>
        <v>0</v>
      </c>
      <c r="K368" s="13">
        <f>VLOOKUP(A368,Journal!$C$7:$M$84,4)</f>
        <v>0</v>
      </c>
      <c r="L368" s="13">
        <f>VLOOKUP(A368,Journal!$C$7:$M$84,5)</f>
        <v>0</v>
      </c>
      <c r="M368" s="13">
        <f t="shared" si="36"/>
        <v>0</v>
      </c>
      <c r="N368" s="13">
        <f t="shared" si="37"/>
        <v>0</v>
      </c>
      <c r="O368" s="13"/>
      <c r="P368" s="13">
        <f t="shared" si="38"/>
        <v>1.0000000000000001E-5</v>
      </c>
      <c r="T368" t="str">
        <f t="shared" si="33"/>
        <v/>
      </c>
    </row>
    <row r="369" spans="1:20" x14ac:dyDescent="0.25">
      <c r="A369">
        <f t="shared" si="35"/>
        <v>362</v>
      </c>
      <c r="B369" s="88" t="str">
        <f>IF(OR(B368="Total",B368=""),"",IF(VLOOKUP(A369,Journal!$C$7:$E$84,3)=0,"Total",VLOOKUP(A369,Journal!$C$7:$D$84,2)))</f>
        <v/>
      </c>
      <c r="C369" s="86" t="str">
        <f>IF(B369="","",VLOOKUP(A369,Journal!$C$7:$E$84,3))</f>
        <v/>
      </c>
      <c r="D369" s="84" t="str">
        <f>IF(B369="","",VLOOKUP(A369,Journal!$C$7:$J$84,8))</f>
        <v/>
      </c>
      <c r="E369" s="84" t="str">
        <f>IF(B369="","",VLOOKUP(A369,Journal!$C$7:$L$84,10))</f>
        <v/>
      </c>
      <c r="F369" s="84" t="str">
        <f>IF(B369="","",VLOOKUP(A369,Journal!$C$7:$M$84,11))</f>
        <v/>
      </c>
      <c r="G369" s="102">
        <f>IF(B369="Total",SUM(G$8:G368)+0.0001,IF(OR(B369="",M369=0),0,VLOOKUP(A369,Journal!$C$7:M$84,7)))</f>
        <v>0</v>
      </c>
      <c r="H369" s="102">
        <f>IF(B369="Total",SUM(H$8:H368)+0.0001,IF(OR(B369="",N369=0),0,VLOOKUP(A369,Journal!$C$7:M$84,7)))</f>
        <v>0</v>
      </c>
      <c r="I369" s="87">
        <f t="shared" si="34"/>
        <v>0</v>
      </c>
      <c r="K369" s="13">
        <f>VLOOKUP(A369,Journal!$C$7:$M$84,4)</f>
        <v>0</v>
      </c>
      <c r="L369" s="13">
        <f>VLOOKUP(A369,Journal!$C$7:$M$84,5)</f>
        <v>0</v>
      </c>
      <c r="M369" s="13">
        <f t="shared" si="36"/>
        <v>0</v>
      </c>
      <c r="N369" s="13">
        <f t="shared" si="37"/>
        <v>0</v>
      </c>
      <c r="O369" s="13"/>
      <c r="P369" s="13">
        <f t="shared" si="38"/>
        <v>1.0000000000000001E-5</v>
      </c>
      <c r="T369" t="str">
        <f t="shared" si="33"/>
        <v/>
      </c>
    </row>
    <row r="370" spans="1:20" x14ac:dyDescent="0.25">
      <c r="A370">
        <f t="shared" si="35"/>
        <v>363</v>
      </c>
      <c r="B370" s="88" t="str">
        <f>IF(OR(B369="Total",B369=""),"",IF(VLOOKUP(A370,Journal!$C$7:$E$84,3)=0,"Total",VLOOKUP(A370,Journal!$C$7:$D$84,2)))</f>
        <v/>
      </c>
      <c r="C370" s="86" t="str">
        <f>IF(B370="","",VLOOKUP(A370,Journal!$C$7:$E$84,3))</f>
        <v/>
      </c>
      <c r="D370" s="84" t="str">
        <f>IF(B370="","",VLOOKUP(A370,Journal!$C$7:$J$84,8))</f>
        <v/>
      </c>
      <c r="E370" s="84" t="str">
        <f>IF(B370="","",VLOOKUP(A370,Journal!$C$7:$L$84,10))</f>
        <v/>
      </c>
      <c r="F370" s="84" t="str">
        <f>IF(B370="","",VLOOKUP(A370,Journal!$C$7:$M$84,11))</f>
        <v/>
      </c>
      <c r="G370" s="102">
        <f>IF(B370="Total",SUM(G$8:G369)+0.0001,IF(OR(B370="",M370=0),0,VLOOKUP(A370,Journal!$C$7:M$84,7)))</f>
        <v>0</v>
      </c>
      <c r="H370" s="102">
        <f>IF(B370="Total",SUM(H$8:H369)+0.0001,IF(OR(B370="",N370=0),0,VLOOKUP(A370,Journal!$C$7:M$84,7)))</f>
        <v>0</v>
      </c>
      <c r="I370" s="87">
        <f t="shared" si="34"/>
        <v>0</v>
      </c>
      <c r="K370" s="13">
        <f>VLOOKUP(A370,Journal!$C$7:$M$84,4)</f>
        <v>0</v>
      </c>
      <c r="L370" s="13">
        <f>VLOOKUP(A370,Journal!$C$7:$M$84,5)</f>
        <v>0</v>
      </c>
      <c r="M370" s="13">
        <f t="shared" si="36"/>
        <v>0</v>
      </c>
      <c r="N370" s="13">
        <f t="shared" si="37"/>
        <v>0</v>
      </c>
      <c r="O370" s="13"/>
      <c r="P370" s="13">
        <f t="shared" si="38"/>
        <v>1.0000000000000001E-5</v>
      </c>
      <c r="T370" t="str">
        <f t="shared" si="33"/>
        <v/>
      </c>
    </row>
    <row r="371" spans="1:20" x14ac:dyDescent="0.25">
      <c r="A371">
        <f t="shared" si="35"/>
        <v>364</v>
      </c>
      <c r="B371" s="88" t="str">
        <f>IF(OR(B370="Total",B370=""),"",IF(VLOOKUP(A371,Journal!$C$7:$E$84,3)=0,"Total",VLOOKUP(A371,Journal!$C$7:$D$84,2)))</f>
        <v/>
      </c>
      <c r="C371" s="86" t="str">
        <f>IF(B371="","",VLOOKUP(A371,Journal!$C$7:$E$84,3))</f>
        <v/>
      </c>
      <c r="D371" s="84" t="str">
        <f>IF(B371="","",VLOOKUP(A371,Journal!$C$7:$J$84,8))</f>
        <v/>
      </c>
      <c r="E371" s="84" t="str">
        <f>IF(B371="","",VLOOKUP(A371,Journal!$C$7:$L$84,10))</f>
        <v/>
      </c>
      <c r="F371" s="84" t="str">
        <f>IF(B371="","",VLOOKUP(A371,Journal!$C$7:$M$84,11))</f>
        <v/>
      </c>
      <c r="G371" s="102">
        <f>IF(B371="Total",SUM(G$8:G370)+0.0001,IF(OR(B371="",M371=0),0,VLOOKUP(A371,Journal!$C$7:M$84,7)))</f>
        <v>0</v>
      </c>
      <c r="H371" s="102">
        <f>IF(B371="Total",SUM(H$8:H370)+0.0001,IF(OR(B371="",N371=0),0,VLOOKUP(A371,Journal!$C$7:M$84,7)))</f>
        <v>0</v>
      </c>
      <c r="I371" s="87">
        <f t="shared" si="34"/>
        <v>0</v>
      </c>
      <c r="K371" s="13">
        <f>VLOOKUP(A371,Journal!$C$7:$M$84,4)</f>
        <v>0</v>
      </c>
      <c r="L371" s="13">
        <f>VLOOKUP(A371,Journal!$C$7:$M$84,5)</f>
        <v>0</v>
      </c>
      <c r="M371" s="13">
        <f t="shared" si="36"/>
        <v>0</v>
      </c>
      <c r="N371" s="13">
        <f t="shared" si="37"/>
        <v>0</v>
      </c>
      <c r="O371" s="13"/>
      <c r="P371" s="13">
        <f t="shared" si="38"/>
        <v>1.0000000000000001E-5</v>
      </c>
      <c r="T371" t="str">
        <f t="shared" si="33"/>
        <v/>
      </c>
    </row>
    <row r="372" spans="1:20" x14ac:dyDescent="0.25">
      <c r="A372">
        <f t="shared" si="35"/>
        <v>365</v>
      </c>
      <c r="B372" s="88" t="str">
        <f>IF(OR(B371="Total",B371=""),"",IF(VLOOKUP(A372,Journal!$C$7:$E$84,3)=0,"Total",VLOOKUP(A372,Journal!$C$7:$D$84,2)))</f>
        <v/>
      </c>
      <c r="C372" s="86" t="str">
        <f>IF(B372="","",VLOOKUP(A372,Journal!$C$7:$E$84,3))</f>
        <v/>
      </c>
      <c r="D372" s="84" t="str">
        <f>IF(B372="","",VLOOKUP(A372,Journal!$C$7:$J$84,8))</f>
        <v/>
      </c>
      <c r="E372" s="84" t="str">
        <f>IF(B372="","",VLOOKUP(A372,Journal!$C$7:$L$84,10))</f>
        <v/>
      </c>
      <c r="F372" s="84" t="str">
        <f>IF(B372="","",VLOOKUP(A372,Journal!$C$7:$M$84,11))</f>
        <v/>
      </c>
      <c r="G372" s="102">
        <f>IF(B372="Total",SUM(G$8:G371)+0.0001,IF(OR(B372="",M372=0),0,VLOOKUP(A372,Journal!$C$7:M$84,7)))</f>
        <v>0</v>
      </c>
      <c r="H372" s="102">
        <f>IF(B372="Total",SUM(H$8:H371)+0.0001,IF(OR(B372="",N372=0),0,VLOOKUP(A372,Journal!$C$7:M$84,7)))</f>
        <v>0</v>
      </c>
      <c r="I372" s="87">
        <f t="shared" si="34"/>
        <v>0</v>
      </c>
      <c r="K372" s="13">
        <f>VLOOKUP(A372,Journal!$C$7:$M$84,4)</f>
        <v>0</v>
      </c>
      <c r="L372" s="13">
        <f>VLOOKUP(A372,Journal!$C$7:$M$84,5)</f>
        <v>0</v>
      </c>
      <c r="M372" s="13">
        <f t="shared" si="36"/>
        <v>0</v>
      </c>
      <c r="N372" s="13">
        <f t="shared" si="37"/>
        <v>0</v>
      </c>
      <c r="O372" s="13"/>
      <c r="P372" s="13">
        <f t="shared" si="38"/>
        <v>1.0000000000000001E-5</v>
      </c>
      <c r="T372" t="str">
        <f t="shared" si="33"/>
        <v/>
      </c>
    </row>
    <row r="373" spans="1:20" x14ac:dyDescent="0.25">
      <c r="A373">
        <f t="shared" si="35"/>
        <v>366</v>
      </c>
      <c r="B373" s="88" t="str">
        <f>IF(OR(B372="Total",B372=""),"",IF(VLOOKUP(A373,Journal!$C$7:$E$84,3)=0,"Total",VLOOKUP(A373,Journal!$C$7:$D$84,2)))</f>
        <v/>
      </c>
      <c r="C373" s="86" t="str">
        <f>IF(B373="","",VLOOKUP(A373,Journal!$C$7:$E$84,3))</f>
        <v/>
      </c>
      <c r="D373" s="84" t="str">
        <f>IF(B373="","",VLOOKUP(A373,Journal!$C$7:$J$84,8))</f>
        <v/>
      </c>
      <c r="E373" s="84" t="str">
        <f>IF(B373="","",VLOOKUP(A373,Journal!$C$7:$L$84,10))</f>
        <v/>
      </c>
      <c r="F373" s="84" t="str">
        <f>IF(B373="","",VLOOKUP(A373,Journal!$C$7:$M$84,11))</f>
        <v/>
      </c>
      <c r="G373" s="102">
        <f>IF(B373="Total",SUM(G$8:G372)+0.0001,IF(OR(B373="",M373=0),0,VLOOKUP(A373,Journal!$C$7:M$84,7)))</f>
        <v>0</v>
      </c>
      <c r="H373" s="102">
        <f>IF(B373="Total",SUM(H$8:H372)+0.0001,IF(OR(B373="",N373=0),0,VLOOKUP(A373,Journal!$C$7:M$84,7)))</f>
        <v>0</v>
      </c>
      <c r="I373" s="87">
        <f t="shared" si="34"/>
        <v>0</v>
      </c>
      <c r="K373" s="13">
        <f>VLOOKUP(A373,Journal!$C$7:$M$84,4)</f>
        <v>0</v>
      </c>
      <c r="L373" s="13">
        <f>VLOOKUP(A373,Journal!$C$7:$M$84,5)</f>
        <v>0</v>
      </c>
      <c r="M373" s="13">
        <f t="shared" si="36"/>
        <v>0</v>
      </c>
      <c r="N373" s="13">
        <f t="shared" si="37"/>
        <v>0</v>
      </c>
      <c r="O373" s="13"/>
      <c r="P373" s="13">
        <f t="shared" si="38"/>
        <v>1.0000000000000001E-5</v>
      </c>
      <c r="T373" t="str">
        <f t="shared" si="33"/>
        <v/>
      </c>
    </row>
    <row r="374" spans="1:20" x14ac:dyDescent="0.25">
      <c r="A374">
        <f t="shared" si="35"/>
        <v>367</v>
      </c>
      <c r="B374" s="88" t="str">
        <f>IF(OR(B373="Total",B373=""),"",IF(VLOOKUP(A374,Journal!$C$7:$E$84,3)=0,"Total",VLOOKUP(A374,Journal!$C$7:$D$84,2)))</f>
        <v/>
      </c>
      <c r="C374" s="86" t="str">
        <f>IF(B374="","",VLOOKUP(A374,Journal!$C$7:$E$84,3))</f>
        <v/>
      </c>
      <c r="D374" s="84" t="str">
        <f>IF(B374="","",VLOOKUP(A374,Journal!$C$7:$J$84,8))</f>
        <v/>
      </c>
      <c r="E374" s="84" t="str">
        <f>IF(B374="","",VLOOKUP(A374,Journal!$C$7:$L$84,10))</f>
        <v/>
      </c>
      <c r="F374" s="84" t="str">
        <f>IF(B374="","",VLOOKUP(A374,Journal!$C$7:$M$84,11))</f>
        <v/>
      </c>
      <c r="G374" s="102">
        <f>IF(B374="Total",SUM(G$8:G373)+0.0001,IF(OR(B374="",M374=0),0,VLOOKUP(A374,Journal!$C$7:M$84,7)))</f>
        <v>0</v>
      </c>
      <c r="H374" s="102">
        <f>IF(B374="Total",SUM(H$8:H373)+0.0001,IF(OR(B374="",N374=0),0,VLOOKUP(A374,Journal!$C$7:M$84,7)))</f>
        <v>0</v>
      </c>
      <c r="I374" s="87">
        <f t="shared" si="34"/>
        <v>0</v>
      </c>
      <c r="K374" s="13">
        <f>VLOOKUP(A374,Journal!$C$7:$M$84,4)</f>
        <v>0</v>
      </c>
      <c r="L374" s="13">
        <f>VLOOKUP(A374,Journal!$C$7:$M$84,5)</f>
        <v>0</v>
      </c>
      <c r="M374" s="13">
        <f t="shared" si="36"/>
        <v>0</v>
      </c>
      <c r="N374" s="13">
        <f t="shared" si="37"/>
        <v>0</v>
      </c>
      <c r="O374" s="13"/>
      <c r="P374" s="13">
        <f t="shared" si="38"/>
        <v>1.0000000000000001E-5</v>
      </c>
      <c r="T374" t="str">
        <f t="shared" si="33"/>
        <v/>
      </c>
    </row>
    <row r="375" spans="1:20" x14ac:dyDescent="0.25">
      <c r="A375">
        <f t="shared" si="35"/>
        <v>368</v>
      </c>
      <c r="B375" s="88" t="str">
        <f>IF(OR(B374="Total",B374=""),"",IF(VLOOKUP(A375,Journal!$C$7:$E$84,3)=0,"Total",VLOOKUP(A375,Journal!$C$7:$D$84,2)))</f>
        <v/>
      </c>
      <c r="C375" s="86" t="str">
        <f>IF(B375="","",VLOOKUP(A375,Journal!$C$7:$E$84,3))</f>
        <v/>
      </c>
      <c r="D375" s="84" t="str">
        <f>IF(B375="","",VLOOKUP(A375,Journal!$C$7:$J$84,8))</f>
        <v/>
      </c>
      <c r="E375" s="84" t="str">
        <f>IF(B375="","",VLOOKUP(A375,Journal!$C$7:$L$84,10))</f>
        <v/>
      </c>
      <c r="F375" s="84" t="str">
        <f>IF(B375="","",VLOOKUP(A375,Journal!$C$7:$M$84,11))</f>
        <v/>
      </c>
      <c r="G375" s="102">
        <f>IF(B375="Total",SUM(G$8:G374)+0.0001,IF(OR(B375="",M375=0),0,VLOOKUP(A375,Journal!$C$7:M$84,7)))</f>
        <v>0</v>
      </c>
      <c r="H375" s="102">
        <f>IF(B375="Total",SUM(H$8:H374)+0.0001,IF(OR(B375="",N375=0),0,VLOOKUP(A375,Journal!$C$7:M$84,7)))</f>
        <v>0</v>
      </c>
      <c r="I375" s="87">
        <f t="shared" si="34"/>
        <v>0</v>
      </c>
      <c r="K375" s="13">
        <f>VLOOKUP(A375,Journal!$C$7:$M$84,4)</f>
        <v>0</v>
      </c>
      <c r="L375" s="13">
        <f>VLOOKUP(A375,Journal!$C$7:$M$84,5)</f>
        <v>0</v>
      </c>
      <c r="M375" s="13">
        <f t="shared" si="36"/>
        <v>0</v>
      </c>
      <c r="N375" s="13">
        <f t="shared" si="37"/>
        <v>0</v>
      </c>
      <c r="O375" s="13"/>
      <c r="P375" s="13">
        <f t="shared" si="38"/>
        <v>1.0000000000000001E-5</v>
      </c>
      <c r="T375" t="str">
        <f t="shared" si="33"/>
        <v/>
      </c>
    </row>
    <row r="376" spans="1:20" x14ac:dyDescent="0.25">
      <c r="A376">
        <f t="shared" si="35"/>
        <v>369</v>
      </c>
      <c r="B376" s="88" t="str">
        <f>IF(OR(B375="Total",B375=""),"",IF(VLOOKUP(A376,Journal!$C$7:$E$84,3)=0,"Total",VLOOKUP(A376,Journal!$C$7:$D$84,2)))</f>
        <v/>
      </c>
      <c r="C376" s="86" t="str">
        <f>IF(B376="","",VLOOKUP(A376,Journal!$C$7:$E$84,3))</f>
        <v/>
      </c>
      <c r="D376" s="84" t="str">
        <f>IF(B376="","",VLOOKUP(A376,Journal!$C$7:$J$84,8))</f>
        <v/>
      </c>
      <c r="E376" s="84" t="str">
        <f>IF(B376="","",VLOOKUP(A376,Journal!$C$7:$L$84,10))</f>
        <v/>
      </c>
      <c r="F376" s="84" t="str">
        <f>IF(B376="","",VLOOKUP(A376,Journal!$C$7:$M$84,11))</f>
        <v/>
      </c>
      <c r="G376" s="102">
        <f>IF(B376="Total",SUM(G$8:G375)+0.0001,IF(OR(B376="",M376=0),0,VLOOKUP(A376,Journal!$C$7:M$84,7)))</f>
        <v>0</v>
      </c>
      <c r="H376" s="102">
        <f>IF(B376="Total",SUM(H$8:H375)+0.0001,IF(OR(B376="",N376=0),0,VLOOKUP(A376,Journal!$C$7:M$84,7)))</f>
        <v>0</v>
      </c>
      <c r="I376" s="87">
        <f t="shared" si="34"/>
        <v>0</v>
      </c>
      <c r="K376" s="13">
        <f>VLOOKUP(A376,Journal!$C$7:$M$84,4)</f>
        <v>0</v>
      </c>
      <c r="L376" s="13">
        <f>VLOOKUP(A376,Journal!$C$7:$M$84,5)</f>
        <v>0</v>
      </c>
      <c r="M376" s="13">
        <f t="shared" si="36"/>
        <v>0</v>
      </c>
      <c r="N376" s="13">
        <f t="shared" si="37"/>
        <v>0</v>
      </c>
      <c r="O376" s="13"/>
      <c r="P376" s="13">
        <f t="shared" si="38"/>
        <v>1.0000000000000001E-5</v>
      </c>
      <c r="T376" t="str">
        <f t="shared" si="33"/>
        <v/>
      </c>
    </row>
    <row r="377" spans="1:20" x14ac:dyDescent="0.25">
      <c r="A377">
        <f t="shared" si="35"/>
        <v>370</v>
      </c>
      <c r="B377" s="88" t="str">
        <f>IF(OR(B376="Total",B376=""),"",IF(VLOOKUP(A377,Journal!$C$7:$E$84,3)=0,"Total",VLOOKUP(A377,Journal!$C$7:$D$84,2)))</f>
        <v/>
      </c>
      <c r="C377" s="86" t="str">
        <f>IF(B377="","",VLOOKUP(A377,Journal!$C$7:$E$84,3))</f>
        <v/>
      </c>
      <c r="D377" s="84" t="str">
        <f>IF(B377="","",VLOOKUP(A377,Journal!$C$7:$J$84,8))</f>
        <v/>
      </c>
      <c r="E377" s="84" t="str">
        <f>IF(B377="","",VLOOKUP(A377,Journal!$C$7:$L$84,10))</f>
        <v/>
      </c>
      <c r="F377" s="84" t="str">
        <f>IF(B377="","",VLOOKUP(A377,Journal!$C$7:$M$84,11))</f>
        <v/>
      </c>
      <c r="G377" s="102">
        <f>IF(B377="Total",SUM(G$8:G376)+0.0001,IF(OR(B377="",M377=0),0,VLOOKUP(A377,Journal!$C$7:M$84,7)))</f>
        <v>0</v>
      </c>
      <c r="H377" s="102">
        <f>IF(B377="Total",SUM(H$8:H376)+0.0001,IF(OR(B377="",N377=0),0,VLOOKUP(A377,Journal!$C$7:M$84,7)))</f>
        <v>0</v>
      </c>
      <c r="I377" s="87">
        <f t="shared" si="34"/>
        <v>0</v>
      </c>
      <c r="K377" s="13">
        <f>VLOOKUP(A377,Journal!$C$7:$M$84,4)</f>
        <v>0</v>
      </c>
      <c r="L377" s="13">
        <f>VLOOKUP(A377,Journal!$C$7:$M$84,5)</f>
        <v>0</v>
      </c>
      <c r="M377" s="13">
        <f t="shared" si="36"/>
        <v>0</v>
      </c>
      <c r="N377" s="13">
        <f t="shared" si="37"/>
        <v>0</v>
      </c>
      <c r="O377" s="13"/>
      <c r="P377" s="13">
        <f t="shared" si="38"/>
        <v>1.0000000000000001E-5</v>
      </c>
      <c r="T377" t="str">
        <f t="shared" si="33"/>
        <v/>
      </c>
    </row>
    <row r="378" spans="1:20" x14ac:dyDescent="0.25">
      <c r="A378">
        <f t="shared" si="35"/>
        <v>371</v>
      </c>
      <c r="B378" s="88" t="str">
        <f>IF(OR(B377="Total",B377=""),"",IF(VLOOKUP(A378,Journal!$C$7:$E$84,3)=0,"Total",VLOOKUP(A378,Journal!$C$7:$D$84,2)))</f>
        <v/>
      </c>
      <c r="C378" s="86" t="str">
        <f>IF(B378="","",VLOOKUP(A378,Journal!$C$7:$E$84,3))</f>
        <v/>
      </c>
      <c r="D378" s="84" t="str">
        <f>IF(B378="","",VLOOKUP(A378,Journal!$C$7:$J$84,8))</f>
        <v/>
      </c>
      <c r="E378" s="84" t="str">
        <f>IF(B378="","",VLOOKUP(A378,Journal!$C$7:$L$84,10))</f>
        <v/>
      </c>
      <c r="F378" s="84" t="str">
        <f>IF(B378="","",VLOOKUP(A378,Journal!$C$7:$M$84,11))</f>
        <v/>
      </c>
      <c r="G378" s="102">
        <f>IF(B378="Total",SUM(G$8:G377)+0.0001,IF(OR(B378="",M378=0),0,VLOOKUP(A378,Journal!$C$7:M$84,7)))</f>
        <v>0</v>
      </c>
      <c r="H378" s="102">
        <f>IF(B378="Total",SUM(H$8:H377)+0.0001,IF(OR(B378="",N378=0),0,VLOOKUP(A378,Journal!$C$7:M$84,7)))</f>
        <v>0</v>
      </c>
      <c r="I378" s="87">
        <f t="shared" si="34"/>
        <v>0</v>
      </c>
      <c r="K378" s="13">
        <f>VLOOKUP(A378,Journal!$C$7:$M$84,4)</f>
        <v>0</v>
      </c>
      <c r="L378" s="13">
        <f>VLOOKUP(A378,Journal!$C$7:$M$84,5)</f>
        <v>0</v>
      </c>
      <c r="M378" s="13">
        <f t="shared" si="36"/>
        <v>0</v>
      </c>
      <c r="N378" s="13">
        <f t="shared" si="37"/>
        <v>0</v>
      </c>
      <c r="O378" s="13"/>
      <c r="P378" s="13">
        <f t="shared" si="38"/>
        <v>1.0000000000000001E-5</v>
      </c>
      <c r="T378" t="str">
        <f t="shared" si="33"/>
        <v/>
      </c>
    </row>
    <row r="379" spans="1:20" x14ac:dyDescent="0.25">
      <c r="A379">
        <f t="shared" si="35"/>
        <v>372</v>
      </c>
      <c r="B379" s="88" t="str">
        <f>IF(OR(B378="Total",B378=""),"",IF(VLOOKUP(A379,Journal!$C$7:$E$84,3)=0,"Total",VLOOKUP(A379,Journal!$C$7:$D$84,2)))</f>
        <v/>
      </c>
      <c r="C379" s="86" t="str">
        <f>IF(B379="","",VLOOKUP(A379,Journal!$C$7:$E$84,3))</f>
        <v/>
      </c>
      <c r="D379" s="84" t="str">
        <f>IF(B379="","",VLOOKUP(A379,Journal!$C$7:$J$84,8))</f>
        <v/>
      </c>
      <c r="E379" s="84" t="str">
        <f>IF(B379="","",VLOOKUP(A379,Journal!$C$7:$L$84,10))</f>
        <v/>
      </c>
      <c r="F379" s="84" t="str">
        <f>IF(B379="","",VLOOKUP(A379,Journal!$C$7:$M$84,11))</f>
        <v/>
      </c>
      <c r="G379" s="102">
        <f>IF(B379="Total",SUM(G$8:G378)+0.0001,IF(OR(B379="",M379=0),0,VLOOKUP(A379,Journal!$C$7:M$84,7)))</f>
        <v>0</v>
      </c>
      <c r="H379" s="102">
        <f>IF(B379="Total",SUM(H$8:H378)+0.0001,IF(OR(B379="",N379=0),0,VLOOKUP(A379,Journal!$C$7:M$84,7)))</f>
        <v>0</v>
      </c>
      <c r="I379" s="87">
        <f t="shared" si="34"/>
        <v>0</v>
      </c>
      <c r="K379" s="13">
        <f>VLOOKUP(A379,Journal!$C$7:$M$84,4)</f>
        <v>0</v>
      </c>
      <c r="L379" s="13">
        <f>VLOOKUP(A379,Journal!$C$7:$M$84,5)</f>
        <v>0</v>
      </c>
      <c r="M379" s="13">
        <f t="shared" si="36"/>
        <v>0</v>
      </c>
      <c r="N379" s="13">
        <f t="shared" si="37"/>
        <v>0</v>
      </c>
      <c r="O379" s="13"/>
      <c r="P379" s="13">
        <f t="shared" si="38"/>
        <v>1.0000000000000001E-5</v>
      </c>
      <c r="T379" t="str">
        <f t="shared" si="33"/>
        <v/>
      </c>
    </row>
    <row r="380" spans="1:20" x14ac:dyDescent="0.25">
      <c r="A380">
        <f t="shared" si="35"/>
        <v>373</v>
      </c>
      <c r="B380" s="88" t="str">
        <f>IF(OR(B379="Total",B379=""),"",IF(VLOOKUP(A380,Journal!$C$7:$E$84,3)=0,"Total",VLOOKUP(A380,Journal!$C$7:$D$84,2)))</f>
        <v/>
      </c>
      <c r="C380" s="86" t="str">
        <f>IF(B380="","",VLOOKUP(A380,Journal!$C$7:$E$84,3))</f>
        <v/>
      </c>
      <c r="D380" s="84" t="str">
        <f>IF(B380="","",VLOOKUP(A380,Journal!$C$7:$J$84,8))</f>
        <v/>
      </c>
      <c r="E380" s="84" t="str">
        <f>IF(B380="","",VLOOKUP(A380,Journal!$C$7:$L$84,10))</f>
        <v/>
      </c>
      <c r="F380" s="84" t="str">
        <f>IF(B380="","",VLOOKUP(A380,Journal!$C$7:$M$84,11))</f>
        <v/>
      </c>
      <c r="G380" s="102">
        <f>IF(B380="Total",SUM(G$8:G379)+0.0001,IF(OR(B380="",M380=0),0,VLOOKUP(A380,Journal!$C$7:M$84,7)))</f>
        <v>0</v>
      </c>
      <c r="H380" s="102">
        <f>IF(B380="Total",SUM(H$8:H379)+0.0001,IF(OR(B380="",N380=0),0,VLOOKUP(A380,Journal!$C$7:M$84,7)))</f>
        <v>0</v>
      </c>
      <c r="I380" s="87">
        <f t="shared" si="34"/>
        <v>0</v>
      </c>
      <c r="K380" s="13">
        <f>VLOOKUP(A380,Journal!$C$7:$M$84,4)</f>
        <v>0</v>
      </c>
      <c r="L380" s="13">
        <f>VLOOKUP(A380,Journal!$C$7:$M$84,5)</f>
        <v>0</v>
      </c>
      <c r="M380" s="13">
        <f t="shared" si="36"/>
        <v>0</v>
      </c>
      <c r="N380" s="13">
        <f t="shared" si="37"/>
        <v>0</v>
      </c>
      <c r="O380" s="13"/>
      <c r="P380" s="13">
        <f t="shared" si="38"/>
        <v>1.0000000000000001E-5</v>
      </c>
      <c r="T380" t="str">
        <f t="shared" si="33"/>
        <v/>
      </c>
    </row>
    <row r="381" spans="1:20" x14ac:dyDescent="0.25">
      <c r="A381">
        <f t="shared" si="35"/>
        <v>374</v>
      </c>
      <c r="B381" s="88" t="str">
        <f>IF(OR(B380="Total",B380=""),"",IF(VLOOKUP(A381,Journal!$C$7:$E$84,3)=0,"Total",VLOOKUP(A381,Journal!$C$7:$D$84,2)))</f>
        <v/>
      </c>
      <c r="C381" s="86" t="str">
        <f>IF(B381="","",VLOOKUP(A381,Journal!$C$7:$E$84,3))</f>
        <v/>
      </c>
      <c r="D381" s="84" t="str">
        <f>IF(B381="","",VLOOKUP(A381,Journal!$C$7:$J$84,8))</f>
        <v/>
      </c>
      <c r="E381" s="84" t="str">
        <f>IF(B381="","",VLOOKUP(A381,Journal!$C$7:$L$84,10))</f>
        <v/>
      </c>
      <c r="F381" s="84" t="str">
        <f>IF(B381="","",VLOOKUP(A381,Journal!$C$7:$M$84,11))</f>
        <v/>
      </c>
      <c r="G381" s="102">
        <f>IF(B381="Total",SUM(G$8:G380)+0.0001,IF(OR(B381="",M381=0),0,VLOOKUP(A381,Journal!$C$7:M$84,7)))</f>
        <v>0</v>
      </c>
      <c r="H381" s="102">
        <f>IF(B381="Total",SUM(H$8:H380)+0.0001,IF(OR(B381="",N381=0),0,VLOOKUP(A381,Journal!$C$7:M$84,7)))</f>
        <v>0</v>
      </c>
      <c r="I381" s="87">
        <f t="shared" si="34"/>
        <v>0</v>
      </c>
      <c r="K381" s="13">
        <f>VLOOKUP(A381,Journal!$C$7:$M$84,4)</f>
        <v>0</v>
      </c>
      <c r="L381" s="13">
        <f>VLOOKUP(A381,Journal!$C$7:$M$84,5)</f>
        <v>0</v>
      </c>
      <c r="M381" s="13">
        <f t="shared" si="36"/>
        <v>0</v>
      </c>
      <c r="N381" s="13">
        <f t="shared" si="37"/>
        <v>0</v>
      </c>
      <c r="O381" s="13"/>
      <c r="P381" s="13">
        <f t="shared" si="38"/>
        <v>1.0000000000000001E-5</v>
      </c>
      <c r="T381" t="str">
        <f t="shared" si="33"/>
        <v/>
      </c>
    </row>
    <row r="382" spans="1:20" x14ac:dyDescent="0.25">
      <c r="A382">
        <f t="shared" si="35"/>
        <v>375</v>
      </c>
      <c r="B382" s="88" t="str">
        <f>IF(OR(B381="Total",B381=""),"",IF(VLOOKUP(A382,Journal!$C$7:$E$84,3)=0,"Total",VLOOKUP(A382,Journal!$C$7:$D$84,2)))</f>
        <v/>
      </c>
      <c r="C382" s="86" t="str">
        <f>IF(B382="","",VLOOKUP(A382,Journal!$C$7:$E$84,3))</f>
        <v/>
      </c>
      <c r="D382" s="84" t="str">
        <f>IF(B382="","",VLOOKUP(A382,Journal!$C$7:$J$84,8))</f>
        <v/>
      </c>
      <c r="E382" s="84" t="str">
        <f>IF(B382="","",VLOOKUP(A382,Journal!$C$7:$L$84,10))</f>
        <v/>
      </c>
      <c r="F382" s="84" t="str">
        <f>IF(B382="","",VLOOKUP(A382,Journal!$C$7:$M$84,11))</f>
        <v/>
      </c>
      <c r="G382" s="102">
        <f>IF(B382="Total",SUM(G$8:G381)+0.0001,IF(OR(B382="",M382=0),0,VLOOKUP(A382,Journal!$C$7:M$84,7)))</f>
        <v>0</v>
      </c>
      <c r="H382" s="102">
        <f>IF(B382="Total",SUM(H$8:H381)+0.0001,IF(OR(B382="",N382=0),0,VLOOKUP(A382,Journal!$C$7:M$84,7)))</f>
        <v>0</v>
      </c>
      <c r="I382" s="87">
        <f t="shared" si="34"/>
        <v>0</v>
      </c>
      <c r="K382" s="13">
        <f>VLOOKUP(A382,Journal!$C$7:$M$84,4)</f>
        <v>0</v>
      </c>
      <c r="L382" s="13">
        <f>VLOOKUP(A382,Journal!$C$7:$M$84,5)</f>
        <v>0</v>
      </c>
      <c r="M382" s="13">
        <f t="shared" si="36"/>
        <v>0</v>
      </c>
      <c r="N382" s="13">
        <f t="shared" si="37"/>
        <v>0</v>
      </c>
      <c r="O382" s="13"/>
      <c r="P382" s="13">
        <f t="shared" si="38"/>
        <v>1.0000000000000001E-5</v>
      </c>
      <c r="T382" t="str">
        <f t="shared" si="33"/>
        <v/>
      </c>
    </row>
    <row r="383" spans="1:20" x14ac:dyDescent="0.25">
      <c r="A383">
        <f t="shared" si="35"/>
        <v>376</v>
      </c>
      <c r="B383" s="88" t="str">
        <f>IF(OR(B382="Total",B382=""),"",IF(VLOOKUP(A383,Journal!$C$7:$E$84,3)=0,"Total",VLOOKUP(A383,Journal!$C$7:$D$84,2)))</f>
        <v/>
      </c>
      <c r="C383" s="86" t="str">
        <f>IF(B383="","",VLOOKUP(A383,Journal!$C$7:$E$84,3))</f>
        <v/>
      </c>
      <c r="D383" s="84" t="str">
        <f>IF(B383="","",VLOOKUP(A383,Journal!$C$7:$J$84,8))</f>
        <v/>
      </c>
      <c r="E383" s="84" t="str">
        <f>IF(B383="","",VLOOKUP(A383,Journal!$C$7:$L$84,10))</f>
        <v/>
      </c>
      <c r="F383" s="84" t="str">
        <f>IF(B383="","",VLOOKUP(A383,Journal!$C$7:$M$84,11))</f>
        <v/>
      </c>
      <c r="G383" s="102">
        <f>IF(B383="Total",SUM(G$8:G382)+0.0001,IF(OR(B383="",M383=0),0,VLOOKUP(A383,Journal!$C$7:M$84,7)))</f>
        <v>0</v>
      </c>
      <c r="H383" s="102">
        <f>IF(B383="Total",SUM(H$8:H382)+0.0001,IF(OR(B383="",N383=0),0,VLOOKUP(A383,Journal!$C$7:M$84,7)))</f>
        <v>0</v>
      </c>
      <c r="I383" s="87">
        <f t="shared" si="34"/>
        <v>0</v>
      </c>
      <c r="K383" s="13">
        <f>VLOOKUP(A383,Journal!$C$7:$M$84,4)</f>
        <v>0</v>
      </c>
      <c r="L383" s="13">
        <f>VLOOKUP(A383,Journal!$C$7:$M$84,5)</f>
        <v>0</v>
      </c>
      <c r="M383" s="13">
        <f t="shared" si="36"/>
        <v>0</v>
      </c>
      <c r="N383" s="13">
        <f t="shared" si="37"/>
        <v>0</v>
      </c>
      <c r="O383" s="13"/>
      <c r="P383" s="13">
        <f t="shared" si="38"/>
        <v>1.0000000000000001E-5</v>
      </c>
      <c r="T383" t="str">
        <f t="shared" si="33"/>
        <v/>
      </c>
    </row>
    <row r="384" spans="1:20" x14ac:dyDescent="0.25">
      <c r="A384">
        <f t="shared" si="35"/>
        <v>377</v>
      </c>
      <c r="B384" s="88" t="str">
        <f>IF(OR(B383="Total",B383=""),"",IF(VLOOKUP(A384,Journal!$C$7:$E$84,3)=0,"Total",VLOOKUP(A384,Journal!$C$7:$D$84,2)))</f>
        <v/>
      </c>
      <c r="C384" s="86" t="str">
        <f>IF(B384="","",VLOOKUP(A384,Journal!$C$7:$E$84,3))</f>
        <v/>
      </c>
      <c r="D384" s="84" t="str">
        <f>IF(B384="","",VLOOKUP(A384,Journal!$C$7:$J$84,8))</f>
        <v/>
      </c>
      <c r="E384" s="84" t="str">
        <f>IF(B384="","",VLOOKUP(A384,Journal!$C$7:$L$84,10))</f>
        <v/>
      </c>
      <c r="F384" s="84" t="str">
        <f>IF(B384="","",VLOOKUP(A384,Journal!$C$7:$M$84,11))</f>
        <v/>
      </c>
      <c r="G384" s="102">
        <f>IF(B384="Total",SUM(G$8:G383)+0.0001,IF(OR(B384="",M384=0),0,VLOOKUP(A384,Journal!$C$7:M$84,7)))</f>
        <v>0</v>
      </c>
      <c r="H384" s="102">
        <f>IF(B384="Total",SUM(H$8:H383)+0.0001,IF(OR(B384="",N384=0),0,VLOOKUP(A384,Journal!$C$7:M$84,7)))</f>
        <v>0</v>
      </c>
      <c r="I384" s="87">
        <f t="shared" si="34"/>
        <v>0</v>
      </c>
      <c r="K384" s="13">
        <f>VLOOKUP(A384,Journal!$C$7:$M$84,4)</f>
        <v>0</v>
      </c>
      <c r="L384" s="13">
        <f>VLOOKUP(A384,Journal!$C$7:$M$84,5)</f>
        <v>0</v>
      </c>
      <c r="M384" s="13">
        <f t="shared" si="36"/>
        <v>0</v>
      </c>
      <c r="N384" s="13">
        <f t="shared" si="37"/>
        <v>0</v>
      </c>
      <c r="O384" s="13"/>
      <c r="P384" s="13">
        <f t="shared" si="38"/>
        <v>1.0000000000000001E-5</v>
      </c>
      <c r="T384" t="str">
        <f t="shared" si="33"/>
        <v/>
      </c>
    </row>
    <row r="385" spans="1:20" x14ac:dyDescent="0.25">
      <c r="A385">
        <f t="shared" si="35"/>
        <v>378</v>
      </c>
      <c r="B385" s="88" t="str">
        <f>IF(OR(B384="Total",B384=""),"",IF(VLOOKUP(A385,Journal!$C$7:$E$84,3)=0,"Total",VLOOKUP(A385,Journal!$C$7:$D$84,2)))</f>
        <v/>
      </c>
      <c r="C385" s="86" t="str">
        <f>IF(B385="","",VLOOKUP(A385,Journal!$C$7:$E$84,3))</f>
        <v/>
      </c>
      <c r="D385" s="84" t="str">
        <f>IF(B385="","",VLOOKUP(A385,Journal!$C$7:$J$84,8))</f>
        <v/>
      </c>
      <c r="E385" s="84" t="str">
        <f>IF(B385="","",VLOOKUP(A385,Journal!$C$7:$L$84,10))</f>
        <v/>
      </c>
      <c r="F385" s="84" t="str">
        <f>IF(B385="","",VLOOKUP(A385,Journal!$C$7:$M$84,11))</f>
        <v/>
      </c>
      <c r="G385" s="102">
        <f>IF(B385="Total",SUM(G$8:G384)+0.0001,IF(OR(B385="",M385=0),0,VLOOKUP(A385,Journal!$C$7:M$84,7)))</f>
        <v>0</v>
      </c>
      <c r="H385" s="102">
        <f>IF(B385="Total",SUM(H$8:H384)+0.0001,IF(OR(B385="",N385=0),0,VLOOKUP(A385,Journal!$C$7:M$84,7)))</f>
        <v>0</v>
      </c>
      <c r="I385" s="87">
        <f t="shared" si="34"/>
        <v>0</v>
      </c>
      <c r="K385" s="13">
        <f>VLOOKUP(A385,Journal!$C$7:$M$84,4)</f>
        <v>0</v>
      </c>
      <c r="L385" s="13">
        <f>VLOOKUP(A385,Journal!$C$7:$M$84,5)</f>
        <v>0</v>
      </c>
      <c r="M385" s="13">
        <f t="shared" si="36"/>
        <v>0</v>
      </c>
      <c r="N385" s="13">
        <f t="shared" si="37"/>
        <v>0</v>
      </c>
      <c r="O385" s="13"/>
      <c r="P385" s="13">
        <f t="shared" si="38"/>
        <v>1.0000000000000001E-5</v>
      </c>
      <c r="T385" t="str">
        <f t="shared" si="33"/>
        <v/>
      </c>
    </row>
    <row r="386" spans="1:20" x14ac:dyDescent="0.25">
      <c r="A386">
        <f t="shared" si="35"/>
        <v>379</v>
      </c>
      <c r="B386" s="88" t="str">
        <f>IF(OR(B385="Total",B385=""),"",IF(VLOOKUP(A386,Journal!$C$7:$E$84,3)=0,"Total",VLOOKUP(A386,Journal!$C$7:$D$84,2)))</f>
        <v/>
      </c>
      <c r="C386" s="86" t="str">
        <f>IF(B386="","",VLOOKUP(A386,Journal!$C$7:$E$84,3))</f>
        <v/>
      </c>
      <c r="D386" s="84" t="str">
        <f>IF(B386="","",VLOOKUP(A386,Journal!$C$7:$J$84,8))</f>
        <v/>
      </c>
      <c r="E386" s="84" t="str">
        <f>IF(B386="","",VLOOKUP(A386,Journal!$C$7:$L$84,10))</f>
        <v/>
      </c>
      <c r="F386" s="84" t="str">
        <f>IF(B386="","",VLOOKUP(A386,Journal!$C$7:$M$84,11))</f>
        <v/>
      </c>
      <c r="G386" s="102">
        <f>IF(B386="Total",SUM(G$8:G385)+0.0001,IF(OR(B386="",M386=0),0,VLOOKUP(A386,Journal!$C$7:M$84,7)))</f>
        <v>0</v>
      </c>
      <c r="H386" s="102">
        <f>IF(B386="Total",SUM(H$8:H385)+0.0001,IF(OR(B386="",N386=0),0,VLOOKUP(A386,Journal!$C$7:M$84,7)))</f>
        <v>0</v>
      </c>
      <c r="I386" s="87">
        <f t="shared" si="34"/>
        <v>0</v>
      </c>
      <c r="K386" s="13">
        <f>VLOOKUP(A386,Journal!$C$7:$M$84,4)</f>
        <v>0</v>
      </c>
      <c r="L386" s="13">
        <f>VLOOKUP(A386,Journal!$C$7:$M$84,5)</f>
        <v>0</v>
      </c>
      <c r="M386" s="13">
        <f t="shared" si="36"/>
        <v>0</v>
      </c>
      <c r="N386" s="13">
        <f t="shared" si="37"/>
        <v>0</v>
      </c>
      <c r="O386" s="13"/>
      <c r="P386" s="13">
        <f t="shared" si="38"/>
        <v>1.0000000000000001E-5</v>
      </c>
      <c r="T386" t="str">
        <f t="shared" si="33"/>
        <v/>
      </c>
    </row>
    <row r="387" spans="1:20" x14ac:dyDescent="0.25">
      <c r="A387">
        <f t="shared" si="35"/>
        <v>380</v>
      </c>
      <c r="B387" s="88" t="str">
        <f>IF(OR(B386="Total",B386=""),"",IF(VLOOKUP(A387,Journal!$C$7:$E$84,3)=0,"Total",VLOOKUP(A387,Journal!$C$7:$D$84,2)))</f>
        <v/>
      </c>
      <c r="C387" s="86" t="str">
        <f>IF(B387="","",VLOOKUP(A387,Journal!$C$7:$E$84,3))</f>
        <v/>
      </c>
      <c r="D387" s="84" t="str">
        <f>IF(B387="","",VLOOKUP(A387,Journal!$C$7:$J$84,8))</f>
        <v/>
      </c>
      <c r="E387" s="84" t="str">
        <f>IF(B387="","",VLOOKUP(A387,Journal!$C$7:$L$84,10))</f>
        <v/>
      </c>
      <c r="F387" s="84" t="str">
        <f>IF(B387="","",VLOOKUP(A387,Journal!$C$7:$M$84,11))</f>
        <v/>
      </c>
      <c r="G387" s="102">
        <f>IF(B387="Total",SUM(G$8:G386)+0.0001,IF(OR(B387="",M387=0),0,VLOOKUP(A387,Journal!$C$7:M$84,7)))</f>
        <v>0</v>
      </c>
      <c r="H387" s="102">
        <f>IF(B387="Total",SUM(H$8:H386)+0.0001,IF(OR(B387="",N387=0),0,VLOOKUP(A387,Journal!$C$7:M$84,7)))</f>
        <v>0</v>
      </c>
      <c r="I387" s="87">
        <f t="shared" si="34"/>
        <v>0</v>
      </c>
      <c r="K387" s="13">
        <f>VLOOKUP(A387,Journal!$C$7:$M$84,4)</f>
        <v>0</v>
      </c>
      <c r="L387" s="13">
        <f>VLOOKUP(A387,Journal!$C$7:$M$84,5)</f>
        <v>0</v>
      </c>
      <c r="M387" s="13">
        <f t="shared" si="36"/>
        <v>0</v>
      </c>
      <c r="N387" s="13">
        <f t="shared" si="37"/>
        <v>0</v>
      </c>
      <c r="O387" s="13"/>
      <c r="P387" s="13">
        <f t="shared" si="38"/>
        <v>1.0000000000000001E-5</v>
      </c>
      <c r="T387" t="str">
        <f t="shared" si="33"/>
        <v/>
      </c>
    </row>
    <row r="388" spans="1:20" x14ac:dyDescent="0.25">
      <c r="A388">
        <f t="shared" si="35"/>
        <v>381</v>
      </c>
      <c r="B388" s="88" t="str">
        <f>IF(OR(B387="Total",B387=""),"",IF(VLOOKUP(A388,Journal!$C$7:$E$84,3)=0,"Total",VLOOKUP(A388,Journal!$C$7:$D$84,2)))</f>
        <v/>
      </c>
      <c r="C388" s="86" t="str">
        <f>IF(B388="","",VLOOKUP(A388,Journal!$C$7:$E$84,3))</f>
        <v/>
      </c>
      <c r="D388" s="84" t="str">
        <f>IF(B388="","",VLOOKUP(A388,Journal!$C$7:$J$84,8))</f>
        <v/>
      </c>
      <c r="E388" s="84" t="str">
        <f>IF(B388="","",VLOOKUP(A388,Journal!$C$7:$L$84,10))</f>
        <v/>
      </c>
      <c r="F388" s="84" t="str">
        <f>IF(B388="","",VLOOKUP(A388,Journal!$C$7:$M$84,11))</f>
        <v/>
      </c>
      <c r="G388" s="102">
        <f>IF(B388="Total",SUM(G$8:G387)+0.0001,IF(OR(B388="",M388=0),0,VLOOKUP(A388,Journal!$C$7:M$84,7)))</f>
        <v>0</v>
      </c>
      <c r="H388" s="102">
        <f>IF(B388="Total",SUM(H$8:H387)+0.0001,IF(OR(B388="",N388=0),0,VLOOKUP(A388,Journal!$C$7:M$84,7)))</f>
        <v>0</v>
      </c>
      <c r="I388" s="87">
        <f t="shared" si="34"/>
        <v>0</v>
      </c>
      <c r="K388" s="13">
        <f>VLOOKUP(A388,Journal!$C$7:$M$84,4)</f>
        <v>0</v>
      </c>
      <c r="L388" s="13">
        <f>VLOOKUP(A388,Journal!$C$7:$M$84,5)</f>
        <v>0</v>
      </c>
      <c r="M388" s="13">
        <f t="shared" si="36"/>
        <v>0</v>
      </c>
      <c r="N388" s="13">
        <f t="shared" si="37"/>
        <v>0</v>
      </c>
      <c r="O388" s="13"/>
      <c r="P388" s="13">
        <f t="shared" si="38"/>
        <v>1.0000000000000001E-5</v>
      </c>
      <c r="T388" t="str">
        <f t="shared" si="33"/>
        <v/>
      </c>
    </row>
    <row r="389" spans="1:20" x14ac:dyDescent="0.25">
      <c r="A389">
        <f t="shared" si="35"/>
        <v>382</v>
      </c>
      <c r="B389" s="88" t="str">
        <f>IF(OR(B388="Total",B388=""),"",IF(VLOOKUP(A389,Journal!$C$7:$E$84,3)=0,"Total",VLOOKUP(A389,Journal!$C$7:$D$84,2)))</f>
        <v/>
      </c>
      <c r="C389" s="86" t="str">
        <f>IF(B389="","",VLOOKUP(A389,Journal!$C$7:$E$84,3))</f>
        <v/>
      </c>
      <c r="D389" s="84" t="str">
        <f>IF(B389="","",VLOOKUP(A389,Journal!$C$7:$J$84,8))</f>
        <v/>
      </c>
      <c r="E389" s="84" t="str">
        <f>IF(B389="","",VLOOKUP(A389,Journal!$C$7:$L$84,10))</f>
        <v/>
      </c>
      <c r="F389" s="84" t="str">
        <f>IF(B389="","",VLOOKUP(A389,Journal!$C$7:$M$84,11))</f>
        <v/>
      </c>
      <c r="G389" s="102">
        <f>IF(B389="Total",SUM(G$8:G388)+0.0001,IF(OR(B389="",M389=0),0,VLOOKUP(A389,Journal!$C$7:M$84,7)))</f>
        <v>0</v>
      </c>
      <c r="H389" s="102">
        <f>IF(B389="Total",SUM(H$8:H388)+0.0001,IF(OR(B389="",N389=0),0,VLOOKUP(A389,Journal!$C$7:M$84,7)))</f>
        <v>0</v>
      </c>
      <c r="I389" s="87">
        <f t="shared" si="34"/>
        <v>0</v>
      </c>
      <c r="K389" s="13">
        <f>VLOOKUP(A389,Journal!$C$7:$M$84,4)</f>
        <v>0</v>
      </c>
      <c r="L389" s="13">
        <f>VLOOKUP(A389,Journal!$C$7:$M$84,5)</f>
        <v>0</v>
      </c>
      <c r="M389" s="13">
        <f t="shared" si="36"/>
        <v>0</v>
      </c>
      <c r="N389" s="13">
        <f t="shared" si="37"/>
        <v>0</v>
      </c>
      <c r="O389" s="13"/>
      <c r="P389" s="13">
        <f t="shared" si="38"/>
        <v>1.0000000000000001E-5</v>
      </c>
      <c r="T389" t="str">
        <f t="shared" si="33"/>
        <v/>
      </c>
    </row>
    <row r="390" spans="1:20" x14ac:dyDescent="0.25">
      <c r="A390">
        <f t="shared" si="35"/>
        <v>383</v>
      </c>
      <c r="B390" s="88" t="str">
        <f>IF(OR(B389="Total",B389=""),"",IF(VLOOKUP(A390,Journal!$C$7:$E$84,3)=0,"Total",VLOOKUP(A390,Journal!$C$7:$D$84,2)))</f>
        <v/>
      </c>
      <c r="C390" s="86" t="str">
        <f>IF(B390="","",VLOOKUP(A390,Journal!$C$7:$E$84,3))</f>
        <v/>
      </c>
      <c r="D390" s="84" t="str">
        <f>IF(B390="","",VLOOKUP(A390,Journal!$C$7:$J$84,8))</f>
        <v/>
      </c>
      <c r="E390" s="84" t="str">
        <f>IF(B390="","",VLOOKUP(A390,Journal!$C$7:$L$84,10))</f>
        <v/>
      </c>
      <c r="F390" s="84" t="str">
        <f>IF(B390="","",VLOOKUP(A390,Journal!$C$7:$M$84,11))</f>
        <v/>
      </c>
      <c r="G390" s="102">
        <f>IF(B390="Total",SUM(G$8:G389)+0.0001,IF(OR(B390="",M390=0),0,VLOOKUP(A390,Journal!$C$7:M$84,7)))</f>
        <v>0</v>
      </c>
      <c r="H390" s="102">
        <f>IF(B390="Total",SUM(H$8:H389)+0.0001,IF(OR(B390="",N390=0),0,VLOOKUP(A390,Journal!$C$7:M$84,7)))</f>
        <v>0</v>
      </c>
      <c r="I390" s="87">
        <f t="shared" si="34"/>
        <v>0</v>
      </c>
      <c r="K390" s="13">
        <f>VLOOKUP(A390,Journal!$C$7:$M$84,4)</f>
        <v>0</v>
      </c>
      <c r="L390" s="13">
        <f>VLOOKUP(A390,Journal!$C$7:$M$84,5)</f>
        <v>0</v>
      </c>
      <c r="M390" s="13">
        <f t="shared" si="36"/>
        <v>0</v>
      </c>
      <c r="N390" s="13">
        <f t="shared" si="37"/>
        <v>0</v>
      </c>
      <c r="O390" s="13"/>
      <c r="P390" s="13">
        <f t="shared" si="38"/>
        <v>1.0000000000000001E-5</v>
      </c>
      <c r="T390" t="str">
        <f t="shared" si="33"/>
        <v/>
      </c>
    </row>
    <row r="391" spans="1:20" x14ac:dyDescent="0.25">
      <c r="A391">
        <f t="shared" si="35"/>
        <v>384</v>
      </c>
      <c r="B391" s="88" t="str">
        <f>IF(OR(B390="Total",B390=""),"",IF(VLOOKUP(A391,Journal!$C$7:$E$84,3)=0,"Total",VLOOKUP(A391,Journal!$C$7:$D$84,2)))</f>
        <v/>
      </c>
      <c r="C391" s="86" t="str">
        <f>IF(B391="","",VLOOKUP(A391,Journal!$C$7:$E$84,3))</f>
        <v/>
      </c>
      <c r="D391" s="84" t="str">
        <f>IF(B391="","",VLOOKUP(A391,Journal!$C$7:$J$84,8))</f>
        <v/>
      </c>
      <c r="E391" s="84" t="str">
        <f>IF(B391="","",VLOOKUP(A391,Journal!$C$7:$L$84,10))</f>
        <v/>
      </c>
      <c r="F391" s="84" t="str">
        <f>IF(B391="","",VLOOKUP(A391,Journal!$C$7:$M$84,11))</f>
        <v/>
      </c>
      <c r="G391" s="102">
        <f>IF(B391="Total",SUM(G$8:G390)+0.0001,IF(OR(B391="",M391=0),0,VLOOKUP(A391,Journal!$C$7:M$84,7)))</f>
        <v>0</v>
      </c>
      <c r="H391" s="102">
        <f>IF(B391="Total",SUM(H$8:H390)+0.0001,IF(OR(B391="",N391=0),0,VLOOKUP(A391,Journal!$C$7:M$84,7)))</f>
        <v>0</v>
      </c>
      <c r="I391" s="87">
        <f t="shared" si="34"/>
        <v>0</v>
      </c>
      <c r="K391" s="13">
        <f>VLOOKUP(A391,Journal!$C$7:$M$84,4)</f>
        <v>0</v>
      </c>
      <c r="L391" s="13">
        <f>VLOOKUP(A391,Journal!$C$7:$M$84,5)</f>
        <v>0</v>
      </c>
      <c r="M391" s="13">
        <f t="shared" si="36"/>
        <v>0</v>
      </c>
      <c r="N391" s="13">
        <f t="shared" si="37"/>
        <v>0</v>
      </c>
      <c r="O391" s="13"/>
      <c r="P391" s="13">
        <f t="shared" si="38"/>
        <v>1.0000000000000001E-5</v>
      </c>
      <c r="T391" t="str">
        <f t="shared" si="33"/>
        <v/>
      </c>
    </row>
    <row r="392" spans="1:20" x14ac:dyDescent="0.25">
      <c r="A392">
        <f t="shared" si="35"/>
        <v>385</v>
      </c>
      <c r="B392" s="88" t="str">
        <f>IF(OR(B391="Total",B391=""),"",IF(VLOOKUP(A392,Journal!$C$7:$E$84,3)=0,"Total",VLOOKUP(A392,Journal!$C$7:$D$84,2)))</f>
        <v/>
      </c>
      <c r="C392" s="86" t="str">
        <f>IF(B392="","",VLOOKUP(A392,Journal!$C$7:$E$84,3))</f>
        <v/>
      </c>
      <c r="D392" s="84" t="str">
        <f>IF(B392="","",VLOOKUP(A392,Journal!$C$7:$J$84,8))</f>
        <v/>
      </c>
      <c r="E392" s="84" t="str">
        <f>IF(B392="","",VLOOKUP(A392,Journal!$C$7:$L$84,10))</f>
        <v/>
      </c>
      <c r="F392" s="84" t="str">
        <f>IF(B392="","",VLOOKUP(A392,Journal!$C$7:$M$84,11))</f>
        <v/>
      </c>
      <c r="G392" s="102">
        <f>IF(B392="Total",SUM(G$8:G391)+0.0001,IF(OR(B392="",M392=0),0,VLOOKUP(A392,Journal!$C$7:M$84,7)))</f>
        <v>0</v>
      </c>
      <c r="H392" s="102">
        <f>IF(B392="Total",SUM(H$8:H391)+0.0001,IF(OR(B392="",N392=0),0,VLOOKUP(A392,Journal!$C$7:M$84,7)))</f>
        <v>0</v>
      </c>
      <c r="I392" s="87">
        <f t="shared" si="34"/>
        <v>0</v>
      </c>
      <c r="K392" s="13">
        <f>VLOOKUP(A392,Journal!$C$7:$M$84,4)</f>
        <v>0</v>
      </c>
      <c r="L392" s="13">
        <f>VLOOKUP(A392,Journal!$C$7:$M$84,5)</f>
        <v>0</v>
      </c>
      <c r="M392" s="13">
        <f t="shared" si="36"/>
        <v>0</v>
      </c>
      <c r="N392" s="13">
        <f t="shared" si="37"/>
        <v>0</v>
      </c>
      <c r="O392" s="13"/>
      <c r="P392" s="13">
        <f t="shared" si="38"/>
        <v>1.0000000000000001E-5</v>
      </c>
      <c r="T392" t="str">
        <f t="shared" si="33"/>
        <v/>
      </c>
    </row>
    <row r="393" spans="1:20" x14ac:dyDescent="0.25">
      <c r="A393">
        <f t="shared" si="35"/>
        <v>386</v>
      </c>
      <c r="B393" s="88" t="str">
        <f>IF(OR(B392="Total",B392=""),"",IF(VLOOKUP(A393,Journal!$C$7:$E$84,3)=0,"Total",VLOOKUP(A393,Journal!$C$7:$D$84,2)))</f>
        <v/>
      </c>
      <c r="C393" s="86" t="str">
        <f>IF(B393="","",VLOOKUP(A393,Journal!$C$7:$E$84,3))</f>
        <v/>
      </c>
      <c r="D393" s="84" t="str">
        <f>IF(B393="","",VLOOKUP(A393,Journal!$C$7:$J$84,8))</f>
        <v/>
      </c>
      <c r="E393" s="84" t="str">
        <f>IF(B393="","",VLOOKUP(A393,Journal!$C$7:$L$84,10))</f>
        <v/>
      </c>
      <c r="F393" s="84" t="str">
        <f>IF(B393="","",VLOOKUP(A393,Journal!$C$7:$M$84,11))</f>
        <v/>
      </c>
      <c r="G393" s="102">
        <f>IF(B393="Total",SUM(G$8:G392)+0.0001,IF(OR(B393="",M393=0),0,VLOOKUP(A393,Journal!$C$7:M$84,7)))</f>
        <v>0</v>
      </c>
      <c r="H393" s="102">
        <f>IF(B393="Total",SUM(H$8:H392)+0.0001,IF(OR(B393="",N393=0),0,VLOOKUP(A393,Journal!$C$7:M$84,7)))</f>
        <v>0</v>
      </c>
      <c r="I393" s="87">
        <f t="shared" si="34"/>
        <v>0</v>
      </c>
      <c r="K393" s="13">
        <f>VLOOKUP(A393,Journal!$C$7:$M$84,4)</f>
        <v>0</v>
      </c>
      <c r="L393" s="13">
        <f>VLOOKUP(A393,Journal!$C$7:$M$84,5)</f>
        <v>0</v>
      </c>
      <c r="M393" s="13">
        <f t="shared" si="36"/>
        <v>0</v>
      </c>
      <c r="N393" s="13">
        <f t="shared" si="37"/>
        <v>0</v>
      </c>
      <c r="O393" s="13"/>
      <c r="P393" s="13">
        <f t="shared" si="38"/>
        <v>1.0000000000000001E-5</v>
      </c>
      <c r="T393" t="str">
        <f t="shared" ref="T393:T456" si="39">IF(AND(G393&lt;&gt;0,B393&lt;&gt;"Total",G393=H393),"Beide Konten sind Erfolgskonten, weshalb Saldo gleich bleibt","")</f>
        <v/>
      </c>
    </row>
    <row r="394" spans="1:20" x14ac:dyDescent="0.25">
      <c r="A394">
        <f t="shared" si="35"/>
        <v>387</v>
      </c>
      <c r="B394" s="88" t="str">
        <f>IF(OR(B393="Total",B393=""),"",IF(VLOOKUP(A394,Journal!$C$7:$E$84,3)=0,"Total",VLOOKUP(A394,Journal!$C$7:$D$84,2)))</f>
        <v/>
      </c>
      <c r="C394" s="86" t="str">
        <f>IF(B394="","",VLOOKUP(A394,Journal!$C$7:$E$84,3))</f>
        <v/>
      </c>
      <c r="D394" s="84" t="str">
        <f>IF(B394="","",VLOOKUP(A394,Journal!$C$7:$J$84,8))</f>
        <v/>
      </c>
      <c r="E394" s="84" t="str">
        <f>IF(B394="","",VLOOKUP(A394,Journal!$C$7:$L$84,10))</f>
        <v/>
      </c>
      <c r="F394" s="84" t="str">
        <f>IF(B394="","",VLOOKUP(A394,Journal!$C$7:$M$84,11))</f>
        <v/>
      </c>
      <c r="G394" s="102">
        <f>IF(B394="Total",SUM(G$8:G393)+0.0001,IF(OR(B394="",M394=0),0,VLOOKUP(A394,Journal!$C$7:M$84,7)))</f>
        <v>0</v>
      </c>
      <c r="H394" s="102">
        <f>IF(B394="Total",SUM(H$8:H393)+0.0001,IF(OR(B394="",N394=0),0,VLOOKUP(A394,Journal!$C$7:M$84,7)))</f>
        <v>0</v>
      </c>
      <c r="I394" s="87">
        <f t="shared" ref="I394:I457" si="40">IF(B394="Total",I393,IF(B394="",0,I393+G394-H394))</f>
        <v>0</v>
      </c>
      <c r="K394" s="13">
        <f>VLOOKUP(A394,Journal!$C$7:$M$84,4)</f>
        <v>0</v>
      </c>
      <c r="L394" s="13">
        <f>VLOOKUP(A394,Journal!$C$7:$M$84,5)</f>
        <v>0</v>
      </c>
      <c r="M394" s="13">
        <f t="shared" si="36"/>
        <v>0</v>
      </c>
      <c r="N394" s="13">
        <f t="shared" si="37"/>
        <v>0</v>
      </c>
      <c r="O394" s="13"/>
      <c r="P394" s="13">
        <f t="shared" si="38"/>
        <v>1.0000000000000001E-5</v>
      </c>
      <c r="T394" t="str">
        <f t="shared" si="39"/>
        <v/>
      </c>
    </row>
    <row r="395" spans="1:20" x14ac:dyDescent="0.25">
      <c r="A395">
        <f t="shared" ref="A395:A458" si="41">A394+1</f>
        <v>388</v>
      </c>
      <c r="B395" s="88" t="str">
        <f>IF(OR(B394="Total",B394=""),"",IF(VLOOKUP(A395,Journal!$C$7:$E$84,3)=0,"Total",VLOOKUP(A395,Journal!$C$7:$D$84,2)))</f>
        <v/>
      </c>
      <c r="C395" s="86" t="str">
        <f>IF(B395="","",VLOOKUP(A395,Journal!$C$7:$E$84,3))</f>
        <v/>
      </c>
      <c r="D395" s="84" t="str">
        <f>IF(B395="","",VLOOKUP(A395,Journal!$C$7:$J$84,8))</f>
        <v/>
      </c>
      <c r="E395" s="84" t="str">
        <f>IF(B395="","",VLOOKUP(A395,Journal!$C$7:$L$84,10))</f>
        <v/>
      </c>
      <c r="F395" s="84" t="str">
        <f>IF(B395="","",VLOOKUP(A395,Journal!$C$7:$M$84,11))</f>
        <v/>
      </c>
      <c r="G395" s="102">
        <f>IF(B395="Total",SUM(G$8:G394)+0.0001,IF(OR(B395="",M395=0),0,VLOOKUP(A395,Journal!$C$7:M$84,7)))</f>
        <v>0</v>
      </c>
      <c r="H395" s="102">
        <f>IF(B395="Total",SUM(H$8:H394)+0.0001,IF(OR(B395="",N395=0),0,VLOOKUP(A395,Journal!$C$7:M$84,7)))</f>
        <v>0</v>
      </c>
      <c r="I395" s="87">
        <f t="shared" si="40"/>
        <v>0</v>
      </c>
      <c r="K395" s="13">
        <f>VLOOKUP(A395,Journal!$C$7:$M$84,4)</f>
        <v>0</v>
      </c>
      <c r="L395" s="13">
        <f>VLOOKUP(A395,Journal!$C$7:$M$84,5)</f>
        <v>0</v>
      </c>
      <c r="M395" s="13">
        <f t="shared" si="36"/>
        <v>0</v>
      </c>
      <c r="N395" s="13">
        <f t="shared" si="37"/>
        <v>0</v>
      </c>
      <c r="O395" s="13"/>
      <c r="P395" s="13">
        <f t="shared" si="38"/>
        <v>1.0000000000000001E-5</v>
      </c>
      <c r="T395" t="str">
        <f t="shared" si="39"/>
        <v/>
      </c>
    </row>
    <row r="396" spans="1:20" x14ac:dyDescent="0.25">
      <c r="A396">
        <f t="shared" si="41"/>
        <v>389</v>
      </c>
      <c r="B396" s="88" t="str">
        <f>IF(OR(B395="Total",B395=""),"",IF(VLOOKUP(A396,Journal!$C$7:$E$84,3)=0,"Total",VLOOKUP(A396,Journal!$C$7:$D$84,2)))</f>
        <v/>
      </c>
      <c r="C396" s="86" t="str">
        <f>IF(B396="","",VLOOKUP(A396,Journal!$C$7:$E$84,3))</f>
        <v/>
      </c>
      <c r="D396" s="84" t="str">
        <f>IF(B396="","",VLOOKUP(A396,Journal!$C$7:$J$84,8))</f>
        <v/>
      </c>
      <c r="E396" s="84" t="str">
        <f>IF(B396="","",VLOOKUP(A396,Journal!$C$7:$L$84,10))</f>
        <v/>
      </c>
      <c r="F396" s="84" t="str">
        <f>IF(B396="","",VLOOKUP(A396,Journal!$C$7:$M$84,11))</f>
        <v/>
      </c>
      <c r="G396" s="102">
        <f>IF(B396="Total",SUM(G$8:G395)+0.0001,IF(OR(B396="",M396=0),0,VLOOKUP(A396,Journal!$C$7:M$84,7)))</f>
        <v>0</v>
      </c>
      <c r="H396" s="102">
        <f>IF(B396="Total",SUM(H$8:H395)+0.0001,IF(OR(B396="",N396=0),0,VLOOKUP(A396,Journal!$C$7:M$84,7)))</f>
        <v>0</v>
      </c>
      <c r="I396" s="87">
        <f t="shared" si="40"/>
        <v>0</v>
      </c>
      <c r="K396" s="13">
        <f>VLOOKUP(A396,Journal!$C$7:$M$84,4)</f>
        <v>0</v>
      </c>
      <c r="L396" s="13">
        <f>VLOOKUP(A396,Journal!$C$7:$M$84,5)</f>
        <v>0</v>
      </c>
      <c r="M396" s="13">
        <f t="shared" si="36"/>
        <v>0</v>
      </c>
      <c r="N396" s="13">
        <f t="shared" si="37"/>
        <v>0</v>
      </c>
      <c r="O396" s="13"/>
      <c r="P396" s="13">
        <f t="shared" si="38"/>
        <v>1.0000000000000001E-5</v>
      </c>
      <c r="T396" t="str">
        <f t="shared" si="39"/>
        <v/>
      </c>
    </row>
    <row r="397" spans="1:20" x14ac:dyDescent="0.25">
      <c r="A397">
        <f t="shared" si="41"/>
        <v>390</v>
      </c>
      <c r="B397" s="88" t="str">
        <f>IF(OR(B396="Total",B396=""),"",IF(VLOOKUP(A397,Journal!$C$7:$E$84,3)=0,"Total",VLOOKUP(A397,Journal!$C$7:$D$84,2)))</f>
        <v/>
      </c>
      <c r="C397" s="86" t="str">
        <f>IF(B397="","",VLOOKUP(A397,Journal!$C$7:$E$84,3))</f>
        <v/>
      </c>
      <c r="D397" s="84" t="str">
        <f>IF(B397="","",VLOOKUP(A397,Journal!$C$7:$J$84,8))</f>
        <v/>
      </c>
      <c r="E397" s="84" t="str">
        <f>IF(B397="","",VLOOKUP(A397,Journal!$C$7:$L$84,10))</f>
        <v/>
      </c>
      <c r="F397" s="84" t="str">
        <f>IF(B397="","",VLOOKUP(A397,Journal!$C$7:$M$84,11))</f>
        <v/>
      </c>
      <c r="G397" s="102">
        <f>IF(B397="Total",SUM(G$8:G396)+0.0001,IF(OR(B397="",M397=0),0,VLOOKUP(A397,Journal!$C$7:M$84,7)))</f>
        <v>0</v>
      </c>
      <c r="H397" s="102">
        <f>IF(B397="Total",SUM(H$8:H396)+0.0001,IF(OR(B397="",N397=0),0,VLOOKUP(A397,Journal!$C$7:M$84,7)))</f>
        <v>0</v>
      </c>
      <c r="I397" s="87">
        <f t="shared" si="40"/>
        <v>0</v>
      </c>
      <c r="K397" s="13">
        <f>VLOOKUP(A397,Journal!$C$7:$M$84,4)</f>
        <v>0</v>
      </c>
      <c r="L397" s="13">
        <f>VLOOKUP(A397,Journal!$C$7:$M$84,5)</f>
        <v>0</v>
      </c>
      <c r="M397" s="13">
        <f t="shared" si="36"/>
        <v>0</v>
      </c>
      <c r="N397" s="13">
        <f t="shared" si="37"/>
        <v>0</v>
      </c>
      <c r="O397" s="13"/>
      <c r="P397" s="13">
        <f t="shared" si="38"/>
        <v>1.0000000000000001E-5</v>
      </c>
      <c r="T397" t="str">
        <f t="shared" si="39"/>
        <v/>
      </c>
    </row>
    <row r="398" spans="1:20" x14ac:dyDescent="0.25">
      <c r="A398">
        <f t="shared" si="41"/>
        <v>391</v>
      </c>
      <c r="B398" s="88" t="str">
        <f>IF(OR(B397="Total",B397=""),"",IF(VLOOKUP(A398,Journal!$C$7:$E$84,3)=0,"Total",VLOOKUP(A398,Journal!$C$7:$D$84,2)))</f>
        <v/>
      </c>
      <c r="C398" s="86" t="str">
        <f>IF(B398="","",VLOOKUP(A398,Journal!$C$7:$E$84,3))</f>
        <v/>
      </c>
      <c r="D398" s="84" t="str">
        <f>IF(B398="","",VLOOKUP(A398,Journal!$C$7:$J$84,8))</f>
        <v/>
      </c>
      <c r="E398" s="84" t="str">
        <f>IF(B398="","",VLOOKUP(A398,Journal!$C$7:$L$84,10))</f>
        <v/>
      </c>
      <c r="F398" s="84" t="str">
        <f>IF(B398="","",VLOOKUP(A398,Journal!$C$7:$M$84,11))</f>
        <v/>
      </c>
      <c r="G398" s="102">
        <f>IF(B398="Total",SUM(G$8:G397)+0.0001,IF(OR(B398="",M398=0),0,VLOOKUP(A398,Journal!$C$7:M$84,7)))</f>
        <v>0</v>
      </c>
      <c r="H398" s="102">
        <f>IF(B398="Total",SUM(H$8:H397)+0.0001,IF(OR(B398="",N398=0),0,VLOOKUP(A398,Journal!$C$7:M$84,7)))</f>
        <v>0</v>
      </c>
      <c r="I398" s="87">
        <f t="shared" si="40"/>
        <v>0</v>
      </c>
      <c r="K398" s="13">
        <f>VLOOKUP(A398,Journal!$C$7:$M$84,4)</f>
        <v>0</v>
      </c>
      <c r="L398" s="13">
        <f>VLOOKUP(A398,Journal!$C$7:$M$84,5)</f>
        <v>0</v>
      </c>
      <c r="M398" s="13">
        <f t="shared" si="36"/>
        <v>0</v>
      </c>
      <c r="N398" s="13">
        <f t="shared" si="37"/>
        <v>0</v>
      </c>
      <c r="O398" s="13"/>
      <c r="P398" s="13">
        <f t="shared" si="38"/>
        <v>1.0000000000000001E-5</v>
      </c>
      <c r="T398" t="str">
        <f t="shared" si="39"/>
        <v/>
      </c>
    </row>
    <row r="399" spans="1:20" x14ac:dyDescent="0.25">
      <c r="A399">
        <f t="shared" si="41"/>
        <v>392</v>
      </c>
      <c r="B399" s="88" t="str">
        <f>IF(OR(B398="Total",B398=""),"",IF(VLOOKUP(A399,Journal!$C$7:$E$84,3)=0,"Total",VLOOKUP(A399,Journal!$C$7:$D$84,2)))</f>
        <v/>
      </c>
      <c r="C399" s="86" t="str">
        <f>IF(B399="","",VLOOKUP(A399,Journal!$C$7:$E$84,3))</f>
        <v/>
      </c>
      <c r="D399" s="84" t="str">
        <f>IF(B399="","",VLOOKUP(A399,Journal!$C$7:$J$84,8))</f>
        <v/>
      </c>
      <c r="E399" s="84" t="str">
        <f>IF(B399="","",VLOOKUP(A399,Journal!$C$7:$L$84,10))</f>
        <v/>
      </c>
      <c r="F399" s="84" t="str">
        <f>IF(B399="","",VLOOKUP(A399,Journal!$C$7:$M$84,11))</f>
        <v/>
      </c>
      <c r="G399" s="102">
        <f>IF(B399="Total",SUM(G$8:G398)+0.0001,IF(OR(B399="",M399=0),0,VLOOKUP(A399,Journal!$C$7:M$84,7)))</f>
        <v>0</v>
      </c>
      <c r="H399" s="102">
        <f>IF(B399="Total",SUM(H$8:H398)+0.0001,IF(OR(B399="",N399=0),0,VLOOKUP(A399,Journal!$C$7:M$84,7)))</f>
        <v>0</v>
      </c>
      <c r="I399" s="87">
        <f t="shared" si="40"/>
        <v>0</v>
      </c>
      <c r="K399" s="13">
        <f>VLOOKUP(A399,Journal!$C$7:$M$84,4)</f>
        <v>0</v>
      </c>
      <c r="L399" s="13">
        <f>VLOOKUP(A399,Journal!$C$7:$M$84,5)</f>
        <v>0</v>
      </c>
      <c r="M399" s="13">
        <f t="shared" si="36"/>
        <v>0</v>
      </c>
      <c r="N399" s="13">
        <f t="shared" si="37"/>
        <v>0</v>
      </c>
      <c r="O399" s="13"/>
      <c r="P399" s="13">
        <f t="shared" si="38"/>
        <v>1.0000000000000001E-5</v>
      </c>
      <c r="T399" t="str">
        <f t="shared" si="39"/>
        <v/>
      </c>
    </row>
    <row r="400" spans="1:20" x14ac:dyDescent="0.25">
      <c r="A400">
        <f t="shared" si="41"/>
        <v>393</v>
      </c>
      <c r="B400" s="88" t="str">
        <f>IF(OR(B399="Total",B399=""),"",IF(VLOOKUP(A400,Journal!$C$7:$E$84,3)=0,"Total",VLOOKUP(A400,Journal!$C$7:$D$84,2)))</f>
        <v/>
      </c>
      <c r="C400" s="86" t="str">
        <f>IF(B400="","",VLOOKUP(A400,Journal!$C$7:$E$84,3))</f>
        <v/>
      </c>
      <c r="D400" s="84" t="str">
        <f>IF(B400="","",VLOOKUP(A400,Journal!$C$7:$J$84,8))</f>
        <v/>
      </c>
      <c r="E400" s="84" t="str">
        <f>IF(B400="","",VLOOKUP(A400,Journal!$C$7:$L$84,10))</f>
        <v/>
      </c>
      <c r="F400" s="84" t="str">
        <f>IF(B400="","",VLOOKUP(A400,Journal!$C$7:$M$84,11))</f>
        <v/>
      </c>
      <c r="G400" s="102">
        <f>IF(B400="Total",SUM(G$8:G399)+0.0001,IF(OR(B400="",M400=0),0,VLOOKUP(A400,Journal!$C$7:M$84,7)))</f>
        <v>0</v>
      </c>
      <c r="H400" s="102">
        <f>IF(B400="Total",SUM(H$8:H399)+0.0001,IF(OR(B400="",N400=0),0,VLOOKUP(A400,Journal!$C$7:M$84,7)))</f>
        <v>0</v>
      </c>
      <c r="I400" s="87">
        <f t="shared" si="40"/>
        <v>0</v>
      </c>
      <c r="K400" s="13">
        <f>VLOOKUP(A400,Journal!$C$7:$M$84,4)</f>
        <v>0</v>
      </c>
      <c r="L400" s="13">
        <f>VLOOKUP(A400,Journal!$C$7:$M$84,5)</f>
        <v>0</v>
      </c>
      <c r="M400" s="13">
        <f t="shared" si="36"/>
        <v>0</v>
      </c>
      <c r="N400" s="13">
        <f t="shared" si="37"/>
        <v>0</v>
      </c>
      <c r="O400" s="13"/>
      <c r="P400" s="13">
        <f t="shared" si="38"/>
        <v>1.0000000000000001E-5</v>
      </c>
      <c r="T400" t="str">
        <f t="shared" si="39"/>
        <v/>
      </c>
    </row>
    <row r="401" spans="1:20" x14ac:dyDescent="0.25">
      <c r="A401">
        <f t="shared" si="41"/>
        <v>394</v>
      </c>
      <c r="B401" s="88" t="str">
        <f>IF(OR(B400="Total",B400=""),"",IF(VLOOKUP(A401,Journal!$C$7:$E$84,3)=0,"Total",VLOOKUP(A401,Journal!$C$7:$D$84,2)))</f>
        <v/>
      </c>
      <c r="C401" s="86" t="str">
        <f>IF(B401="","",VLOOKUP(A401,Journal!$C$7:$E$84,3))</f>
        <v/>
      </c>
      <c r="D401" s="84" t="str">
        <f>IF(B401="","",VLOOKUP(A401,Journal!$C$7:$J$84,8))</f>
        <v/>
      </c>
      <c r="E401" s="84" t="str">
        <f>IF(B401="","",VLOOKUP(A401,Journal!$C$7:$L$84,10))</f>
        <v/>
      </c>
      <c r="F401" s="84" t="str">
        <f>IF(B401="","",VLOOKUP(A401,Journal!$C$7:$M$84,11))</f>
        <v/>
      </c>
      <c r="G401" s="102">
        <f>IF(B401="Total",SUM(G$8:G400)+0.0001,IF(OR(B401="",M401=0),0,VLOOKUP(A401,Journal!$C$7:M$84,7)))</f>
        <v>0</v>
      </c>
      <c r="H401" s="102">
        <f>IF(B401="Total",SUM(H$8:H400)+0.0001,IF(OR(B401="",N401=0),0,VLOOKUP(A401,Journal!$C$7:M$84,7)))</f>
        <v>0</v>
      </c>
      <c r="I401" s="87">
        <f t="shared" si="40"/>
        <v>0</v>
      </c>
      <c r="K401" s="13">
        <f>VLOOKUP(A401,Journal!$C$7:$M$84,4)</f>
        <v>0</v>
      </c>
      <c r="L401" s="13">
        <f>VLOOKUP(A401,Journal!$C$7:$M$84,5)</f>
        <v>0</v>
      </c>
      <c r="M401" s="13">
        <f t="shared" si="36"/>
        <v>0</v>
      </c>
      <c r="N401" s="13">
        <f t="shared" si="37"/>
        <v>0</v>
      </c>
      <c r="O401" s="13"/>
      <c r="P401" s="13">
        <f t="shared" si="38"/>
        <v>1.0000000000000001E-5</v>
      </c>
      <c r="T401" t="str">
        <f t="shared" si="39"/>
        <v/>
      </c>
    </row>
    <row r="402" spans="1:20" x14ac:dyDescent="0.25">
      <c r="A402">
        <f t="shared" si="41"/>
        <v>395</v>
      </c>
      <c r="B402" s="88" t="str">
        <f>IF(OR(B401="Total",B401=""),"",IF(VLOOKUP(A402,Journal!$C$7:$E$84,3)=0,"Total",VLOOKUP(A402,Journal!$C$7:$D$84,2)))</f>
        <v/>
      </c>
      <c r="C402" s="86" t="str">
        <f>IF(B402="","",VLOOKUP(A402,Journal!$C$7:$E$84,3))</f>
        <v/>
      </c>
      <c r="D402" s="84" t="str">
        <f>IF(B402="","",VLOOKUP(A402,Journal!$C$7:$J$84,8))</f>
        <v/>
      </c>
      <c r="E402" s="84" t="str">
        <f>IF(B402="","",VLOOKUP(A402,Journal!$C$7:$L$84,10))</f>
        <v/>
      </c>
      <c r="F402" s="84" t="str">
        <f>IF(B402="","",VLOOKUP(A402,Journal!$C$7:$M$84,11))</f>
        <v/>
      </c>
      <c r="G402" s="102">
        <f>IF(B402="Total",SUM(G$8:G401)+0.0001,IF(OR(B402="",M402=0),0,VLOOKUP(A402,Journal!$C$7:M$84,7)))</f>
        <v>0</v>
      </c>
      <c r="H402" s="102">
        <f>IF(B402="Total",SUM(H$8:H401)+0.0001,IF(OR(B402="",N402=0),0,VLOOKUP(A402,Journal!$C$7:M$84,7)))</f>
        <v>0</v>
      </c>
      <c r="I402" s="87">
        <f t="shared" si="40"/>
        <v>0</v>
      </c>
      <c r="K402" s="13">
        <f>VLOOKUP(A402,Journal!$C$7:$M$84,4)</f>
        <v>0</v>
      </c>
      <c r="L402" s="13">
        <f>VLOOKUP(A402,Journal!$C$7:$M$84,5)</f>
        <v>0</v>
      </c>
      <c r="M402" s="13">
        <f t="shared" si="36"/>
        <v>0</v>
      </c>
      <c r="N402" s="13">
        <f t="shared" si="37"/>
        <v>0</v>
      </c>
      <c r="O402" s="13"/>
      <c r="P402" s="13">
        <f t="shared" si="38"/>
        <v>1.0000000000000001E-5</v>
      </c>
      <c r="T402" t="str">
        <f t="shared" si="39"/>
        <v/>
      </c>
    </row>
    <row r="403" spans="1:20" x14ac:dyDescent="0.25">
      <c r="A403">
        <f t="shared" si="41"/>
        <v>396</v>
      </c>
      <c r="B403" s="88" t="str">
        <f>IF(OR(B402="Total",B402=""),"",IF(VLOOKUP(A403,Journal!$C$7:$E$84,3)=0,"Total",VLOOKUP(A403,Journal!$C$7:$D$84,2)))</f>
        <v/>
      </c>
      <c r="C403" s="86" t="str">
        <f>IF(B403="","",VLOOKUP(A403,Journal!$C$7:$E$84,3))</f>
        <v/>
      </c>
      <c r="D403" s="84" t="str">
        <f>IF(B403="","",VLOOKUP(A403,Journal!$C$7:$J$84,8))</f>
        <v/>
      </c>
      <c r="E403" s="84" t="str">
        <f>IF(B403="","",VLOOKUP(A403,Journal!$C$7:$L$84,10))</f>
        <v/>
      </c>
      <c r="F403" s="84" t="str">
        <f>IF(B403="","",VLOOKUP(A403,Journal!$C$7:$M$84,11))</f>
        <v/>
      </c>
      <c r="G403" s="102">
        <f>IF(B403="Total",SUM(G$8:G402)+0.0001,IF(OR(B403="",M403=0),0,VLOOKUP(A403,Journal!$C$7:M$84,7)))</f>
        <v>0</v>
      </c>
      <c r="H403" s="102">
        <f>IF(B403="Total",SUM(H$8:H402)+0.0001,IF(OR(B403="",N403=0),0,VLOOKUP(A403,Journal!$C$7:M$84,7)))</f>
        <v>0</v>
      </c>
      <c r="I403" s="87">
        <f t="shared" si="40"/>
        <v>0</v>
      </c>
      <c r="K403" s="13">
        <f>VLOOKUP(A403,Journal!$C$7:$M$84,4)</f>
        <v>0</v>
      </c>
      <c r="L403" s="13">
        <f>VLOOKUP(A403,Journal!$C$7:$M$84,5)</f>
        <v>0</v>
      </c>
      <c r="M403" s="13">
        <f t="shared" si="36"/>
        <v>0</v>
      </c>
      <c r="N403" s="13">
        <f t="shared" si="37"/>
        <v>0</v>
      </c>
      <c r="O403" s="13"/>
      <c r="P403" s="13">
        <f t="shared" si="38"/>
        <v>1.0000000000000001E-5</v>
      </c>
      <c r="T403" t="str">
        <f t="shared" si="39"/>
        <v/>
      </c>
    </row>
    <row r="404" spans="1:20" x14ac:dyDescent="0.25">
      <c r="A404">
        <f t="shared" si="41"/>
        <v>397</v>
      </c>
      <c r="B404" s="88" t="str">
        <f>IF(OR(B403="Total",B403=""),"",IF(VLOOKUP(A404,Journal!$C$7:$E$84,3)=0,"Total",VLOOKUP(A404,Journal!$C$7:$D$84,2)))</f>
        <v/>
      </c>
      <c r="C404" s="86" t="str">
        <f>IF(B404="","",VLOOKUP(A404,Journal!$C$7:$E$84,3))</f>
        <v/>
      </c>
      <c r="D404" s="84" t="str">
        <f>IF(B404="","",VLOOKUP(A404,Journal!$C$7:$J$84,8))</f>
        <v/>
      </c>
      <c r="E404" s="84" t="str">
        <f>IF(B404="","",VLOOKUP(A404,Journal!$C$7:$L$84,10))</f>
        <v/>
      </c>
      <c r="F404" s="84" t="str">
        <f>IF(B404="","",VLOOKUP(A404,Journal!$C$7:$M$84,11))</f>
        <v/>
      </c>
      <c r="G404" s="102">
        <f>IF(B404="Total",SUM(G$8:G403)+0.0001,IF(OR(B404="",M404=0),0,VLOOKUP(A404,Journal!$C$7:M$84,7)))</f>
        <v>0</v>
      </c>
      <c r="H404" s="102">
        <f>IF(B404="Total",SUM(H$8:H403)+0.0001,IF(OR(B404="",N404=0),0,VLOOKUP(A404,Journal!$C$7:M$84,7)))</f>
        <v>0</v>
      </c>
      <c r="I404" s="87">
        <f t="shared" si="40"/>
        <v>0</v>
      </c>
      <c r="K404" s="13">
        <f>VLOOKUP(A404,Journal!$C$7:$M$84,4)</f>
        <v>0</v>
      </c>
      <c r="L404" s="13">
        <f>VLOOKUP(A404,Journal!$C$7:$M$84,5)</f>
        <v>0</v>
      </c>
      <c r="M404" s="13">
        <f t="shared" si="36"/>
        <v>0</v>
      </c>
      <c r="N404" s="13">
        <f t="shared" si="37"/>
        <v>0</v>
      </c>
      <c r="O404" s="13"/>
      <c r="P404" s="13">
        <f t="shared" si="38"/>
        <v>1.0000000000000001E-5</v>
      </c>
      <c r="T404" t="str">
        <f t="shared" si="39"/>
        <v/>
      </c>
    </row>
    <row r="405" spans="1:20" x14ac:dyDescent="0.25">
      <c r="A405">
        <f t="shared" si="41"/>
        <v>398</v>
      </c>
      <c r="B405" s="88" t="str">
        <f>IF(OR(B404="Total",B404=""),"",IF(VLOOKUP(A405,Journal!$C$7:$E$84,3)=0,"Total",VLOOKUP(A405,Journal!$C$7:$D$84,2)))</f>
        <v/>
      </c>
      <c r="C405" s="86" t="str">
        <f>IF(B405="","",VLOOKUP(A405,Journal!$C$7:$E$84,3))</f>
        <v/>
      </c>
      <c r="D405" s="84" t="str">
        <f>IF(B405="","",VLOOKUP(A405,Journal!$C$7:$J$84,8))</f>
        <v/>
      </c>
      <c r="E405" s="84" t="str">
        <f>IF(B405="","",VLOOKUP(A405,Journal!$C$7:$L$84,10))</f>
        <v/>
      </c>
      <c r="F405" s="84" t="str">
        <f>IF(B405="","",VLOOKUP(A405,Journal!$C$7:$M$84,11))</f>
        <v/>
      </c>
      <c r="G405" s="102">
        <f>IF(B405="Total",SUM(G$8:G404)+0.0001,IF(OR(B405="",M405=0),0,VLOOKUP(A405,Journal!$C$7:M$84,7)))</f>
        <v>0</v>
      </c>
      <c r="H405" s="102">
        <f>IF(B405="Total",SUM(H$8:H404)+0.0001,IF(OR(B405="",N405=0),0,VLOOKUP(A405,Journal!$C$7:M$84,7)))</f>
        <v>0</v>
      </c>
      <c r="I405" s="87">
        <f t="shared" si="40"/>
        <v>0</v>
      </c>
      <c r="K405" s="13">
        <f>VLOOKUP(A405,Journal!$C$7:$M$84,4)</f>
        <v>0</v>
      </c>
      <c r="L405" s="13">
        <f>VLOOKUP(A405,Journal!$C$7:$M$84,5)</f>
        <v>0</v>
      </c>
      <c r="M405" s="13">
        <f t="shared" si="36"/>
        <v>0</v>
      </c>
      <c r="N405" s="13">
        <f t="shared" si="37"/>
        <v>0</v>
      </c>
      <c r="O405" s="13"/>
      <c r="P405" s="13">
        <f t="shared" si="38"/>
        <v>1.0000000000000001E-5</v>
      </c>
      <c r="T405" t="str">
        <f t="shared" si="39"/>
        <v/>
      </c>
    </row>
    <row r="406" spans="1:20" x14ac:dyDescent="0.25">
      <c r="A406">
        <f t="shared" si="41"/>
        <v>399</v>
      </c>
      <c r="B406" s="88" t="str">
        <f>IF(OR(B405="Total",B405=""),"",IF(VLOOKUP(A406,Journal!$C$7:$E$84,3)=0,"Total",VLOOKUP(A406,Journal!$C$7:$D$84,2)))</f>
        <v/>
      </c>
      <c r="C406" s="86" t="str">
        <f>IF(B406="","",VLOOKUP(A406,Journal!$C$7:$E$84,3))</f>
        <v/>
      </c>
      <c r="D406" s="84" t="str">
        <f>IF(B406="","",VLOOKUP(A406,Journal!$C$7:$J$84,8))</f>
        <v/>
      </c>
      <c r="E406" s="84" t="str">
        <f>IF(B406="","",VLOOKUP(A406,Journal!$C$7:$L$84,10))</f>
        <v/>
      </c>
      <c r="F406" s="84" t="str">
        <f>IF(B406="","",VLOOKUP(A406,Journal!$C$7:$M$84,11))</f>
        <v/>
      </c>
      <c r="G406" s="102">
        <f>IF(B406="Total",SUM(G$8:G405)+0.0001,IF(OR(B406="",M406=0),0,VLOOKUP(A406,Journal!$C$7:M$84,7)))</f>
        <v>0</v>
      </c>
      <c r="H406" s="102">
        <f>IF(B406="Total",SUM(H$8:H405)+0.0001,IF(OR(B406="",N406=0),0,VLOOKUP(A406,Journal!$C$7:M$84,7)))</f>
        <v>0</v>
      </c>
      <c r="I406" s="87">
        <f t="shared" si="40"/>
        <v>0</v>
      </c>
      <c r="K406" s="13">
        <f>VLOOKUP(A406,Journal!$C$7:$M$84,4)</f>
        <v>0</v>
      </c>
      <c r="L406" s="13">
        <f>VLOOKUP(A406,Journal!$C$7:$M$84,5)</f>
        <v>0</v>
      </c>
      <c r="M406" s="13">
        <f t="shared" si="36"/>
        <v>0</v>
      </c>
      <c r="N406" s="13">
        <f t="shared" si="37"/>
        <v>0</v>
      </c>
      <c r="O406" s="13"/>
      <c r="P406" s="13">
        <f t="shared" si="38"/>
        <v>1.0000000000000001E-5</v>
      </c>
      <c r="T406" t="str">
        <f t="shared" si="39"/>
        <v/>
      </c>
    </row>
    <row r="407" spans="1:20" x14ac:dyDescent="0.25">
      <c r="A407">
        <f t="shared" si="41"/>
        <v>400</v>
      </c>
      <c r="B407" s="88" t="str">
        <f>IF(OR(B406="Total",B406=""),"",IF(VLOOKUP(A407,Journal!$C$7:$E$84,3)=0,"Total",VLOOKUP(A407,Journal!$C$7:$D$84,2)))</f>
        <v/>
      </c>
      <c r="C407" s="86" t="str">
        <f>IF(B407="","",VLOOKUP(A407,Journal!$C$7:$E$84,3))</f>
        <v/>
      </c>
      <c r="D407" s="84" t="str">
        <f>IF(B407="","",VLOOKUP(A407,Journal!$C$7:$J$84,8))</f>
        <v/>
      </c>
      <c r="E407" s="84" t="str">
        <f>IF(B407="","",VLOOKUP(A407,Journal!$C$7:$L$84,10))</f>
        <v/>
      </c>
      <c r="F407" s="84" t="str">
        <f>IF(B407="","",VLOOKUP(A407,Journal!$C$7:$M$84,11))</f>
        <v/>
      </c>
      <c r="G407" s="102">
        <f>IF(B407="Total",SUM(G$8:G406)+0.0001,IF(OR(B407="",M407=0),0,VLOOKUP(A407,Journal!$C$7:M$84,7)))</f>
        <v>0</v>
      </c>
      <c r="H407" s="102">
        <f>IF(B407="Total",SUM(H$8:H406)+0.0001,IF(OR(B407="",N407=0),0,VLOOKUP(A407,Journal!$C$7:M$84,7)))</f>
        <v>0</v>
      </c>
      <c r="I407" s="87">
        <f t="shared" si="40"/>
        <v>0</v>
      </c>
      <c r="K407" s="13">
        <f>VLOOKUP(A407,Journal!$C$7:$M$84,4)</f>
        <v>0</v>
      </c>
      <c r="L407" s="13">
        <f>VLOOKUP(A407,Journal!$C$7:$M$84,5)</f>
        <v>0</v>
      </c>
      <c r="M407" s="13">
        <f t="shared" si="36"/>
        <v>0</v>
      </c>
      <c r="N407" s="13">
        <f t="shared" si="37"/>
        <v>0</v>
      </c>
      <c r="O407" s="13"/>
      <c r="P407" s="13">
        <f t="shared" si="38"/>
        <v>1.0000000000000001E-5</v>
      </c>
      <c r="T407" t="str">
        <f t="shared" si="39"/>
        <v/>
      </c>
    </row>
    <row r="408" spans="1:20" x14ac:dyDescent="0.25">
      <c r="A408">
        <f t="shared" si="41"/>
        <v>401</v>
      </c>
      <c r="B408" s="88" t="str">
        <f>IF(OR(B407="Total",B407=""),"",IF(VLOOKUP(A408,Journal!$C$7:$E$84,3)=0,"Total",VLOOKUP(A408,Journal!$C$7:$D$84,2)))</f>
        <v/>
      </c>
      <c r="C408" s="86" t="str">
        <f>IF(B408="","",VLOOKUP(A408,Journal!$C$7:$E$84,3))</f>
        <v/>
      </c>
      <c r="D408" s="84" t="str">
        <f>IF(B408="","",VLOOKUP(A408,Journal!$C$7:$J$84,8))</f>
        <v/>
      </c>
      <c r="E408" s="84" t="str">
        <f>IF(B408="","",VLOOKUP(A408,Journal!$C$7:$L$84,10))</f>
        <v/>
      </c>
      <c r="F408" s="84" t="str">
        <f>IF(B408="","",VLOOKUP(A408,Journal!$C$7:$M$84,11))</f>
        <v/>
      </c>
      <c r="G408" s="102">
        <f>IF(B408="Total",SUM(G$8:G407)+0.0001,IF(OR(B408="",M408=0),0,VLOOKUP(A408,Journal!$C$7:M$84,7)))</f>
        <v>0</v>
      </c>
      <c r="H408" s="102">
        <f>IF(B408="Total",SUM(H$8:H407)+0.0001,IF(OR(B408="",N408=0),0,VLOOKUP(A408,Journal!$C$7:M$84,7)))</f>
        <v>0</v>
      </c>
      <c r="I408" s="87">
        <f t="shared" si="40"/>
        <v>0</v>
      </c>
      <c r="K408" s="13">
        <f>VLOOKUP(A408,Journal!$C$7:$M$84,4)</f>
        <v>0</v>
      </c>
      <c r="L408" s="13">
        <f>VLOOKUP(A408,Journal!$C$7:$M$84,5)</f>
        <v>0</v>
      </c>
      <c r="M408" s="13">
        <f t="shared" si="36"/>
        <v>0</v>
      </c>
      <c r="N408" s="13">
        <f t="shared" si="37"/>
        <v>0</v>
      </c>
      <c r="O408" s="13"/>
      <c r="P408" s="13">
        <f t="shared" si="38"/>
        <v>1.0000000000000001E-5</v>
      </c>
      <c r="T408" t="str">
        <f t="shared" si="39"/>
        <v/>
      </c>
    </row>
    <row r="409" spans="1:20" x14ac:dyDescent="0.25">
      <c r="A409">
        <f t="shared" si="41"/>
        <v>402</v>
      </c>
      <c r="B409" s="88" t="str">
        <f>IF(OR(B408="Total",B408=""),"",IF(VLOOKUP(A409,Journal!$C$7:$E$84,3)=0,"Total",VLOOKUP(A409,Journal!$C$7:$D$84,2)))</f>
        <v/>
      </c>
      <c r="C409" s="86" t="str">
        <f>IF(B409="","",VLOOKUP(A409,Journal!$C$7:$E$84,3))</f>
        <v/>
      </c>
      <c r="D409" s="84" t="str">
        <f>IF(B409="","",VLOOKUP(A409,Journal!$C$7:$J$84,8))</f>
        <v/>
      </c>
      <c r="E409" s="84" t="str">
        <f>IF(B409="","",VLOOKUP(A409,Journal!$C$7:$L$84,10))</f>
        <v/>
      </c>
      <c r="F409" s="84" t="str">
        <f>IF(B409="","",VLOOKUP(A409,Journal!$C$7:$M$84,11))</f>
        <v/>
      </c>
      <c r="G409" s="102">
        <f>IF(B409="Total",SUM(G$8:G408)+0.0001,IF(OR(B409="",M409=0),0,VLOOKUP(A409,Journal!$C$7:M$84,7)))</f>
        <v>0</v>
      </c>
      <c r="H409" s="102">
        <f>IF(B409="Total",SUM(H$8:H408)+0.0001,IF(OR(B409="",N409=0),0,VLOOKUP(A409,Journal!$C$7:M$84,7)))</f>
        <v>0</v>
      </c>
      <c r="I409" s="87">
        <f t="shared" si="40"/>
        <v>0</v>
      </c>
      <c r="K409" s="13">
        <f>VLOOKUP(A409,Journal!$C$7:$M$84,4)</f>
        <v>0</v>
      </c>
      <c r="L409" s="13">
        <f>VLOOKUP(A409,Journal!$C$7:$M$84,5)</f>
        <v>0</v>
      </c>
      <c r="M409" s="13">
        <f t="shared" ref="M409:M472" si="42">IF(AND(L409&gt;=$F$1,L409&lt;9999),1,0)</f>
        <v>0</v>
      </c>
      <c r="N409" s="13">
        <f t="shared" ref="N409:N472" si="43">IF(AND(K409&gt;=$F$1,K409&lt;9999),1,0)</f>
        <v>0</v>
      </c>
      <c r="O409" s="13"/>
      <c r="P409" s="13">
        <f t="shared" ref="P409:P472" si="44">IF(I408=I409,I408+0.00001,I409)</f>
        <v>1.0000000000000001E-5</v>
      </c>
      <c r="T409" t="str">
        <f t="shared" si="39"/>
        <v/>
      </c>
    </row>
    <row r="410" spans="1:20" x14ac:dyDescent="0.25">
      <c r="A410">
        <f t="shared" si="41"/>
        <v>403</v>
      </c>
      <c r="B410" s="88" t="str">
        <f>IF(OR(B409="Total",B409=""),"",IF(VLOOKUP(A410,Journal!$C$7:$E$84,3)=0,"Total",VLOOKUP(A410,Journal!$C$7:$D$84,2)))</f>
        <v/>
      </c>
      <c r="C410" s="86" t="str">
        <f>IF(B410="","",VLOOKUP(A410,Journal!$C$7:$E$84,3))</f>
        <v/>
      </c>
      <c r="D410" s="84" t="str">
        <f>IF(B410="","",VLOOKUP(A410,Journal!$C$7:$J$84,8))</f>
        <v/>
      </c>
      <c r="E410" s="84" t="str">
        <f>IF(B410="","",VLOOKUP(A410,Journal!$C$7:$L$84,10))</f>
        <v/>
      </c>
      <c r="F410" s="84" t="str">
        <f>IF(B410="","",VLOOKUP(A410,Journal!$C$7:$M$84,11))</f>
        <v/>
      </c>
      <c r="G410" s="102">
        <f>IF(B410="Total",SUM(G$8:G409)+0.0001,IF(OR(B410="",M410=0),0,VLOOKUP(A410,Journal!$C$7:M$84,7)))</f>
        <v>0</v>
      </c>
      <c r="H410" s="102">
        <f>IF(B410="Total",SUM(H$8:H409)+0.0001,IF(OR(B410="",N410=0),0,VLOOKUP(A410,Journal!$C$7:M$84,7)))</f>
        <v>0</v>
      </c>
      <c r="I410" s="87">
        <f t="shared" si="40"/>
        <v>0</v>
      </c>
      <c r="K410" s="13">
        <f>VLOOKUP(A410,Journal!$C$7:$M$84,4)</f>
        <v>0</v>
      </c>
      <c r="L410" s="13">
        <f>VLOOKUP(A410,Journal!$C$7:$M$84,5)</f>
        <v>0</v>
      </c>
      <c r="M410" s="13">
        <f t="shared" si="42"/>
        <v>0</v>
      </c>
      <c r="N410" s="13">
        <f t="shared" si="43"/>
        <v>0</v>
      </c>
      <c r="O410" s="13"/>
      <c r="P410" s="13">
        <f t="shared" si="44"/>
        <v>1.0000000000000001E-5</v>
      </c>
      <c r="T410" t="str">
        <f t="shared" si="39"/>
        <v/>
      </c>
    </row>
    <row r="411" spans="1:20" x14ac:dyDescent="0.25">
      <c r="A411">
        <f t="shared" si="41"/>
        <v>404</v>
      </c>
      <c r="B411" s="88" t="str">
        <f>IF(OR(B410="Total",B410=""),"",IF(VLOOKUP(A411,Journal!$C$7:$E$84,3)=0,"Total",VLOOKUP(A411,Journal!$C$7:$D$84,2)))</f>
        <v/>
      </c>
      <c r="C411" s="86" t="str">
        <f>IF(B411="","",VLOOKUP(A411,Journal!$C$7:$E$84,3))</f>
        <v/>
      </c>
      <c r="D411" s="84" t="str">
        <f>IF(B411="","",VLOOKUP(A411,Journal!$C$7:$J$84,8))</f>
        <v/>
      </c>
      <c r="E411" s="84" t="str">
        <f>IF(B411="","",VLOOKUP(A411,Journal!$C$7:$L$84,10))</f>
        <v/>
      </c>
      <c r="F411" s="84" t="str">
        <f>IF(B411="","",VLOOKUP(A411,Journal!$C$7:$M$84,11))</f>
        <v/>
      </c>
      <c r="G411" s="102">
        <f>IF(B411="Total",SUM(G$8:G410)+0.0001,IF(OR(B411="",M411=0),0,VLOOKUP(A411,Journal!$C$7:M$84,7)))</f>
        <v>0</v>
      </c>
      <c r="H411" s="102">
        <f>IF(B411="Total",SUM(H$8:H410)+0.0001,IF(OR(B411="",N411=0),0,VLOOKUP(A411,Journal!$C$7:M$84,7)))</f>
        <v>0</v>
      </c>
      <c r="I411" s="87">
        <f t="shared" si="40"/>
        <v>0</v>
      </c>
      <c r="K411" s="13">
        <f>VLOOKUP(A411,Journal!$C$7:$M$84,4)</f>
        <v>0</v>
      </c>
      <c r="L411" s="13">
        <f>VLOOKUP(A411,Journal!$C$7:$M$84,5)</f>
        <v>0</v>
      </c>
      <c r="M411" s="13">
        <f t="shared" si="42"/>
        <v>0</v>
      </c>
      <c r="N411" s="13">
        <f t="shared" si="43"/>
        <v>0</v>
      </c>
      <c r="O411" s="13"/>
      <c r="P411" s="13">
        <f t="shared" si="44"/>
        <v>1.0000000000000001E-5</v>
      </c>
      <c r="T411" t="str">
        <f t="shared" si="39"/>
        <v/>
      </c>
    </row>
    <row r="412" spans="1:20" x14ac:dyDescent="0.25">
      <c r="A412">
        <f t="shared" si="41"/>
        <v>405</v>
      </c>
      <c r="B412" s="88" t="str">
        <f>IF(OR(B411="Total",B411=""),"",IF(VLOOKUP(A412,Journal!$C$7:$E$84,3)=0,"Total",VLOOKUP(A412,Journal!$C$7:$D$84,2)))</f>
        <v/>
      </c>
      <c r="C412" s="86" t="str">
        <f>IF(B412="","",VLOOKUP(A412,Journal!$C$7:$E$84,3))</f>
        <v/>
      </c>
      <c r="D412" s="84" t="str">
        <f>IF(B412="","",VLOOKUP(A412,Journal!$C$7:$J$84,8))</f>
        <v/>
      </c>
      <c r="E412" s="84" t="str">
        <f>IF(B412="","",VLOOKUP(A412,Journal!$C$7:$L$84,10))</f>
        <v/>
      </c>
      <c r="F412" s="84" t="str">
        <f>IF(B412="","",VLOOKUP(A412,Journal!$C$7:$M$84,11))</f>
        <v/>
      </c>
      <c r="G412" s="102">
        <f>IF(B412="Total",SUM(G$8:G411)+0.0001,IF(OR(B412="",M412=0),0,VLOOKUP(A412,Journal!$C$7:M$84,7)))</f>
        <v>0</v>
      </c>
      <c r="H412" s="102">
        <f>IF(B412="Total",SUM(H$8:H411)+0.0001,IF(OR(B412="",N412=0),0,VLOOKUP(A412,Journal!$C$7:M$84,7)))</f>
        <v>0</v>
      </c>
      <c r="I412" s="87">
        <f t="shared" si="40"/>
        <v>0</v>
      </c>
      <c r="K412" s="13">
        <f>VLOOKUP(A412,Journal!$C$7:$M$84,4)</f>
        <v>0</v>
      </c>
      <c r="L412" s="13">
        <f>VLOOKUP(A412,Journal!$C$7:$M$84,5)</f>
        <v>0</v>
      </c>
      <c r="M412" s="13">
        <f t="shared" si="42"/>
        <v>0</v>
      </c>
      <c r="N412" s="13">
        <f t="shared" si="43"/>
        <v>0</v>
      </c>
      <c r="O412" s="13"/>
      <c r="P412" s="13">
        <f t="shared" si="44"/>
        <v>1.0000000000000001E-5</v>
      </c>
      <c r="T412" t="str">
        <f t="shared" si="39"/>
        <v/>
      </c>
    </row>
    <row r="413" spans="1:20" x14ac:dyDescent="0.25">
      <c r="A413">
        <f t="shared" si="41"/>
        <v>406</v>
      </c>
      <c r="B413" s="88" t="str">
        <f>IF(OR(B412="Total",B412=""),"",IF(VLOOKUP(A413,Journal!$C$7:$E$84,3)=0,"Total",VLOOKUP(A413,Journal!$C$7:$D$84,2)))</f>
        <v/>
      </c>
      <c r="C413" s="86" t="str">
        <f>IF(B413="","",VLOOKUP(A413,Journal!$C$7:$E$84,3))</f>
        <v/>
      </c>
      <c r="D413" s="84" t="str">
        <f>IF(B413="","",VLOOKUP(A413,Journal!$C$7:$J$84,8))</f>
        <v/>
      </c>
      <c r="E413" s="84" t="str">
        <f>IF(B413="","",VLOOKUP(A413,Journal!$C$7:$L$84,10))</f>
        <v/>
      </c>
      <c r="F413" s="84" t="str">
        <f>IF(B413="","",VLOOKUP(A413,Journal!$C$7:$M$84,11))</f>
        <v/>
      </c>
      <c r="G413" s="102">
        <f>IF(B413="Total",SUM(G$8:G412)+0.0001,IF(OR(B413="",M413=0),0,VLOOKUP(A413,Journal!$C$7:M$84,7)))</f>
        <v>0</v>
      </c>
      <c r="H413" s="102">
        <f>IF(B413="Total",SUM(H$8:H412)+0.0001,IF(OR(B413="",N413=0),0,VLOOKUP(A413,Journal!$C$7:M$84,7)))</f>
        <v>0</v>
      </c>
      <c r="I413" s="87">
        <f t="shared" si="40"/>
        <v>0</v>
      </c>
      <c r="K413" s="13">
        <f>VLOOKUP(A413,Journal!$C$7:$M$84,4)</f>
        <v>0</v>
      </c>
      <c r="L413" s="13">
        <f>VLOOKUP(A413,Journal!$C$7:$M$84,5)</f>
        <v>0</v>
      </c>
      <c r="M413" s="13">
        <f t="shared" si="42"/>
        <v>0</v>
      </c>
      <c r="N413" s="13">
        <f t="shared" si="43"/>
        <v>0</v>
      </c>
      <c r="O413" s="13"/>
      <c r="P413" s="13">
        <f t="shared" si="44"/>
        <v>1.0000000000000001E-5</v>
      </c>
      <c r="T413" t="str">
        <f t="shared" si="39"/>
        <v/>
      </c>
    </row>
    <row r="414" spans="1:20" x14ac:dyDescent="0.25">
      <c r="A414">
        <f t="shared" si="41"/>
        <v>407</v>
      </c>
      <c r="B414" s="88" t="str">
        <f>IF(OR(B413="Total",B413=""),"",IF(VLOOKUP(A414,Journal!$C$7:$E$84,3)=0,"Total",VLOOKUP(A414,Journal!$C$7:$D$84,2)))</f>
        <v/>
      </c>
      <c r="C414" s="86" t="str">
        <f>IF(B414="","",VLOOKUP(A414,Journal!$C$7:$E$84,3))</f>
        <v/>
      </c>
      <c r="D414" s="84" t="str">
        <f>IF(B414="","",VLOOKUP(A414,Journal!$C$7:$J$84,8))</f>
        <v/>
      </c>
      <c r="E414" s="84" t="str">
        <f>IF(B414="","",VLOOKUP(A414,Journal!$C$7:$L$84,10))</f>
        <v/>
      </c>
      <c r="F414" s="84" t="str">
        <f>IF(B414="","",VLOOKUP(A414,Journal!$C$7:$M$84,11))</f>
        <v/>
      </c>
      <c r="G414" s="102">
        <f>IF(B414="Total",SUM(G$8:G413)+0.0001,IF(OR(B414="",M414=0),0,VLOOKUP(A414,Journal!$C$7:M$84,7)))</f>
        <v>0</v>
      </c>
      <c r="H414" s="102">
        <f>IF(B414="Total",SUM(H$8:H413)+0.0001,IF(OR(B414="",N414=0),0,VLOOKUP(A414,Journal!$C$7:M$84,7)))</f>
        <v>0</v>
      </c>
      <c r="I414" s="87">
        <f t="shared" si="40"/>
        <v>0</v>
      </c>
      <c r="K414" s="13">
        <f>VLOOKUP(A414,Journal!$C$7:$M$84,4)</f>
        <v>0</v>
      </c>
      <c r="L414" s="13">
        <f>VLOOKUP(A414,Journal!$C$7:$M$84,5)</f>
        <v>0</v>
      </c>
      <c r="M414" s="13">
        <f t="shared" si="42"/>
        <v>0</v>
      </c>
      <c r="N414" s="13">
        <f t="shared" si="43"/>
        <v>0</v>
      </c>
      <c r="O414" s="13"/>
      <c r="P414" s="13">
        <f t="shared" si="44"/>
        <v>1.0000000000000001E-5</v>
      </c>
      <c r="T414" t="str">
        <f t="shared" si="39"/>
        <v/>
      </c>
    </row>
    <row r="415" spans="1:20" x14ac:dyDescent="0.25">
      <c r="A415">
        <f t="shared" si="41"/>
        <v>408</v>
      </c>
      <c r="B415" s="88" t="str">
        <f>IF(OR(B414="Total",B414=""),"",IF(VLOOKUP(A415,Journal!$C$7:$E$84,3)=0,"Total",VLOOKUP(A415,Journal!$C$7:$D$84,2)))</f>
        <v/>
      </c>
      <c r="C415" s="86" t="str">
        <f>IF(B415="","",VLOOKUP(A415,Journal!$C$7:$E$84,3))</f>
        <v/>
      </c>
      <c r="D415" s="84" t="str">
        <f>IF(B415="","",VLOOKUP(A415,Journal!$C$7:$J$84,8))</f>
        <v/>
      </c>
      <c r="E415" s="84" t="str">
        <f>IF(B415="","",VLOOKUP(A415,Journal!$C$7:$L$84,10))</f>
        <v/>
      </c>
      <c r="F415" s="84" t="str">
        <f>IF(B415="","",VLOOKUP(A415,Journal!$C$7:$M$84,11))</f>
        <v/>
      </c>
      <c r="G415" s="102">
        <f>IF(B415="Total",SUM(G$8:G414)+0.0001,IF(OR(B415="",M415=0),0,VLOOKUP(A415,Journal!$C$7:M$84,7)))</f>
        <v>0</v>
      </c>
      <c r="H415" s="102">
        <f>IF(B415="Total",SUM(H$8:H414)+0.0001,IF(OR(B415="",N415=0),0,VLOOKUP(A415,Journal!$C$7:M$84,7)))</f>
        <v>0</v>
      </c>
      <c r="I415" s="87">
        <f t="shared" si="40"/>
        <v>0</v>
      </c>
      <c r="K415" s="13">
        <f>VLOOKUP(A415,Journal!$C$7:$M$84,4)</f>
        <v>0</v>
      </c>
      <c r="L415" s="13">
        <f>VLOOKUP(A415,Journal!$C$7:$M$84,5)</f>
        <v>0</v>
      </c>
      <c r="M415" s="13">
        <f t="shared" si="42"/>
        <v>0</v>
      </c>
      <c r="N415" s="13">
        <f t="shared" si="43"/>
        <v>0</v>
      </c>
      <c r="O415" s="13"/>
      <c r="P415" s="13">
        <f t="shared" si="44"/>
        <v>1.0000000000000001E-5</v>
      </c>
      <c r="T415" t="str">
        <f t="shared" si="39"/>
        <v/>
      </c>
    </row>
    <row r="416" spans="1:20" x14ac:dyDescent="0.25">
      <c r="A416">
        <f t="shared" si="41"/>
        <v>409</v>
      </c>
      <c r="B416" s="88" t="str">
        <f>IF(OR(B415="Total",B415=""),"",IF(VLOOKUP(A416,Journal!$C$7:$E$84,3)=0,"Total",VLOOKUP(A416,Journal!$C$7:$D$84,2)))</f>
        <v/>
      </c>
      <c r="C416" s="86" t="str">
        <f>IF(B416="","",VLOOKUP(A416,Journal!$C$7:$E$84,3))</f>
        <v/>
      </c>
      <c r="D416" s="84" t="str">
        <f>IF(B416="","",VLOOKUP(A416,Journal!$C$7:$J$84,8))</f>
        <v/>
      </c>
      <c r="E416" s="84" t="str">
        <f>IF(B416="","",VLOOKUP(A416,Journal!$C$7:$L$84,10))</f>
        <v/>
      </c>
      <c r="F416" s="84" t="str">
        <f>IF(B416="","",VLOOKUP(A416,Journal!$C$7:$M$84,11))</f>
        <v/>
      </c>
      <c r="G416" s="102">
        <f>IF(B416="Total",SUM(G$8:G415)+0.0001,IF(OR(B416="",M416=0),0,VLOOKUP(A416,Journal!$C$7:M$84,7)))</f>
        <v>0</v>
      </c>
      <c r="H416" s="102">
        <f>IF(B416="Total",SUM(H$8:H415)+0.0001,IF(OR(B416="",N416=0),0,VLOOKUP(A416,Journal!$C$7:M$84,7)))</f>
        <v>0</v>
      </c>
      <c r="I416" s="87">
        <f t="shared" si="40"/>
        <v>0</v>
      </c>
      <c r="K416" s="13">
        <f>VLOOKUP(A416,Journal!$C$7:$M$84,4)</f>
        <v>0</v>
      </c>
      <c r="L416" s="13">
        <f>VLOOKUP(A416,Journal!$C$7:$M$84,5)</f>
        <v>0</v>
      </c>
      <c r="M416" s="13">
        <f t="shared" si="42"/>
        <v>0</v>
      </c>
      <c r="N416" s="13">
        <f t="shared" si="43"/>
        <v>0</v>
      </c>
      <c r="O416" s="13"/>
      <c r="P416" s="13">
        <f t="shared" si="44"/>
        <v>1.0000000000000001E-5</v>
      </c>
      <c r="T416" t="str">
        <f t="shared" si="39"/>
        <v/>
      </c>
    </row>
    <row r="417" spans="1:20" x14ac:dyDescent="0.25">
      <c r="A417">
        <f t="shared" si="41"/>
        <v>410</v>
      </c>
      <c r="B417" s="88" t="str">
        <f>IF(OR(B416="Total",B416=""),"",IF(VLOOKUP(A417,Journal!$C$7:$E$84,3)=0,"Total",VLOOKUP(A417,Journal!$C$7:$D$84,2)))</f>
        <v/>
      </c>
      <c r="C417" s="86" t="str">
        <f>IF(B417="","",VLOOKUP(A417,Journal!$C$7:$E$84,3))</f>
        <v/>
      </c>
      <c r="D417" s="84" t="str">
        <f>IF(B417="","",VLOOKUP(A417,Journal!$C$7:$J$84,8))</f>
        <v/>
      </c>
      <c r="E417" s="84" t="str">
        <f>IF(B417="","",VLOOKUP(A417,Journal!$C$7:$L$84,10))</f>
        <v/>
      </c>
      <c r="F417" s="84" t="str">
        <f>IF(B417="","",VLOOKUP(A417,Journal!$C$7:$M$84,11))</f>
        <v/>
      </c>
      <c r="G417" s="102">
        <f>IF(B417="Total",SUM(G$8:G416)+0.0001,IF(OR(B417="",M417=0),0,VLOOKUP(A417,Journal!$C$7:M$84,7)))</f>
        <v>0</v>
      </c>
      <c r="H417" s="102">
        <f>IF(B417="Total",SUM(H$8:H416)+0.0001,IF(OR(B417="",N417=0),0,VLOOKUP(A417,Journal!$C$7:M$84,7)))</f>
        <v>0</v>
      </c>
      <c r="I417" s="87">
        <f t="shared" si="40"/>
        <v>0</v>
      </c>
      <c r="K417" s="13">
        <f>VLOOKUP(A417,Journal!$C$7:$M$84,4)</f>
        <v>0</v>
      </c>
      <c r="L417" s="13">
        <f>VLOOKUP(A417,Journal!$C$7:$M$84,5)</f>
        <v>0</v>
      </c>
      <c r="M417" s="13">
        <f t="shared" si="42"/>
        <v>0</v>
      </c>
      <c r="N417" s="13">
        <f t="shared" si="43"/>
        <v>0</v>
      </c>
      <c r="O417" s="13"/>
      <c r="P417" s="13">
        <f t="shared" si="44"/>
        <v>1.0000000000000001E-5</v>
      </c>
      <c r="T417" t="str">
        <f t="shared" si="39"/>
        <v/>
      </c>
    </row>
    <row r="418" spans="1:20" x14ac:dyDescent="0.25">
      <c r="A418">
        <f t="shared" si="41"/>
        <v>411</v>
      </c>
      <c r="B418" s="88" t="str">
        <f>IF(OR(B417="Total",B417=""),"",IF(VLOOKUP(A418,Journal!$C$7:$E$84,3)=0,"Total",VLOOKUP(A418,Journal!$C$7:$D$84,2)))</f>
        <v/>
      </c>
      <c r="C418" s="86" t="str">
        <f>IF(B418="","",VLOOKUP(A418,Journal!$C$7:$E$84,3))</f>
        <v/>
      </c>
      <c r="D418" s="84" t="str">
        <f>IF(B418="","",VLOOKUP(A418,Journal!$C$7:$J$84,8))</f>
        <v/>
      </c>
      <c r="E418" s="84" t="str">
        <f>IF(B418="","",VLOOKUP(A418,Journal!$C$7:$L$84,10))</f>
        <v/>
      </c>
      <c r="F418" s="84" t="str">
        <f>IF(B418="","",VLOOKUP(A418,Journal!$C$7:$M$84,11))</f>
        <v/>
      </c>
      <c r="G418" s="102">
        <f>IF(B418="Total",SUM(G$8:G417)+0.0001,IF(OR(B418="",M418=0),0,VLOOKUP(A418,Journal!$C$7:M$84,7)))</f>
        <v>0</v>
      </c>
      <c r="H418" s="102">
        <f>IF(B418="Total",SUM(H$8:H417)+0.0001,IF(OR(B418="",N418=0),0,VLOOKUP(A418,Journal!$C$7:M$84,7)))</f>
        <v>0</v>
      </c>
      <c r="I418" s="87">
        <f t="shared" si="40"/>
        <v>0</v>
      </c>
      <c r="K418" s="13">
        <f>VLOOKUP(A418,Journal!$C$7:$M$84,4)</f>
        <v>0</v>
      </c>
      <c r="L418" s="13">
        <f>VLOOKUP(A418,Journal!$C$7:$M$84,5)</f>
        <v>0</v>
      </c>
      <c r="M418" s="13">
        <f t="shared" si="42"/>
        <v>0</v>
      </c>
      <c r="N418" s="13">
        <f t="shared" si="43"/>
        <v>0</v>
      </c>
      <c r="O418" s="13"/>
      <c r="P418" s="13">
        <f t="shared" si="44"/>
        <v>1.0000000000000001E-5</v>
      </c>
      <c r="T418" t="str">
        <f t="shared" si="39"/>
        <v/>
      </c>
    </row>
    <row r="419" spans="1:20" x14ac:dyDescent="0.25">
      <c r="A419">
        <f t="shared" si="41"/>
        <v>412</v>
      </c>
      <c r="B419" s="88" t="str">
        <f>IF(OR(B418="Total",B418=""),"",IF(VLOOKUP(A419,Journal!$C$7:$E$84,3)=0,"Total",VLOOKUP(A419,Journal!$C$7:$D$84,2)))</f>
        <v/>
      </c>
      <c r="C419" s="86" t="str">
        <f>IF(B419="","",VLOOKUP(A419,Journal!$C$7:$E$84,3))</f>
        <v/>
      </c>
      <c r="D419" s="84" t="str">
        <f>IF(B419="","",VLOOKUP(A419,Journal!$C$7:$J$84,8))</f>
        <v/>
      </c>
      <c r="E419" s="84" t="str">
        <f>IF(B419="","",VLOOKUP(A419,Journal!$C$7:$L$84,10))</f>
        <v/>
      </c>
      <c r="F419" s="84" t="str">
        <f>IF(B419="","",VLOOKUP(A419,Journal!$C$7:$M$84,11))</f>
        <v/>
      </c>
      <c r="G419" s="102">
        <f>IF(B419="Total",SUM(G$8:G418)+0.0001,IF(OR(B419="",M419=0),0,VLOOKUP(A419,Journal!$C$7:M$84,7)))</f>
        <v>0</v>
      </c>
      <c r="H419" s="102">
        <f>IF(B419="Total",SUM(H$8:H418)+0.0001,IF(OR(B419="",N419=0),0,VLOOKUP(A419,Journal!$C$7:M$84,7)))</f>
        <v>0</v>
      </c>
      <c r="I419" s="87">
        <f t="shared" si="40"/>
        <v>0</v>
      </c>
      <c r="K419" s="13">
        <f>VLOOKUP(A419,Journal!$C$7:$M$84,4)</f>
        <v>0</v>
      </c>
      <c r="L419" s="13">
        <f>VLOOKUP(A419,Journal!$C$7:$M$84,5)</f>
        <v>0</v>
      </c>
      <c r="M419" s="13">
        <f t="shared" si="42"/>
        <v>0</v>
      </c>
      <c r="N419" s="13">
        <f t="shared" si="43"/>
        <v>0</v>
      </c>
      <c r="O419" s="13"/>
      <c r="P419" s="13">
        <f t="shared" si="44"/>
        <v>1.0000000000000001E-5</v>
      </c>
      <c r="T419" t="str">
        <f t="shared" si="39"/>
        <v/>
      </c>
    </row>
    <row r="420" spans="1:20" x14ac:dyDescent="0.25">
      <c r="A420">
        <f t="shared" si="41"/>
        <v>413</v>
      </c>
      <c r="B420" s="88" t="str">
        <f>IF(OR(B419="Total",B419=""),"",IF(VLOOKUP(A420,Journal!$C$7:$E$84,3)=0,"Total",VLOOKUP(A420,Journal!$C$7:$D$84,2)))</f>
        <v/>
      </c>
      <c r="C420" s="86" t="str">
        <f>IF(B420="","",VLOOKUP(A420,Journal!$C$7:$E$84,3))</f>
        <v/>
      </c>
      <c r="D420" s="84" t="str">
        <f>IF(B420="","",VLOOKUP(A420,Journal!$C$7:$J$84,8))</f>
        <v/>
      </c>
      <c r="E420" s="84" t="str">
        <f>IF(B420="","",VLOOKUP(A420,Journal!$C$7:$L$84,10))</f>
        <v/>
      </c>
      <c r="F420" s="84" t="str">
        <f>IF(B420="","",VLOOKUP(A420,Journal!$C$7:$M$84,11))</f>
        <v/>
      </c>
      <c r="G420" s="102">
        <f>IF(B420="Total",SUM(G$8:G419)+0.0001,IF(OR(B420="",M420=0),0,VLOOKUP(A420,Journal!$C$7:M$84,7)))</f>
        <v>0</v>
      </c>
      <c r="H420" s="102">
        <f>IF(B420="Total",SUM(H$8:H419)+0.0001,IF(OR(B420="",N420=0),0,VLOOKUP(A420,Journal!$C$7:M$84,7)))</f>
        <v>0</v>
      </c>
      <c r="I420" s="87">
        <f t="shared" si="40"/>
        <v>0</v>
      </c>
      <c r="K420" s="13">
        <f>VLOOKUP(A420,Journal!$C$7:$M$84,4)</f>
        <v>0</v>
      </c>
      <c r="L420" s="13">
        <f>VLOOKUP(A420,Journal!$C$7:$M$84,5)</f>
        <v>0</v>
      </c>
      <c r="M420" s="13">
        <f t="shared" si="42"/>
        <v>0</v>
      </c>
      <c r="N420" s="13">
        <f t="shared" si="43"/>
        <v>0</v>
      </c>
      <c r="O420" s="13"/>
      <c r="P420" s="13">
        <f t="shared" si="44"/>
        <v>1.0000000000000001E-5</v>
      </c>
      <c r="T420" t="str">
        <f t="shared" si="39"/>
        <v/>
      </c>
    </row>
    <row r="421" spans="1:20" x14ac:dyDescent="0.25">
      <c r="A421">
        <f t="shared" si="41"/>
        <v>414</v>
      </c>
      <c r="B421" s="88" t="str">
        <f>IF(OR(B420="Total",B420=""),"",IF(VLOOKUP(A421,Journal!$C$7:$E$84,3)=0,"Total",VLOOKUP(A421,Journal!$C$7:$D$84,2)))</f>
        <v/>
      </c>
      <c r="C421" s="86" t="str">
        <f>IF(B421="","",VLOOKUP(A421,Journal!$C$7:$E$84,3))</f>
        <v/>
      </c>
      <c r="D421" s="84" t="str">
        <f>IF(B421="","",VLOOKUP(A421,Journal!$C$7:$J$84,8))</f>
        <v/>
      </c>
      <c r="E421" s="84" t="str">
        <f>IF(B421="","",VLOOKUP(A421,Journal!$C$7:$L$84,10))</f>
        <v/>
      </c>
      <c r="F421" s="84" t="str">
        <f>IF(B421="","",VLOOKUP(A421,Journal!$C$7:$M$84,11))</f>
        <v/>
      </c>
      <c r="G421" s="102">
        <f>IF(B421="Total",SUM(G$8:G420)+0.0001,IF(OR(B421="",M421=0),0,VLOOKUP(A421,Journal!$C$7:M$84,7)))</f>
        <v>0</v>
      </c>
      <c r="H421" s="102">
        <f>IF(B421="Total",SUM(H$8:H420)+0.0001,IF(OR(B421="",N421=0),0,VLOOKUP(A421,Journal!$C$7:M$84,7)))</f>
        <v>0</v>
      </c>
      <c r="I421" s="87">
        <f t="shared" si="40"/>
        <v>0</v>
      </c>
      <c r="K421" s="13">
        <f>VLOOKUP(A421,Journal!$C$7:$M$84,4)</f>
        <v>0</v>
      </c>
      <c r="L421" s="13">
        <f>VLOOKUP(A421,Journal!$C$7:$M$84,5)</f>
        <v>0</v>
      </c>
      <c r="M421" s="13">
        <f t="shared" si="42"/>
        <v>0</v>
      </c>
      <c r="N421" s="13">
        <f t="shared" si="43"/>
        <v>0</v>
      </c>
      <c r="O421" s="13"/>
      <c r="P421" s="13">
        <f t="shared" si="44"/>
        <v>1.0000000000000001E-5</v>
      </c>
      <c r="T421" t="str">
        <f t="shared" si="39"/>
        <v/>
      </c>
    </row>
    <row r="422" spans="1:20" x14ac:dyDescent="0.25">
      <c r="A422">
        <f t="shared" si="41"/>
        <v>415</v>
      </c>
      <c r="B422" s="88" t="str">
        <f>IF(OR(B421="Total",B421=""),"",IF(VLOOKUP(A422,Journal!$C$7:$E$84,3)=0,"Total",VLOOKUP(A422,Journal!$C$7:$D$84,2)))</f>
        <v/>
      </c>
      <c r="C422" s="86" t="str">
        <f>IF(B422="","",VLOOKUP(A422,Journal!$C$7:$E$84,3))</f>
        <v/>
      </c>
      <c r="D422" s="84" t="str">
        <f>IF(B422="","",VLOOKUP(A422,Journal!$C$7:$J$84,8))</f>
        <v/>
      </c>
      <c r="E422" s="84" t="str">
        <f>IF(B422="","",VLOOKUP(A422,Journal!$C$7:$L$84,10))</f>
        <v/>
      </c>
      <c r="F422" s="84" t="str">
        <f>IF(B422="","",VLOOKUP(A422,Journal!$C$7:$M$84,11))</f>
        <v/>
      </c>
      <c r="G422" s="102">
        <f>IF(B422="Total",SUM(G$8:G421)+0.0001,IF(OR(B422="",M422=0),0,VLOOKUP(A422,Journal!$C$7:M$84,7)))</f>
        <v>0</v>
      </c>
      <c r="H422" s="102">
        <f>IF(B422="Total",SUM(H$8:H421)+0.0001,IF(OR(B422="",N422=0),0,VLOOKUP(A422,Journal!$C$7:M$84,7)))</f>
        <v>0</v>
      </c>
      <c r="I422" s="87">
        <f t="shared" si="40"/>
        <v>0</v>
      </c>
      <c r="K422" s="13">
        <f>VLOOKUP(A422,Journal!$C$7:$M$84,4)</f>
        <v>0</v>
      </c>
      <c r="L422" s="13">
        <f>VLOOKUP(A422,Journal!$C$7:$M$84,5)</f>
        <v>0</v>
      </c>
      <c r="M422" s="13">
        <f t="shared" si="42"/>
        <v>0</v>
      </c>
      <c r="N422" s="13">
        <f t="shared" si="43"/>
        <v>0</v>
      </c>
      <c r="O422" s="13"/>
      <c r="P422" s="13">
        <f t="shared" si="44"/>
        <v>1.0000000000000001E-5</v>
      </c>
      <c r="T422" t="str">
        <f t="shared" si="39"/>
        <v/>
      </c>
    </row>
    <row r="423" spans="1:20" x14ac:dyDescent="0.25">
      <c r="A423">
        <f t="shared" si="41"/>
        <v>416</v>
      </c>
      <c r="B423" s="88" t="str">
        <f>IF(OR(B422="Total",B422=""),"",IF(VLOOKUP(A423,Journal!$C$7:$E$84,3)=0,"Total",VLOOKUP(A423,Journal!$C$7:$D$84,2)))</f>
        <v/>
      </c>
      <c r="C423" s="86" t="str">
        <f>IF(B423="","",VLOOKUP(A423,Journal!$C$7:$E$84,3))</f>
        <v/>
      </c>
      <c r="D423" s="84" t="str">
        <f>IF(B423="","",VLOOKUP(A423,Journal!$C$7:$J$84,8))</f>
        <v/>
      </c>
      <c r="E423" s="84" t="str">
        <f>IF(B423="","",VLOOKUP(A423,Journal!$C$7:$L$84,10))</f>
        <v/>
      </c>
      <c r="F423" s="84" t="str">
        <f>IF(B423="","",VLOOKUP(A423,Journal!$C$7:$M$84,11))</f>
        <v/>
      </c>
      <c r="G423" s="102">
        <f>IF(B423="Total",SUM(G$8:G422)+0.0001,IF(OR(B423="",M423=0),0,VLOOKUP(A423,Journal!$C$7:M$84,7)))</f>
        <v>0</v>
      </c>
      <c r="H423" s="102">
        <f>IF(B423="Total",SUM(H$8:H422)+0.0001,IF(OR(B423="",N423=0),0,VLOOKUP(A423,Journal!$C$7:M$84,7)))</f>
        <v>0</v>
      </c>
      <c r="I423" s="87">
        <f t="shared" si="40"/>
        <v>0</v>
      </c>
      <c r="K423" s="13">
        <f>VLOOKUP(A423,Journal!$C$7:$M$84,4)</f>
        <v>0</v>
      </c>
      <c r="L423" s="13">
        <f>VLOOKUP(A423,Journal!$C$7:$M$84,5)</f>
        <v>0</v>
      </c>
      <c r="M423" s="13">
        <f t="shared" si="42"/>
        <v>0</v>
      </c>
      <c r="N423" s="13">
        <f t="shared" si="43"/>
        <v>0</v>
      </c>
      <c r="O423" s="13"/>
      <c r="P423" s="13">
        <f t="shared" si="44"/>
        <v>1.0000000000000001E-5</v>
      </c>
      <c r="T423" t="str">
        <f t="shared" si="39"/>
        <v/>
      </c>
    </row>
    <row r="424" spans="1:20" x14ac:dyDescent="0.25">
      <c r="A424">
        <f t="shared" si="41"/>
        <v>417</v>
      </c>
      <c r="B424" s="88" t="str">
        <f>IF(OR(B423="Total",B423=""),"",IF(VLOOKUP(A424,Journal!$C$7:$E$84,3)=0,"Total",VLOOKUP(A424,Journal!$C$7:$D$84,2)))</f>
        <v/>
      </c>
      <c r="C424" s="86" t="str">
        <f>IF(B424="","",VLOOKUP(A424,Journal!$C$7:$E$84,3))</f>
        <v/>
      </c>
      <c r="D424" s="84" t="str">
        <f>IF(B424="","",VLOOKUP(A424,Journal!$C$7:$J$84,8))</f>
        <v/>
      </c>
      <c r="E424" s="84" t="str">
        <f>IF(B424="","",VLOOKUP(A424,Journal!$C$7:$L$84,10))</f>
        <v/>
      </c>
      <c r="F424" s="84" t="str">
        <f>IF(B424="","",VLOOKUP(A424,Journal!$C$7:$M$84,11))</f>
        <v/>
      </c>
      <c r="G424" s="102">
        <f>IF(B424="Total",SUM(G$8:G423)+0.0001,IF(OR(B424="",M424=0),0,VLOOKUP(A424,Journal!$C$7:M$84,7)))</f>
        <v>0</v>
      </c>
      <c r="H424" s="102">
        <f>IF(B424="Total",SUM(H$8:H423)+0.0001,IF(OR(B424="",N424=0),0,VLOOKUP(A424,Journal!$C$7:M$84,7)))</f>
        <v>0</v>
      </c>
      <c r="I424" s="87">
        <f t="shared" si="40"/>
        <v>0</v>
      </c>
      <c r="K424" s="13">
        <f>VLOOKUP(A424,Journal!$C$7:$M$84,4)</f>
        <v>0</v>
      </c>
      <c r="L424" s="13">
        <f>VLOOKUP(A424,Journal!$C$7:$M$84,5)</f>
        <v>0</v>
      </c>
      <c r="M424" s="13">
        <f t="shared" si="42"/>
        <v>0</v>
      </c>
      <c r="N424" s="13">
        <f t="shared" si="43"/>
        <v>0</v>
      </c>
      <c r="O424" s="13"/>
      <c r="P424" s="13">
        <f t="shared" si="44"/>
        <v>1.0000000000000001E-5</v>
      </c>
      <c r="T424" t="str">
        <f t="shared" si="39"/>
        <v/>
      </c>
    </row>
    <row r="425" spans="1:20" x14ac:dyDescent="0.25">
      <c r="A425">
        <f t="shared" si="41"/>
        <v>418</v>
      </c>
      <c r="B425" s="88" t="str">
        <f>IF(OR(B424="Total",B424=""),"",IF(VLOOKUP(A425,Journal!$C$7:$E$84,3)=0,"Total",VLOOKUP(A425,Journal!$C$7:$D$84,2)))</f>
        <v/>
      </c>
      <c r="C425" s="86" t="str">
        <f>IF(B425="","",VLOOKUP(A425,Journal!$C$7:$E$84,3))</f>
        <v/>
      </c>
      <c r="D425" s="84" t="str">
        <f>IF(B425="","",VLOOKUP(A425,Journal!$C$7:$J$84,8))</f>
        <v/>
      </c>
      <c r="E425" s="84" t="str">
        <f>IF(B425="","",VLOOKUP(A425,Journal!$C$7:$L$84,10))</f>
        <v/>
      </c>
      <c r="F425" s="84" t="str">
        <f>IF(B425="","",VLOOKUP(A425,Journal!$C$7:$M$84,11))</f>
        <v/>
      </c>
      <c r="G425" s="102">
        <f>IF(B425="Total",SUM(G$8:G424)+0.0001,IF(OR(B425="",M425=0),0,VLOOKUP(A425,Journal!$C$7:M$84,7)))</f>
        <v>0</v>
      </c>
      <c r="H425" s="102">
        <f>IF(B425="Total",SUM(H$8:H424)+0.0001,IF(OR(B425="",N425=0),0,VLOOKUP(A425,Journal!$C$7:M$84,7)))</f>
        <v>0</v>
      </c>
      <c r="I425" s="87">
        <f t="shared" si="40"/>
        <v>0</v>
      </c>
      <c r="K425" s="13">
        <f>VLOOKUP(A425,Journal!$C$7:$M$84,4)</f>
        <v>0</v>
      </c>
      <c r="L425" s="13">
        <f>VLOOKUP(A425,Journal!$C$7:$M$84,5)</f>
        <v>0</v>
      </c>
      <c r="M425" s="13">
        <f t="shared" si="42"/>
        <v>0</v>
      </c>
      <c r="N425" s="13">
        <f t="shared" si="43"/>
        <v>0</v>
      </c>
      <c r="O425" s="13"/>
      <c r="P425" s="13">
        <f t="shared" si="44"/>
        <v>1.0000000000000001E-5</v>
      </c>
      <c r="T425" t="str">
        <f t="shared" si="39"/>
        <v/>
      </c>
    </row>
    <row r="426" spans="1:20" x14ac:dyDescent="0.25">
      <c r="A426">
        <f t="shared" si="41"/>
        <v>419</v>
      </c>
      <c r="B426" s="88" t="str">
        <f>IF(OR(B425="Total",B425=""),"",IF(VLOOKUP(A426,Journal!$C$7:$E$84,3)=0,"Total",VLOOKUP(A426,Journal!$C$7:$D$84,2)))</f>
        <v/>
      </c>
      <c r="C426" s="86" t="str">
        <f>IF(B426="","",VLOOKUP(A426,Journal!$C$7:$E$84,3))</f>
        <v/>
      </c>
      <c r="D426" s="84" t="str">
        <f>IF(B426="","",VLOOKUP(A426,Journal!$C$7:$J$84,8))</f>
        <v/>
      </c>
      <c r="E426" s="84" t="str">
        <f>IF(B426="","",VLOOKUP(A426,Journal!$C$7:$L$84,10))</f>
        <v/>
      </c>
      <c r="F426" s="84" t="str">
        <f>IF(B426="","",VLOOKUP(A426,Journal!$C$7:$M$84,11))</f>
        <v/>
      </c>
      <c r="G426" s="102">
        <f>IF(B426="Total",SUM(G$8:G425)+0.0001,IF(OR(B426="",M426=0),0,VLOOKUP(A426,Journal!$C$7:M$84,7)))</f>
        <v>0</v>
      </c>
      <c r="H426" s="102">
        <f>IF(B426="Total",SUM(H$8:H425)+0.0001,IF(OR(B426="",N426=0),0,VLOOKUP(A426,Journal!$C$7:M$84,7)))</f>
        <v>0</v>
      </c>
      <c r="I426" s="87">
        <f t="shared" si="40"/>
        <v>0</v>
      </c>
      <c r="K426" s="13">
        <f>VLOOKUP(A426,Journal!$C$7:$M$84,4)</f>
        <v>0</v>
      </c>
      <c r="L426" s="13">
        <f>VLOOKUP(A426,Journal!$C$7:$M$84,5)</f>
        <v>0</v>
      </c>
      <c r="M426" s="13">
        <f t="shared" si="42"/>
        <v>0</v>
      </c>
      <c r="N426" s="13">
        <f t="shared" si="43"/>
        <v>0</v>
      </c>
      <c r="O426" s="13"/>
      <c r="P426" s="13">
        <f t="shared" si="44"/>
        <v>1.0000000000000001E-5</v>
      </c>
      <c r="T426" t="str">
        <f t="shared" si="39"/>
        <v/>
      </c>
    </row>
    <row r="427" spans="1:20" x14ac:dyDescent="0.25">
      <c r="A427">
        <f t="shared" si="41"/>
        <v>420</v>
      </c>
      <c r="B427" s="88" t="str">
        <f>IF(OR(B426="Total",B426=""),"",IF(VLOOKUP(A427,Journal!$C$7:$E$84,3)=0,"Total",VLOOKUP(A427,Journal!$C$7:$D$84,2)))</f>
        <v/>
      </c>
      <c r="C427" s="86" t="str">
        <f>IF(B427="","",VLOOKUP(A427,Journal!$C$7:$E$84,3))</f>
        <v/>
      </c>
      <c r="D427" s="84" t="str">
        <f>IF(B427="","",VLOOKUP(A427,Journal!$C$7:$J$84,8))</f>
        <v/>
      </c>
      <c r="E427" s="84" t="str">
        <f>IF(B427="","",VLOOKUP(A427,Journal!$C$7:$L$84,10))</f>
        <v/>
      </c>
      <c r="F427" s="84" t="str">
        <f>IF(B427="","",VLOOKUP(A427,Journal!$C$7:$M$84,11))</f>
        <v/>
      </c>
      <c r="G427" s="102">
        <f>IF(B427="Total",SUM(G$8:G426)+0.0001,IF(OR(B427="",M427=0),0,VLOOKUP(A427,Journal!$C$7:M$84,7)))</f>
        <v>0</v>
      </c>
      <c r="H427" s="102">
        <f>IF(B427="Total",SUM(H$8:H426)+0.0001,IF(OR(B427="",N427=0),0,VLOOKUP(A427,Journal!$C$7:M$84,7)))</f>
        <v>0</v>
      </c>
      <c r="I427" s="87">
        <f t="shared" si="40"/>
        <v>0</v>
      </c>
      <c r="K427" s="13">
        <f>VLOOKUP(A427,Journal!$C$7:$M$84,4)</f>
        <v>0</v>
      </c>
      <c r="L427" s="13">
        <f>VLOOKUP(A427,Journal!$C$7:$M$84,5)</f>
        <v>0</v>
      </c>
      <c r="M427" s="13">
        <f t="shared" si="42"/>
        <v>0</v>
      </c>
      <c r="N427" s="13">
        <f t="shared" si="43"/>
        <v>0</v>
      </c>
      <c r="O427" s="13"/>
      <c r="P427" s="13">
        <f t="shared" si="44"/>
        <v>1.0000000000000001E-5</v>
      </c>
      <c r="T427" t="str">
        <f t="shared" si="39"/>
        <v/>
      </c>
    </row>
    <row r="428" spans="1:20" x14ac:dyDescent="0.25">
      <c r="A428">
        <f t="shared" si="41"/>
        <v>421</v>
      </c>
      <c r="B428" s="88" t="str">
        <f>IF(OR(B427="Total",B427=""),"",IF(VLOOKUP(A428,Journal!$C$7:$E$84,3)=0,"Total",VLOOKUP(A428,Journal!$C$7:$D$84,2)))</f>
        <v/>
      </c>
      <c r="C428" s="86" t="str">
        <f>IF(B428="","",VLOOKUP(A428,Journal!$C$7:$E$84,3))</f>
        <v/>
      </c>
      <c r="D428" s="84" t="str">
        <f>IF(B428="","",VLOOKUP(A428,Journal!$C$7:$J$84,8))</f>
        <v/>
      </c>
      <c r="E428" s="84" t="str">
        <f>IF(B428="","",VLOOKUP(A428,Journal!$C$7:$L$84,10))</f>
        <v/>
      </c>
      <c r="F428" s="84" t="str">
        <f>IF(B428="","",VLOOKUP(A428,Journal!$C$7:$M$84,11))</f>
        <v/>
      </c>
      <c r="G428" s="102">
        <f>IF(B428="Total",SUM(G$8:G427)+0.0001,IF(OR(B428="",M428=0),0,VLOOKUP(A428,Journal!$C$7:M$84,7)))</f>
        <v>0</v>
      </c>
      <c r="H428" s="102">
        <f>IF(B428="Total",SUM(H$8:H427)+0.0001,IF(OR(B428="",N428=0),0,VLOOKUP(A428,Journal!$C$7:M$84,7)))</f>
        <v>0</v>
      </c>
      <c r="I428" s="87">
        <f t="shared" si="40"/>
        <v>0</v>
      </c>
      <c r="K428" s="13">
        <f>VLOOKUP(A428,Journal!$C$7:$M$84,4)</f>
        <v>0</v>
      </c>
      <c r="L428" s="13">
        <f>VLOOKUP(A428,Journal!$C$7:$M$84,5)</f>
        <v>0</v>
      </c>
      <c r="M428" s="13">
        <f t="shared" si="42"/>
        <v>0</v>
      </c>
      <c r="N428" s="13">
        <f t="shared" si="43"/>
        <v>0</v>
      </c>
      <c r="O428" s="13"/>
      <c r="P428" s="13">
        <f t="shared" si="44"/>
        <v>1.0000000000000001E-5</v>
      </c>
      <c r="T428" t="str">
        <f t="shared" si="39"/>
        <v/>
      </c>
    </row>
    <row r="429" spans="1:20" x14ac:dyDescent="0.25">
      <c r="A429">
        <f t="shared" si="41"/>
        <v>422</v>
      </c>
      <c r="B429" s="88" t="str">
        <f>IF(OR(B428="Total",B428=""),"",IF(VLOOKUP(A429,Journal!$C$7:$E$84,3)=0,"Total",VLOOKUP(A429,Journal!$C$7:$D$84,2)))</f>
        <v/>
      </c>
      <c r="C429" s="86" t="str">
        <f>IF(B429="","",VLOOKUP(A429,Journal!$C$7:$E$84,3))</f>
        <v/>
      </c>
      <c r="D429" s="84" t="str">
        <f>IF(B429="","",VLOOKUP(A429,Journal!$C$7:$J$84,8))</f>
        <v/>
      </c>
      <c r="E429" s="84" t="str">
        <f>IF(B429="","",VLOOKUP(A429,Journal!$C$7:$L$84,10))</f>
        <v/>
      </c>
      <c r="F429" s="84" t="str">
        <f>IF(B429="","",VLOOKUP(A429,Journal!$C$7:$M$84,11))</f>
        <v/>
      </c>
      <c r="G429" s="102">
        <f>IF(B429="Total",SUM(G$8:G428)+0.0001,IF(OR(B429="",M429=0),0,VLOOKUP(A429,Journal!$C$7:M$84,7)))</f>
        <v>0</v>
      </c>
      <c r="H429" s="102">
        <f>IF(B429="Total",SUM(H$8:H428)+0.0001,IF(OR(B429="",N429=0),0,VLOOKUP(A429,Journal!$C$7:M$84,7)))</f>
        <v>0</v>
      </c>
      <c r="I429" s="87">
        <f t="shared" si="40"/>
        <v>0</v>
      </c>
      <c r="K429" s="13">
        <f>VLOOKUP(A429,Journal!$C$7:$M$84,4)</f>
        <v>0</v>
      </c>
      <c r="L429" s="13">
        <f>VLOOKUP(A429,Journal!$C$7:$M$84,5)</f>
        <v>0</v>
      </c>
      <c r="M429" s="13">
        <f t="shared" si="42"/>
        <v>0</v>
      </c>
      <c r="N429" s="13">
        <f t="shared" si="43"/>
        <v>0</v>
      </c>
      <c r="O429" s="13"/>
      <c r="P429" s="13">
        <f t="shared" si="44"/>
        <v>1.0000000000000001E-5</v>
      </c>
      <c r="T429" t="str">
        <f t="shared" si="39"/>
        <v/>
      </c>
    </row>
    <row r="430" spans="1:20" x14ac:dyDescent="0.25">
      <c r="A430">
        <f t="shared" si="41"/>
        <v>423</v>
      </c>
      <c r="B430" s="88" t="str">
        <f>IF(OR(B429="Total",B429=""),"",IF(VLOOKUP(A430,Journal!$C$7:$E$84,3)=0,"Total",VLOOKUP(A430,Journal!$C$7:$D$84,2)))</f>
        <v/>
      </c>
      <c r="C430" s="86" t="str">
        <f>IF(B430="","",VLOOKUP(A430,Journal!$C$7:$E$84,3))</f>
        <v/>
      </c>
      <c r="D430" s="84" t="str">
        <f>IF(B430="","",VLOOKUP(A430,Journal!$C$7:$J$84,8))</f>
        <v/>
      </c>
      <c r="E430" s="84" t="str">
        <f>IF(B430="","",VLOOKUP(A430,Journal!$C$7:$L$84,10))</f>
        <v/>
      </c>
      <c r="F430" s="84" t="str">
        <f>IF(B430="","",VLOOKUP(A430,Journal!$C$7:$M$84,11))</f>
        <v/>
      </c>
      <c r="G430" s="102">
        <f>IF(B430="Total",SUM(G$8:G429)+0.0001,IF(OR(B430="",M430=0),0,VLOOKUP(A430,Journal!$C$7:M$84,7)))</f>
        <v>0</v>
      </c>
      <c r="H430" s="102">
        <f>IF(B430="Total",SUM(H$8:H429)+0.0001,IF(OR(B430="",N430=0),0,VLOOKUP(A430,Journal!$C$7:M$84,7)))</f>
        <v>0</v>
      </c>
      <c r="I430" s="87">
        <f t="shared" si="40"/>
        <v>0</v>
      </c>
      <c r="K430" s="13">
        <f>VLOOKUP(A430,Journal!$C$7:$M$84,4)</f>
        <v>0</v>
      </c>
      <c r="L430" s="13">
        <f>VLOOKUP(A430,Journal!$C$7:$M$84,5)</f>
        <v>0</v>
      </c>
      <c r="M430" s="13">
        <f t="shared" si="42"/>
        <v>0</v>
      </c>
      <c r="N430" s="13">
        <f t="shared" si="43"/>
        <v>0</v>
      </c>
      <c r="O430" s="13"/>
      <c r="P430" s="13">
        <f t="shared" si="44"/>
        <v>1.0000000000000001E-5</v>
      </c>
      <c r="T430" t="str">
        <f t="shared" si="39"/>
        <v/>
      </c>
    </row>
    <row r="431" spans="1:20" x14ac:dyDescent="0.25">
      <c r="A431">
        <f t="shared" si="41"/>
        <v>424</v>
      </c>
      <c r="B431" s="88" t="str">
        <f>IF(OR(B430="Total",B430=""),"",IF(VLOOKUP(A431,Journal!$C$7:$E$84,3)=0,"Total",VLOOKUP(A431,Journal!$C$7:$D$84,2)))</f>
        <v/>
      </c>
      <c r="C431" s="86" t="str">
        <f>IF(B431="","",VLOOKUP(A431,Journal!$C$7:$E$84,3))</f>
        <v/>
      </c>
      <c r="D431" s="84" t="str">
        <f>IF(B431="","",VLOOKUP(A431,Journal!$C$7:$J$84,8))</f>
        <v/>
      </c>
      <c r="E431" s="84" t="str">
        <f>IF(B431="","",VLOOKUP(A431,Journal!$C$7:$L$84,10))</f>
        <v/>
      </c>
      <c r="F431" s="84" t="str">
        <f>IF(B431="","",VLOOKUP(A431,Journal!$C$7:$M$84,11))</f>
        <v/>
      </c>
      <c r="G431" s="102">
        <f>IF(B431="Total",SUM(G$8:G430)+0.0001,IF(OR(B431="",M431=0),0,VLOOKUP(A431,Journal!$C$7:M$84,7)))</f>
        <v>0</v>
      </c>
      <c r="H431" s="102">
        <f>IF(B431="Total",SUM(H$8:H430)+0.0001,IF(OR(B431="",N431=0),0,VLOOKUP(A431,Journal!$C$7:M$84,7)))</f>
        <v>0</v>
      </c>
      <c r="I431" s="87">
        <f t="shared" si="40"/>
        <v>0</v>
      </c>
      <c r="K431" s="13">
        <f>VLOOKUP(A431,Journal!$C$7:$M$84,4)</f>
        <v>0</v>
      </c>
      <c r="L431" s="13">
        <f>VLOOKUP(A431,Journal!$C$7:$M$84,5)</f>
        <v>0</v>
      </c>
      <c r="M431" s="13">
        <f t="shared" si="42"/>
        <v>0</v>
      </c>
      <c r="N431" s="13">
        <f t="shared" si="43"/>
        <v>0</v>
      </c>
      <c r="O431" s="13"/>
      <c r="P431" s="13">
        <f t="shared" si="44"/>
        <v>1.0000000000000001E-5</v>
      </c>
      <c r="T431" t="str">
        <f t="shared" si="39"/>
        <v/>
      </c>
    </row>
    <row r="432" spans="1:20" x14ac:dyDescent="0.25">
      <c r="A432">
        <f t="shared" si="41"/>
        <v>425</v>
      </c>
      <c r="B432" s="88" t="str">
        <f>IF(OR(B431="Total",B431=""),"",IF(VLOOKUP(A432,Journal!$C$7:$E$84,3)=0,"Total",VLOOKUP(A432,Journal!$C$7:$D$84,2)))</f>
        <v/>
      </c>
      <c r="C432" s="86" t="str">
        <f>IF(B432="","",VLOOKUP(A432,Journal!$C$7:$E$84,3))</f>
        <v/>
      </c>
      <c r="D432" s="84" t="str">
        <f>IF(B432="","",VLOOKUP(A432,Journal!$C$7:$J$84,8))</f>
        <v/>
      </c>
      <c r="E432" s="84" t="str">
        <f>IF(B432="","",VLOOKUP(A432,Journal!$C$7:$L$84,10))</f>
        <v/>
      </c>
      <c r="F432" s="84" t="str">
        <f>IF(B432="","",VLOOKUP(A432,Journal!$C$7:$M$84,11))</f>
        <v/>
      </c>
      <c r="G432" s="102">
        <f>IF(B432="Total",SUM(G$8:G431)+0.0001,IF(OR(B432="",M432=0),0,VLOOKUP(A432,Journal!$C$7:M$84,7)))</f>
        <v>0</v>
      </c>
      <c r="H432" s="102">
        <f>IF(B432="Total",SUM(H$8:H431)+0.0001,IF(OR(B432="",N432=0),0,VLOOKUP(A432,Journal!$C$7:M$84,7)))</f>
        <v>0</v>
      </c>
      <c r="I432" s="87">
        <f t="shared" si="40"/>
        <v>0</v>
      </c>
      <c r="K432" s="13">
        <f>VLOOKUP(A432,Journal!$C$7:$M$84,4)</f>
        <v>0</v>
      </c>
      <c r="L432" s="13">
        <f>VLOOKUP(A432,Journal!$C$7:$M$84,5)</f>
        <v>0</v>
      </c>
      <c r="M432" s="13">
        <f t="shared" si="42"/>
        <v>0</v>
      </c>
      <c r="N432" s="13">
        <f t="shared" si="43"/>
        <v>0</v>
      </c>
      <c r="O432" s="13"/>
      <c r="P432" s="13">
        <f t="shared" si="44"/>
        <v>1.0000000000000001E-5</v>
      </c>
      <c r="T432" t="str">
        <f t="shared" si="39"/>
        <v/>
      </c>
    </row>
    <row r="433" spans="1:20" x14ac:dyDescent="0.25">
      <c r="A433">
        <f t="shared" si="41"/>
        <v>426</v>
      </c>
      <c r="B433" s="88" t="str">
        <f>IF(OR(B432="Total",B432=""),"",IF(VLOOKUP(A433,Journal!$C$7:$E$84,3)=0,"Total",VLOOKUP(A433,Journal!$C$7:$D$84,2)))</f>
        <v/>
      </c>
      <c r="C433" s="86" t="str">
        <f>IF(B433="","",VLOOKUP(A433,Journal!$C$7:$E$84,3))</f>
        <v/>
      </c>
      <c r="D433" s="84" t="str">
        <f>IF(B433="","",VLOOKUP(A433,Journal!$C$7:$J$84,8))</f>
        <v/>
      </c>
      <c r="E433" s="84" t="str">
        <f>IF(B433="","",VLOOKUP(A433,Journal!$C$7:$L$84,10))</f>
        <v/>
      </c>
      <c r="F433" s="84" t="str">
        <f>IF(B433="","",VLOOKUP(A433,Journal!$C$7:$M$84,11))</f>
        <v/>
      </c>
      <c r="G433" s="102">
        <f>IF(B433="Total",SUM(G$8:G432)+0.0001,IF(OR(B433="",M433=0),0,VLOOKUP(A433,Journal!$C$7:M$84,7)))</f>
        <v>0</v>
      </c>
      <c r="H433" s="102">
        <f>IF(B433="Total",SUM(H$8:H432)+0.0001,IF(OR(B433="",N433=0),0,VLOOKUP(A433,Journal!$C$7:M$84,7)))</f>
        <v>0</v>
      </c>
      <c r="I433" s="87">
        <f t="shared" si="40"/>
        <v>0</v>
      </c>
      <c r="K433" s="13">
        <f>VLOOKUP(A433,Journal!$C$7:$M$84,4)</f>
        <v>0</v>
      </c>
      <c r="L433" s="13">
        <f>VLOOKUP(A433,Journal!$C$7:$M$84,5)</f>
        <v>0</v>
      </c>
      <c r="M433" s="13">
        <f t="shared" si="42"/>
        <v>0</v>
      </c>
      <c r="N433" s="13">
        <f t="shared" si="43"/>
        <v>0</v>
      </c>
      <c r="O433" s="13"/>
      <c r="P433" s="13">
        <f t="shared" si="44"/>
        <v>1.0000000000000001E-5</v>
      </c>
      <c r="T433" t="str">
        <f t="shared" si="39"/>
        <v/>
      </c>
    </row>
    <row r="434" spans="1:20" x14ac:dyDescent="0.25">
      <c r="A434">
        <f t="shared" si="41"/>
        <v>427</v>
      </c>
      <c r="B434" s="88" t="str">
        <f>IF(OR(B433="Total",B433=""),"",IF(VLOOKUP(A434,Journal!$C$7:$E$84,3)=0,"Total",VLOOKUP(A434,Journal!$C$7:$D$84,2)))</f>
        <v/>
      </c>
      <c r="C434" s="86" t="str">
        <f>IF(B434="","",VLOOKUP(A434,Journal!$C$7:$E$84,3))</f>
        <v/>
      </c>
      <c r="D434" s="84" t="str">
        <f>IF(B434="","",VLOOKUP(A434,Journal!$C$7:$J$84,8))</f>
        <v/>
      </c>
      <c r="E434" s="84" t="str">
        <f>IF(B434="","",VLOOKUP(A434,Journal!$C$7:$L$84,10))</f>
        <v/>
      </c>
      <c r="F434" s="84" t="str">
        <f>IF(B434="","",VLOOKUP(A434,Journal!$C$7:$M$84,11))</f>
        <v/>
      </c>
      <c r="G434" s="102">
        <f>IF(B434="Total",SUM(G$8:G433)+0.0001,IF(OR(B434="",M434=0),0,VLOOKUP(A434,Journal!$C$7:M$84,7)))</f>
        <v>0</v>
      </c>
      <c r="H434" s="102">
        <f>IF(B434="Total",SUM(H$8:H433)+0.0001,IF(OR(B434="",N434=0),0,VLOOKUP(A434,Journal!$C$7:M$84,7)))</f>
        <v>0</v>
      </c>
      <c r="I434" s="87">
        <f t="shared" si="40"/>
        <v>0</v>
      </c>
      <c r="K434" s="13">
        <f>VLOOKUP(A434,Journal!$C$7:$M$84,4)</f>
        <v>0</v>
      </c>
      <c r="L434" s="13">
        <f>VLOOKUP(A434,Journal!$C$7:$M$84,5)</f>
        <v>0</v>
      </c>
      <c r="M434" s="13">
        <f t="shared" si="42"/>
        <v>0</v>
      </c>
      <c r="N434" s="13">
        <f t="shared" si="43"/>
        <v>0</v>
      </c>
      <c r="O434" s="13"/>
      <c r="P434" s="13">
        <f t="shared" si="44"/>
        <v>1.0000000000000001E-5</v>
      </c>
      <c r="T434" t="str">
        <f t="shared" si="39"/>
        <v/>
      </c>
    </row>
    <row r="435" spans="1:20" x14ac:dyDescent="0.25">
      <c r="A435">
        <f t="shared" si="41"/>
        <v>428</v>
      </c>
      <c r="B435" s="88" t="str">
        <f>IF(OR(B434="Total",B434=""),"",IF(VLOOKUP(A435,Journal!$C$7:$E$84,3)=0,"Total",VLOOKUP(A435,Journal!$C$7:$D$84,2)))</f>
        <v/>
      </c>
      <c r="C435" s="86" t="str">
        <f>IF(B435="","",VLOOKUP(A435,Journal!$C$7:$E$84,3))</f>
        <v/>
      </c>
      <c r="D435" s="84" t="str">
        <f>IF(B435="","",VLOOKUP(A435,Journal!$C$7:$J$84,8))</f>
        <v/>
      </c>
      <c r="E435" s="84" t="str">
        <f>IF(B435="","",VLOOKUP(A435,Journal!$C$7:$L$84,10))</f>
        <v/>
      </c>
      <c r="F435" s="84" t="str">
        <f>IF(B435="","",VLOOKUP(A435,Journal!$C$7:$M$84,11))</f>
        <v/>
      </c>
      <c r="G435" s="102">
        <f>IF(B435="Total",SUM(G$8:G434)+0.0001,IF(OR(B435="",M435=0),0,VLOOKUP(A435,Journal!$C$7:M$84,7)))</f>
        <v>0</v>
      </c>
      <c r="H435" s="102">
        <f>IF(B435="Total",SUM(H$8:H434)+0.0001,IF(OR(B435="",N435=0),0,VLOOKUP(A435,Journal!$C$7:M$84,7)))</f>
        <v>0</v>
      </c>
      <c r="I435" s="87">
        <f t="shared" si="40"/>
        <v>0</v>
      </c>
      <c r="K435" s="13">
        <f>VLOOKUP(A435,Journal!$C$7:$M$84,4)</f>
        <v>0</v>
      </c>
      <c r="L435" s="13">
        <f>VLOOKUP(A435,Journal!$C$7:$M$84,5)</f>
        <v>0</v>
      </c>
      <c r="M435" s="13">
        <f t="shared" si="42"/>
        <v>0</v>
      </c>
      <c r="N435" s="13">
        <f t="shared" si="43"/>
        <v>0</v>
      </c>
      <c r="O435" s="13"/>
      <c r="P435" s="13">
        <f t="shared" si="44"/>
        <v>1.0000000000000001E-5</v>
      </c>
      <c r="T435" t="str">
        <f t="shared" si="39"/>
        <v/>
      </c>
    </row>
    <row r="436" spans="1:20" x14ac:dyDescent="0.25">
      <c r="A436">
        <f t="shared" si="41"/>
        <v>429</v>
      </c>
      <c r="B436" s="88" t="str">
        <f>IF(OR(B435="Total",B435=""),"",IF(VLOOKUP(A436,Journal!$C$7:$E$84,3)=0,"Total",VLOOKUP(A436,Journal!$C$7:$D$84,2)))</f>
        <v/>
      </c>
      <c r="C436" s="86" t="str">
        <f>IF(B436="","",VLOOKUP(A436,Journal!$C$7:$E$84,3))</f>
        <v/>
      </c>
      <c r="D436" s="84" t="str">
        <f>IF(B436="","",VLOOKUP(A436,Journal!$C$7:$J$84,8))</f>
        <v/>
      </c>
      <c r="E436" s="84" t="str">
        <f>IF(B436="","",VLOOKUP(A436,Journal!$C$7:$L$84,10))</f>
        <v/>
      </c>
      <c r="F436" s="84" t="str">
        <f>IF(B436="","",VLOOKUP(A436,Journal!$C$7:$M$84,11))</f>
        <v/>
      </c>
      <c r="G436" s="102">
        <f>IF(B436="Total",SUM(G$8:G435)+0.0001,IF(OR(B436="",M436=0),0,VLOOKUP(A436,Journal!$C$7:M$84,7)))</f>
        <v>0</v>
      </c>
      <c r="H436" s="102">
        <f>IF(B436="Total",SUM(H$8:H435)+0.0001,IF(OR(B436="",N436=0),0,VLOOKUP(A436,Journal!$C$7:M$84,7)))</f>
        <v>0</v>
      </c>
      <c r="I436" s="87">
        <f t="shared" si="40"/>
        <v>0</v>
      </c>
      <c r="K436" s="13">
        <f>VLOOKUP(A436,Journal!$C$7:$M$84,4)</f>
        <v>0</v>
      </c>
      <c r="L436" s="13">
        <f>VLOOKUP(A436,Journal!$C$7:$M$84,5)</f>
        <v>0</v>
      </c>
      <c r="M436" s="13">
        <f t="shared" si="42"/>
        <v>0</v>
      </c>
      <c r="N436" s="13">
        <f t="shared" si="43"/>
        <v>0</v>
      </c>
      <c r="O436" s="13"/>
      <c r="P436" s="13">
        <f t="shared" si="44"/>
        <v>1.0000000000000001E-5</v>
      </c>
      <c r="T436" t="str">
        <f t="shared" si="39"/>
        <v/>
      </c>
    </row>
    <row r="437" spans="1:20" x14ac:dyDescent="0.25">
      <c r="A437">
        <f t="shared" si="41"/>
        <v>430</v>
      </c>
      <c r="B437" s="88" t="str">
        <f>IF(OR(B436="Total",B436=""),"",IF(VLOOKUP(A437,Journal!$C$7:$E$84,3)=0,"Total",VLOOKUP(A437,Journal!$C$7:$D$84,2)))</f>
        <v/>
      </c>
      <c r="C437" s="86" t="str">
        <f>IF(B437="","",VLOOKUP(A437,Journal!$C$7:$E$84,3))</f>
        <v/>
      </c>
      <c r="D437" s="84" t="str">
        <f>IF(B437="","",VLOOKUP(A437,Journal!$C$7:$J$84,8))</f>
        <v/>
      </c>
      <c r="E437" s="84" t="str">
        <f>IF(B437="","",VLOOKUP(A437,Journal!$C$7:$L$84,10))</f>
        <v/>
      </c>
      <c r="F437" s="84" t="str">
        <f>IF(B437="","",VLOOKUP(A437,Journal!$C$7:$M$84,11))</f>
        <v/>
      </c>
      <c r="G437" s="102">
        <f>IF(B437="Total",SUM(G$8:G436)+0.0001,IF(OR(B437="",M437=0),0,VLOOKUP(A437,Journal!$C$7:M$84,7)))</f>
        <v>0</v>
      </c>
      <c r="H437" s="102">
        <f>IF(B437="Total",SUM(H$8:H436)+0.0001,IF(OR(B437="",N437=0),0,VLOOKUP(A437,Journal!$C$7:M$84,7)))</f>
        <v>0</v>
      </c>
      <c r="I437" s="87">
        <f t="shared" si="40"/>
        <v>0</v>
      </c>
      <c r="K437" s="13">
        <f>VLOOKUP(A437,Journal!$C$7:$M$84,4)</f>
        <v>0</v>
      </c>
      <c r="L437" s="13">
        <f>VLOOKUP(A437,Journal!$C$7:$M$84,5)</f>
        <v>0</v>
      </c>
      <c r="M437" s="13">
        <f t="shared" si="42"/>
        <v>0</v>
      </c>
      <c r="N437" s="13">
        <f t="shared" si="43"/>
        <v>0</v>
      </c>
      <c r="O437" s="13"/>
      <c r="P437" s="13">
        <f t="shared" si="44"/>
        <v>1.0000000000000001E-5</v>
      </c>
      <c r="T437" t="str">
        <f t="shared" si="39"/>
        <v/>
      </c>
    </row>
    <row r="438" spans="1:20" x14ac:dyDescent="0.25">
      <c r="A438">
        <f t="shared" si="41"/>
        <v>431</v>
      </c>
      <c r="B438" s="88" t="str">
        <f>IF(OR(B437="Total",B437=""),"",IF(VLOOKUP(A438,Journal!$C$7:$E$84,3)=0,"Total",VLOOKUP(A438,Journal!$C$7:$D$84,2)))</f>
        <v/>
      </c>
      <c r="C438" s="86" t="str">
        <f>IF(B438="","",VLOOKUP(A438,Journal!$C$7:$E$84,3))</f>
        <v/>
      </c>
      <c r="D438" s="84" t="str">
        <f>IF(B438="","",VLOOKUP(A438,Journal!$C$7:$J$84,8))</f>
        <v/>
      </c>
      <c r="E438" s="84" t="str">
        <f>IF(B438="","",VLOOKUP(A438,Journal!$C$7:$L$84,10))</f>
        <v/>
      </c>
      <c r="F438" s="84" t="str">
        <f>IF(B438="","",VLOOKUP(A438,Journal!$C$7:$M$84,11))</f>
        <v/>
      </c>
      <c r="G438" s="102">
        <f>IF(B438="Total",SUM(G$8:G437)+0.0001,IF(OR(B438="",M438=0),0,VLOOKUP(A438,Journal!$C$7:M$84,7)))</f>
        <v>0</v>
      </c>
      <c r="H438" s="102">
        <f>IF(B438="Total",SUM(H$8:H437)+0.0001,IF(OR(B438="",N438=0),0,VLOOKUP(A438,Journal!$C$7:M$84,7)))</f>
        <v>0</v>
      </c>
      <c r="I438" s="87">
        <f t="shared" si="40"/>
        <v>0</v>
      </c>
      <c r="K438" s="13">
        <f>VLOOKUP(A438,Journal!$C$7:$M$84,4)</f>
        <v>0</v>
      </c>
      <c r="L438" s="13">
        <f>VLOOKUP(A438,Journal!$C$7:$M$84,5)</f>
        <v>0</v>
      </c>
      <c r="M438" s="13">
        <f t="shared" si="42"/>
        <v>0</v>
      </c>
      <c r="N438" s="13">
        <f t="shared" si="43"/>
        <v>0</v>
      </c>
      <c r="O438" s="13"/>
      <c r="P438" s="13">
        <f t="shared" si="44"/>
        <v>1.0000000000000001E-5</v>
      </c>
      <c r="T438" t="str">
        <f t="shared" si="39"/>
        <v/>
      </c>
    </row>
    <row r="439" spans="1:20" x14ac:dyDescent="0.25">
      <c r="A439">
        <f t="shared" si="41"/>
        <v>432</v>
      </c>
      <c r="B439" s="88" t="str">
        <f>IF(OR(B438="Total",B438=""),"",IF(VLOOKUP(A439,Journal!$C$7:$E$84,3)=0,"Total",VLOOKUP(A439,Journal!$C$7:$D$84,2)))</f>
        <v/>
      </c>
      <c r="C439" s="86" t="str">
        <f>IF(B439="","",VLOOKUP(A439,Journal!$C$7:$E$84,3))</f>
        <v/>
      </c>
      <c r="D439" s="84" t="str">
        <f>IF(B439="","",VLOOKUP(A439,Journal!$C$7:$J$84,8))</f>
        <v/>
      </c>
      <c r="E439" s="84" t="str">
        <f>IF(B439="","",VLOOKUP(A439,Journal!$C$7:$L$84,10))</f>
        <v/>
      </c>
      <c r="F439" s="84" t="str">
        <f>IF(B439="","",VLOOKUP(A439,Journal!$C$7:$M$84,11))</f>
        <v/>
      </c>
      <c r="G439" s="102">
        <f>IF(B439="Total",SUM(G$8:G438)+0.0001,IF(OR(B439="",M439=0),0,VLOOKUP(A439,Journal!$C$7:M$84,7)))</f>
        <v>0</v>
      </c>
      <c r="H439" s="102">
        <f>IF(B439="Total",SUM(H$8:H438)+0.0001,IF(OR(B439="",N439=0),0,VLOOKUP(A439,Journal!$C$7:M$84,7)))</f>
        <v>0</v>
      </c>
      <c r="I439" s="87">
        <f t="shared" si="40"/>
        <v>0</v>
      </c>
      <c r="K439" s="13">
        <f>VLOOKUP(A439,Journal!$C$7:$M$84,4)</f>
        <v>0</v>
      </c>
      <c r="L439" s="13">
        <f>VLOOKUP(A439,Journal!$C$7:$M$84,5)</f>
        <v>0</v>
      </c>
      <c r="M439" s="13">
        <f t="shared" si="42"/>
        <v>0</v>
      </c>
      <c r="N439" s="13">
        <f t="shared" si="43"/>
        <v>0</v>
      </c>
      <c r="O439" s="13"/>
      <c r="P439" s="13">
        <f t="shared" si="44"/>
        <v>1.0000000000000001E-5</v>
      </c>
      <c r="T439" t="str">
        <f t="shared" si="39"/>
        <v/>
      </c>
    </row>
    <row r="440" spans="1:20" x14ac:dyDescent="0.25">
      <c r="A440">
        <f t="shared" si="41"/>
        <v>433</v>
      </c>
      <c r="B440" s="88" t="str">
        <f>IF(OR(B439="Total",B439=""),"",IF(VLOOKUP(A440,Journal!$C$7:$E$84,3)=0,"Total",VLOOKUP(A440,Journal!$C$7:$D$84,2)))</f>
        <v/>
      </c>
      <c r="C440" s="86" t="str">
        <f>IF(B440="","",VLOOKUP(A440,Journal!$C$7:$E$84,3))</f>
        <v/>
      </c>
      <c r="D440" s="84" t="str">
        <f>IF(B440="","",VLOOKUP(A440,Journal!$C$7:$J$84,8))</f>
        <v/>
      </c>
      <c r="E440" s="84" t="str">
        <f>IF(B440="","",VLOOKUP(A440,Journal!$C$7:$L$84,10))</f>
        <v/>
      </c>
      <c r="F440" s="84" t="str">
        <f>IF(B440="","",VLOOKUP(A440,Journal!$C$7:$M$84,11))</f>
        <v/>
      </c>
      <c r="G440" s="102">
        <f>IF(B440="Total",SUM(G$8:G439)+0.0001,IF(OR(B440="",M440=0),0,VLOOKUP(A440,Journal!$C$7:M$84,7)))</f>
        <v>0</v>
      </c>
      <c r="H440" s="102">
        <f>IF(B440="Total",SUM(H$8:H439)+0.0001,IF(OR(B440="",N440=0),0,VLOOKUP(A440,Journal!$C$7:M$84,7)))</f>
        <v>0</v>
      </c>
      <c r="I440" s="87">
        <f t="shared" si="40"/>
        <v>0</v>
      </c>
      <c r="K440" s="13">
        <f>VLOOKUP(A440,Journal!$C$7:$M$84,4)</f>
        <v>0</v>
      </c>
      <c r="L440" s="13">
        <f>VLOOKUP(A440,Journal!$C$7:$M$84,5)</f>
        <v>0</v>
      </c>
      <c r="M440" s="13">
        <f t="shared" si="42"/>
        <v>0</v>
      </c>
      <c r="N440" s="13">
        <f t="shared" si="43"/>
        <v>0</v>
      </c>
      <c r="O440" s="13"/>
      <c r="P440" s="13">
        <f t="shared" si="44"/>
        <v>1.0000000000000001E-5</v>
      </c>
      <c r="T440" t="str">
        <f t="shared" si="39"/>
        <v/>
      </c>
    </row>
    <row r="441" spans="1:20" x14ac:dyDescent="0.25">
      <c r="A441">
        <f t="shared" si="41"/>
        <v>434</v>
      </c>
      <c r="B441" s="88" t="str">
        <f>IF(OR(B440="Total",B440=""),"",IF(VLOOKUP(A441,Journal!$C$7:$E$84,3)=0,"Total",VLOOKUP(A441,Journal!$C$7:$D$84,2)))</f>
        <v/>
      </c>
      <c r="C441" s="86" t="str">
        <f>IF(B441="","",VLOOKUP(A441,Journal!$C$7:$E$84,3))</f>
        <v/>
      </c>
      <c r="D441" s="84" t="str">
        <f>IF(B441="","",VLOOKUP(A441,Journal!$C$7:$J$84,8))</f>
        <v/>
      </c>
      <c r="E441" s="84" t="str">
        <f>IF(B441="","",VLOOKUP(A441,Journal!$C$7:$L$84,10))</f>
        <v/>
      </c>
      <c r="F441" s="84" t="str">
        <f>IF(B441="","",VLOOKUP(A441,Journal!$C$7:$M$84,11))</f>
        <v/>
      </c>
      <c r="G441" s="102">
        <f>IF(B441="Total",SUM(G$8:G440)+0.0001,IF(OR(B441="",M441=0),0,VLOOKUP(A441,Journal!$C$7:M$84,7)))</f>
        <v>0</v>
      </c>
      <c r="H441" s="102">
        <f>IF(B441="Total",SUM(H$8:H440)+0.0001,IF(OR(B441="",N441=0),0,VLOOKUP(A441,Journal!$C$7:M$84,7)))</f>
        <v>0</v>
      </c>
      <c r="I441" s="87">
        <f t="shared" si="40"/>
        <v>0</v>
      </c>
      <c r="K441" s="13">
        <f>VLOOKUP(A441,Journal!$C$7:$M$84,4)</f>
        <v>0</v>
      </c>
      <c r="L441" s="13">
        <f>VLOOKUP(A441,Journal!$C$7:$M$84,5)</f>
        <v>0</v>
      </c>
      <c r="M441" s="13">
        <f t="shared" si="42"/>
        <v>0</v>
      </c>
      <c r="N441" s="13">
        <f t="shared" si="43"/>
        <v>0</v>
      </c>
      <c r="O441" s="13"/>
      <c r="P441" s="13">
        <f t="shared" si="44"/>
        <v>1.0000000000000001E-5</v>
      </c>
      <c r="T441" t="str">
        <f t="shared" si="39"/>
        <v/>
      </c>
    </row>
    <row r="442" spans="1:20" x14ac:dyDescent="0.25">
      <c r="A442">
        <f t="shared" si="41"/>
        <v>435</v>
      </c>
      <c r="B442" s="88" t="str">
        <f>IF(OR(B441="Total",B441=""),"",IF(VLOOKUP(A442,Journal!$C$7:$E$84,3)=0,"Total",VLOOKUP(A442,Journal!$C$7:$D$84,2)))</f>
        <v/>
      </c>
      <c r="C442" s="86" t="str">
        <f>IF(B442="","",VLOOKUP(A442,Journal!$C$7:$E$84,3))</f>
        <v/>
      </c>
      <c r="D442" s="84" t="str">
        <f>IF(B442="","",VLOOKUP(A442,Journal!$C$7:$J$84,8))</f>
        <v/>
      </c>
      <c r="E442" s="84" t="str">
        <f>IF(B442="","",VLOOKUP(A442,Journal!$C$7:$L$84,10))</f>
        <v/>
      </c>
      <c r="F442" s="84" t="str">
        <f>IF(B442="","",VLOOKUP(A442,Journal!$C$7:$M$84,11))</f>
        <v/>
      </c>
      <c r="G442" s="102">
        <f>IF(B442="Total",SUM(G$8:G441)+0.0001,IF(OR(B442="",M442=0),0,VLOOKUP(A442,Journal!$C$7:M$84,7)))</f>
        <v>0</v>
      </c>
      <c r="H442" s="102">
        <f>IF(B442="Total",SUM(H$8:H441)+0.0001,IF(OR(B442="",N442=0),0,VLOOKUP(A442,Journal!$C$7:M$84,7)))</f>
        <v>0</v>
      </c>
      <c r="I442" s="87">
        <f t="shared" si="40"/>
        <v>0</v>
      </c>
      <c r="K442" s="13">
        <f>VLOOKUP(A442,Journal!$C$7:$M$84,4)</f>
        <v>0</v>
      </c>
      <c r="L442" s="13">
        <f>VLOOKUP(A442,Journal!$C$7:$M$84,5)</f>
        <v>0</v>
      </c>
      <c r="M442" s="13">
        <f t="shared" si="42"/>
        <v>0</v>
      </c>
      <c r="N442" s="13">
        <f t="shared" si="43"/>
        <v>0</v>
      </c>
      <c r="O442" s="13"/>
      <c r="P442" s="13">
        <f t="shared" si="44"/>
        <v>1.0000000000000001E-5</v>
      </c>
      <c r="T442" t="str">
        <f t="shared" si="39"/>
        <v/>
      </c>
    </row>
    <row r="443" spans="1:20" x14ac:dyDescent="0.25">
      <c r="A443">
        <f t="shared" si="41"/>
        <v>436</v>
      </c>
      <c r="B443" s="88" t="str">
        <f>IF(OR(B442="Total",B442=""),"",IF(VLOOKUP(A443,Journal!$C$7:$E$84,3)=0,"Total",VLOOKUP(A443,Journal!$C$7:$D$84,2)))</f>
        <v/>
      </c>
      <c r="C443" s="86" t="str">
        <f>IF(B443="","",VLOOKUP(A443,Journal!$C$7:$E$84,3))</f>
        <v/>
      </c>
      <c r="D443" s="84" t="str">
        <f>IF(B443="","",VLOOKUP(A443,Journal!$C$7:$J$84,8))</f>
        <v/>
      </c>
      <c r="E443" s="84" t="str">
        <f>IF(B443="","",VLOOKUP(A443,Journal!$C$7:$L$84,10))</f>
        <v/>
      </c>
      <c r="F443" s="84" t="str">
        <f>IF(B443="","",VLOOKUP(A443,Journal!$C$7:$M$84,11))</f>
        <v/>
      </c>
      <c r="G443" s="102">
        <f>IF(B443="Total",SUM(G$8:G442)+0.0001,IF(OR(B443="",M443=0),0,VLOOKUP(A443,Journal!$C$7:M$84,7)))</f>
        <v>0</v>
      </c>
      <c r="H443" s="102">
        <f>IF(B443="Total",SUM(H$8:H442)+0.0001,IF(OR(B443="",N443=0),0,VLOOKUP(A443,Journal!$C$7:M$84,7)))</f>
        <v>0</v>
      </c>
      <c r="I443" s="87">
        <f t="shared" si="40"/>
        <v>0</v>
      </c>
      <c r="K443" s="13">
        <f>VLOOKUP(A443,Journal!$C$7:$M$84,4)</f>
        <v>0</v>
      </c>
      <c r="L443" s="13">
        <f>VLOOKUP(A443,Journal!$C$7:$M$84,5)</f>
        <v>0</v>
      </c>
      <c r="M443" s="13">
        <f t="shared" si="42"/>
        <v>0</v>
      </c>
      <c r="N443" s="13">
        <f t="shared" si="43"/>
        <v>0</v>
      </c>
      <c r="O443" s="13"/>
      <c r="P443" s="13">
        <f t="shared" si="44"/>
        <v>1.0000000000000001E-5</v>
      </c>
      <c r="T443" t="str">
        <f t="shared" si="39"/>
        <v/>
      </c>
    </row>
    <row r="444" spans="1:20" x14ac:dyDescent="0.25">
      <c r="A444">
        <f t="shared" si="41"/>
        <v>437</v>
      </c>
      <c r="B444" s="88" t="str">
        <f>IF(OR(B443="Total",B443=""),"",IF(VLOOKUP(A444,Journal!$C$7:$E$84,3)=0,"Total",VLOOKUP(A444,Journal!$C$7:$D$84,2)))</f>
        <v/>
      </c>
      <c r="C444" s="86" t="str">
        <f>IF(B444="","",VLOOKUP(A444,Journal!$C$7:$E$84,3))</f>
        <v/>
      </c>
      <c r="D444" s="84" t="str">
        <f>IF(B444="","",VLOOKUP(A444,Journal!$C$7:$J$84,8))</f>
        <v/>
      </c>
      <c r="E444" s="84" t="str">
        <f>IF(B444="","",VLOOKUP(A444,Journal!$C$7:$L$84,10))</f>
        <v/>
      </c>
      <c r="F444" s="84" t="str">
        <f>IF(B444="","",VLOOKUP(A444,Journal!$C$7:$M$84,11))</f>
        <v/>
      </c>
      <c r="G444" s="102">
        <f>IF(B444="Total",SUM(G$8:G443)+0.0001,IF(OR(B444="",M444=0),0,VLOOKUP(A444,Journal!$C$7:M$84,7)))</f>
        <v>0</v>
      </c>
      <c r="H444" s="102">
        <f>IF(B444="Total",SUM(H$8:H443)+0.0001,IF(OR(B444="",N444=0),0,VLOOKUP(A444,Journal!$C$7:M$84,7)))</f>
        <v>0</v>
      </c>
      <c r="I444" s="87">
        <f t="shared" si="40"/>
        <v>0</v>
      </c>
      <c r="K444" s="13">
        <f>VLOOKUP(A444,Journal!$C$7:$M$84,4)</f>
        <v>0</v>
      </c>
      <c r="L444" s="13">
        <f>VLOOKUP(A444,Journal!$C$7:$M$84,5)</f>
        <v>0</v>
      </c>
      <c r="M444" s="13">
        <f t="shared" si="42"/>
        <v>0</v>
      </c>
      <c r="N444" s="13">
        <f t="shared" si="43"/>
        <v>0</v>
      </c>
      <c r="O444" s="13"/>
      <c r="P444" s="13">
        <f t="shared" si="44"/>
        <v>1.0000000000000001E-5</v>
      </c>
      <c r="T444" t="str">
        <f t="shared" si="39"/>
        <v/>
      </c>
    </row>
    <row r="445" spans="1:20" x14ac:dyDescent="0.25">
      <c r="A445">
        <f t="shared" si="41"/>
        <v>438</v>
      </c>
      <c r="B445" s="88" t="str">
        <f>IF(OR(B444="Total",B444=""),"",IF(VLOOKUP(A445,Journal!$C$7:$E$84,3)=0,"Total",VLOOKUP(A445,Journal!$C$7:$D$84,2)))</f>
        <v/>
      </c>
      <c r="C445" s="86" t="str">
        <f>IF(B445="","",VLOOKUP(A445,Journal!$C$7:$E$84,3))</f>
        <v/>
      </c>
      <c r="D445" s="84" t="str">
        <f>IF(B445="","",VLOOKUP(A445,Journal!$C$7:$J$84,8))</f>
        <v/>
      </c>
      <c r="E445" s="84" t="str">
        <f>IF(B445="","",VLOOKUP(A445,Journal!$C$7:$L$84,10))</f>
        <v/>
      </c>
      <c r="F445" s="84" t="str">
        <f>IF(B445="","",VLOOKUP(A445,Journal!$C$7:$M$84,11))</f>
        <v/>
      </c>
      <c r="G445" s="102">
        <f>IF(B445="Total",SUM(G$8:G444)+0.0001,IF(OR(B445="",M445=0),0,VLOOKUP(A445,Journal!$C$7:M$84,7)))</f>
        <v>0</v>
      </c>
      <c r="H445" s="102">
        <f>IF(B445="Total",SUM(H$8:H444)+0.0001,IF(OR(B445="",N445=0),0,VLOOKUP(A445,Journal!$C$7:M$84,7)))</f>
        <v>0</v>
      </c>
      <c r="I445" s="87">
        <f t="shared" si="40"/>
        <v>0</v>
      </c>
      <c r="K445" s="13">
        <f>VLOOKUP(A445,Journal!$C$7:$M$84,4)</f>
        <v>0</v>
      </c>
      <c r="L445" s="13">
        <f>VLOOKUP(A445,Journal!$C$7:$M$84,5)</f>
        <v>0</v>
      </c>
      <c r="M445" s="13">
        <f t="shared" si="42"/>
        <v>0</v>
      </c>
      <c r="N445" s="13">
        <f t="shared" si="43"/>
        <v>0</v>
      </c>
      <c r="O445" s="13"/>
      <c r="P445" s="13">
        <f t="shared" si="44"/>
        <v>1.0000000000000001E-5</v>
      </c>
      <c r="T445" t="str">
        <f t="shared" si="39"/>
        <v/>
      </c>
    </row>
    <row r="446" spans="1:20" x14ac:dyDescent="0.25">
      <c r="A446">
        <f t="shared" si="41"/>
        <v>439</v>
      </c>
      <c r="B446" s="88" t="str">
        <f>IF(OR(B445="Total",B445=""),"",IF(VLOOKUP(A446,Journal!$C$7:$E$84,3)=0,"Total",VLOOKUP(A446,Journal!$C$7:$D$84,2)))</f>
        <v/>
      </c>
      <c r="C446" s="86" t="str">
        <f>IF(B446="","",VLOOKUP(A446,Journal!$C$7:$E$84,3))</f>
        <v/>
      </c>
      <c r="D446" s="84" t="str">
        <f>IF(B446="","",VLOOKUP(A446,Journal!$C$7:$J$84,8))</f>
        <v/>
      </c>
      <c r="E446" s="84" t="str">
        <f>IF(B446="","",VLOOKUP(A446,Journal!$C$7:$L$84,10))</f>
        <v/>
      </c>
      <c r="F446" s="84" t="str">
        <f>IF(B446="","",VLOOKUP(A446,Journal!$C$7:$M$84,11))</f>
        <v/>
      </c>
      <c r="G446" s="102">
        <f>IF(B446="Total",SUM(G$8:G445)+0.0001,IF(OR(B446="",M446=0),0,VLOOKUP(A446,Journal!$C$7:M$84,7)))</f>
        <v>0</v>
      </c>
      <c r="H446" s="102">
        <f>IF(B446="Total",SUM(H$8:H445)+0.0001,IF(OR(B446="",N446=0),0,VLOOKUP(A446,Journal!$C$7:M$84,7)))</f>
        <v>0</v>
      </c>
      <c r="I446" s="87">
        <f t="shared" si="40"/>
        <v>0</v>
      </c>
      <c r="K446" s="13">
        <f>VLOOKUP(A446,Journal!$C$7:$M$84,4)</f>
        <v>0</v>
      </c>
      <c r="L446" s="13">
        <f>VLOOKUP(A446,Journal!$C$7:$M$84,5)</f>
        <v>0</v>
      </c>
      <c r="M446" s="13">
        <f t="shared" si="42"/>
        <v>0</v>
      </c>
      <c r="N446" s="13">
        <f t="shared" si="43"/>
        <v>0</v>
      </c>
      <c r="O446" s="13"/>
      <c r="P446" s="13">
        <f t="shared" si="44"/>
        <v>1.0000000000000001E-5</v>
      </c>
      <c r="T446" t="str">
        <f t="shared" si="39"/>
        <v/>
      </c>
    </row>
    <row r="447" spans="1:20" x14ac:dyDescent="0.25">
      <c r="A447">
        <f t="shared" si="41"/>
        <v>440</v>
      </c>
      <c r="B447" s="88" t="str">
        <f>IF(OR(B446="Total",B446=""),"",IF(VLOOKUP(A447,Journal!$C$7:$E$84,3)=0,"Total",VLOOKUP(A447,Journal!$C$7:$D$84,2)))</f>
        <v/>
      </c>
      <c r="C447" s="86" t="str">
        <f>IF(B447="","",VLOOKUP(A447,Journal!$C$7:$E$84,3))</f>
        <v/>
      </c>
      <c r="D447" s="84" t="str">
        <f>IF(B447="","",VLOOKUP(A447,Journal!$C$7:$J$84,8))</f>
        <v/>
      </c>
      <c r="E447" s="84" t="str">
        <f>IF(B447="","",VLOOKUP(A447,Journal!$C$7:$L$84,10))</f>
        <v/>
      </c>
      <c r="F447" s="84" t="str">
        <f>IF(B447="","",VLOOKUP(A447,Journal!$C$7:$M$84,11))</f>
        <v/>
      </c>
      <c r="G447" s="102">
        <f>IF(B447="Total",SUM(G$8:G446)+0.0001,IF(OR(B447="",M447=0),0,VLOOKUP(A447,Journal!$C$7:M$84,7)))</f>
        <v>0</v>
      </c>
      <c r="H447" s="102">
        <f>IF(B447="Total",SUM(H$8:H446)+0.0001,IF(OR(B447="",N447=0),0,VLOOKUP(A447,Journal!$C$7:M$84,7)))</f>
        <v>0</v>
      </c>
      <c r="I447" s="87">
        <f t="shared" si="40"/>
        <v>0</v>
      </c>
      <c r="K447" s="13">
        <f>VLOOKUP(A447,Journal!$C$7:$M$84,4)</f>
        <v>0</v>
      </c>
      <c r="L447" s="13">
        <f>VLOOKUP(A447,Journal!$C$7:$M$84,5)</f>
        <v>0</v>
      </c>
      <c r="M447" s="13">
        <f t="shared" si="42"/>
        <v>0</v>
      </c>
      <c r="N447" s="13">
        <f t="shared" si="43"/>
        <v>0</v>
      </c>
      <c r="O447" s="13"/>
      <c r="P447" s="13">
        <f t="shared" si="44"/>
        <v>1.0000000000000001E-5</v>
      </c>
      <c r="T447" t="str">
        <f t="shared" si="39"/>
        <v/>
      </c>
    </row>
    <row r="448" spans="1:20" x14ac:dyDescent="0.25">
      <c r="A448">
        <f t="shared" si="41"/>
        <v>441</v>
      </c>
      <c r="B448" s="88" t="str">
        <f>IF(OR(B447="Total",B447=""),"",IF(VLOOKUP(A448,Journal!$C$7:$E$84,3)=0,"Total",VLOOKUP(A448,Journal!$C$7:$D$84,2)))</f>
        <v/>
      </c>
      <c r="C448" s="86" t="str">
        <f>IF(B448="","",VLOOKUP(A448,Journal!$C$7:$E$84,3))</f>
        <v/>
      </c>
      <c r="D448" s="84" t="str">
        <f>IF(B448="","",VLOOKUP(A448,Journal!$C$7:$J$84,8))</f>
        <v/>
      </c>
      <c r="E448" s="84" t="str">
        <f>IF(B448="","",VLOOKUP(A448,Journal!$C$7:$L$84,10))</f>
        <v/>
      </c>
      <c r="F448" s="84" t="str">
        <f>IF(B448="","",VLOOKUP(A448,Journal!$C$7:$M$84,11))</f>
        <v/>
      </c>
      <c r="G448" s="102">
        <f>IF(B448="Total",SUM(G$8:G447)+0.0001,IF(OR(B448="",M448=0),0,VLOOKUP(A448,Journal!$C$7:M$84,7)))</f>
        <v>0</v>
      </c>
      <c r="H448" s="102">
        <f>IF(B448="Total",SUM(H$8:H447)+0.0001,IF(OR(B448="",N448=0),0,VLOOKUP(A448,Journal!$C$7:M$84,7)))</f>
        <v>0</v>
      </c>
      <c r="I448" s="87">
        <f t="shared" si="40"/>
        <v>0</v>
      </c>
      <c r="K448" s="13">
        <f>VLOOKUP(A448,Journal!$C$7:$M$84,4)</f>
        <v>0</v>
      </c>
      <c r="L448" s="13">
        <f>VLOOKUP(A448,Journal!$C$7:$M$84,5)</f>
        <v>0</v>
      </c>
      <c r="M448" s="13">
        <f t="shared" si="42"/>
        <v>0</v>
      </c>
      <c r="N448" s="13">
        <f t="shared" si="43"/>
        <v>0</v>
      </c>
      <c r="O448" s="13"/>
      <c r="P448" s="13">
        <f t="shared" si="44"/>
        <v>1.0000000000000001E-5</v>
      </c>
      <c r="T448" t="str">
        <f t="shared" si="39"/>
        <v/>
      </c>
    </row>
    <row r="449" spans="1:20" x14ac:dyDescent="0.25">
      <c r="A449">
        <f t="shared" si="41"/>
        <v>442</v>
      </c>
      <c r="B449" s="88" t="str">
        <f>IF(OR(B448="Total",B448=""),"",IF(VLOOKUP(A449,Journal!$C$7:$E$84,3)=0,"Total",VLOOKUP(A449,Journal!$C$7:$D$84,2)))</f>
        <v/>
      </c>
      <c r="C449" s="86" t="str">
        <f>IF(B449="","",VLOOKUP(A449,Journal!$C$7:$E$84,3))</f>
        <v/>
      </c>
      <c r="D449" s="84" t="str">
        <f>IF(B449="","",VLOOKUP(A449,Journal!$C$7:$J$84,8))</f>
        <v/>
      </c>
      <c r="E449" s="84" t="str">
        <f>IF(B449="","",VLOOKUP(A449,Journal!$C$7:$L$84,10))</f>
        <v/>
      </c>
      <c r="F449" s="84" t="str">
        <f>IF(B449="","",VLOOKUP(A449,Journal!$C$7:$M$84,11))</f>
        <v/>
      </c>
      <c r="G449" s="102">
        <f>IF(B449="Total",SUM(G$8:G448)+0.0001,IF(OR(B449="",M449=0),0,VLOOKUP(A449,Journal!$C$7:M$84,7)))</f>
        <v>0</v>
      </c>
      <c r="H449" s="102">
        <f>IF(B449="Total",SUM(H$8:H448)+0.0001,IF(OR(B449="",N449=0),0,VLOOKUP(A449,Journal!$C$7:M$84,7)))</f>
        <v>0</v>
      </c>
      <c r="I449" s="87">
        <f t="shared" si="40"/>
        <v>0</v>
      </c>
      <c r="K449" s="13">
        <f>VLOOKUP(A449,Journal!$C$7:$M$84,4)</f>
        <v>0</v>
      </c>
      <c r="L449" s="13">
        <f>VLOOKUP(A449,Journal!$C$7:$M$84,5)</f>
        <v>0</v>
      </c>
      <c r="M449" s="13">
        <f t="shared" si="42"/>
        <v>0</v>
      </c>
      <c r="N449" s="13">
        <f t="shared" si="43"/>
        <v>0</v>
      </c>
      <c r="O449" s="13"/>
      <c r="P449" s="13">
        <f t="shared" si="44"/>
        <v>1.0000000000000001E-5</v>
      </c>
      <c r="T449" t="str">
        <f t="shared" si="39"/>
        <v/>
      </c>
    </row>
    <row r="450" spans="1:20" x14ac:dyDescent="0.25">
      <c r="A450">
        <f t="shared" si="41"/>
        <v>443</v>
      </c>
      <c r="B450" s="88" t="str">
        <f>IF(OR(B449="Total",B449=""),"",IF(VLOOKUP(A450,Journal!$C$7:$E$84,3)=0,"Total",VLOOKUP(A450,Journal!$C$7:$D$84,2)))</f>
        <v/>
      </c>
      <c r="C450" s="86" t="str">
        <f>IF(B450="","",VLOOKUP(A450,Journal!$C$7:$E$84,3))</f>
        <v/>
      </c>
      <c r="D450" s="84" t="str">
        <f>IF(B450="","",VLOOKUP(A450,Journal!$C$7:$J$84,8))</f>
        <v/>
      </c>
      <c r="E450" s="84" t="str">
        <f>IF(B450="","",VLOOKUP(A450,Journal!$C$7:$L$84,10))</f>
        <v/>
      </c>
      <c r="F450" s="84" t="str">
        <f>IF(B450="","",VLOOKUP(A450,Journal!$C$7:$M$84,11))</f>
        <v/>
      </c>
      <c r="G450" s="102">
        <f>IF(B450="Total",SUM(G$8:G449)+0.0001,IF(OR(B450="",M450=0),0,VLOOKUP(A450,Journal!$C$7:M$84,7)))</f>
        <v>0</v>
      </c>
      <c r="H450" s="102">
        <f>IF(B450="Total",SUM(H$8:H449)+0.0001,IF(OR(B450="",N450=0),0,VLOOKUP(A450,Journal!$C$7:M$84,7)))</f>
        <v>0</v>
      </c>
      <c r="I450" s="87">
        <f t="shared" si="40"/>
        <v>0</v>
      </c>
      <c r="K450" s="13">
        <f>VLOOKUP(A450,Journal!$C$7:$M$84,4)</f>
        <v>0</v>
      </c>
      <c r="L450" s="13">
        <f>VLOOKUP(A450,Journal!$C$7:$M$84,5)</f>
        <v>0</v>
      </c>
      <c r="M450" s="13">
        <f t="shared" si="42"/>
        <v>0</v>
      </c>
      <c r="N450" s="13">
        <f t="shared" si="43"/>
        <v>0</v>
      </c>
      <c r="O450" s="13"/>
      <c r="P450" s="13">
        <f t="shared" si="44"/>
        <v>1.0000000000000001E-5</v>
      </c>
      <c r="T450" t="str">
        <f t="shared" si="39"/>
        <v/>
      </c>
    </row>
    <row r="451" spans="1:20" x14ac:dyDescent="0.25">
      <c r="A451">
        <f t="shared" si="41"/>
        <v>444</v>
      </c>
      <c r="B451" s="88" t="str">
        <f>IF(OR(B450="Total",B450=""),"",IF(VLOOKUP(A451,Journal!$C$7:$E$84,3)=0,"Total",VLOOKUP(A451,Journal!$C$7:$D$84,2)))</f>
        <v/>
      </c>
      <c r="C451" s="86" t="str">
        <f>IF(B451="","",VLOOKUP(A451,Journal!$C$7:$E$84,3))</f>
        <v/>
      </c>
      <c r="D451" s="84" t="str">
        <f>IF(B451="","",VLOOKUP(A451,Journal!$C$7:$J$84,8))</f>
        <v/>
      </c>
      <c r="E451" s="84" t="str">
        <f>IF(B451="","",VLOOKUP(A451,Journal!$C$7:$L$84,10))</f>
        <v/>
      </c>
      <c r="F451" s="84" t="str">
        <f>IF(B451="","",VLOOKUP(A451,Journal!$C$7:$M$84,11))</f>
        <v/>
      </c>
      <c r="G451" s="102">
        <f>IF(B451="Total",SUM(G$8:G450)+0.0001,IF(OR(B451="",M451=0),0,VLOOKUP(A451,Journal!$C$7:M$84,7)))</f>
        <v>0</v>
      </c>
      <c r="H451" s="102">
        <f>IF(B451="Total",SUM(H$8:H450)+0.0001,IF(OR(B451="",N451=0),0,VLOOKUP(A451,Journal!$C$7:M$84,7)))</f>
        <v>0</v>
      </c>
      <c r="I451" s="87">
        <f t="shared" si="40"/>
        <v>0</v>
      </c>
      <c r="K451" s="13">
        <f>VLOOKUP(A451,Journal!$C$7:$M$84,4)</f>
        <v>0</v>
      </c>
      <c r="L451" s="13">
        <f>VLOOKUP(A451,Journal!$C$7:$M$84,5)</f>
        <v>0</v>
      </c>
      <c r="M451" s="13">
        <f t="shared" si="42"/>
        <v>0</v>
      </c>
      <c r="N451" s="13">
        <f t="shared" si="43"/>
        <v>0</v>
      </c>
      <c r="O451" s="13"/>
      <c r="P451" s="13">
        <f t="shared" si="44"/>
        <v>1.0000000000000001E-5</v>
      </c>
      <c r="T451" t="str">
        <f t="shared" si="39"/>
        <v/>
      </c>
    </row>
    <row r="452" spans="1:20" x14ac:dyDescent="0.25">
      <c r="A452">
        <f t="shared" si="41"/>
        <v>445</v>
      </c>
      <c r="B452" s="88" t="str">
        <f>IF(OR(B451="Total",B451=""),"",IF(VLOOKUP(A452,Journal!$C$7:$E$84,3)=0,"Total",VLOOKUP(A452,Journal!$C$7:$D$84,2)))</f>
        <v/>
      </c>
      <c r="C452" s="86" t="str">
        <f>IF(B452="","",VLOOKUP(A452,Journal!$C$7:$E$84,3))</f>
        <v/>
      </c>
      <c r="D452" s="84" t="str">
        <f>IF(B452="","",VLOOKUP(A452,Journal!$C$7:$J$84,8))</f>
        <v/>
      </c>
      <c r="E452" s="84" t="str">
        <f>IF(B452="","",VLOOKUP(A452,Journal!$C$7:$L$84,10))</f>
        <v/>
      </c>
      <c r="F452" s="84" t="str">
        <f>IF(B452="","",VLOOKUP(A452,Journal!$C$7:$M$84,11))</f>
        <v/>
      </c>
      <c r="G452" s="102">
        <f>IF(B452="Total",SUM(G$8:G451)+0.0001,IF(OR(B452="",M452=0),0,VLOOKUP(A452,Journal!$C$7:M$84,7)))</f>
        <v>0</v>
      </c>
      <c r="H452" s="102">
        <f>IF(B452="Total",SUM(H$8:H451)+0.0001,IF(OR(B452="",N452=0),0,VLOOKUP(A452,Journal!$C$7:M$84,7)))</f>
        <v>0</v>
      </c>
      <c r="I452" s="87">
        <f t="shared" si="40"/>
        <v>0</v>
      </c>
      <c r="K452" s="13">
        <f>VLOOKUP(A452,Journal!$C$7:$M$84,4)</f>
        <v>0</v>
      </c>
      <c r="L452" s="13">
        <f>VLOOKUP(A452,Journal!$C$7:$M$84,5)</f>
        <v>0</v>
      </c>
      <c r="M452" s="13">
        <f t="shared" si="42"/>
        <v>0</v>
      </c>
      <c r="N452" s="13">
        <f t="shared" si="43"/>
        <v>0</v>
      </c>
      <c r="O452" s="13"/>
      <c r="P452" s="13">
        <f t="shared" si="44"/>
        <v>1.0000000000000001E-5</v>
      </c>
      <c r="T452" t="str">
        <f t="shared" si="39"/>
        <v/>
      </c>
    </row>
    <row r="453" spans="1:20" x14ac:dyDescent="0.25">
      <c r="A453">
        <f t="shared" si="41"/>
        <v>446</v>
      </c>
      <c r="B453" s="88" t="str">
        <f>IF(OR(B452="Total",B452=""),"",IF(VLOOKUP(A453,Journal!$C$7:$E$84,3)=0,"Total",VLOOKUP(A453,Journal!$C$7:$D$84,2)))</f>
        <v/>
      </c>
      <c r="C453" s="86" t="str">
        <f>IF(B453="","",VLOOKUP(A453,Journal!$C$7:$E$84,3))</f>
        <v/>
      </c>
      <c r="D453" s="84" t="str">
        <f>IF(B453="","",VLOOKUP(A453,Journal!$C$7:$J$84,8))</f>
        <v/>
      </c>
      <c r="E453" s="84" t="str">
        <f>IF(B453="","",VLOOKUP(A453,Journal!$C$7:$L$84,10))</f>
        <v/>
      </c>
      <c r="F453" s="84" t="str">
        <f>IF(B453="","",VLOOKUP(A453,Journal!$C$7:$M$84,11))</f>
        <v/>
      </c>
      <c r="G453" s="102">
        <f>IF(B453="Total",SUM(G$8:G452)+0.0001,IF(OR(B453="",M453=0),0,VLOOKUP(A453,Journal!$C$7:M$84,7)))</f>
        <v>0</v>
      </c>
      <c r="H453" s="102">
        <f>IF(B453="Total",SUM(H$8:H452)+0.0001,IF(OR(B453="",N453=0),0,VLOOKUP(A453,Journal!$C$7:M$84,7)))</f>
        <v>0</v>
      </c>
      <c r="I453" s="87">
        <f t="shared" si="40"/>
        <v>0</v>
      </c>
      <c r="K453" s="13">
        <f>VLOOKUP(A453,Journal!$C$7:$M$84,4)</f>
        <v>0</v>
      </c>
      <c r="L453" s="13">
        <f>VLOOKUP(A453,Journal!$C$7:$M$84,5)</f>
        <v>0</v>
      </c>
      <c r="M453" s="13">
        <f t="shared" si="42"/>
        <v>0</v>
      </c>
      <c r="N453" s="13">
        <f t="shared" si="43"/>
        <v>0</v>
      </c>
      <c r="O453" s="13"/>
      <c r="P453" s="13">
        <f t="shared" si="44"/>
        <v>1.0000000000000001E-5</v>
      </c>
      <c r="T453" t="str">
        <f t="shared" si="39"/>
        <v/>
      </c>
    </row>
    <row r="454" spans="1:20" x14ac:dyDescent="0.25">
      <c r="A454">
        <f t="shared" si="41"/>
        <v>447</v>
      </c>
      <c r="B454" s="88" t="str">
        <f>IF(OR(B453="Total",B453=""),"",IF(VLOOKUP(A454,Journal!$C$7:$E$84,3)=0,"Total",VLOOKUP(A454,Journal!$C$7:$D$84,2)))</f>
        <v/>
      </c>
      <c r="C454" s="86" t="str">
        <f>IF(B454="","",VLOOKUP(A454,Journal!$C$7:$E$84,3))</f>
        <v/>
      </c>
      <c r="D454" s="84" t="str">
        <f>IF(B454="","",VLOOKUP(A454,Journal!$C$7:$J$84,8))</f>
        <v/>
      </c>
      <c r="E454" s="84" t="str">
        <f>IF(B454="","",VLOOKUP(A454,Journal!$C$7:$L$84,10))</f>
        <v/>
      </c>
      <c r="F454" s="84" t="str">
        <f>IF(B454="","",VLOOKUP(A454,Journal!$C$7:$M$84,11))</f>
        <v/>
      </c>
      <c r="G454" s="102">
        <f>IF(B454="Total",SUM(G$8:G453)+0.0001,IF(OR(B454="",M454=0),0,VLOOKUP(A454,Journal!$C$7:M$84,7)))</f>
        <v>0</v>
      </c>
      <c r="H454" s="102">
        <f>IF(B454="Total",SUM(H$8:H453)+0.0001,IF(OR(B454="",N454=0),0,VLOOKUP(A454,Journal!$C$7:M$84,7)))</f>
        <v>0</v>
      </c>
      <c r="I454" s="87">
        <f t="shared" si="40"/>
        <v>0</v>
      </c>
      <c r="K454" s="13">
        <f>VLOOKUP(A454,Journal!$C$7:$M$84,4)</f>
        <v>0</v>
      </c>
      <c r="L454" s="13">
        <f>VLOOKUP(A454,Journal!$C$7:$M$84,5)</f>
        <v>0</v>
      </c>
      <c r="M454" s="13">
        <f t="shared" si="42"/>
        <v>0</v>
      </c>
      <c r="N454" s="13">
        <f t="shared" si="43"/>
        <v>0</v>
      </c>
      <c r="O454" s="13"/>
      <c r="P454" s="13">
        <f t="shared" si="44"/>
        <v>1.0000000000000001E-5</v>
      </c>
      <c r="T454" t="str">
        <f t="shared" si="39"/>
        <v/>
      </c>
    </row>
    <row r="455" spans="1:20" x14ac:dyDescent="0.25">
      <c r="A455">
        <f t="shared" si="41"/>
        <v>448</v>
      </c>
      <c r="B455" s="88" t="str">
        <f>IF(OR(B454="Total",B454=""),"",IF(VLOOKUP(A455,Journal!$C$7:$E$84,3)=0,"Total",VLOOKUP(A455,Journal!$C$7:$D$84,2)))</f>
        <v/>
      </c>
      <c r="C455" s="86" t="str">
        <f>IF(B455="","",VLOOKUP(A455,Journal!$C$7:$E$84,3))</f>
        <v/>
      </c>
      <c r="D455" s="84" t="str">
        <f>IF(B455="","",VLOOKUP(A455,Journal!$C$7:$J$84,8))</f>
        <v/>
      </c>
      <c r="E455" s="84" t="str">
        <f>IF(B455="","",VLOOKUP(A455,Journal!$C$7:$L$84,10))</f>
        <v/>
      </c>
      <c r="F455" s="84" t="str">
        <f>IF(B455="","",VLOOKUP(A455,Journal!$C$7:$M$84,11))</f>
        <v/>
      </c>
      <c r="G455" s="102">
        <f>IF(B455="Total",SUM(G$8:G454)+0.0001,IF(OR(B455="",M455=0),0,VLOOKUP(A455,Journal!$C$7:M$84,7)))</f>
        <v>0</v>
      </c>
      <c r="H455" s="102">
        <f>IF(B455="Total",SUM(H$8:H454)+0.0001,IF(OR(B455="",N455=0),0,VLOOKUP(A455,Journal!$C$7:M$84,7)))</f>
        <v>0</v>
      </c>
      <c r="I455" s="87">
        <f t="shared" si="40"/>
        <v>0</v>
      </c>
      <c r="K455" s="13">
        <f>VLOOKUP(A455,Journal!$C$7:$M$84,4)</f>
        <v>0</v>
      </c>
      <c r="L455" s="13">
        <f>VLOOKUP(A455,Journal!$C$7:$M$84,5)</f>
        <v>0</v>
      </c>
      <c r="M455" s="13">
        <f t="shared" si="42"/>
        <v>0</v>
      </c>
      <c r="N455" s="13">
        <f t="shared" si="43"/>
        <v>0</v>
      </c>
      <c r="O455" s="13"/>
      <c r="P455" s="13">
        <f t="shared" si="44"/>
        <v>1.0000000000000001E-5</v>
      </c>
      <c r="T455" t="str">
        <f t="shared" si="39"/>
        <v/>
      </c>
    </row>
    <row r="456" spans="1:20" x14ac:dyDescent="0.25">
      <c r="A456">
        <f t="shared" si="41"/>
        <v>449</v>
      </c>
      <c r="B456" s="88" t="str">
        <f>IF(OR(B455="Total",B455=""),"",IF(VLOOKUP(A456,Journal!$C$7:$E$84,3)=0,"Total",VLOOKUP(A456,Journal!$C$7:$D$84,2)))</f>
        <v/>
      </c>
      <c r="C456" s="86" t="str">
        <f>IF(B456="","",VLOOKUP(A456,Journal!$C$7:$E$84,3))</f>
        <v/>
      </c>
      <c r="D456" s="84" t="str">
        <f>IF(B456="","",VLOOKUP(A456,Journal!$C$7:$J$84,8))</f>
        <v/>
      </c>
      <c r="E456" s="84" t="str">
        <f>IF(B456="","",VLOOKUP(A456,Journal!$C$7:$L$84,10))</f>
        <v/>
      </c>
      <c r="F456" s="84" t="str">
        <f>IF(B456="","",VLOOKUP(A456,Journal!$C$7:$M$84,11))</f>
        <v/>
      </c>
      <c r="G456" s="102">
        <f>IF(B456="Total",SUM(G$8:G455)+0.0001,IF(OR(B456="",M456=0),0,VLOOKUP(A456,Journal!$C$7:M$84,7)))</f>
        <v>0</v>
      </c>
      <c r="H456" s="102">
        <f>IF(B456="Total",SUM(H$8:H455)+0.0001,IF(OR(B456="",N456=0),0,VLOOKUP(A456,Journal!$C$7:M$84,7)))</f>
        <v>0</v>
      </c>
      <c r="I456" s="87">
        <f t="shared" si="40"/>
        <v>0</v>
      </c>
      <c r="K456" s="13">
        <f>VLOOKUP(A456,Journal!$C$7:$M$84,4)</f>
        <v>0</v>
      </c>
      <c r="L456" s="13">
        <f>VLOOKUP(A456,Journal!$C$7:$M$84,5)</f>
        <v>0</v>
      </c>
      <c r="M456" s="13">
        <f t="shared" si="42"/>
        <v>0</v>
      </c>
      <c r="N456" s="13">
        <f t="shared" si="43"/>
        <v>0</v>
      </c>
      <c r="O456" s="13"/>
      <c r="P456" s="13">
        <f t="shared" si="44"/>
        <v>1.0000000000000001E-5</v>
      </c>
      <c r="T456" t="str">
        <f t="shared" si="39"/>
        <v/>
      </c>
    </row>
    <row r="457" spans="1:20" x14ac:dyDescent="0.25">
      <c r="A457">
        <f t="shared" si="41"/>
        <v>450</v>
      </c>
      <c r="B457" s="88" t="str">
        <f>IF(OR(B456="Total",B456=""),"",IF(VLOOKUP(A457,Journal!$C$7:$E$84,3)=0,"Total",VLOOKUP(A457,Journal!$C$7:$D$84,2)))</f>
        <v/>
      </c>
      <c r="C457" s="86" t="str">
        <f>IF(B457="","",VLOOKUP(A457,Journal!$C$7:$E$84,3))</f>
        <v/>
      </c>
      <c r="D457" s="84" t="str">
        <f>IF(B457="","",VLOOKUP(A457,Journal!$C$7:$J$84,8))</f>
        <v/>
      </c>
      <c r="E457" s="84" t="str">
        <f>IF(B457="","",VLOOKUP(A457,Journal!$C$7:$L$84,10))</f>
        <v/>
      </c>
      <c r="F457" s="84" t="str">
        <f>IF(B457="","",VLOOKUP(A457,Journal!$C$7:$M$84,11))</f>
        <v/>
      </c>
      <c r="G457" s="102">
        <f>IF(B457="Total",SUM(G$8:G456)+0.0001,IF(OR(B457="",M457=0),0,VLOOKUP(A457,Journal!$C$7:M$84,7)))</f>
        <v>0</v>
      </c>
      <c r="H457" s="102">
        <f>IF(B457="Total",SUM(H$8:H456)+0.0001,IF(OR(B457="",N457=0),0,VLOOKUP(A457,Journal!$C$7:M$84,7)))</f>
        <v>0</v>
      </c>
      <c r="I457" s="87">
        <f t="shared" si="40"/>
        <v>0</v>
      </c>
      <c r="K457" s="13">
        <f>VLOOKUP(A457,Journal!$C$7:$M$84,4)</f>
        <v>0</v>
      </c>
      <c r="L457" s="13">
        <f>VLOOKUP(A457,Journal!$C$7:$M$84,5)</f>
        <v>0</v>
      </c>
      <c r="M457" s="13">
        <f t="shared" si="42"/>
        <v>0</v>
      </c>
      <c r="N457" s="13">
        <f t="shared" si="43"/>
        <v>0</v>
      </c>
      <c r="O457" s="13"/>
      <c r="P457" s="13">
        <f t="shared" si="44"/>
        <v>1.0000000000000001E-5</v>
      </c>
      <c r="T457" t="str">
        <f t="shared" ref="T457:T520" si="45">IF(AND(G457&lt;&gt;0,B457&lt;&gt;"Total",G457=H457),"Beide Konten sind Erfolgskonten, weshalb Saldo gleich bleibt","")</f>
        <v/>
      </c>
    </row>
    <row r="458" spans="1:20" x14ac:dyDescent="0.25">
      <c r="A458">
        <f t="shared" si="41"/>
        <v>451</v>
      </c>
      <c r="B458" s="88" t="str">
        <f>IF(OR(B457="Total",B457=""),"",IF(VLOOKUP(A458,Journal!$C$7:$E$84,3)=0,"Total",VLOOKUP(A458,Journal!$C$7:$D$84,2)))</f>
        <v/>
      </c>
      <c r="C458" s="86" t="str">
        <f>IF(B458="","",VLOOKUP(A458,Journal!$C$7:$E$84,3))</f>
        <v/>
      </c>
      <c r="D458" s="84" t="str">
        <f>IF(B458="","",VLOOKUP(A458,Journal!$C$7:$J$84,8))</f>
        <v/>
      </c>
      <c r="E458" s="84" t="str">
        <f>IF(B458="","",VLOOKUP(A458,Journal!$C$7:$L$84,10))</f>
        <v/>
      </c>
      <c r="F458" s="84" t="str">
        <f>IF(B458="","",VLOOKUP(A458,Journal!$C$7:$M$84,11))</f>
        <v/>
      </c>
      <c r="G458" s="102">
        <f>IF(B458="Total",SUM(G$8:G457)+0.0001,IF(OR(B458="",M458=0),0,VLOOKUP(A458,Journal!$C$7:M$84,7)))</f>
        <v>0</v>
      </c>
      <c r="H458" s="102">
        <f>IF(B458="Total",SUM(H$8:H457)+0.0001,IF(OR(B458="",N458=0),0,VLOOKUP(A458,Journal!$C$7:M$84,7)))</f>
        <v>0</v>
      </c>
      <c r="I458" s="87">
        <f t="shared" ref="I458:I521" si="46">IF(B458="Total",I457,IF(B458="",0,I457+G458-H458))</f>
        <v>0</v>
      </c>
      <c r="K458" s="13">
        <f>VLOOKUP(A458,Journal!$C$7:$M$84,4)</f>
        <v>0</v>
      </c>
      <c r="L458" s="13">
        <f>VLOOKUP(A458,Journal!$C$7:$M$84,5)</f>
        <v>0</v>
      </c>
      <c r="M458" s="13">
        <f t="shared" si="42"/>
        <v>0</v>
      </c>
      <c r="N458" s="13">
        <f t="shared" si="43"/>
        <v>0</v>
      </c>
      <c r="O458" s="13"/>
      <c r="P458" s="13">
        <f t="shared" si="44"/>
        <v>1.0000000000000001E-5</v>
      </c>
      <c r="T458" t="str">
        <f t="shared" si="45"/>
        <v/>
      </c>
    </row>
    <row r="459" spans="1:20" x14ac:dyDescent="0.25">
      <c r="A459">
        <f t="shared" ref="A459:A522" si="47">A458+1</f>
        <v>452</v>
      </c>
      <c r="B459" s="88" t="str">
        <f>IF(OR(B458="Total",B458=""),"",IF(VLOOKUP(A459,Journal!$C$7:$E$84,3)=0,"Total",VLOOKUP(A459,Journal!$C$7:$D$84,2)))</f>
        <v/>
      </c>
      <c r="C459" s="86" t="str">
        <f>IF(B459="","",VLOOKUP(A459,Journal!$C$7:$E$84,3))</f>
        <v/>
      </c>
      <c r="D459" s="84" t="str">
        <f>IF(B459="","",VLOOKUP(A459,Journal!$C$7:$J$84,8))</f>
        <v/>
      </c>
      <c r="E459" s="84" t="str">
        <f>IF(B459="","",VLOOKUP(A459,Journal!$C$7:$L$84,10))</f>
        <v/>
      </c>
      <c r="F459" s="84" t="str">
        <f>IF(B459="","",VLOOKUP(A459,Journal!$C$7:$M$84,11))</f>
        <v/>
      </c>
      <c r="G459" s="102">
        <f>IF(B459="Total",SUM(G$8:G458)+0.0001,IF(OR(B459="",M459=0),0,VLOOKUP(A459,Journal!$C$7:M$84,7)))</f>
        <v>0</v>
      </c>
      <c r="H459" s="102">
        <f>IF(B459="Total",SUM(H$8:H458)+0.0001,IF(OR(B459="",N459=0),0,VLOOKUP(A459,Journal!$C$7:M$84,7)))</f>
        <v>0</v>
      </c>
      <c r="I459" s="87">
        <f t="shared" si="46"/>
        <v>0</v>
      </c>
      <c r="K459" s="13">
        <f>VLOOKUP(A459,Journal!$C$7:$M$84,4)</f>
        <v>0</v>
      </c>
      <c r="L459" s="13">
        <f>VLOOKUP(A459,Journal!$C$7:$M$84,5)</f>
        <v>0</v>
      </c>
      <c r="M459" s="13">
        <f t="shared" si="42"/>
        <v>0</v>
      </c>
      <c r="N459" s="13">
        <f t="shared" si="43"/>
        <v>0</v>
      </c>
      <c r="O459" s="13"/>
      <c r="P459" s="13">
        <f t="shared" si="44"/>
        <v>1.0000000000000001E-5</v>
      </c>
      <c r="T459" t="str">
        <f t="shared" si="45"/>
        <v/>
      </c>
    </row>
    <row r="460" spans="1:20" x14ac:dyDescent="0.25">
      <c r="A460">
        <f t="shared" si="47"/>
        <v>453</v>
      </c>
      <c r="B460" s="88" t="str">
        <f>IF(OR(B459="Total",B459=""),"",IF(VLOOKUP(A460,Journal!$C$7:$E$84,3)=0,"Total",VLOOKUP(A460,Journal!$C$7:$D$84,2)))</f>
        <v/>
      </c>
      <c r="C460" s="86" t="str">
        <f>IF(B460="","",VLOOKUP(A460,Journal!$C$7:$E$84,3))</f>
        <v/>
      </c>
      <c r="D460" s="84" t="str">
        <f>IF(B460="","",VLOOKUP(A460,Journal!$C$7:$J$84,8))</f>
        <v/>
      </c>
      <c r="E460" s="84" t="str">
        <f>IF(B460="","",VLOOKUP(A460,Journal!$C$7:$L$84,10))</f>
        <v/>
      </c>
      <c r="F460" s="84" t="str">
        <f>IF(B460="","",VLOOKUP(A460,Journal!$C$7:$M$84,11))</f>
        <v/>
      </c>
      <c r="G460" s="102">
        <f>IF(B460="Total",SUM(G$8:G459)+0.0001,IF(OR(B460="",M460=0),0,VLOOKUP(A460,Journal!$C$7:M$84,7)))</f>
        <v>0</v>
      </c>
      <c r="H460" s="102">
        <f>IF(B460="Total",SUM(H$8:H459)+0.0001,IF(OR(B460="",N460=0),0,VLOOKUP(A460,Journal!$C$7:M$84,7)))</f>
        <v>0</v>
      </c>
      <c r="I460" s="87">
        <f t="shared" si="46"/>
        <v>0</v>
      </c>
      <c r="K460" s="13">
        <f>VLOOKUP(A460,Journal!$C$7:$M$84,4)</f>
        <v>0</v>
      </c>
      <c r="L460" s="13">
        <f>VLOOKUP(A460,Journal!$C$7:$M$84,5)</f>
        <v>0</v>
      </c>
      <c r="M460" s="13">
        <f t="shared" si="42"/>
        <v>0</v>
      </c>
      <c r="N460" s="13">
        <f t="shared" si="43"/>
        <v>0</v>
      </c>
      <c r="O460" s="13"/>
      <c r="P460" s="13">
        <f t="shared" si="44"/>
        <v>1.0000000000000001E-5</v>
      </c>
      <c r="T460" t="str">
        <f t="shared" si="45"/>
        <v/>
      </c>
    </row>
    <row r="461" spans="1:20" x14ac:dyDescent="0.25">
      <c r="A461">
        <f t="shared" si="47"/>
        <v>454</v>
      </c>
      <c r="B461" s="88" t="str">
        <f>IF(OR(B460="Total",B460=""),"",IF(VLOOKUP(A461,Journal!$C$7:$E$84,3)=0,"Total",VLOOKUP(A461,Journal!$C$7:$D$84,2)))</f>
        <v/>
      </c>
      <c r="C461" s="86" t="str">
        <f>IF(B461="","",VLOOKUP(A461,Journal!$C$7:$E$84,3))</f>
        <v/>
      </c>
      <c r="D461" s="84" t="str">
        <f>IF(B461="","",VLOOKUP(A461,Journal!$C$7:$J$84,8))</f>
        <v/>
      </c>
      <c r="E461" s="84" t="str">
        <f>IF(B461="","",VLOOKUP(A461,Journal!$C$7:$L$84,10))</f>
        <v/>
      </c>
      <c r="F461" s="84" t="str">
        <f>IF(B461="","",VLOOKUP(A461,Journal!$C$7:$M$84,11))</f>
        <v/>
      </c>
      <c r="G461" s="102">
        <f>IF(B461="Total",SUM(G$8:G460)+0.0001,IF(OR(B461="",M461=0),0,VLOOKUP(A461,Journal!$C$7:M$84,7)))</f>
        <v>0</v>
      </c>
      <c r="H461" s="102">
        <f>IF(B461="Total",SUM(H$8:H460)+0.0001,IF(OR(B461="",N461=0),0,VLOOKUP(A461,Journal!$C$7:M$84,7)))</f>
        <v>0</v>
      </c>
      <c r="I461" s="87">
        <f t="shared" si="46"/>
        <v>0</v>
      </c>
      <c r="K461" s="13">
        <f>VLOOKUP(A461,Journal!$C$7:$M$84,4)</f>
        <v>0</v>
      </c>
      <c r="L461" s="13">
        <f>VLOOKUP(A461,Journal!$C$7:$M$84,5)</f>
        <v>0</v>
      </c>
      <c r="M461" s="13">
        <f t="shared" si="42"/>
        <v>0</v>
      </c>
      <c r="N461" s="13">
        <f t="shared" si="43"/>
        <v>0</v>
      </c>
      <c r="O461" s="13"/>
      <c r="P461" s="13">
        <f t="shared" si="44"/>
        <v>1.0000000000000001E-5</v>
      </c>
      <c r="T461" t="str">
        <f t="shared" si="45"/>
        <v/>
      </c>
    </row>
    <row r="462" spans="1:20" x14ac:dyDescent="0.25">
      <c r="A462">
        <f t="shared" si="47"/>
        <v>455</v>
      </c>
      <c r="B462" s="88" t="str">
        <f>IF(OR(B461="Total",B461=""),"",IF(VLOOKUP(A462,Journal!$C$7:$E$84,3)=0,"Total",VLOOKUP(A462,Journal!$C$7:$D$84,2)))</f>
        <v/>
      </c>
      <c r="C462" s="86" t="str">
        <f>IF(B462="","",VLOOKUP(A462,Journal!$C$7:$E$84,3))</f>
        <v/>
      </c>
      <c r="D462" s="84" t="str">
        <f>IF(B462="","",VLOOKUP(A462,Journal!$C$7:$J$84,8))</f>
        <v/>
      </c>
      <c r="E462" s="84" t="str">
        <f>IF(B462="","",VLOOKUP(A462,Journal!$C$7:$L$84,10))</f>
        <v/>
      </c>
      <c r="F462" s="84" t="str">
        <f>IF(B462="","",VLOOKUP(A462,Journal!$C$7:$M$84,11))</f>
        <v/>
      </c>
      <c r="G462" s="102">
        <f>IF(B462="Total",SUM(G$8:G461)+0.0001,IF(OR(B462="",M462=0),0,VLOOKUP(A462,Journal!$C$7:M$84,7)))</f>
        <v>0</v>
      </c>
      <c r="H462" s="102">
        <f>IF(B462="Total",SUM(H$8:H461)+0.0001,IF(OR(B462="",N462=0),0,VLOOKUP(A462,Journal!$C$7:M$84,7)))</f>
        <v>0</v>
      </c>
      <c r="I462" s="87">
        <f t="shared" si="46"/>
        <v>0</v>
      </c>
      <c r="K462" s="13">
        <f>VLOOKUP(A462,Journal!$C$7:$M$84,4)</f>
        <v>0</v>
      </c>
      <c r="L462" s="13">
        <f>VLOOKUP(A462,Journal!$C$7:$M$84,5)</f>
        <v>0</v>
      </c>
      <c r="M462" s="13">
        <f t="shared" si="42"/>
        <v>0</v>
      </c>
      <c r="N462" s="13">
        <f t="shared" si="43"/>
        <v>0</v>
      </c>
      <c r="O462" s="13"/>
      <c r="P462" s="13">
        <f t="shared" si="44"/>
        <v>1.0000000000000001E-5</v>
      </c>
      <c r="T462" t="str">
        <f t="shared" si="45"/>
        <v/>
      </c>
    </row>
    <row r="463" spans="1:20" x14ac:dyDescent="0.25">
      <c r="A463">
        <f t="shared" si="47"/>
        <v>456</v>
      </c>
      <c r="B463" s="88" t="str">
        <f>IF(OR(B462="Total",B462=""),"",IF(VLOOKUP(A463,Journal!$C$7:$E$84,3)=0,"Total",VLOOKUP(A463,Journal!$C$7:$D$84,2)))</f>
        <v/>
      </c>
      <c r="C463" s="86" t="str">
        <f>IF(B463="","",VLOOKUP(A463,Journal!$C$7:$E$84,3))</f>
        <v/>
      </c>
      <c r="D463" s="84" t="str">
        <f>IF(B463="","",VLOOKUP(A463,Journal!$C$7:$J$84,8))</f>
        <v/>
      </c>
      <c r="E463" s="84" t="str">
        <f>IF(B463="","",VLOOKUP(A463,Journal!$C$7:$L$84,10))</f>
        <v/>
      </c>
      <c r="F463" s="84" t="str">
        <f>IF(B463="","",VLOOKUP(A463,Journal!$C$7:$M$84,11))</f>
        <v/>
      </c>
      <c r="G463" s="102">
        <f>IF(B463="Total",SUM(G$8:G462)+0.0001,IF(OR(B463="",M463=0),0,VLOOKUP(A463,Journal!$C$7:M$84,7)))</f>
        <v>0</v>
      </c>
      <c r="H463" s="102">
        <f>IF(B463="Total",SUM(H$8:H462)+0.0001,IF(OR(B463="",N463=0),0,VLOOKUP(A463,Journal!$C$7:M$84,7)))</f>
        <v>0</v>
      </c>
      <c r="I463" s="87">
        <f t="shared" si="46"/>
        <v>0</v>
      </c>
      <c r="K463" s="13">
        <f>VLOOKUP(A463,Journal!$C$7:$M$84,4)</f>
        <v>0</v>
      </c>
      <c r="L463" s="13">
        <f>VLOOKUP(A463,Journal!$C$7:$M$84,5)</f>
        <v>0</v>
      </c>
      <c r="M463" s="13">
        <f t="shared" si="42"/>
        <v>0</v>
      </c>
      <c r="N463" s="13">
        <f t="shared" si="43"/>
        <v>0</v>
      </c>
      <c r="O463" s="13"/>
      <c r="P463" s="13">
        <f t="shared" si="44"/>
        <v>1.0000000000000001E-5</v>
      </c>
      <c r="T463" t="str">
        <f t="shared" si="45"/>
        <v/>
      </c>
    </row>
    <row r="464" spans="1:20" x14ac:dyDescent="0.25">
      <c r="A464">
        <f t="shared" si="47"/>
        <v>457</v>
      </c>
      <c r="B464" s="88" t="str">
        <f>IF(OR(B463="Total",B463=""),"",IF(VLOOKUP(A464,Journal!$C$7:$E$84,3)=0,"Total",VLOOKUP(A464,Journal!$C$7:$D$84,2)))</f>
        <v/>
      </c>
      <c r="C464" s="86" t="str">
        <f>IF(B464="","",VLOOKUP(A464,Journal!$C$7:$E$84,3))</f>
        <v/>
      </c>
      <c r="D464" s="84" t="str">
        <f>IF(B464="","",VLOOKUP(A464,Journal!$C$7:$J$84,8))</f>
        <v/>
      </c>
      <c r="E464" s="84" t="str">
        <f>IF(B464="","",VLOOKUP(A464,Journal!$C$7:$L$84,10))</f>
        <v/>
      </c>
      <c r="F464" s="84" t="str">
        <f>IF(B464="","",VLOOKUP(A464,Journal!$C$7:$M$84,11))</f>
        <v/>
      </c>
      <c r="G464" s="102">
        <f>IF(B464="Total",SUM(G$8:G463)+0.0001,IF(OR(B464="",M464=0),0,VLOOKUP(A464,Journal!$C$7:M$84,7)))</f>
        <v>0</v>
      </c>
      <c r="H464" s="102">
        <f>IF(B464="Total",SUM(H$8:H463)+0.0001,IF(OR(B464="",N464=0),0,VLOOKUP(A464,Journal!$C$7:M$84,7)))</f>
        <v>0</v>
      </c>
      <c r="I464" s="87">
        <f t="shared" si="46"/>
        <v>0</v>
      </c>
      <c r="K464" s="13">
        <f>VLOOKUP(A464,Journal!$C$7:$M$84,4)</f>
        <v>0</v>
      </c>
      <c r="L464" s="13">
        <f>VLOOKUP(A464,Journal!$C$7:$M$84,5)</f>
        <v>0</v>
      </c>
      <c r="M464" s="13">
        <f t="shared" si="42"/>
        <v>0</v>
      </c>
      <c r="N464" s="13">
        <f t="shared" si="43"/>
        <v>0</v>
      </c>
      <c r="O464" s="13"/>
      <c r="P464" s="13">
        <f t="shared" si="44"/>
        <v>1.0000000000000001E-5</v>
      </c>
      <c r="T464" t="str">
        <f t="shared" si="45"/>
        <v/>
      </c>
    </row>
    <row r="465" spans="1:20" x14ac:dyDescent="0.25">
      <c r="A465">
        <f t="shared" si="47"/>
        <v>458</v>
      </c>
      <c r="B465" s="88" t="str">
        <f>IF(OR(B464="Total",B464=""),"",IF(VLOOKUP(A465,Journal!$C$7:$E$84,3)=0,"Total",VLOOKUP(A465,Journal!$C$7:$D$84,2)))</f>
        <v/>
      </c>
      <c r="C465" s="86" t="str">
        <f>IF(B465="","",VLOOKUP(A465,Journal!$C$7:$E$84,3))</f>
        <v/>
      </c>
      <c r="D465" s="84" t="str">
        <f>IF(B465="","",VLOOKUP(A465,Journal!$C$7:$J$84,8))</f>
        <v/>
      </c>
      <c r="E465" s="84" t="str">
        <f>IF(B465="","",VLOOKUP(A465,Journal!$C$7:$L$84,10))</f>
        <v/>
      </c>
      <c r="F465" s="84" t="str">
        <f>IF(B465="","",VLOOKUP(A465,Journal!$C$7:$M$84,11))</f>
        <v/>
      </c>
      <c r="G465" s="102">
        <f>IF(B465="Total",SUM(G$8:G464)+0.0001,IF(OR(B465="",M465=0),0,VLOOKUP(A465,Journal!$C$7:M$84,7)))</f>
        <v>0</v>
      </c>
      <c r="H465" s="102">
        <f>IF(B465="Total",SUM(H$8:H464)+0.0001,IF(OR(B465="",N465=0),0,VLOOKUP(A465,Journal!$C$7:M$84,7)))</f>
        <v>0</v>
      </c>
      <c r="I465" s="87">
        <f t="shared" si="46"/>
        <v>0</v>
      </c>
      <c r="K465" s="13">
        <f>VLOOKUP(A465,Journal!$C$7:$M$84,4)</f>
        <v>0</v>
      </c>
      <c r="L465" s="13">
        <f>VLOOKUP(A465,Journal!$C$7:$M$84,5)</f>
        <v>0</v>
      </c>
      <c r="M465" s="13">
        <f t="shared" si="42"/>
        <v>0</v>
      </c>
      <c r="N465" s="13">
        <f t="shared" si="43"/>
        <v>0</v>
      </c>
      <c r="O465" s="13"/>
      <c r="P465" s="13">
        <f t="shared" si="44"/>
        <v>1.0000000000000001E-5</v>
      </c>
      <c r="T465" t="str">
        <f t="shared" si="45"/>
        <v/>
      </c>
    </row>
    <row r="466" spans="1:20" x14ac:dyDescent="0.25">
      <c r="A466">
        <f t="shared" si="47"/>
        <v>459</v>
      </c>
      <c r="B466" s="88" t="str">
        <f>IF(OR(B465="Total",B465=""),"",IF(VLOOKUP(A466,Journal!$C$7:$E$84,3)=0,"Total",VLOOKUP(A466,Journal!$C$7:$D$84,2)))</f>
        <v/>
      </c>
      <c r="C466" s="86" t="str">
        <f>IF(B466="","",VLOOKUP(A466,Journal!$C$7:$E$84,3))</f>
        <v/>
      </c>
      <c r="D466" s="84" t="str">
        <f>IF(B466="","",VLOOKUP(A466,Journal!$C$7:$J$84,8))</f>
        <v/>
      </c>
      <c r="E466" s="84" t="str">
        <f>IF(B466="","",VLOOKUP(A466,Journal!$C$7:$L$84,10))</f>
        <v/>
      </c>
      <c r="F466" s="84" t="str">
        <f>IF(B466="","",VLOOKUP(A466,Journal!$C$7:$M$84,11))</f>
        <v/>
      </c>
      <c r="G466" s="102">
        <f>IF(B466="Total",SUM(G$8:G465)+0.0001,IF(OR(B466="",M466=0),0,VLOOKUP(A466,Journal!$C$7:M$84,7)))</f>
        <v>0</v>
      </c>
      <c r="H466" s="102">
        <f>IF(B466="Total",SUM(H$8:H465)+0.0001,IF(OR(B466="",N466=0),0,VLOOKUP(A466,Journal!$C$7:M$84,7)))</f>
        <v>0</v>
      </c>
      <c r="I466" s="87">
        <f t="shared" si="46"/>
        <v>0</v>
      </c>
      <c r="K466" s="13">
        <f>VLOOKUP(A466,Journal!$C$7:$M$84,4)</f>
        <v>0</v>
      </c>
      <c r="L466" s="13">
        <f>VLOOKUP(A466,Journal!$C$7:$M$84,5)</f>
        <v>0</v>
      </c>
      <c r="M466" s="13">
        <f t="shared" si="42"/>
        <v>0</v>
      </c>
      <c r="N466" s="13">
        <f t="shared" si="43"/>
        <v>0</v>
      </c>
      <c r="O466" s="13"/>
      <c r="P466" s="13">
        <f t="shared" si="44"/>
        <v>1.0000000000000001E-5</v>
      </c>
      <c r="T466" t="str">
        <f t="shared" si="45"/>
        <v/>
      </c>
    </row>
    <row r="467" spans="1:20" x14ac:dyDescent="0.25">
      <c r="A467">
        <f t="shared" si="47"/>
        <v>460</v>
      </c>
      <c r="B467" s="88" t="str">
        <f>IF(OR(B466="Total",B466=""),"",IF(VLOOKUP(A467,Journal!$C$7:$E$84,3)=0,"Total",VLOOKUP(A467,Journal!$C$7:$D$84,2)))</f>
        <v/>
      </c>
      <c r="C467" s="86" t="str">
        <f>IF(B467="","",VLOOKUP(A467,Journal!$C$7:$E$84,3))</f>
        <v/>
      </c>
      <c r="D467" s="84" t="str">
        <f>IF(B467="","",VLOOKUP(A467,Journal!$C$7:$J$84,8))</f>
        <v/>
      </c>
      <c r="E467" s="84" t="str">
        <f>IF(B467="","",VLOOKUP(A467,Journal!$C$7:$L$84,10))</f>
        <v/>
      </c>
      <c r="F467" s="84" t="str">
        <f>IF(B467="","",VLOOKUP(A467,Journal!$C$7:$M$84,11))</f>
        <v/>
      </c>
      <c r="G467" s="102">
        <f>IF(B467="Total",SUM(G$8:G466)+0.0001,IF(OR(B467="",M467=0),0,VLOOKUP(A467,Journal!$C$7:M$84,7)))</f>
        <v>0</v>
      </c>
      <c r="H467" s="102">
        <f>IF(B467="Total",SUM(H$8:H466)+0.0001,IF(OR(B467="",N467=0),0,VLOOKUP(A467,Journal!$C$7:M$84,7)))</f>
        <v>0</v>
      </c>
      <c r="I467" s="87">
        <f t="shared" si="46"/>
        <v>0</v>
      </c>
      <c r="K467" s="13">
        <f>VLOOKUP(A467,Journal!$C$7:$M$84,4)</f>
        <v>0</v>
      </c>
      <c r="L467" s="13">
        <f>VLOOKUP(A467,Journal!$C$7:$M$84,5)</f>
        <v>0</v>
      </c>
      <c r="M467" s="13">
        <f t="shared" si="42"/>
        <v>0</v>
      </c>
      <c r="N467" s="13">
        <f t="shared" si="43"/>
        <v>0</v>
      </c>
      <c r="O467" s="13"/>
      <c r="P467" s="13">
        <f t="shared" si="44"/>
        <v>1.0000000000000001E-5</v>
      </c>
      <c r="T467" t="str">
        <f t="shared" si="45"/>
        <v/>
      </c>
    </row>
    <row r="468" spans="1:20" x14ac:dyDescent="0.25">
      <c r="A468">
        <f t="shared" si="47"/>
        <v>461</v>
      </c>
      <c r="B468" s="88" t="str">
        <f>IF(OR(B467="Total",B467=""),"",IF(VLOOKUP(A468,Journal!$C$7:$E$84,3)=0,"Total",VLOOKUP(A468,Journal!$C$7:$D$84,2)))</f>
        <v/>
      </c>
      <c r="C468" s="86" t="str">
        <f>IF(B468="","",VLOOKUP(A468,Journal!$C$7:$E$84,3))</f>
        <v/>
      </c>
      <c r="D468" s="84" t="str">
        <f>IF(B468="","",VLOOKUP(A468,Journal!$C$7:$J$84,8))</f>
        <v/>
      </c>
      <c r="E468" s="84" t="str">
        <f>IF(B468="","",VLOOKUP(A468,Journal!$C$7:$L$84,10))</f>
        <v/>
      </c>
      <c r="F468" s="84" t="str">
        <f>IF(B468="","",VLOOKUP(A468,Journal!$C$7:$M$84,11))</f>
        <v/>
      </c>
      <c r="G468" s="102">
        <f>IF(B468="Total",SUM(G$8:G467)+0.0001,IF(OR(B468="",M468=0),0,VLOOKUP(A468,Journal!$C$7:M$84,7)))</f>
        <v>0</v>
      </c>
      <c r="H468" s="102">
        <f>IF(B468="Total",SUM(H$8:H467)+0.0001,IF(OR(B468="",N468=0),0,VLOOKUP(A468,Journal!$C$7:M$84,7)))</f>
        <v>0</v>
      </c>
      <c r="I468" s="87">
        <f t="shared" si="46"/>
        <v>0</v>
      </c>
      <c r="K468" s="13">
        <f>VLOOKUP(A468,Journal!$C$7:$M$84,4)</f>
        <v>0</v>
      </c>
      <c r="L468" s="13">
        <f>VLOOKUP(A468,Journal!$C$7:$M$84,5)</f>
        <v>0</v>
      </c>
      <c r="M468" s="13">
        <f t="shared" si="42"/>
        <v>0</v>
      </c>
      <c r="N468" s="13">
        <f t="shared" si="43"/>
        <v>0</v>
      </c>
      <c r="O468" s="13"/>
      <c r="P468" s="13">
        <f t="shared" si="44"/>
        <v>1.0000000000000001E-5</v>
      </c>
      <c r="T468" t="str">
        <f t="shared" si="45"/>
        <v/>
      </c>
    </row>
    <row r="469" spans="1:20" x14ac:dyDescent="0.25">
      <c r="A469">
        <f t="shared" si="47"/>
        <v>462</v>
      </c>
      <c r="B469" s="88" t="str">
        <f>IF(OR(B468="Total",B468=""),"",IF(VLOOKUP(A469,Journal!$C$7:$E$84,3)=0,"Total",VLOOKUP(A469,Journal!$C$7:$D$84,2)))</f>
        <v/>
      </c>
      <c r="C469" s="86" t="str">
        <f>IF(B469="","",VLOOKUP(A469,Journal!$C$7:$E$84,3))</f>
        <v/>
      </c>
      <c r="D469" s="84" t="str">
        <f>IF(B469="","",VLOOKUP(A469,Journal!$C$7:$J$84,8))</f>
        <v/>
      </c>
      <c r="E469" s="84" t="str">
        <f>IF(B469="","",VLOOKUP(A469,Journal!$C$7:$L$84,10))</f>
        <v/>
      </c>
      <c r="F469" s="84" t="str">
        <f>IF(B469="","",VLOOKUP(A469,Journal!$C$7:$M$84,11))</f>
        <v/>
      </c>
      <c r="G469" s="102">
        <f>IF(B469="Total",SUM(G$8:G468)+0.0001,IF(OR(B469="",M469=0),0,VLOOKUP(A469,Journal!$C$7:M$84,7)))</f>
        <v>0</v>
      </c>
      <c r="H469" s="102">
        <f>IF(B469="Total",SUM(H$8:H468)+0.0001,IF(OR(B469="",N469=0),0,VLOOKUP(A469,Journal!$C$7:M$84,7)))</f>
        <v>0</v>
      </c>
      <c r="I469" s="87">
        <f t="shared" si="46"/>
        <v>0</v>
      </c>
      <c r="K469" s="13">
        <f>VLOOKUP(A469,Journal!$C$7:$M$84,4)</f>
        <v>0</v>
      </c>
      <c r="L469" s="13">
        <f>VLOOKUP(A469,Journal!$C$7:$M$84,5)</f>
        <v>0</v>
      </c>
      <c r="M469" s="13">
        <f t="shared" si="42"/>
        <v>0</v>
      </c>
      <c r="N469" s="13">
        <f t="shared" si="43"/>
        <v>0</v>
      </c>
      <c r="O469" s="13"/>
      <c r="P469" s="13">
        <f t="shared" si="44"/>
        <v>1.0000000000000001E-5</v>
      </c>
      <c r="T469" t="str">
        <f t="shared" si="45"/>
        <v/>
      </c>
    </row>
    <row r="470" spans="1:20" x14ac:dyDescent="0.25">
      <c r="A470">
        <f t="shared" si="47"/>
        <v>463</v>
      </c>
      <c r="B470" s="88" t="str">
        <f>IF(OR(B469="Total",B469=""),"",IF(VLOOKUP(A470,Journal!$C$7:$E$84,3)=0,"Total",VLOOKUP(A470,Journal!$C$7:$D$84,2)))</f>
        <v/>
      </c>
      <c r="C470" s="86" t="str">
        <f>IF(B470="","",VLOOKUP(A470,Journal!$C$7:$E$84,3))</f>
        <v/>
      </c>
      <c r="D470" s="84" t="str">
        <f>IF(B470="","",VLOOKUP(A470,Journal!$C$7:$J$84,8))</f>
        <v/>
      </c>
      <c r="E470" s="84" t="str">
        <f>IF(B470="","",VLOOKUP(A470,Journal!$C$7:$L$84,10))</f>
        <v/>
      </c>
      <c r="F470" s="84" t="str">
        <f>IF(B470="","",VLOOKUP(A470,Journal!$C$7:$M$84,11))</f>
        <v/>
      </c>
      <c r="G470" s="102">
        <f>IF(B470="Total",SUM(G$8:G469)+0.0001,IF(OR(B470="",M470=0),0,VLOOKUP(A470,Journal!$C$7:M$84,7)))</f>
        <v>0</v>
      </c>
      <c r="H470" s="102">
        <f>IF(B470="Total",SUM(H$8:H469)+0.0001,IF(OR(B470="",N470=0),0,VLOOKUP(A470,Journal!$C$7:M$84,7)))</f>
        <v>0</v>
      </c>
      <c r="I470" s="87">
        <f t="shared" si="46"/>
        <v>0</v>
      </c>
      <c r="K470" s="13">
        <f>VLOOKUP(A470,Journal!$C$7:$M$84,4)</f>
        <v>0</v>
      </c>
      <c r="L470" s="13">
        <f>VLOOKUP(A470,Journal!$C$7:$M$84,5)</f>
        <v>0</v>
      </c>
      <c r="M470" s="13">
        <f t="shared" si="42"/>
        <v>0</v>
      </c>
      <c r="N470" s="13">
        <f t="shared" si="43"/>
        <v>0</v>
      </c>
      <c r="O470" s="13"/>
      <c r="P470" s="13">
        <f t="shared" si="44"/>
        <v>1.0000000000000001E-5</v>
      </c>
      <c r="T470" t="str">
        <f t="shared" si="45"/>
        <v/>
      </c>
    </row>
    <row r="471" spans="1:20" x14ac:dyDescent="0.25">
      <c r="A471">
        <f t="shared" si="47"/>
        <v>464</v>
      </c>
      <c r="B471" s="88" t="str">
        <f>IF(OR(B470="Total",B470=""),"",IF(VLOOKUP(A471,Journal!$C$7:$E$84,3)=0,"Total",VLOOKUP(A471,Journal!$C$7:$D$84,2)))</f>
        <v/>
      </c>
      <c r="C471" s="86" t="str">
        <f>IF(B471="","",VLOOKUP(A471,Journal!$C$7:$E$84,3))</f>
        <v/>
      </c>
      <c r="D471" s="84" t="str">
        <f>IF(B471="","",VLOOKUP(A471,Journal!$C$7:$J$84,8))</f>
        <v/>
      </c>
      <c r="E471" s="84" t="str">
        <f>IF(B471="","",VLOOKUP(A471,Journal!$C$7:$L$84,10))</f>
        <v/>
      </c>
      <c r="F471" s="84" t="str">
        <f>IF(B471="","",VLOOKUP(A471,Journal!$C$7:$M$84,11))</f>
        <v/>
      </c>
      <c r="G471" s="102">
        <f>IF(B471="Total",SUM(G$8:G470)+0.0001,IF(OR(B471="",M471=0),0,VLOOKUP(A471,Journal!$C$7:M$84,7)))</f>
        <v>0</v>
      </c>
      <c r="H471" s="102">
        <f>IF(B471="Total",SUM(H$8:H470)+0.0001,IF(OR(B471="",N471=0),0,VLOOKUP(A471,Journal!$C$7:M$84,7)))</f>
        <v>0</v>
      </c>
      <c r="I471" s="87">
        <f t="shared" si="46"/>
        <v>0</v>
      </c>
      <c r="K471" s="13">
        <f>VLOOKUP(A471,Journal!$C$7:$M$84,4)</f>
        <v>0</v>
      </c>
      <c r="L471" s="13">
        <f>VLOOKUP(A471,Journal!$C$7:$M$84,5)</f>
        <v>0</v>
      </c>
      <c r="M471" s="13">
        <f t="shared" si="42"/>
        <v>0</v>
      </c>
      <c r="N471" s="13">
        <f t="shared" si="43"/>
        <v>0</v>
      </c>
      <c r="O471" s="13"/>
      <c r="P471" s="13">
        <f t="shared" si="44"/>
        <v>1.0000000000000001E-5</v>
      </c>
      <c r="T471" t="str">
        <f t="shared" si="45"/>
        <v/>
      </c>
    </row>
    <row r="472" spans="1:20" x14ac:dyDescent="0.25">
      <c r="A472">
        <f t="shared" si="47"/>
        <v>465</v>
      </c>
      <c r="B472" s="88" t="str">
        <f>IF(OR(B471="Total",B471=""),"",IF(VLOOKUP(A472,Journal!$C$7:$E$84,3)=0,"Total",VLOOKUP(A472,Journal!$C$7:$D$84,2)))</f>
        <v/>
      </c>
      <c r="C472" s="86" t="str">
        <f>IF(B472="","",VLOOKUP(A472,Journal!$C$7:$E$84,3))</f>
        <v/>
      </c>
      <c r="D472" s="84" t="str">
        <f>IF(B472="","",VLOOKUP(A472,Journal!$C$7:$J$84,8))</f>
        <v/>
      </c>
      <c r="E472" s="84" t="str">
        <f>IF(B472="","",VLOOKUP(A472,Journal!$C$7:$L$84,10))</f>
        <v/>
      </c>
      <c r="F472" s="84" t="str">
        <f>IF(B472="","",VLOOKUP(A472,Journal!$C$7:$M$84,11))</f>
        <v/>
      </c>
      <c r="G472" s="102">
        <f>IF(B472="Total",SUM(G$8:G471)+0.0001,IF(OR(B472="",M472=0),0,VLOOKUP(A472,Journal!$C$7:M$84,7)))</f>
        <v>0</v>
      </c>
      <c r="H472" s="102">
        <f>IF(B472="Total",SUM(H$8:H471)+0.0001,IF(OR(B472="",N472=0),0,VLOOKUP(A472,Journal!$C$7:M$84,7)))</f>
        <v>0</v>
      </c>
      <c r="I472" s="87">
        <f t="shared" si="46"/>
        <v>0</v>
      </c>
      <c r="K472" s="13">
        <f>VLOOKUP(A472,Journal!$C$7:$M$84,4)</f>
        <v>0</v>
      </c>
      <c r="L472" s="13">
        <f>VLOOKUP(A472,Journal!$C$7:$M$84,5)</f>
        <v>0</v>
      </c>
      <c r="M472" s="13">
        <f t="shared" si="42"/>
        <v>0</v>
      </c>
      <c r="N472" s="13">
        <f t="shared" si="43"/>
        <v>0</v>
      </c>
      <c r="O472" s="13"/>
      <c r="P472" s="13">
        <f t="shared" si="44"/>
        <v>1.0000000000000001E-5</v>
      </c>
      <c r="T472" t="str">
        <f t="shared" si="45"/>
        <v/>
      </c>
    </row>
    <row r="473" spans="1:20" x14ac:dyDescent="0.25">
      <c r="A473">
        <f t="shared" si="47"/>
        <v>466</v>
      </c>
      <c r="B473" s="88" t="str">
        <f>IF(OR(B472="Total",B472=""),"",IF(VLOOKUP(A473,Journal!$C$7:$E$84,3)=0,"Total",VLOOKUP(A473,Journal!$C$7:$D$84,2)))</f>
        <v/>
      </c>
      <c r="C473" s="86" t="str">
        <f>IF(B473="","",VLOOKUP(A473,Journal!$C$7:$E$84,3))</f>
        <v/>
      </c>
      <c r="D473" s="84" t="str">
        <f>IF(B473="","",VLOOKUP(A473,Journal!$C$7:$J$84,8))</f>
        <v/>
      </c>
      <c r="E473" s="84" t="str">
        <f>IF(B473="","",VLOOKUP(A473,Journal!$C$7:$L$84,10))</f>
        <v/>
      </c>
      <c r="F473" s="84" t="str">
        <f>IF(B473="","",VLOOKUP(A473,Journal!$C$7:$M$84,11))</f>
        <v/>
      </c>
      <c r="G473" s="102">
        <f>IF(B473="Total",SUM(G$8:G472)+0.0001,IF(OR(B473="",M473=0),0,VLOOKUP(A473,Journal!$C$7:M$84,7)))</f>
        <v>0</v>
      </c>
      <c r="H473" s="102">
        <f>IF(B473="Total",SUM(H$8:H472)+0.0001,IF(OR(B473="",N473=0),0,VLOOKUP(A473,Journal!$C$7:M$84,7)))</f>
        <v>0</v>
      </c>
      <c r="I473" s="87">
        <f t="shared" si="46"/>
        <v>0</v>
      </c>
      <c r="K473" s="13">
        <f>VLOOKUP(A473,Journal!$C$7:$M$84,4)</f>
        <v>0</v>
      </c>
      <c r="L473" s="13">
        <f>VLOOKUP(A473,Journal!$C$7:$M$84,5)</f>
        <v>0</v>
      </c>
      <c r="M473" s="13">
        <f t="shared" ref="M473:M536" si="48">IF(AND(L473&gt;=$F$1,L473&lt;9999),1,0)</f>
        <v>0</v>
      </c>
      <c r="N473" s="13">
        <f t="shared" ref="N473:N536" si="49">IF(AND(K473&gt;=$F$1,K473&lt;9999),1,0)</f>
        <v>0</v>
      </c>
      <c r="O473" s="13"/>
      <c r="P473" s="13">
        <f t="shared" ref="P473:P536" si="50">IF(I472=I473,I472+0.00001,I473)</f>
        <v>1.0000000000000001E-5</v>
      </c>
      <c r="T473" t="str">
        <f t="shared" si="45"/>
        <v/>
      </c>
    </row>
    <row r="474" spans="1:20" x14ac:dyDescent="0.25">
      <c r="A474">
        <f t="shared" si="47"/>
        <v>467</v>
      </c>
      <c r="B474" s="88" t="str">
        <f>IF(OR(B473="Total",B473=""),"",IF(VLOOKUP(A474,Journal!$C$7:$E$84,3)=0,"Total",VLOOKUP(A474,Journal!$C$7:$D$84,2)))</f>
        <v/>
      </c>
      <c r="C474" s="86" t="str">
        <f>IF(B474="","",VLOOKUP(A474,Journal!$C$7:$E$84,3))</f>
        <v/>
      </c>
      <c r="D474" s="84" t="str">
        <f>IF(B474="","",VLOOKUP(A474,Journal!$C$7:$J$84,8))</f>
        <v/>
      </c>
      <c r="E474" s="84" t="str">
        <f>IF(B474="","",VLOOKUP(A474,Journal!$C$7:$L$84,10))</f>
        <v/>
      </c>
      <c r="F474" s="84" t="str">
        <f>IF(B474="","",VLOOKUP(A474,Journal!$C$7:$M$84,11))</f>
        <v/>
      </c>
      <c r="G474" s="102">
        <f>IF(B474="Total",SUM(G$8:G473)+0.0001,IF(OR(B474="",M474=0),0,VLOOKUP(A474,Journal!$C$7:M$84,7)))</f>
        <v>0</v>
      </c>
      <c r="H474" s="102">
        <f>IF(B474="Total",SUM(H$8:H473)+0.0001,IF(OR(B474="",N474=0),0,VLOOKUP(A474,Journal!$C$7:M$84,7)))</f>
        <v>0</v>
      </c>
      <c r="I474" s="87">
        <f t="shared" si="46"/>
        <v>0</v>
      </c>
      <c r="K474" s="13">
        <f>VLOOKUP(A474,Journal!$C$7:$M$84,4)</f>
        <v>0</v>
      </c>
      <c r="L474" s="13">
        <f>VLOOKUP(A474,Journal!$C$7:$M$84,5)</f>
        <v>0</v>
      </c>
      <c r="M474" s="13">
        <f t="shared" si="48"/>
        <v>0</v>
      </c>
      <c r="N474" s="13">
        <f t="shared" si="49"/>
        <v>0</v>
      </c>
      <c r="O474" s="13"/>
      <c r="P474" s="13">
        <f t="shared" si="50"/>
        <v>1.0000000000000001E-5</v>
      </c>
      <c r="T474" t="str">
        <f t="shared" si="45"/>
        <v/>
      </c>
    </row>
    <row r="475" spans="1:20" x14ac:dyDescent="0.25">
      <c r="A475">
        <f t="shared" si="47"/>
        <v>468</v>
      </c>
      <c r="B475" s="88" t="str">
        <f>IF(OR(B474="Total",B474=""),"",IF(VLOOKUP(A475,Journal!$C$7:$E$84,3)=0,"Total",VLOOKUP(A475,Journal!$C$7:$D$84,2)))</f>
        <v/>
      </c>
      <c r="C475" s="86" t="str">
        <f>IF(B475="","",VLOOKUP(A475,Journal!$C$7:$E$84,3))</f>
        <v/>
      </c>
      <c r="D475" s="84" t="str">
        <f>IF(B475="","",VLOOKUP(A475,Journal!$C$7:$J$84,8))</f>
        <v/>
      </c>
      <c r="E475" s="84" t="str">
        <f>IF(B475="","",VLOOKUP(A475,Journal!$C$7:$L$84,10))</f>
        <v/>
      </c>
      <c r="F475" s="84" t="str">
        <f>IF(B475="","",VLOOKUP(A475,Journal!$C$7:$M$84,11))</f>
        <v/>
      </c>
      <c r="G475" s="102">
        <f>IF(B475="Total",SUM(G$8:G474)+0.0001,IF(OR(B475="",M475=0),0,VLOOKUP(A475,Journal!$C$7:M$84,7)))</f>
        <v>0</v>
      </c>
      <c r="H475" s="102">
        <f>IF(B475="Total",SUM(H$8:H474)+0.0001,IF(OR(B475="",N475=0),0,VLOOKUP(A475,Journal!$C$7:M$84,7)))</f>
        <v>0</v>
      </c>
      <c r="I475" s="87">
        <f t="shared" si="46"/>
        <v>0</v>
      </c>
      <c r="K475" s="13">
        <f>VLOOKUP(A475,Journal!$C$7:$M$84,4)</f>
        <v>0</v>
      </c>
      <c r="L475" s="13">
        <f>VLOOKUP(A475,Journal!$C$7:$M$84,5)</f>
        <v>0</v>
      </c>
      <c r="M475" s="13">
        <f t="shared" si="48"/>
        <v>0</v>
      </c>
      <c r="N475" s="13">
        <f t="shared" si="49"/>
        <v>0</v>
      </c>
      <c r="O475" s="13"/>
      <c r="P475" s="13">
        <f t="shared" si="50"/>
        <v>1.0000000000000001E-5</v>
      </c>
      <c r="T475" t="str">
        <f t="shared" si="45"/>
        <v/>
      </c>
    </row>
    <row r="476" spans="1:20" x14ac:dyDescent="0.25">
      <c r="A476">
        <f t="shared" si="47"/>
        <v>469</v>
      </c>
      <c r="B476" s="88" t="str">
        <f>IF(OR(B475="Total",B475=""),"",IF(VLOOKUP(A476,Journal!$C$7:$E$84,3)=0,"Total",VLOOKUP(A476,Journal!$C$7:$D$84,2)))</f>
        <v/>
      </c>
      <c r="C476" s="86" t="str">
        <f>IF(B476="","",VLOOKUP(A476,Journal!$C$7:$E$84,3))</f>
        <v/>
      </c>
      <c r="D476" s="84" t="str">
        <f>IF(B476="","",VLOOKUP(A476,Journal!$C$7:$J$84,8))</f>
        <v/>
      </c>
      <c r="E476" s="84" t="str">
        <f>IF(B476="","",VLOOKUP(A476,Journal!$C$7:$L$84,10))</f>
        <v/>
      </c>
      <c r="F476" s="84" t="str">
        <f>IF(B476="","",VLOOKUP(A476,Journal!$C$7:$M$84,11))</f>
        <v/>
      </c>
      <c r="G476" s="102">
        <f>IF(B476="Total",SUM(G$8:G475)+0.0001,IF(OR(B476="",M476=0),0,VLOOKUP(A476,Journal!$C$7:M$84,7)))</f>
        <v>0</v>
      </c>
      <c r="H476" s="102">
        <f>IF(B476="Total",SUM(H$8:H475)+0.0001,IF(OR(B476="",N476=0),0,VLOOKUP(A476,Journal!$C$7:M$84,7)))</f>
        <v>0</v>
      </c>
      <c r="I476" s="87">
        <f t="shared" si="46"/>
        <v>0</v>
      </c>
      <c r="K476" s="13">
        <f>VLOOKUP(A476,Journal!$C$7:$M$84,4)</f>
        <v>0</v>
      </c>
      <c r="L476" s="13">
        <f>VLOOKUP(A476,Journal!$C$7:$M$84,5)</f>
        <v>0</v>
      </c>
      <c r="M476" s="13">
        <f t="shared" si="48"/>
        <v>0</v>
      </c>
      <c r="N476" s="13">
        <f t="shared" si="49"/>
        <v>0</v>
      </c>
      <c r="O476" s="13"/>
      <c r="P476" s="13">
        <f t="shared" si="50"/>
        <v>1.0000000000000001E-5</v>
      </c>
      <c r="T476" t="str">
        <f t="shared" si="45"/>
        <v/>
      </c>
    </row>
    <row r="477" spans="1:20" x14ac:dyDescent="0.25">
      <c r="A477">
        <f t="shared" si="47"/>
        <v>470</v>
      </c>
      <c r="B477" s="88" t="str">
        <f>IF(OR(B476="Total",B476=""),"",IF(VLOOKUP(A477,Journal!$C$7:$E$84,3)=0,"Total",VLOOKUP(A477,Journal!$C$7:$D$84,2)))</f>
        <v/>
      </c>
      <c r="C477" s="86" t="str">
        <f>IF(B477="","",VLOOKUP(A477,Journal!$C$7:$E$84,3))</f>
        <v/>
      </c>
      <c r="D477" s="84" t="str">
        <f>IF(B477="","",VLOOKUP(A477,Journal!$C$7:$J$84,8))</f>
        <v/>
      </c>
      <c r="E477" s="84" t="str">
        <f>IF(B477="","",VLOOKUP(A477,Journal!$C$7:$L$84,10))</f>
        <v/>
      </c>
      <c r="F477" s="84" t="str">
        <f>IF(B477="","",VLOOKUP(A477,Journal!$C$7:$M$84,11))</f>
        <v/>
      </c>
      <c r="G477" s="102">
        <f>IF(B477="Total",SUM(G$8:G476)+0.0001,IF(OR(B477="",M477=0),0,VLOOKUP(A477,Journal!$C$7:M$84,7)))</f>
        <v>0</v>
      </c>
      <c r="H477" s="102">
        <f>IF(B477="Total",SUM(H$8:H476)+0.0001,IF(OR(B477="",N477=0),0,VLOOKUP(A477,Journal!$C$7:M$84,7)))</f>
        <v>0</v>
      </c>
      <c r="I477" s="87">
        <f t="shared" si="46"/>
        <v>0</v>
      </c>
      <c r="K477" s="13">
        <f>VLOOKUP(A477,Journal!$C$7:$M$84,4)</f>
        <v>0</v>
      </c>
      <c r="L477" s="13">
        <f>VLOOKUP(A477,Journal!$C$7:$M$84,5)</f>
        <v>0</v>
      </c>
      <c r="M477" s="13">
        <f t="shared" si="48"/>
        <v>0</v>
      </c>
      <c r="N477" s="13">
        <f t="shared" si="49"/>
        <v>0</v>
      </c>
      <c r="O477" s="13"/>
      <c r="P477" s="13">
        <f t="shared" si="50"/>
        <v>1.0000000000000001E-5</v>
      </c>
      <c r="T477" t="str">
        <f t="shared" si="45"/>
        <v/>
      </c>
    </row>
    <row r="478" spans="1:20" x14ac:dyDescent="0.25">
      <c r="A478">
        <f t="shared" si="47"/>
        <v>471</v>
      </c>
      <c r="B478" s="88" t="str">
        <f>IF(OR(B477="Total",B477=""),"",IF(VLOOKUP(A478,Journal!$C$7:$E$84,3)=0,"Total",VLOOKUP(A478,Journal!$C$7:$D$84,2)))</f>
        <v/>
      </c>
      <c r="C478" s="86" t="str">
        <f>IF(B478="","",VLOOKUP(A478,Journal!$C$7:$E$84,3))</f>
        <v/>
      </c>
      <c r="D478" s="84" t="str">
        <f>IF(B478="","",VLOOKUP(A478,Journal!$C$7:$J$84,8))</f>
        <v/>
      </c>
      <c r="E478" s="84" t="str">
        <f>IF(B478="","",VLOOKUP(A478,Journal!$C$7:$L$84,10))</f>
        <v/>
      </c>
      <c r="F478" s="84" t="str">
        <f>IF(B478="","",VLOOKUP(A478,Journal!$C$7:$M$84,11))</f>
        <v/>
      </c>
      <c r="G478" s="102">
        <f>IF(B478="Total",SUM(G$8:G477)+0.0001,IF(OR(B478="",M478=0),0,VLOOKUP(A478,Journal!$C$7:M$84,7)))</f>
        <v>0</v>
      </c>
      <c r="H478" s="102">
        <f>IF(B478="Total",SUM(H$8:H477)+0.0001,IF(OR(B478="",N478=0),0,VLOOKUP(A478,Journal!$C$7:M$84,7)))</f>
        <v>0</v>
      </c>
      <c r="I478" s="87">
        <f t="shared" si="46"/>
        <v>0</v>
      </c>
      <c r="K478" s="13">
        <f>VLOOKUP(A478,Journal!$C$7:$M$84,4)</f>
        <v>0</v>
      </c>
      <c r="L478" s="13">
        <f>VLOOKUP(A478,Journal!$C$7:$M$84,5)</f>
        <v>0</v>
      </c>
      <c r="M478" s="13">
        <f t="shared" si="48"/>
        <v>0</v>
      </c>
      <c r="N478" s="13">
        <f t="shared" si="49"/>
        <v>0</v>
      </c>
      <c r="O478" s="13"/>
      <c r="P478" s="13">
        <f t="shared" si="50"/>
        <v>1.0000000000000001E-5</v>
      </c>
      <c r="T478" t="str">
        <f t="shared" si="45"/>
        <v/>
      </c>
    </row>
    <row r="479" spans="1:20" x14ac:dyDescent="0.25">
      <c r="A479">
        <f t="shared" si="47"/>
        <v>472</v>
      </c>
      <c r="B479" s="88" t="str">
        <f>IF(OR(B478="Total",B478=""),"",IF(VLOOKUP(A479,Journal!$C$7:$E$84,3)=0,"Total",VLOOKUP(A479,Journal!$C$7:$D$84,2)))</f>
        <v/>
      </c>
      <c r="C479" s="86" t="str">
        <f>IF(B479="","",VLOOKUP(A479,Journal!$C$7:$E$84,3))</f>
        <v/>
      </c>
      <c r="D479" s="84" t="str">
        <f>IF(B479="","",VLOOKUP(A479,Journal!$C$7:$J$84,8))</f>
        <v/>
      </c>
      <c r="E479" s="84" t="str">
        <f>IF(B479="","",VLOOKUP(A479,Journal!$C$7:$L$84,10))</f>
        <v/>
      </c>
      <c r="F479" s="84" t="str">
        <f>IF(B479="","",VLOOKUP(A479,Journal!$C$7:$M$84,11))</f>
        <v/>
      </c>
      <c r="G479" s="102">
        <f>IF(B479="Total",SUM(G$8:G478)+0.0001,IF(OR(B479="",M479=0),0,VLOOKUP(A479,Journal!$C$7:M$84,7)))</f>
        <v>0</v>
      </c>
      <c r="H479" s="102">
        <f>IF(B479="Total",SUM(H$8:H478)+0.0001,IF(OR(B479="",N479=0),0,VLOOKUP(A479,Journal!$C$7:M$84,7)))</f>
        <v>0</v>
      </c>
      <c r="I479" s="87">
        <f t="shared" si="46"/>
        <v>0</v>
      </c>
      <c r="K479" s="13">
        <f>VLOOKUP(A479,Journal!$C$7:$M$84,4)</f>
        <v>0</v>
      </c>
      <c r="L479" s="13">
        <f>VLOOKUP(A479,Journal!$C$7:$M$84,5)</f>
        <v>0</v>
      </c>
      <c r="M479" s="13">
        <f t="shared" si="48"/>
        <v>0</v>
      </c>
      <c r="N479" s="13">
        <f t="shared" si="49"/>
        <v>0</v>
      </c>
      <c r="O479" s="13"/>
      <c r="P479" s="13">
        <f t="shared" si="50"/>
        <v>1.0000000000000001E-5</v>
      </c>
      <c r="T479" t="str">
        <f t="shared" si="45"/>
        <v/>
      </c>
    </row>
    <row r="480" spans="1:20" x14ac:dyDescent="0.25">
      <c r="A480">
        <f t="shared" si="47"/>
        <v>473</v>
      </c>
      <c r="B480" s="88" t="str">
        <f>IF(OR(B479="Total",B479=""),"",IF(VLOOKUP(A480,Journal!$C$7:$E$84,3)=0,"Total",VLOOKUP(A480,Journal!$C$7:$D$84,2)))</f>
        <v/>
      </c>
      <c r="C480" s="86" t="str">
        <f>IF(B480="","",VLOOKUP(A480,Journal!$C$7:$E$84,3))</f>
        <v/>
      </c>
      <c r="D480" s="84" t="str">
        <f>IF(B480="","",VLOOKUP(A480,Journal!$C$7:$J$84,8))</f>
        <v/>
      </c>
      <c r="E480" s="84" t="str">
        <f>IF(B480="","",VLOOKUP(A480,Journal!$C$7:$L$84,10))</f>
        <v/>
      </c>
      <c r="F480" s="84" t="str">
        <f>IF(B480="","",VLOOKUP(A480,Journal!$C$7:$M$84,11))</f>
        <v/>
      </c>
      <c r="G480" s="102">
        <f>IF(B480="Total",SUM(G$8:G479)+0.0001,IF(OR(B480="",M480=0),0,VLOOKUP(A480,Journal!$C$7:M$84,7)))</f>
        <v>0</v>
      </c>
      <c r="H480" s="102">
        <f>IF(B480="Total",SUM(H$8:H479)+0.0001,IF(OR(B480="",N480=0),0,VLOOKUP(A480,Journal!$C$7:M$84,7)))</f>
        <v>0</v>
      </c>
      <c r="I480" s="87">
        <f t="shared" si="46"/>
        <v>0</v>
      </c>
      <c r="K480" s="13">
        <f>VLOOKUP(A480,Journal!$C$7:$M$84,4)</f>
        <v>0</v>
      </c>
      <c r="L480" s="13">
        <f>VLOOKUP(A480,Journal!$C$7:$M$84,5)</f>
        <v>0</v>
      </c>
      <c r="M480" s="13">
        <f t="shared" si="48"/>
        <v>0</v>
      </c>
      <c r="N480" s="13">
        <f t="shared" si="49"/>
        <v>0</v>
      </c>
      <c r="O480" s="13"/>
      <c r="P480" s="13">
        <f t="shared" si="50"/>
        <v>1.0000000000000001E-5</v>
      </c>
      <c r="T480" t="str">
        <f t="shared" si="45"/>
        <v/>
      </c>
    </row>
    <row r="481" spans="1:20" x14ac:dyDescent="0.25">
      <c r="A481">
        <f t="shared" si="47"/>
        <v>474</v>
      </c>
      <c r="B481" s="88" t="str">
        <f>IF(OR(B480="Total",B480=""),"",IF(VLOOKUP(A481,Journal!$C$7:$E$84,3)=0,"Total",VLOOKUP(A481,Journal!$C$7:$D$84,2)))</f>
        <v/>
      </c>
      <c r="C481" s="86" t="str">
        <f>IF(B481="","",VLOOKUP(A481,Journal!$C$7:$E$84,3))</f>
        <v/>
      </c>
      <c r="D481" s="84" t="str">
        <f>IF(B481="","",VLOOKUP(A481,Journal!$C$7:$J$84,8))</f>
        <v/>
      </c>
      <c r="E481" s="84" t="str">
        <f>IF(B481="","",VLOOKUP(A481,Journal!$C$7:$L$84,10))</f>
        <v/>
      </c>
      <c r="F481" s="84" t="str">
        <f>IF(B481="","",VLOOKUP(A481,Journal!$C$7:$M$84,11))</f>
        <v/>
      </c>
      <c r="G481" s="102">
        <f>IF(B481="Total",SUM(G$8:G480)+0.0001,IF(OR(B481="",M481=0),0,VLOOKUP(A481,Journal!$C$7:M$84,7)))</f>
        <v>0</v>
      </c>
      <c r="H481" s="102">
        <f>IF(B481="Total",SUM(H$8:H480)+0.0001,IF(OR(B481="",N481=0),0,VLOOKUP(A481,Journal!$C$7:M$84,7)))</f>
        <v>0</v>
      </c>
      <c r="I481" s="87">
        <f t="shared" si="46"/>
        <v>0</v>
      </c>
      <c r="K481" s="13">
        <f>VLOOKUP(A481,Journal!$C$7:$M$84,4)</f>
        <v>0</v>
      </c>
      <c r="L481" s="13">
        <f>VLOOKUP(A481,Journal!$C$7:$M$84,5)</f>
        <v>0</v>
      </c>
      <c r="M481" s="13">
        <f t="shared" si="48"/>
        <v>0</v>
      </c>
      <c r="N481" s="13">
        <f t="shared" si="49"/>
        <v>0</v>
      </c>
      <c r="O481" s="13"/>
      <c r="P481" s="13">
        <f t="shared" si="50"/>
        <v>1.0000000000000001E-5</v>
      </c>
      <c r="T481" t="str">
        <f t="shared" si="45"/>
        <v/>
      </c>
    </row>
    <row r="482" spans="1:20" x14ac:dyDescent="0.25">
      <c r="A482">
        <f t="shared" si="47"/>
        <v>475</v>
      </c>
      <c r="B482" s="88" t="str">
        <f>IF(OR(B481="Total",B481=""),"",IF(VLOOKUP(A482,Journal!$C$7:$E$84,3)=0,"Total",VLOOKUP(A482,Journal!$C$7:$D$84,2)))</f>
        <v/>
      </c>
      <c r="C482" s="86" t="str">
        <f>IF(B482="","",VLOOKUP(A482,Journal!$C$7:$E$84,3))</f>
        <v/>
      </c>
      <c r="D482" s="84" t="str">
        <f>IF(B482="","",VLOOKUP(A482,Journal!$C$7:$J$84,8))</f>
        <v/>
      </c>
      <c r="E482" s="84" t="str">
        <f>IF(B482="","",VLOOKUP(A482,Journal!$C$7:$L$84,10))</f>
        <v/>
      </c>
      <c r="F482" s="84" t="str">
        <f>IF(B482="","",VLOOKUP(A482,Journal!$C$7:$M$84,11))</f>
        <v/>
      </c>
      <c r="G482" s="102">
        <f>IF(B482="Total",SUM(G$8:G481)+0.0001,IF(OR(B482="",M482=0),0,VLOOKUP(A482,Journal!$C$7:M$84,7)))</f>
        <v>0</v>
      </c>
      <c r="H482" s="102">
        <f>IF(B482="Total",SUM(H$8:H481)+0.0001,IF(OR(B482="",N482=0),0,VLOOKUP(A482,Journal!$C$7:M$84,7)))</f>
        <v>0</v>
      </c>
      <c r="I482" s="87">
        <f t="shared" si="46"/>
        <v>0</v>
      </c>
      <c r="K482" s="13">
        <f>VLOOKUP(A482,Journal!$C$7:$M$84,4)</f>
        <v>0</v>
      </c>
      <c r="L482" s="13">
        <f>VLOOKUP(A482,Journal!$C$7:$M$84,5)</f>
        <v>0</v>
      </c>
      <c r="M482" s="13">
        <f t="shared" si="48"/>
        <v>0</v>
      </c>
      <c r="N482" s="13">
        <f t="shared" si="49"/>
        <v>0</v>
      </c>
      <c r="O482" s="13"/>
      <c r="P482" s="13">
        <f t="shared" si="50"/>
        <v>1.0000000000000001E-5</v>
      </c>
      <c r="T482" t="str">
        <f t="shared" si="45"/>
        <v/>
      </c>
    </row>
    <row r="483" spans="1:20" x14ac:dyDescent="0.25">
      <c r="A483">
        <f t="shared" si="47"/>
        <v>476</v>
      </c>
      <c r="B483" s="88" t="str">
        <f>IF(OR(B482="Total",B482=""),"",IF(VLOOKUP(A483,Journal!$C$7:$E$84,3)=0,"Total",VLOOKUP(A483,Journal!$C$7:$D$84,2)))</f>
        <v/>
      </c>
      <c r="C483" s="86" t="str">
        <f>IF(B483="","",VLOOKUP(A483,Journal!$C$7:$E$84,3))</f>
        <v/>
      </c>
      <c r="D483" s="84" t="str">
        <f>IF(B483="","",VLOOKUP(A483,Journal!$C$7:$J$84,8))</f>
        <v/>
      </c>
      <c r="E483" s="84" t="str">
        <f>IF(B483="","",VLOOKUP(A483,Journal!$C$7:$L$84,10))</f>
        <v/>
      </c>
      <c r="F483" s="84" t="str">
        <f>IF(B483="","",VLOOKUP(A483,Journal!$C$7:$M$84,11))</f>
        <v/>
      </c>
      <c r="G483" s="102">
        <f>IF(B483="Total",SUM(G$8:G482)+0.0001,IF(OR(B483="",M483=0),0,VLOOKUP(A483,Journal!$C$7:M$84,7)))</f>
        <v>0</v>
      </c>
      <c r="H483" s="102">
        <f>IF(B483="Total",SUM(H$8:H482)+0.0001,IF(OR(B483="",N483=0),0,VLOOKUP(A483,Journal!$C$7:M$84,7)))</f>
        <v>0</v>
      </c>
      <c r="I483" s="87">
        <f t="shared" si="46"/>
        <v>0</v>
      </c>
      <c r="K483" s="13">
        <f>VLOOKUP(A483,Journal!$C$7:$M$84,4)</f>
        <v>0</v>
      </c>
      <c r="L483" s="13">
        <f>VLOOKUP(A483,Journal!$C$7:$M$84,5)</f>
        <v>0</v>
      </c>
      <c r="M483" s="13">
        <f t="shared" si="48"/>
        <v>0</v>
      </c>
      <c r="N483" s="13">
        <f t="shared" si="49"/>
        <v>0</v>
      </c>
      <c r="O483" s="13"/>
      <c r="P483" s="13">
        <f t="shared" si="50"/>
        <v>1.0000000000000001E-5</v>
      </c>
      <c r="T483" t="str">
        <f t="shared" si="45"/>
        <v/>
      </c>
    </row>
    <row r="484" spans="1:20" x14ac:dyDescent="0.25">
      <c r="A484">
        <f t="shared" si="47"/>
        <v>477</v>
      </c>
      <c r="B484" s="88" t="str">
        <f>IF(OR(B483="Total",B483=""),"",IF(VLOOKUP(A484,Journal!$C$7:$E$84,3)=0,"Total",VLOOKUP(A484,Journal!$C$7:$D$84,2)))</f>
        <v/>
      </c>
      <c r="C484" s="86" t="str">
        <f>IF(B484="","",VLOOKUP(A484,Journal!$C$7:$E$84,3))</f>
        <v/>
      </c>
      <c r="D484" s="84" t="str">
        <f>IF(B484="","",VLOOKUP(A484,Journal!$C$7:$J$84,8))</f>
        <v/>
      </c>
      <c r="E484" s="84" t="str">
        <f>IF(B484="","",VLOOKUP(A484,Journal!$C$7:$L$84,10))</f>
        <v/>
      </c>
      <c r="F484" s="84" t="str">
        <f>IF(B484="","",VLOOKUP(A484,Journal!$C$7:$M$84,11))</f>
        <v/>
      </c>
      <c r="G484" s="102">
        <f>IF(B484="Total",SUM(G$8:G483)+0.0001,IF(OR(B484="",M484=0),0,VLOOKUP(A484,Journal!$C$7:M$84,7)))</f>
        <v>0</v>
      </c>
      <c r="H484" s="102">
        <f>IF(B484="Total",SUM(H$8:H483)+0.0001,IF(OR(B484="",N484=0),0,VLOOKUP(A484,Journal!$C$7:M$84,7)))</f>
        <v>0</v>
      </c>
      <c r="I484" s="87">
        <f t="shared" si="46"/>
        <v>0</v>
      </c>
      <c r="K484" s="13">
        <f>VLOOKUP(A484,Journal!$C$7:$M$84,4)</f>
        <v>0</v>
      </c>
      <c r="L484" s="13">
        <f>VLOOKUP(A484,Journal!$C$7:$M$84,5)</f>
        <v>0</v>
      </c>
      <c r="M484" s="13">
        <f t="shared" si="48"/>
        <v>0</v>
      </c>
      <c r="N484" s="13">
        <f t="shared" si="49"/>
        <v>0</v>
      </c>
      <c r="O484" s="13"/>
      <c r="P484" s="13">
        <f t="shared" si="50"/>
        <v>1.0000000000000001E-5</v>
      </c>
      <c r="T484" t="str">
        <f t="shared" si="45"/>
        <v/>
      </c>
    </row>
    <row r="485" spans="1:20" x14ac:dyDescent="0.25">
      <c r="A485">
        <f t="shared" si="47"/>
        <v>478</v>
      </c>
      <c r="B485" s="88" t="str">
        <f>IF(OR(B484="Total",B484=""),"",IF(VLOOKUP(A485,Journal!$C$7:$E$84,3)=0,"Total",VLOOKUP(A485,Journal!$C$7:$D$84,2)))</f>
        <v/>
      </c>
      <c r="C485" s="86" t="str">
        <f>IF(B485="","",VLOOKUP(A485,Journal!$C$7:$E$84,3))</f>
        <v/>
      </c>
      <c r="D485" s="84" t="str">
        <f>IF(B485="","",VLOOKUP(A485,Journal!$C$7:$J$84,8))</f>
        <v/>
      </c>
      <c r="E485" s="84" t="str">
        <f>IF(B485="","",VLOOKUP(A485,Journal!$C$7:$L$84,10))</f>
        <v/>
      </c>
      <c r="F485" s="84" t="str">
        <f>IF(B485="","",VLOOKUP(A485,Journal!$C$7:$M$84,11))</f>
        <v/>
      </c>
      <c r="G485" s="102">
        <f>IF(B485="Total",SUM(G$8:G484)+0.0001,IF(OR(B485="",M485=0),0,VLOOKUP(A485,Journal!$C$7:M$84,7)))</f>
        <v>0</v>
      </c>
      <c r="H485" s="102">
        <f>IF(B485="Total",SUM(H$8:H484)+0.0001,IF(OR(B485="",N485=0),0,VLOOKUP(A485,Journal!$C$7:M$84,7)))</f>
        <v>0</v>
      </c>
      <c r="I485" s="87">
        <f t="shared" si="46"/>
        <v>0</v>
      </c>
      <c r="K485" s="13">
        <f>VLOOKUP(A485,Journal!$C$7:$M$84,4)</f>
        <v>0</v>
      </c>
      <c r="L485" s="13">
        <f>VLOOKUP(A485,Journal!$C$7:$M$84,5)</f>
        <v>0</v>
      </c>
      <c r="M485" s="13">
        <f t="shared" si="48"/>
        <v>0</v>
      </c>
      <c r="N485" s="13">
        <f t="shared" si="49"/>
        <v>0</v>
      </c>
      <c r="O485" s="13"/>
      <c r="P485" s="13">
        <f t="shared" si="50"/>
        <v>1.0000000000000001E-5</v>
      </c>
      <c r="T485" t="str">
        <f t="shared" si="45"/>
        <v/>
      </c>
    </row>
    <row r="486" spans="1:20" x14ac:dyDescent="0.25">
      <c r="A486">
        <f t="shared" si="47"/>
        <v>479</v>
      </c>
      <c r="B486" s="88" t="str">
        <f>IF(OR(B485="Total",B485=""),"",IF(VLOOKUP(A486,Journal!$C$7:$E$84,3)=0,"Total",VLOOKUP(A486,Journal!$C$7:$D$84,2)))</f>
        <v/>
      </c>
      <c r="C486" s="86" t="str">
        <f>IF(B486="","",VLOOKUP(A486,Journal!$C$7:$E$84,3))</f>
        <v/>
      </c>
      <c r="D486" s="84" t="str">
        <f>IF(B486="","",VLOOKUP(A486,Journal!$C$7:$J$84,8))</f>
        <v/>
      </c>
      <c r="E486" s="84" t="str">
        <f>IF(B486="","",VLOOKUP(A486,Journal!$C$7:$L$84,10))</f>
        <v/>
      </c>
      <c r="F486" s="84" t="str">
        <f>IF(B486="","",VLOOKUP(A486,Journal!$C$7:$M$84,11))</f>
        <v/>
      </c>
      <c r="G486" s="102">
        <f>IF(B486="Total",SUM(G$8:G485)+0.0001,IF(OR(B486="",M486=0),0,VLOOKUP(A486,Journal!$C$7:M$84,7)))</f>
        <v>0</v>
      </c>
      <c r="H486" s="102">
        <f>IF(B486="Total",SUM(H$8:H485)+0.0001,IF(OR(B486="",N486=0),0,VLOOKUP(A486,Journal!$C$7:M$84,7)))</f>
        <v>0</v>
      </c>
      <c r="I486" s="87">
        <f t="shared" si="46"/>
        <v>0</v>
      </c>
      <c r="K486" s="13">
        <f>VLOOKUP(A486,Journal!$C$7:$M$84,4)</f>
        <v>0</v>
      </c>
      <c r="L486" s="13">
        <f>VLOOKUP(A486,Journal!$C$7:$M$84,5)</f>
        <v>0</v>
      </c>
      <c r="M486" s="13">
        <f t="shared" si="48"/>
        <v>0</v>
      </c>
      <c r="N486" s="13">
        <f t="shared" si="49"/>
        <v>0</v>
      </c>
      <c r="O486" s="13"/>
      <c r="P486" s="13">
        <f t="shared" si="50"/>
        <v>1.0000000000000001E-5</v>
      </c>
      <c r="T486" t="str">
        <f t="shared" si="45"/>
        <v/>
      </c>
    </row>
    <row r="487" spans="1:20" x14ac:dyDescent="0.25">
      <c r="A487">
        <f t="shared" si="47"/>
        <v>480</v>
      </c>
      <c r="B487" s="88" t="str">
        <f>IF(OR(B486="Total",B486=""),"",IF(VLOOKUP(A487,Journal!$C$7:$E$84,3)=0,"Total",VLOOKUP(A487,Journal!$C$7:$D$84,2)))</f>
        <v/>
      </c>
      <c r="C487" s="86" t="str">
        <f>IF(B487="","",VLOOKUP(A487,Journal!$C$7:$E$84,3))</f>
        <v/>
      </c>
      <c r="D487" s="84" t="str">
        <f>IF(B487="","",VLOOKUP(A487,Journal!$C$7:$J$84,8))</f>
        <v/>
      </c>
      <c r="E487" s="84" t="str">
        <f>IF(B487="","",VLOOKUP(A487,Journal!$C$7:$L$84,10))</f>
        <v/>
      </c>
      <c r="F487" s="84" t="str">
        <f>IF(B487="","",VLOOKUP(A487,Journal!$C$7:$M$84,11))</f>
        <v/>
      </c>
      <c r="G487" s="102">
        <f>IF(B487="Total",SUM(G$8:G486)+0.0001,IF(OR(B487="",M487=0),0,VLOOKUP(A487,Journal!$C$7:M$84,7)))</f>
        <v>0</v>
      </c>
      <c r="H487" s="102">
        <f>IF(B487="Total",SUM(H$8:H486)+0.0001,IF(OR(B487="",N487=0),0,VLOOKUP(A487,Journal!$C$7:M$84,7)))</f>
        <v>0</v>
      </c>
      <c r="I487" s="87">
        <f t="shared" si="46"/>
        <v>0</v>
      </c>
      <c r="K487" s="13">
        <f>VLOOKUP(A487,Journal!$C$7:$M$84,4)</f>
        <v>0</v>
      </c>
      <c r="L487" s="13">
        <f>VLOOKUP(A487,Journal!$C$7:$M$84,5)</f>
        <v>0</v>
      </c>
      <c r="M487" s="13">
        <f t="shared" si="48"/>
        <v>0</v>
      </c>
      <c r="N487" s="13">
        <f t="shared" si="49"/>
        <v>0</v>
      </c>
      <c r="O487" s="13"/>
      <c r="P487" s="13">
        <f t="shared" si="50"/>
        <v>1.0000000000000001E-5</v>
      </c>
      <c r="T487" t="str">
        <f t="shared" si="45"/>
        <v/>
      </c>
    </row>
    <row r="488" spans="1:20" x14ac:dyDescent="0.25">
      <c r="A488">
        <f t="shared" si="47"/>
        <v>481</v>
      </c>
      <c r="B488" s="88" t="str">
        <f>IF(OR(B487="Total",B487=""),"",IF(VLOOKUP(A488,Journal!$C$7:$E$84,3)=0,"Total",VLOOKUP(A488,Journal!$C$7:$D$84,2)))</f>
        <v/>
      </c>
      <c r="C488" s="86" t="str">
        <f>IF(B488="","",VLOOKUP(A488,Journal!$C$7:$E$84,3))</f>
        <v/>
      </c>
      <c r="D488" s="84" t="str">
        <f>IF(B488="","",VLOOKUP(A488,Journal!$C$7:$J$84,8))</f>
        <v/>
      </c>
      <c r="E488" s="84" t="str">
        <f>IF(B488="","",VLOOKUP(A488,Journal!$C$7:$L$84,10))</f>
        <v/>
      </c>
      <c r="F488" s="84" t="str">
        <f>IF(B488="","",VLOOKUP(A488,Journal!$C$7:$M$84,11))</f>
        <v/>
      </c>
      <c r="G488" s="102">
        <f>IF(B488="Total",SUM(G$8:G487)+0.0001,IF(OR(B488="",M488=0),0,VLOOKUP(A488,Journal!$C$7:M$84,7)))</f>
        <v>0</v>
      </c>
      <c r="H488" s="102">
        <f>IF(B488="Total",SUM(H$8:H487)+0.0001,IF(OR(B488="",N488=0),0,VLOOKUP(A488,Journal!$C$7:M$84,7)))</f>
        <v>0</v>
      </c>
      <c r="I488" s="87">
        <f t="shared" si="46"/>
        <v>0</v>
      </c>
      <c r="K488" s="13">
        <f>VLOOKUP(A488,Journal!$C$7:$M$84,4)</f>
        <v>0</v>
      </c>
      <c r="L488" s="13">
        <f>VLOOKUP(A488,Journal!$C$7:$M$84,5)</f>
        <v>0</v>
      </c>
      <c r="M488" s="13">
        <f t="shared" si="48"/>
        <v>0</v>
      </c>
      <c r="N488" s="13">
        <f t="shared" si="49"/>
        <v>0</v>
      </c>
      <c r="O488" s="13"/>
      <c r="P488" s="13">
        <f t="shared" si="50"/>
        <v>1.0000000000000001E-5</v>
      </c>
      <c r="T488" t="str">
        <f t="shared" si="45"/>
        <v/>
      </c>
    </row>
    <row r="489" spans="1:20" x14ac:dyDescent="0.25">
      <c r="A489">
        <f t="shared" si="47"/>
        <v>482</v>
      </c>
      <c r="B489" s="88" t="str">
        <f>IF(OR(B488="Total",B488=""),"",IF(VLOOKUP(A489,Journal!$C$7:$E$84,3)=0,"Total",VLOOKUP(A489,Journal!$C$7:$D$84,2)))</f>
        <v/>
      </c>
      <c r="C489" s="86" t="str">
        <f>IF(B489="","",VLOOKUP(A489,Journal!$C$7:$E$84,3))</f>
        <v/>
      </c>
      <c r="D489" s="84" t="str">
        <f>IF(B489="","",VLOOKUP(A489,Journal!$C$7:$J$84,8))</f>
        <v/>
      </c>
      <c r="E489" s="84" t="str">
        <f>IF(B489="","",VLOOKUP(A489,Journal!$C$7:$L$84,10))</f>
        <v/>
      </c>
      <c r="F489" s="84" t="str">
        <f>IF(B489="","",VLOOKUP(A489,Journal!$C$7:$M$84,11))</f>
        <v/>
      </c>
      <c r="G489" s="102">
        <f>IF(B489="Total",SUM(G$8:G488)+0.0001,IF(OR(B489="",M489=0),0,VLOOKUP(A489,Journal!$C$7:M$84,7)))</f>
        <v>0</v>
      </c>
      <c r="H489" s="102">
        <f>IF(B489="Total",SUM(H$8:H488)+0.0001,IF(OR(B489="",N489=0),0,VLOOKUP(A489,Journal!$C$7:M$84,7)))</f>
        <v>0</v>
      </c>
      <c r="I489" s="87">
        <f t="shared" si="46"/>
        <v>0</v>
      </c>
      <c r="K489" s="13">
        <f>VLOOKUP(A489,Journal!$C$7:$M$84,4)</f>
        <v>0</v>
      </c>
      <c r="L489" s="13">
        <f>VLOOKUP(A489,Journal!$C$7:$M$84,5)</f>
        <v>0</v>
      </c>
      <c r="M489" s="13">
        <f t="shared" si="48"/>
        <v>0</v>
      </c>
      <c r="N489" s="13">
        <f t="shared" si="49"/>
        <v>0</v>
      </c>
      <c r="O489" s="13"/>
      <c r="P489" s="13">
        <f t="shared" si="50"/>
        <v>1.0000000000000001E-5</v>
      </c>
      <c r="T489" t="str">
        <f t="shared" si="45"/>
        <v/>
      </c>
    </row>
    <row r="490" spans="1:20" x14ac:dyDescent="0.25">
      <c r="A490">
        <f t="shared" si="47"/>
        <v>483</v>
      </c>
      <c r="B490" s="88" t="str">
        <f>IF(OR(B489="Total",B489=""),"",IF(VLOOKUP(A490,Journal!$C$7:$E$84,3)=0,"Total",VLOOKUP(A490,Journal!$C$7:$D$84,2)))</f>
        <v/>
      </c>
      <c r="C490" s="86" t="str">
        <f>IF(B490="","",VLOOKUP(A490,Journal!$C$7:$E$84,3))</f>
        <v/>
      </c>
      <c r="D490" s="84" t="str">
        <f>IF(B490="","",VLOOKUP(A490,Journal!$C$7:$J$84,8))</f>
        <v/>
      </c>
      <c r="E490" s="84" t="str">
        <f>IF(B490="","",VLOOKUP(A490,Journal!$C$7:$L$84,10))</f>
        <v/>
      </c>
      <c r="F490" s="84" t="str">
        <f>IF(B490="","",VLOOKUP(A490,Journal!$C$7:$M$84,11))</f>
        <v/>
      </c>
      <c r="G490" s="102">
        <f>IF(B490="Total",SUM(G$8:G489)+0.0001,IF(OR(B490="",M490=0),0,VLOOKUP(A490,Journal!$C$7:M$84,7)))</f>
        <v>0</v>
      </c>
      <c r="H490" s="102">
        <f>IF(B490="Total",SUM(H$8:H489)+0.0001,IF(OR(B490="",N490=0),0,VLOOKUP(A490,Journal!$C$7:M$84,7)))</f>
        <v>0</v>
      </c>
      <c r="I490" s="87">
        <f t="shared" si="46"/>
        <v>0</v>
      </c>
      <c r="K490" s="13">
        <f>VLOOKUP(A490,Journal!$C$7:$M$84,4)</f>
        <v>0</v>
      </c>
      <c r="L490" s="13">
        <f>VLOOKUP(A490,Journal!$C$7:$M$84,5)</f>
        <v>0</v>
      </c>
      <c r="M490" s="13">
        <f t="shared" si="48"/>
        <v>0</v>
      </c>
      <c r="N490" s="13">
        <f t="shared" si="49"/>
        <v>0</v>
      </c>
      <c r="O490" s="13"/>
      <c r="P490" s="13">
        <f t="shared" si="50"/>
        <v>1.0000000000000001E-5</v>
      </c>
      <c r="T490" t="str">
        <f t="shared" si="45"/>
        <v/>
      </c>
    </row>
    <row r="491" spans="1:20" x14ac:dyDescent="0.25">
      <c r="A491">
        <f t="shared" si="47"/>
        <v>484</v>
      </c>
      <c r="B491" s="88" t="str">
        <f>IF(OR(B490="Total",B490=""),"",IF(VLOOKUP(A491,Journal!$C$7:$E$84,3)=0,"Total",VLOOKUP(A491,Journal!$C$7:$D$84,2)))</f>
        <v/>
      </c>
      <c r="C491" s="86" t="str">
        <f>IF(B491="","",VLOOKUP(A491,Journal!$C$7:$E$84,3))</f>
        <v/>
      </c>
      <c r="D491" s="84" t="str">
        <f>IF(B491="","",VLOOKUP(A491,Journal!$C$7:$J$84,8))</f>
        <v/>
      </c>
      <c r="E491" s="84" t="str">
        <f>IF(B491="","",VLOOKUP(A491,Journal!$C$7:$L$84,10))</f>
        <v/>
      </c>
      <c r="F491" s="84" t="str">
        <f>IF(B491="","",VLOOKUP(A491,Journal!$C$7:$M$84,11))</f>
        <v/>
      </c>
      <c r="G491" s="102">
        <f>IF(B491="Total",SUM(G$8:G490)+0.0001,IF(OR(B491="",M491=0),0,VLOOKUP(A491,Journal!$C$7:M$84,7)))</f>
        <v>0</v>
      </c>
      <c r="H491" s="102">
        <f>IF(B491="Total",SUM(H$8:H490)+0.0001,IF(OR(B491="",N491=0),0,VLOOKUP(A491,Journal!$C$7:M$84,7)))</f>
        <v>0</v>
      </c>
      <c r="I491" s="87">
        <f t="shared" si="46"/>
        <v>0</v>
      </c>
      <c r="K491" s="13">
        <f>VLOOKUP(A491,Journal!$C$7:$M$84,4)</f>
        <v>0</v>
      </c>
      <c r="L491" s="13">
        <f>VLOOKUP(A491,Journal!$C$7:$M$84,5)</f>
        <v>0</v>
      </c>
      <c r="M491" s="13">
        <f t="shared" si="48"/>
        <v>0</v>
      </c>
      <c r="N491" s="13">
        <f t="shared" si="49"/>
        <v>0</v>
      </c>
      <c r="O491" s="13"/>
      <c r="P491" s="13">
        <f t="shared" si="50"/>
        <v>1.0000000000000001E-5</v>
      </c>
      <c r="T491" t="str">
        <f t="shared" si="45"/>
        <v/>
      </c>
    </row>
    <row r="492" spans="1:20" x14ac:dyDescent="0.25">
      <c r="A492">
        <f t="shared" si="47"/>
        <v>485</v>
      </c>
      <c r="B492" s="88" t="str">
        <f>IF(OR(B491="Total",B491=""),"",IF(VLOOKUP(A492,Journal!$C$7:$E$84,3)=0,"Total",VLOOKUP(A492,Journal!$C$7:$D$84,2)))</f>
        <v/>
      </c>
      <c r="C492" s="86" t="str">
        <f>IF(B492="","",VLOOKUP(A492,Journal!$C$7:$E$84,3))</f>
        <v/>
      </c>
      <c r="D492" s="84" t="str">
        <f>IF(B492="","",VLOOKUP(A492,Journal!$C$7:$J$84,8))</f>
        <v/>
      </c>
      <c r="E492" s="84" t="str">
        <f>IF(B492="","",VLOOKUP(A492,Journal!$C$7:$L$84,10))</f>
        <v/>
      </c>
      <c r="F492" s="84" t="str">
        <f>IF(B492="","",VLOOKUP(A492,Journal!$C$7:$M$84,11))</f>
        <v/>
      </c>
      <c r="G492" s="102">
        <f>IF(B492="Total",SUM(G$8:G491)+0.0001,IF(OR(B492="",M492=0),0,VLOOKUP(A492,Journal!$C$7:M$84,7)))</f>
        <v>0</v>
      </c>
      <c r="H492" s="102">
        <f>IF(B492="Total",SUM(H$8:H491)+0.0001,IF(OR(B492="",N492=0),0,VLOOKUP(A492,Journal!$C$7:M$84,7)))</f>
        <v>0</v>
      </c>
      <c r="I492" s="87">
        <f t="shared" si="46"/>
        <v>0</v>
      </c>
      <c r="K492" s="13">
        <f>VLOOKUP(A492,Journal!$C$7:$M$84,4)</f>
        <v>0</v>
      </c>
      <c r="L492" s="13">
        <f>VLOOKUP(A492,Journal!$C$7:$M$84,5)</f>
        <v>0</v>
      </c>
      <c r="M492" s="13">
        <f t="shared" si="48"/>
        <v>0</v>
      </c>
      <c r="N492" s="13">
        <f t="shared" si="49"/>
        <v>0</v>
      </c>
      <c r="O492" s="13"/>
      <c r="P492" s="13">
        <f t="shared" si="50"/>
        <v>1.0000000000000001E-5</v>
      </c>
      <c r="T492" t="str">
        <f t="shared" si="45"/>
        <v/>
      </c>
    </row>
    <row r="493" spans="1:20" x14ac:dyDescent="0.25">
      <c r="A493">
        <f t="shared" si="47"/>
        <v>486</v>
      </c>
      <c r="B493" s="88" t="str">
        <f>IF(OR(B492="Total",B492=""),"",IF(VLOOKUP(A493,Journal!$C$7:$E$84,3)=0,"Total",VLOOKUP(A493,Journal!$C$7:$D$84,2)))</f>
        <v/>
      </c>
      <c r="C493" s="86" t="str">
        <f>IF(B493="","",VLOOKUP(A493,Journal!$C$7:$E$84,3))</f>
        <v/>
      </c>
      <c r="D493" s="84" t="str">
        <f>IF(B493="","",VLOOKUP(A493,Journal!$C$7:$J$84,8))</f>
        <v/>
      </c>
      <c r="E493" s="84" t="str">
        <f>IF(B493="","",VLOOKUP(A493,Journal!$C$7:$L$84,10))</f>
        <v/>
      </c>
      <c r="F493" s="84" t="str">
        <f>IF(B493="","",VLOOKUP(A493,Journal!$C$7:$M$84,11))</f>
        <v/>
      </c>
      <c r="G493" s="102">
        <f>IF(B493="Total",SUM(G$8:G492)+0.0001,IF(OR(B493="",M493=0),0,VLOOKUP(A493,Journal!$C$7:M$84,7)))</f>
        <v>0</v>
      </c>
      <c r="H493" s="102">
        <f>IF(B493="Total",SUM(H$8:H492)+0.0001,IF(OR(B493="",N493=0),0,VLOOKUP(A493,Journal!$C$7:M$84,7)))</f>
        <v>0</v>
      </c>
      <c r="I493" s="87">
        <f t="shared" si="46"/>
        <v>0</v>
      </c>
      <c r="K493" s="13">
        <f>VLOOKUP(A493,Journal!$C$7:$M$84,4)</f>
        <v>0</v>
      </c>
      <c r="L493" s="13">
        <f>VLOOKUP(A493,Journal!$C$7:$M$84,5)</f>
        <v>0</v>
      </c>
      <c r="M493" s="13">
        <f t="shared" si="48"/>
        <v>0</v>
      </c>
      <c r="N493" s="13">
        <f t="shared" si="49"/>
        <v>0</v>
      </c>
      <c r="O493" s="13"/>
      <c r="P493" s="13">
        <f t="shared" si="50"/>
        <v>1.0000000000000001E-5</v>
      </c>
      <c r="T493" t="str">
        <f t="shared" si="45"/>
        <v/>
      </c>
    </row>
    <row r="494" spans="1:20" x14ac:dyDescent="0.25">
      <c r="A494">
        <f t="shared" si="47"/>
        <v>487</v>
      </c>
      <c r="B494" s="88" t="str">
        <f>IF(OR(B493="Total",B493=""),"",IF(VLOOKUP(A494,Journal!$C$7:$E$84,3)=0,"Total",VLOOKUP(A494,Journal!$C$7:$D$84,2)))</f>
        <v/>
      </c>
      <c r="C494" s="86" t="str">
        <f>IF(B494="","",VLOOKUP(A494,Journal!$C$7:$E$84,3))</f>
        <v/>
      </c>
      <c r="D494" s="84" t="str">
        <f>IF(B494="","",VLOOKUP(A494,Journal!$C$7:$J$84,8))</f>
        <v/>
      </c>
      <c r="E494" s="84" t="str">
        <f>IF(B494="","",VLOOKUP(A494,Journal!$C$7:$L$84,10))</f>
        <v/>
      </c>
      <c r="F494" s="84" t="str">
        <f>IF(B494="","",VLOOKUP(A494,Journal!$C$7:$M$84,11))</f>
        <v/>
      </c>
      <c r="G494" s="102">
        <f>IF(B494="Total",SUM(G$8:G493)+0.0001,IF(OR(B494="",M494=0),0,VLOOKUP(A494,Journal!$C$7:M$84,7)))</f>
        <v>0</v>
      </c>
      <c r="H494" s="102">
        <f>IF(B494="Total",SUM(H$8:H493)+0.0001,IF(OR(B494="",N494=0),0,VLOOKUP(A494,Journal!$C$7:M$84,7)))</f>
        <v>0</v>
      </c>
      <c r="I494" s="87">
        <f t="shared" si="46"/>
        <v>0</v>
      </c>
      <c r="K494" s="13">
        <f>VLOOKUP(A494,Journal!$C$7:$M$84,4)</f>
        <v>0</v>
      </c>
      <c r="L494" s="13">
        <f>VLOOKUP(A494,Journal!$C$7:$M$84,5)</f>
        <v>0</v>
      </c>
      <c r="M494" s="13">
        <f t="shared" si="48"/>
        <v>0</v>
      </c>
      <c r="N494" s="13">
        <f t="shared" si="49"/>
        <v>0</v>
      </c>
      <c r="O494" s="13"/>
      <c r="P494" s="13">
        <f t="shared" si="50"/>
        <v>1.0000000000000001E-5</v>
      </c>
      <c r="T494" t="str">
        <f t="shared" si="45"/>
        <v/>
      </c>
    </row>
    <row r="495" spans="1:20" x14ac:dyDescent="0.25">
      <c r="A495">
        <f t="shared" si="47"/>
        <v>488</v>
      </c>
      <c r="B495" s="88" t="str">
        <f>IF(OR(B494="Total",B494=""),"",IF(VLOOKUP(A495,Journal!$C$7:$E$84,3)=0,"Total",VLOOKUP(A495,Journal!$C$7:$D$84,2)))</f>
        <v/>
      </c>
      <c r="C495" s="86" t="str">
        <f>IF(B495="","",VLOOKUP(A495,Journal!$C$7:$E$84,3))</f>
        <v/>
      </c>
      <c r="D495" s="84" t="str">
        <f>IF(B495="","",VLOOKUP(A495,Journal!$C$7:$J$84,8))</f>
        <v/>
      </c>
      <c r="E495" s="84" t="str">
        <f>IF(B495="","",VLOOKUP(A495,Journal!$C$7:$L$84,10))</f>
        <v/>
      </c>
      <c r="F495" s="84" t="str">
        <f>IF(B495="","",VLOOKUP(A495,Journal!$C$7:$M$84,11))</f>
        <v/>
      </c>
      <c r="G495" s="102">
        <f>IF(B495="Total",SUM(G$8:G494)+0.0001,IF(OR(B495="",M495=0),0,VLOOKUP(A495,Journal!$C$7:M$84,7)))</f>
        <v>0</v>
      </c>
      <c r="H495" s="102">
        <f>IF(B495="Total",SUM(H$8:H494)+0.0001,IF(OR(B495="",N495=0),0,VLOOKUP(A495,Journal!$C$7:M$84,7)))</f>
        <v>0</v>
      </c>
      <c r="I495" s="87">
        <f t="shared" si="46"/>
        <v>0</v>
      </c>
      <c r="K495" s="13">
        <f>VLOOKUP(A495,Journal!$C$7:$M$84,4)</f>
        <v>0</v>
      </c>
      <c r="L495" s="13">
        <f>VLOOKUP(A495,Journal!$C$7:$M$84,5)</f>
        <v>0</v>
      </c>
      <c r="M495" s="13">
        <f t="shared" si="48"/>
        <v>0</v>
      </c>
      <c r="N495" s="13">
        <f t="shared" si="49"/>
        <v>0</v>
      </c>
      <c r="O495" s="13"/>
      <c r="P495" s="13">
        <f t="shared" si="50"/>
        <v>1.0000000000000001E-5</v>
      </c>
      <c r="T495" t="str">
        <f t="shared" si="45"/>
        <v/>
      </c>
    </row>
    <row r="496" spans="1:20" x14ac:dyDescent="0.25">
      <c r="A496">
        <f t="shared" si="47"/>
        <v>489</v>
      </c>
      <c r="B496" s="88" t="str">
        <f>IF(OR(B495="Total",B495=""),"",IF(VLOOKUP(A496,Journal!$C$7:$E$84,3)=0,"Total",VLOOKUP(A496,Journal!$C$7:$D$84,2)))</f>
        <v/>
      </c>
      <c r="C496" s="86" t="str">
        <f>IF(B496="","",VLOOKUP(A496,Journal!$C$7:$E$84,3))</f>
        <v/>
      </c>
      <c r="D496" s="84" t="str">
        <f>IF(B496="","",VLOOKUP(A496,Journal!$C$7:$J$84,8))</f>
        <v/>
      </c>
      <c r="E496" s="84" t="str">
        <f>IF(B496="","",VLOOKUP(A496,Journal!$C$7:$L$84,10))</f>
        <v/>
      </c>
      <c r="F496" s="84" t="str">
        <f>IF(B496="","",VLOOKUP(A496,Journal!$C$7:$M$84,11))</f>
        <v/>
      </c>
      <c r="G496" s="102">
        <f>IF(B496="Total",SUM(G$8:G495)+0.0001,IF(OR(B496="",M496=0),0,VLOOKUP(A496,Journal!$C$7:M$84,7)))</f>
        <v>0</v>
      </c>
      <c r="H496" s="102">
        <f>IF(B496="Total",SUM(H$8:H495)+0.0001,IF(OR(B496="",N496=0),0,VLOOKUP(A496,Journal!$C$7:M$84,7)))</f>
        <v>0</v>
      </c>
      <c r="I496" s="87">
        <f t="shared" si="46"/>
        <v>0</v>
      </c>
      <c r="K496" s="13">
        <f>VLOOKUP(A496,Journal!$C$7:$M$84,4)</f>
        <v>0</v>
      </c>
      <c r="L496" s="13">
        <f>VLOOKUP(A496,Journal!$C$7:$M$84,5)</f>
        <v>0</v>
      </c>
      <c r="M496" s="13">
        <f t="shared" si="48"/>
        <v>0</v>
      </c>
      <c r="N496" s="13">
        <f t="shared" si="49"/>
        <v>0</v>
      </c>
      <c r="O496" s="13"/>
      <c r="P496" s="13">
        <f t="shared" si="50"/>
        <v>1.0000000000000001E-5</v>
      </c>
      <c r="T496" t="str">
        <f t="shared" si="45"/>
        <v/>
      </c>
    </row>
    <row r="497" spans="1:20" x14ac:dyDescent="0.25">
      <c r="A497">
        <f t="shared" si="47"/>
        <v>490</v>
      </c>
      <c r="B497" s="88" t="str">
        <f>IF(OR(B496="Total",B496=""),"",IF(VLOOKUP(A497,Journal!$C$7:$E$84,3)=0,"Total",VLOOKUP(A497,Journal!$C$7:$D$84,2)))</f>
        <v/>
      </c>
      <c r="C497" s="86" t="str">
        <f>IF(B497="","",VLOOKUP(A497,Journal!$C$7:$E$84,3))</f>
        <v/>
      </c>
      <c r="D497" s="84" t="str">
        <f>IF(B497="","",VLOOKUP(A497,Journal!$C$7:$J$84,8))</f>
        <v/>
      </c>
      <c r="E497" s="84" t="str">
        <f>IF(B497="","",VLOOKUP(A497,Journal!$C$7:$L$84,10))</f>
        <v/>
      </c>
      <c r="F497" s="84" t="str">
        <f>IF(B497="","",VLOOKUP(A497,Journal!$C$7:$M$84,11))</f>
        <v/>
      </c>
      <c r="G497" s="102">
        <f>IF(B497="Total",SUM(G$8:G496)+0.0001,IF(OR(B497="",M497=0),0,VLOOKUP(A497,Journal!$C$7:M$84,7)))</f>
        <v>0</v>
      </c>
      <c r="H497" s="102">
        <f>IF(B497="Total",SUM(H$8:H496)+0.0001,IF(OR(B497="",N497=0),0,VLOOKUP(A497,Journal!$C$7:M$84,7)))</f>
        <v>0</v>
      </c>
      <c r="I497" s="87">
        <f t="shared" si="46"/>
        <v>0</v>
      </c>
      <c r="K497" s="13">
        <f>VLOOKUP(A497,Journal!$C$7:$M$84,4)</f>
        <v>0</v>
      </c>
      <c r="L497" s="13">
        <f>VLOOKUP(A497,Journal!$C$7:$M$84,5)</f>
        <v>0</v>
      </c>
      <c r="M497" s="13">
        <f t="shared" si="48"/>
        <v>0</v>
      </c>
      <c r="N497" s="13">
        <f t="shared" si="49"/>
        <v>0</v>
      </c>
      <c r="O497" s="13"/>
      <c r="P497" s="13">
        <f t="shared" si="50"/>
        <v>1.0000000000000001E-5</v>
      </c>
      <c r="T497" t="str">
        <f t="shared" si="45"/>
        <v/>
      </c>
    </row>
    <row r="498" spans="1:20" x14ac:dyDescent="0.25">
      <c r="A498">
        <f t="shared" si="47"/>
        <v>491</v>
      </c>
      <c r="B498" s="88" t="str">
        <f>IF(OR(B497="Total",B497=""),"",IF(VLOOKUP(A498,Journal!$C$7:$E$84,3)=0,"Total",VLOOKUP(A498,Journal!$C$7:$D$84,2)))</f>
        <v/>
      </c>
      <c r="C498" s="86" t="str">
        <f>IF(B498="","",VLOOKUP(A498,Journal!$C$7:$E$84,3))</f>
        <v/>
      </c>
      <c r="D498" s="84" t="str">
        <f>IF(B498="","",VLOOKUP(A498,Journal!$C$7:$J$84,8))</f>
        <v/>
      </c>
      <c r="E498" s="84" t="str">
        <f>IF(B498="","",VLOOKUP(A498,Journal!$C$7:$L$84,10))</f>
        <v/>
      </c>
      <c r="F498" s="84" t="str">
        <f>IF(B498="","",VLOOKUP(A498,Journal!$C$7:$M$84,11))</f>
        <v/>
      </c>
      <c r="G498" s="102">
        <f>IF(B498="Total",SUM(G$8:G497)+0.0001,IF(OR(B498="",M498=0),0,VLOOKUP(A498,Journal!$C$7:M$84,7)))</f>
        <v>0</v>
      </c>
      <c r="H498" s="102">
        <f>IF(B498="Total",SUM(H$8:H497)+0.0001,IF(OR(B498="",N498=0),0,VLOOKUP(A498,Journal!$C$7:M$84,7)))</f>
        <v>0</v>
      </c>
      <c r="I498" s="87">
        <f t="shared" si="46"/>
        <v>0</v>
      </c>
      <c r="K498" s="13">
        <f>VLOOKUP(A498,Journal!$C$7:$M$84,4)</f>
        <v>0</v>
      </c>
      <c r="L498" s="13">
        <f>VLOOKUP(A498,Journal!$C$7:$M$84,5)</f>
        <v>0</v>
      </c>
      <c r="M498" s="13">
        <f t="shared" si="48"/>
        <v>0</v>
      </c>
      <c r="N498" s="13">
        <f t="shared" si="49"/>
        <v>0</v>
      </c>
      <c r="O498" s="13"/>
      <c r="P498" s="13">
        <f t="shared" si="50"/>
        <v>1.0000000000000001E-5</v>
      </c>
      <c r="T498" t="str">
        <f t="shared" si="45"/>
        <v/>
      </c>
    </row>
    <row r="499" spans="1:20" x14ac:dyDescent="0.25">
      <c r="A499">
        <f t="shared" si="47"/>
        <v>492</v>
      </c>
      <c r="B499" s="88" t="str">
        <f>IF(OR(B498="Total",B498=""),"",IF(VLOOKUP(A499,Journal!$C$7:$E$84,3)=0,"Total",VLOOKUP(A499,Journal!$C$7:$D$84,2)))</f>
        <v/>
      </c>
      <c r="C499" s="86" t="str">
        <f>IF(B499="","",VLOOKUP(A499,Journal!$C$7:$E$84,3))</f>
        <v/>
      </c>
      <c r="D499" s="84" t="str">
        <f>IF(B499="","",VLOOKUP(A499,Journal!$C$7:$J$84,8))</f>
        <v/>
      </c>
      <c r="E499" s="84" t="str">
        <f>IF(B499="","",VLOOKUP(A499,Journal!$C$7:$L$84,10))</f>
        <v/>
      </c>
      <c r="F499" s="84" t="str">
        <f>IF(B499="","",VLOOKUP(A499,Journal!$C$7:$M$84,11))</f>
        <v/>
      </c>
      <c r="G499" s="102">
        <f>IF(B499="Total",SUM(G$8:G498)+0.0001,IF(OR(B499="",M499=0),0,VLOOKUP(A499,Journal!$C$7:M$84,7)))</f>
        <v>0</v>
      </c>
      <c r="H499" s="102">
        <f>IF(B499="Total",SUM(H$8:H498)+0.0001,IF(OR(B499="",N499=0),0,VLOOKUP(A499,Journal!$C$7:M$84,7)))</f>
        <v>0</v>
      </c>
      <c r="I499" s="87">
        <f t="shared" si="46"/>
        <v>0</v>
      </c>
      <c r="K499" s="13">
        <f>VLOOKUP(A499,Journal!$C$7:$M$84,4)</f>
        <v>0</v>
      </c>
      <c r="L499" s="13">
        <f>VLOOKUP(A499,Journal!$C$7:$M$84,5)</f>
        <v>0</v>
      </c>
      <c r="M499" s="13">
        <f t="shared" si="48"/>
        <v>0</v>
      </c>
      <c r="N499" s="13">
        <f t="shared" si="49"/>
        <v>0</v>
      </c>
      <c r="O499" s="13"/>
      <c r="P499" s="13">
        <f t="shared" si="50"/>
        <v>1.0000000000000001E-5</v>
      </c>
      <c r="T499" t="str">
        <f t="shared" si="45"/>
        <v/>
      </c>
    </row>
    <row r="500" spans="1:20" x14ac:dyDescent="0.25">
      <c r="A500">
        <f t="shared" si="47"/>
        <v>493</v>
      </c>
      <c r="B500" s="88" t="str">
        <f>IF(OR(B499="Total",B499=""),"",IF(VLOOKUP(A500,Journal!$C$7:$E$84,3)=0,"Total",VLOOKUP(A500,Journal!$C$7:$D$84,2)))</f>
        <v/>
      </c>
      <c r="C500" s="86" t="str">
        <f>IF(B500="","",VLOOKUP(A500,Journal!$C$7:$E$84,3))</f>
        <v/>
      </c>
      <c r="D500" s="84" t="str">
        <f>IF(B500="","",VLOOKUP(A500,Journal!$C$7:$J$84,8))</f>
        <v/>
      </c>
      <c r="E500" s="84" t="str">
        <f>IF(B500="","",VLOOKUP(A500,Journal!$C$7:$L$84,10))</f>
        <v/>
      </c>
      <c r="F500" s="84" t="str">
        <f>IF(B500="","",VLOOKUP(A500,Journal!$C$7:$M$84,11))</f>
        <v/>
      </c>
      <c r="G500" s="102">
        <f>IF(B500="Total",SUM(G$8:G499)+0.0001,IF(OR(B500="",M500=0),0,VLOOKUP(A500,Journal!$C$7:M$84,7)))</f>
        <v>0</v>
      </c>
      <c r="H500" s="102">
        <f>IF(B500="Total",SUM(H$8:H499)+0.0001,IF(OR(B500="",N500=0),0,VLOOKUP(A500,Journal!$C$7:M$84,7)))</f>
        <v>0</v>
      </c>
      <c r="I500" s="87">
        <f t="shared" si="46"/>
        <v>0</v>
      </c>
      <c r="K500" s="13">
        <f>VLOOKUP(A500,Journal!$C$7:$M$84,4)</f>
        <v>0</v>
      </c>
      <c r="L500" s="13">
        <f>VLOOKUP(A500,Journal!$C$7:$M$84,5)</f>
        <v>0</v>
      </c>
      <c r="M500" s="13">
        <f t="shared" si="48"/>
        <v>0</v>
      </c>
      <c r="N500" s="13">
        <f t="shared" si="49"/>
        <v>0</v>
      </c>
      <c r="O500" s="13"/>
      <c r="P500" s="13">
        <f t="shared" si="50"/>
        <v>1.0000000000000001E-5</v>
      </c>
      <c r="T500" t="str">
        <f t="shared" si="45"/>
        <v/>
      </c>
    </row>
    <row r="501" spans="1:20" x14ac:dyDescent="0.25">
      <c r="A501">
        <f t="shared" si="47"/>
        <v>494</v>
      </c>
      <c r="B501" s="88" t="str">
        <f>IF(OR(B500="Total",B500=""),"",IF(VLOOKUP(A501,Journal!$C$7:$E$84,3)=0,"Total",VLOOKUP(A501,Journal!$C$7:$D$84,2)))</f>
        <v/>
      </c>
      <c r="C501" s="86" t="str">
        <f>IF(B501="","",VLOOKUP(A501,Journal!$C$7:$E$84,3))</f>
        <v/>
      </c>
      <c r="D501" s="84" t="str">
        <f>IF(B501="","",VLOOKUP(A501,Journal!$C$7:$J$84,8))</f>
        <v/>
      </c>
      <c r="E501" s="84" t="str">
        <f>IF(B501="","",VLOOKUP(A501,Journal!$C$7:$L$84,10))</f>
        <v/>
      </c>
      <c r="F501" s="84" t="str">
        <f>IF(B501="","",VLOOKUP(A501,Journal!$C$7:$M$84,11))</f>
        <v/>
      </c>
      <c r="G501" s="102">
        <f>IF(B501="Total",SUM(G$8:G500)+0.0001,IF(OR(B501="",M501=0),0,VLOOKUP(A501,Journal!$C$7:M$84,7)))</f>
        <v>0</v>
      </c>
      <c r="H501" s="102">
        <f>IF(B501="Total",SUM(H$8:H500)+0.0001,IF(OR(B501="",N501=0),0,VLOOKUP(A501,Journal!$C$7:M$84,7)))</f>
        <v>0</v>
      </c>
      <c r="I501" s="87">
        <f t="shared" si="46"/>
        <v>0</v>
      </c>
      <c r="K501" s="13">
        <f>VLOOKUP(A501,Journal!$C$7:$M$84,4)</f>
        <v>0</v>
      </c>
      <c r="L501" s="13">
        <f>VLOOKUP(A501,Journal!$C$7:$M$84,5)</f>
        <v>0</v>
      </c>
      <c r="M501" s="13">
        <f t="shared" si="48"/>
        <v>0</v>
      </c>
      <c r="N501" s="13">
        <f t="shared" si="49"/>
        <v>0</v>
      </c>
      <c r="O501" s="13"/>
      <c r="P501" s="13">
        <f t="shared" si="50"/>
        <v>1.0000000000000001E-5</v>
      </c>
      <c r="T501" t="str">
        <f t="shared" si="45"/>
        <v/>
      </c>
    </row>
    <row r="502" spans="1:20" x14ac:dyDescent="0.25">
      <c r="A502">
        <f t="shared" si="47"/>
        <v>495</v>
      </c>
      <c r="B502" s="88" t="str">
        <f>IF(OR(B501="Total",B501=""),"",IF(VLOOKUP(A502,Journal!$C$7:$E$84,3)=0,"Total",VLOOKUP(A502,Journal!$C$7:$D$84,2)))</f>
        <v/>
      </c>
      <c r="C502" s="86" t="str">
        <f>IF(B502="","",VLOOKUP(A502,Journal!$C$7:$E$84,3))</f>
        <v/>
      </c>
      <c r="D502" s="84" t="str">
        <f>IF(B502="","",VLOOKUP(A502,Journal!$C$7:$J$84,8))</f>
        <v/>
      </c>
      <c r="E502" s="84" t="str">
        <f>IF(B502="","",VLOOKUP(A502,Journal!$C$7:$L$84,10))</f>
        <v/>
      </c>
      <c r="F502" s="84" t="str">
        <f>IF(B502="","",VLOOKUP(A502,Journal!$C$7:$M$84,11))</f>
        <v/>
      </c>
      <c r="G502" s="102">
        <f>IF(B502="Total",SUM(G$8:G501)+0.0001,IF(OR(B502="",M502=0),0,VLOOKUP(A502,Journal!$C$7:M$84,7)))</f>
        <v>0</v>
      </c>
      <c r="H502" s="102">
        <f>IF(B502="Total",SUM(H$8:H501)+0.0001,IF(OR(B502="",N502=0),0,VLOOKUP(A502,Journal!$C$7:M$84,7)))</f>
        <v>0</v>
      </c>
      <c r="I502" s="87">
        <f t="shared" si="46"/>
        <v>0</v>
      </c>
      <c r="K502" s="13">
        <f>VLOOKUP(A502,Journal!$C$7:$M$84,4)</f>
        <v>0</v>
      </c>
      <c r="L502" s="13">
        <f>VLOOKUP(A502,Journal!$C$7:$M$84,5)</f>
        <v>0</v>
      </c>
      <c r="M502" s="13">
        <f t="shared" si="48"/>
        <v>0</v>
      </c>
      <c r="N502" s="13">
        <f t="shared" si="49"/>
        <v>0</v>
      </c>
      <c r="O502" s="13"/>
      <c r="P502" s="13">
        <f t="shared" si="50"/>
        <v>1.0000000000000001E-5</v>
      </c>
      <c r="T502" t="str">
        <f t="shared" si="45"/>
        <v/>
      </c>
    </row>
    <row r="503" spans="1:20" x14ac:dyDescent="0.25">
      <c r="A503">
        <f t="shared" si="47"/>
        <v>496</v>
      </c>
      <c r="B503" s="88" t="str">
        <f>IF(OR(B502="Total",B502=""),"",IF(VLOOKUP(A503,Journal!$C$7:$E$84,3)=0,"Total",VLOOKUP(A503,Journal!$C$7:$D$84,2)))</f>
        <v/>
      </c>
      <c r="C503" s="86" t="str">
        <f>IF(B503="","",VLOOKUP(A503,Journal!$C$7:$E$84,3))</f>
        <v/>
      </c>
      <c r="D503" s="84" t="str">
        <f>IF(B503="","",VLOOKUP(A503,Journal!$C$7:$J$84,8))</f>
        <v/>
      </c>
      <c r="E503" s="84" t="str">
        <f>IF(B503="","",VLOOKUP(A503,Journal!$C$7:$L$84,10))</f>
        <v/>
      </c>
      <c r="F503" s="84" t="str">
        <f>IF(B503="","",VLOOKUP(A503,Journal!$C$7:$M$84,11))</f>
        <v/>
      </c>
      <c r="G503" s="102">
        <f>IF(B503="Total",SUM(G$8:G502)+0.0001,IF(OR(B503="",M503=0),0,VLOOKUP(A503,Journal!$C$7:M$84,7)))</f>
        <v>0</v>
      </c>
      <c r="H503" s="102">
        <f>IF(B503="Total",SUM(H$8:H502)+0.0001,IF(OR(B503="",N503=0),0,VLOOKUP(A503,Journal!$C$7:M$84,7)))</f>
        <v>0</v>
      </c>
      <c r="I503" s="87">
        <f t="shared" si="46"/>
        <v>0</v>
      </c>
      <c r="K503" s="13">
        <f>VLOOKUP(A503,Journal!$C$7:$M$84,4)</f>
        <v>0</v>
      </c>
      <c r="L503" s="13">
        <f>VLOOKUP(A503,Journal!$C$7:$M$84,5)</f>
        <v>0</v>
      </c>
      <c r="M503" s="13">
        <f t="shared" si="48"/>
        <v>0</v>
      </c>
      <c r="N503" s="13">
        <f t="shared" si="49"/>
        <v>0</v>
      </c>
      <c r="O503" s="13"/>
      <c r="P503" s="13">
        <f t="shared" si="50"/>
        <v>1.0000000000000001E-5</v>
      </c>
      <c r="T503" t="str">
        <f t="shared" si="45"/>
        <v/>
      </c>
    </row>
    <row r="504" spans="1:20" x14ac:dyDescent="0.25">
      <c r="A504">
        <f t="shared" si="47"/>
        <v>497</v>
      </c>
      <c r="B504" s="88" t="str">
        <f>IF(OR(B503="Total",B503=""),"",IF(VLOOKUP(A504,Journal!$C$7:$E$84,3)=0,"Total",VLOOKUP(A504,Journal!$C$7:$D$84,2)))</f>
        <v/>
      </c>
      <c r="C504" s="86" t="str">
        <f>IF(B504="","",VLOOKUP(A504,Journal!$C$7:$E$84,3))</f>
        <v/>
      </c>
      <c r="D504" s="84" t="str">
        <f>IF(B504="","",VLOOKUP(A504,Journal!$C$7:$J$84,8))</f>
        <v/>
      </c>
      <c r="E504" s="84" t="str">
        <f>IF(B504="","",VLOOKUP(A504,Journal!$C$7:$L$84,10))</f>
        <v/>
      </c>
      <c r="F504" s="84" t="str">
        <f>IF(B504="","",VLOOKUP(A504,Journal!$C$7:$M$84,11))</f>
        <v/>
      </c>
      <c r="G504" s="102">
        <f>IF(B504="Total",SUM(G$8:G503)+0.0001,IF(OR(B504="",M504=0),0,VLOOKUP(A504,Journal!$C$7:M$84,7)))</f>
        <v>0</v>
      </c>
      <c r="H504" s="102">
        <f>IF(B504="Total",SUM(H$8:H503)+0.0001,IF(OR(B504="",N504=0),0,VLOOKUP(A504,Journal!$C$7:M$84,7)))</f>
        <v>0</v>
      </c>
      <c r="I504" s="87">
        <f t="shared" si="46"/>
        <v>0</v>
      </c>
      <c r="K504" s="13">
        <f>VLOOKUP(A504,Journal!$C$7:$M$84,4)</f>
        <v>0</v>
      </c>
      <c r="L504" s="13">
        <f>VLOOKUP(A504,Journal!$C$7:$M$84,5)</f>
        <v>0</v>
      </c>
      <c r="M504" s="13">
        <f t="shared" si="48"/>
        <v>0</v>
      </c>
      <c r="N504" s="13">
        <f t="shared" si="49"/>
        <v>0</v>
      </c>
      <c r="O504" s="13"/>
      <c r="P504" s="13">
        <f t="shared" si="50"/>
        <v>1.0000000000000001E-5</v>
      </c>
      <c r="T504" t="str">
        <f t="shared" si="45"/>
        <v/>
      </c>
    </row>
    <row r="505" spans="1:20" x14ac:dyDescent="0.25">
      <c r="A505">
        <f t="shared" si="47"/>
        <v>498</v>
      </c>
      <c r="B505" s="88" t="str">
        <f>IF(OR(B504="Total",B504=""),"",IF(VLOOKUP(A505,Journal!$C$7:$E$84,3)=0,"Total",VLOOKUP(A505,Journal!$C$7:$D$84,2)))</f>
        <v/>
      </c>
      <c r="C505" s="86" t="str">
        <f>IF(B505="","",VLOOKUP(A505,Journal!$C$7:$E$84,3))</f>
        <v/>
      </c>
      <c r="D505" s="84" t="str">
        <f>IF(B505="","",VLOOKUP(A505,Journal!$C$7:$J$84,8))</f>
        <v/>
      </c>
      <c r="E505" s="84" t="str">
        <f>IF(B505="","",VLOOKUP(A505,Journal!$C$7:$L$84,10))</f>
        <v/>
      </c>
      <c r="F505" s="84" t="str">
        <f>IF(B505="","",VLOOKUP(A505,Journal!$C$7:$M$84,11))</f>
        <v/>
      </c>
      <c r="G505" s="102">
        <f>IF(B505="Total",SUM(G$8:G504)+0.0001,IF(OR(B505="",M505=0),0,VLOOKUP(A505,Journal!$C$7:M$84,7)))</f>
        <v>0</v>
      </c>
      <c r="H505" s="102">
        <f>IF(B505="Total",SUM(H$8:H504)+0.0001,IF(OR(B505="",N505=0),0,VLOOKUP(A505,Journal!$C$7:M$84,7)))</f>
        <v>0</v>
      </c>
      <c r="I505" s="87">
        <f t="shared" si="46"/>
        <v>0</v>
      </c>
      <c r="K505" s="13">
        <f>VLOOKUP(A505,Journal!$C$7:$M$84,4)</f>
        <v>0</v>
      </c>
      <c r="L505" s="13">
        <f>VLOOKUP(A505,Journal!$C$7:$M$84,5)</f>
        <v>0</v>
      </c>
      <c r="M505" s="13">
        <f t="shared" si="48"/>
        <v>0</v>
      </c>
      <c r="N505" s="13">
        <f t="shared" si="49"/>
        <v>0</v>
      </c>
      <c r="O505" s="13"/>
      <c r="P505" s="13">
        <f t="shared" si="50"/>
        <v>1.0000000000000001E-5</v>
      </c>
      <c r="T505" t="str">
        <f t="shared" si="45"/>
        <v/>
      </c>
    </row>
    <row r="506" spans="1:20" x14ac:dyDescent="0.25">
      <c r="A506">
        <f t="shared" si="47"/>
        <v>499</v>
      </c>
      <c r="B506" s="88" t="str">
        <f>IF(OR(B505="Total",B505=""),"",IF(VLOOKUP(A506,Journal!$C$7:$E$84,3)=0,"Total",VLOOKUP(A506,Journal!$C$7:$D$84,2)))</f>
        <v/>
      </c>
      <c r="C506" s="86" t="str">
        <f>IF(B506="","",VLOOKUP(A506,Journal!$C$7:$E$84,3))</f>
        <v/>
      </c>
      <c r="D506" s="84" t="str">
        <f>IF(B506="","",VLOOKUP(A506,Journal!$C$7:$J$84,8))</f>
        <v/>
      </c>
      <c r="E506" s="84" t="str">
        <f>IF(B506="","",VLOOKUP(A506,Journal!$C$7:$L$84,10))</f>
        <v/>
      </c>
      <c r="F506" s="84" t="str">
        <f>IF(B506="","",VLOOKUP(A506,Journal!$C$7:$M$84,11))</f>
        <v/>
      </c>
      <c r="G506" s="102">
        <f>IF(B506="Total",SUM(G$8:G505)+0.0001,IF(OR(B506="",M506=0),0,VLOOKUP(A506,Journal!$C$7:M$84,7)))</f>
        <v>0</v>
      </c>
      <c r="H506" s="102">
        <f>IF(B506="Total",SUM(H$8:H505)+0.0001,IF(OR(B506="",N506=0),0,VLOOKUP(A506,Journal!$C$7:M$84,7)))</f>
        <v>0</v>
      </c>
      <c r="I506" s="87">
        <f t="shared" si="46"/>
        <v>0</v>
      </c>
      <c r="K506" s="13">
        <f>VLOOKUP(A506,Journal!$C$7:$M$84,4)</f>
        <v>0</v>
      </c>
      <c r="L506" s="13">
        <f>VLOOKUP(A506,Journal!$C$7:$M$84,5)</f>
        <v>0</v>
      </c>
      <c r="M506" s="13">
        <f t="shared" si="48"/>
        <v>0</v>
      </c>
      <c r="N506" s="13">
        <f t="shared" si="49"/>
        <v>0</v>
      </c>
      <c r="O506" s="13"/>
      <c r="P506" s="13">
        <f t="shared" si="50"/>
        <v>1.0000000000000001E-5</v>
      </c>
      <c r="T506" t="str">
        <f t="shared" si="45"/>
        <v/>
      </c>
    </row>
    <row r="507" spans="1:20" x14ac:dyDescent="0.25">
      <c r="A507">
        <f t="shared" si="47"/>
        <v>500</v>
      </c>
      <c r="B507" s="88" t="str">
        <f>IF(OR(B506="Total",B506=""),"",IF(VLOOKUP(A507,Journal!$C$7:$E$84,3)=0,"Total",VLOOKUP(A507,Journal!$C$7:$D$84,2)))</f>
        <v/>
      </c>
      <c r="C507" s="86" t="str">
        <f>IF(B507="","",VLOOKUP(A507,Journal!$C$7:$E$84,3))</f>
        <v/>
      </c>
      <c r="D507" s="84" t="str">
        <f>IF(B507="","",VLOOKUP(A507,Journal!$C$7:$J$84,8))</f>
        <v/>
      </c>
      <c r="E507" s="84" t="str">
        <f>IF(B507="","",VLOOKUP(A507,Journal!$C$7:$L$84,10))</f>
        <v/>
      </c>
      <c r="F507" s="84" t="str">
        <f>IF(B507="","",VLOOKUP(A507,Journal!$C$7:$M$84,11))</f>
        <v/>
      </c>
      <c r="G507" s="102">
        <f>IF(B507="Total",SUM(G$8:G506)+0.0001,IF(OR(B507="",M507=0),0,VLOOKUP(A507,Journal!$C$7:M$84,7)))</f>
        <v>0</v>
      </c>
      <c r="H507" s="102">
        <f>IF(B507="Total",SUM(H$8:H506)+0.0001,IF(OR(B507="",N507=0),0,VLOOKUP(A507,Journal!$C$7:M$84,7)))</f>
        <v>0</v>
      </c>
      <c r="I507" s="87">
        <f t="shared" si="46"/>
        <v>0</v>
      </c>
      <c r="K507" s="13">
        <f>VLOOKUP(A507,Journal!$C$7:$M$84,4)</f>
        <v>0</v>
      </c>
      <c r="L507" s="13">
        <f>VLOOKUP(A507,Journal!$C$7:$M$84,5)</f>
        <v>0</v>
      </c>
      <c r="M507" s="13">
        <f t="shared" si="48"/>
        <v>0</v>
      </c>
      <c r="N507" s="13">
        <f t="shared" si="49"/>
        <v>0</v>
      </c>
      <c r="O507" s="13"/>
      <c r="P507" s="13">
        <f t="shared" si="50"/>
        <v>1.0000000000000001E-5</v>
      </c>
      <c r="T507" t="str">
        <f t="shared" si="45"/>
        <v/>
      </c>
    </row>
    <row r="508" spans="1:20" x14ac:dyDescent="0.25">
      <c r="A508">
        <f t="shared" si="47"/>
        <v>501</v>
      </c>
      <c r="B508" s="88" t="str">
        <f>IF(OR(B507="Total",B507=""),"",IF(VLOOKUP(A508,Journal!$C$7:$E$84,3)=0,"Total",VLOOKUP(A508,Journal!$C$7:$D$84,2)))</f>
        <v/>
      </c>
      <c r="C508" s="86" t="str">
        <f>IF(B508="","",VLOOKUP(A508,Journal!$C$7:$E$84,3))</f>
        <v/>
      </c>
      <c r="D508" s="84" t="str">
        <f>IF(B508="","",VLOOKUP(A508,Journal!$C$7:$J$84,8))</f>
        <v/>
      </c>
      <c r="E508" s="84" t="str">
        <f>IF(B508="","",VLOOKUP(A508,Journal!$C$7:$L$84,10))</f>
        <v/>
      </c>
      <c r="F508" s="84" t="str">
        <f>IF(B508="","",VLOOKUP(A508,Journal!$C$7:$M$84,11))</f>
        <v/>
      </c>
      <c r="G508" s="102">
        <f>IF(B508="Total",SUM(G$8:G507)+0.0001,IF(OR(B508="",M508=0),0,VLOOKUP(A508,Journal!$C$7:M$84,7)))</f>
        <v>0</v>
      </c>
      <c r="H508" s="102">
        <f>IF(B508="Total",SUM(H$8:H507)+0.0001,IF(OR(B508="",N508=0),0,VLOOKUP(A508,Journal!$C$7:M$84,7)))</f>
        <v>0</v>
      </c>
      <c r="I508" s="87">
        <f t="shared" si="46"/>
        <v>0</v>
      </c>
      <c r="K508" s="13">
        <f>VLOOKUP(A508,Journal!$C$7:$M$84,4)</f>
        <v>0</v>
      </c>
      <c r="L508" s="13">
        <f>VLOOKUP(A508,Journal!$C$7:$M$84,5)</f>
        <v>0</v>
      </c>
      <c r="M508" s="13">
        <f t="shared" si="48"/>
        <v>0</v>
      </c>
      <c r="N508" s="13">
        <f t="shared" si="49"/>
        <v>0</v>
      </c>
      <c r="O508" s="13"/>
      <c r="P508" s="13">
        <f t="shared" si="50"/>
        <v>1.0000000000000001E-5</v>
      </c>
      <c r="T508" t="str">
        <f t="shared" si="45"/>
        <v/>
      </c>
    </row>
    <row r="509" spans="1:20" x14ac:dyDescent="0.25">
      <c r="A509">
        <f t="shared" si="47"/>
        <v>502</v>
      </c>
      <c r="B509" s="88" t="str">
        <f>IF(OR(B508="Total",B508=""),"",IF(VLOOKUP(A509,Journal!$C$7:$E$84,3)=0,"Total",VLOOKUP(A509,Journal!$C$7:$D$84,2)))</f>
        <v/>
      </c>
      <c r="C509" s="86" t="str">
        <f>IF(B509="","",VLOOKUP(A509,Journal!$C$7:$E$84,3))</f>
        <v/>
      </c>
      <c r="D509" s="84" t="str">
        <f>IF(B509="","",VLOOKUP(A509,Journal!$C$7:$J$84,8))</f>
        <v/>
      </c>
      <c r="E509" s="84" t="str">
        <f>IF(B509="","",VLOOKUP(A509,Journal!$C$7:$L$84,10))</f>
        <v/>
      </c>
      <c r="F509" s="84" t="str">
        <f>IF(B509="","",VLOOKUP(A509,Journal!$C$7:$M$84,11))</f>
        <v/>
      </c>
      <c r="G509" s="102">
        <f>IF(B509="Total",SUM(G$8:G508)+0.0001,IF(OR(B509="",M509=0),0,VLOOKUP(A509,Journal!$C$7:M$84,7)))</f>
        <v>0</v>
      </c>
      <c r="H509" s="102">
        <f>IF(B509="Total",SUM(H$8:H508)+0.0001,IF(OR(B509="",N509=0),0,VLOOKUP(A509,Journal!$C$7:M$84,7)))</f>
        <v>0</v>
      </c>
      <c r="I509" s="87">
        <f t="shared" si="46"/>
        <v>0</v>
      </c>
      <c r="K509" s="13">
        <f>VLOOKUP(A509,Journal!$C$7:$M$84,4)</f>
        <v>0</v>
      </c>
      <c r="L509" s="13">
        <f>VLOOKUP(A509,Journal!$C$7:$M$84,5)</f>
        <v>0</v>
      </c>
      <c r="M509" s="13">
        <f t="shared" si="48"/>
        <v>0</v>
      </c>
      <c r="N509" s="13">
        <f t="shared" si="49"/>
        <v>0</v>
      </c>
      <c r="O509" s="13"/>
      <c r="P509" s="13">
        <f t="shared" si="50"/>
        <v>1.0000000000000001E-5</v>
      </c>
      <c r="T509" t="str">
        <f t="shared" si="45"/>
        <v/>
      </c>
    </row>
    <row r="510" spans="1:20" x14ac:dyDescent="0.25">
      <c r="A510">
        <f t="shared" si="47"/>
        <v>503</v>
      </c>
      <c r="B510" s="88" t="str">
        <f>IF(OR(B509="Total",B509=""),"",IF(VLOOKUP(A510,Journal!$C$7:$E$84,3)=0,"Total",VLOOKUP(A510,Journal!$C$7:$D$84,2)))</f>
        <v/>
      </c>
      <c r="C510" s="86" t="str">
        <f>IF(B510="","",VLOOKUP(A510,Journal!$C$7:$E$84,3))</f>
        <v/>
      </c>
      <c r="D510" s="84" t="str">
        <f>IF(B510="","",VLOOKUP(A510,Journal!$C$7:$J$84,8))</f>
        <v/>
      </c>
      <c r="E510" s="84" t="str">
        <f>IF(B510="","",VLOOKUP(A510,Journal!$C$7:$L$84,10))</f>
        <v/>
      </c>
      <c r="F510" s="84" t="str">
        <f>IF(B510="","",VLOOKUP(A510,Journal!$C$7:$M$84,11))</f>
        <v/>
      </c>
      <c r="G510" s="102">
        <f>IF(B510="Total",SUM(G$8:G509)+0.0001,IF(OR(B510="",M510=0),0,VLOOKUP(A510,Journal!$C$7:M$84,7)))</f>
        <v>0</v>
      </c>
      <c r="H510" s="102">
        <f>IF(B510="Total",SUM(H$8:H509)+0.0001,IF(OR(B510="",N510=0),0,VLOOKUP(A510,Journal!$C$7:M$84,7)))</f>
        <v>0</v>
      </c>
      <c r="I510" s="87">
        <f t="shared" si="46"/>
        <v>0</v>
      </c>
      <c r="K510" s="13">
        <f>VLOOKUP(A510,Journal!$C$7:$M$84,4)</f>
        <v>0</v>
      </c>
      <c r="L510" s="13">
        <f>VLOOKUP(A510,Journal!$C$7:$M$84,5)</f>
        <v>0</v>
      </c>
      <c r="M510" s="13">
        <f t="shared" si="48"/>
        <v>0</v>
      </c>
      <c r="N510" s="13">
        <f t="shared" si="49"/>
        <v>0</v>
      </c>
      <c r="O510" s="13"/>
      <c r="P510" s="13">
        <f t="shared" si="50"/>
        <v>1.0000000000000001E-5</v>
      </c>
      <c r="T510" t="str">
        <f t="shared" si="45"/>
        <v/>
      </c>
    </row>
    <row r="511" spans="1:20" x14ac:dyDescent="0.25">
      <c r="A511">
        <f t="shared" si="47"/>
        <v>504</v>
      </c>
      <c r="B511" s="88" t="str">
        <f>IF(OR(B510="Total",B510=""),"",IF(VLOOKUP(A511,Journal!$C$7:$E$84,3)=0,"Total",VLOOKUP(A511,Journal!$C$7:$D$84,2)))</f>
        <v/>
      </c>
      <c r="C511" s="86" t="str">
        <f>IF(B511="","",VLOOKUP(A511,Journal!$C$7:$E$84,3))</f>
        <v/>
      </c>
      <c r="D511" s="84" t="str">
        <f>IF(B511="","",VLOOKUP(A511,Journal!$C$7:$J$84,8))</f>
        <v/>
      </c>
      <c r="E511" s="84" t="str">
        <f>IF(B511="","",VLOOKUP(A511,Journal!$C$7:$L$84,10))</f>
        <v/>
      </c>
      <c r="F511" s="84" t="str">
        <f>IF(B511="","",VLOOKUP(A511,Journal!$C$7:$M$84,11))</f>
        <v/>
      </c>
      <c r="G511" s="102">
        <f>IF(B511="Total",SUM(G$8:G510)+0.0001,IF(OR(B511="",M511=0),0,VLOOKUP(A511,Journal!$C$7:M$84,7)))</f>
        <v>0</v>
      </c>
      <c r="H511" s="102">
        <f>IF(B511="Total",SUM(H$8:H510)+0.0001,IF(OR(B511="",N511=0),0,VLOOKUP(A511,Journal!$C$7:M$84,7)))</f>
        <v>0</v>
      </c>
      <c r="I511" s="87">
        <f t="shared" si="46"/>
        <v>0</v>
      </c>
      <c r="K511" s="13">
        <f>VLOOKUP(A511,Journal!$C$7:$M$84,4)</f>
        <v>0</v>
      </c>
      <c r="L511" s="13">
        <f>VLOOKUP(A511,Journal!$C$7:$M$84,5)</f>
        <v>0</v>
      </c>
      <c r="M511" s="13">
        <f t="shared" si="48"/>
        <v>0</v>
      </c>
      <c r="N511" s="13">
        <f t="shared" si="49"/>
        <v>0</v>
      </c>
      <c r="O511" s="13"/>
      <c r="P511" s="13">
        <f t="shared" si="50"/>
        <v>1.0000000000000001E-5</v>
      </c>
      <c r="T511" t="str">
        <f t="shared" si="45"/>
        <v/>
      </c>
    </row>
    <row r="512" spans="1:20" x14ac:dyDescent="0.25">
      <c r="A512">
        <f t="shared" si="47"/>
        <v>505</v>
      </c>
      <c r="B512" s="88" t="str">
        <f>IF(OR(B511="Total",B511=""),"",IF(VLOOKUP(A512,Journal!$C$7:$E$84,3)=0,"Total",VLOOKUP(A512,Journal!$C$7:$D$84,2)))</f>
        <v/>
      </c>
      <c r="C512" s="86" t="str">
        <f>IF(B512="","",VLOOKUP(A512,Journal!$C$7:$E$84,3))</f>
        <v/>
      </c>
      <c r="D512" s="84" t="str">
        <f>IF(B512="","",VLOOKUP(A512,Journal!$C$7:$J$84,8))</f>
        <v/>
      </c>
      <c r="E512" s="84" t="str">
        <f>IF(B512="","",VLOOKUP(A512,Journal!$C$7:$L$84,10))</f>
        <v/>
      </c>
      <c r="F512" s="84" t="str">
        <f>IF(B512="","",VLOOKUP(A512,Journal!$C$7:$M$84,11))</f>
        <v/>
      </c>
      <c r="G512" s="102">
        <f>IF(B512="Total",SUM(G$8:G511)+0.0001,IF(OR(B512="",M512=0),0,VLOOKUP(A512,Journal!$C$7:M$84,7)))</f>
        <v>0</v>
      </c>
      <c r="H512" s="102">
        <f>IF(B512="Total",SUM(H$8:H511)+0.0001,IF(OR(B512="",N512=0),0,VLOOKUP(A512,Journal!$C$7:M$84,7)))</f>
        <v>0</v>
      </c>
      <c r="I512" s="87">
        <f t="shared" si="46"/>
        <v>0</v>
      </c>
      <c r="K512" s="13">
        <f>VLOOKUP(A512,Journal!$C$7:$M$84,4)</f>
        <v>0</v>
      </c>
      <c r="L512" s="13">
        <f>VLOOKUP(A512,Journal!$C$7:$M$84,5)</f>
        <v>0</v>
      </c>
      <c r="M512" s="13">
        <f t="shared" si="48"/>
        <v>0</v>
      </c>
      <c r="N512" s="13">
        <f t="shared" si="49"/>
        <v>0</v>
      </c>
      <c r="O512" s="13"/>
      <c r="P512" s="13">
        <f t="shared" si="50"/>
        <v>1.0000000000000001E-5</v>
      </c>
      <c r="T512" t="str">
        <f t="shared" si="45"/>
        <v/>
      </c>
    </row>
    <row r="513" spans="1:20" x14ac:dyDescent="0.25">
      <c r="A513">
        <f t="shared" si="47"/>
        <v>506</v>
      </c>
      <c r="B513" s="88" t="str">
        <f>IF(OR(B512="Total",B512=""),"",IF(VLOOKUP(A513,Journal!$C$7:$E$84,3)=0,"Total",VLOOKUP(A513,Journal!$C$7:$D$84,2)))</f>
        <v/>
      </c>
      <c r="C513" s="86" t="str">
        <f>IF(B513="","",VLOOKUP(A513,Journal!$C$7:$E$84,3))</f>
        <v/>
      </c>
      <c r="D513" s="84" t="str">
        <f>IF(B513="","",VLOOKUP(A513,Journal!$C$7:$J$84,8))</f>
        <v/>
      </c>
      <c r="E513" s="84" t="str">
        <f>IF(B513="","",VLOOKUP(A513,Journal!$C$7:$L$84,10))</f>
        <v/>
      </c>
      <c r="F513" s="84" t="str">
        <f>IF(B513="","",VLOOKUP(A513,Journal!$C$7:$M$84,11))</f>
        <v/>
      </c>
      <c r="G513" s="102">
        <f>IF(B513="Total",SUM(G$8:G512)+0.0001,IF(OR(B513="",M513=0),0,VLOOKUP(A513,Journal!$C$7:M$84,7)))</f>
        <v>0</v>
      </c>
      <c r="H513" s="102">
        <f>IF(B513="Total",SUM(H$8:H512)+0.0001,IF(OR(B513="",N513=0),0,VLOOKUP(A513,Journal!$C$7:M$84,7)))</f>
        <v>0</v>
      </c>
      <c r="I513" s="87">
        <f t="shared" si="46"/>
        <v>0</v>
      </c>
      <c r="K513" s="13">
        <f>VLOOKUP(A513,Journal!$C$7:$M$84,4)</f>
        <v>0</v>
      </c>
      <c r="L513" s="13">
        <f>VLOOKUP(A513,Journal!$C$7:$M$84,5)</f>
        <v>0</v>
      </c>
      <c r="M513" s="13">
        <f t="shared" si="48"/>
        <v>0</v>
      </c>
      <c r="N513" s="13">
        <f t="shared" si="49"/>
        <v>0</v>
      </c>
      <c r="O513" s="13"/>
      <c r="P513" s="13">
        <f t="shared" si="50"/>
        <v>1.0000000000000001E-5</v>
      </c>
      <c r="T513" t="str">
        <f t="shared" si="45"/>
        <v/>
      </c>
    </row>
    <row r="514" spans="1:20" x14ac:dyDescent="0.25">
      <c r="A514">
        <f t="shared" si="47"/>
        <v>507</v>
      </c>
      <c r="B514" s="88" t="str">
        <f>IF(OR(B513="Total",B513=""),"",IF(VLOOKUP(A514,Journal!$C$7:$E$84,3)=0,"Total",VLOOKUP(A514,Journal!$C$7:$D$84,2)))</f>
        <v/>
      </c>
      <c r="C514" s="86" t="str">
        <f>IF(B514="","",VLOOKUP(A514,Journal!$C$7:$E$84,3))</f>
        <v/>
      </c>
      <c r="D514" s="84" t="str">
        <f>IF(B514="","",VLOOKUP(A514,Journal!$C$7:$J$84,8))</f>
        <v/>
      </c>
      <c r="E514" s="84" t="str">
        <f>IF(B514="","",VLOOKUP(A514,Journal!$C$7:$L$84,10))</f>
        <v/>
      </c>
      <c r="F514" s="84" t="str">
        <f>IF(B514="","",VLOOKUP(A514,Journal!$C$7:$M$84,11))</f>
        <v/>
      </c>
      <c r="G514" s="102">
        <f>IF(B514="Total",SUM(G$8:G513)+0.0001,IF(OR(B514="",M514=0),0,VLOOKUP(A514,Journal!$C$7:M$84,7)))</f>
        <v>0</v>
      </c>
      <c r="H514" s="102">
        <f>IF(B514="Total",SUM(H$8:H513)+0.0001,IF(OR(B514="",N514=0),0,VLOOKUP(A514,Journal!$C$7:M$84,7)))</f>
        <v>0</v>
      </c>
      <c r="I514" s="87">
        <f t="shared" si="46"/>
        <v>0</v>
      </c>
      <c r="K514" s="13">
        <f>VLOOKUP(A514,Journal!$C$7:$M$84,4)</f>
        <v>0</v>
      </c>
      <c r="L514" s="13">
        <f>VLOOKUP(A514,Journal!$C$7:$M$84,5)</f>
        <v>0</v>
      </c>
      <c r="M514" s="13">
        <f t="shared" si="48"/>
        <v>0</v>
      </c>
      <c r="N514" s="13">
        <f t="shared" si="49"/>
        <v>0</v>
      </c>
      <c r="O514" s="13"/>
      <c r="P514" s="13">
        <f t="shared" si="50"/>
        <v>1.0000000000000001E-5</v>
      </c>
      <c r="T514" t="str">
        <f t="shared" si="45"/>
        <v/>
      </c>
    </row>
    <row r="515" spans="1:20" x14ac:dyDescent="0.25">
      <c r="A515">
        <f t="shared" si="47"/>
        <v>508</v>
      </c>
      <c r="B515" s="88" t="str">
        <f>IF(OR(B514="Total",B514=""),"",IF(VLOOKUP(A515,Journal!$C$7:$E$84,3)=0,"Total",VLOOKUP(A515,Journal!$C$7:$D$84,2)))</f>
        <v/>
      </c>
      <c r="C515" s="86" t="str">
        <f>IF(B515="","",VLOOKUP(A515,Journal!$C$7:$E$84,3))</f>
        <v/>
      </c>
      <c r="D515" s="84" t="str">
        <f>IF(B515="","",VLOOKUP(A515,Journal!$C$7:$J$84,8))</f>
        <v/>
      </c>
      <c r="E515" s="84" t="str">
        <f>IF(B515="","",VLOOKUP(A515,Journal!$C$7:$L$84,10))</f>
        <v/>
      </c>
      <c r="F515" s="84" t="str">
        <f>IF(B515="","",VLOOKUP(A515,Journal!$C$7:$M$84,11))</f>
        <v/>
      </c>
      <c r="G515" s="102">
        <f>IF(B515="Total",SUM(G$8:G514)+0.0001,IF(OR(B515="",M515=0),0,VLOOKUP(A515,Journal!$C$7:M$84,7)))</f>
        <v>0</v>
      </c>
      <c r="H515" s="102">
        <f>IF(B515="Total",SUM(H$8:H514)+0.0001,IF(OR(B515="",N515=0),0,VLOOKUP(A515,Journal!$C$7:M$84,7)))</f>
        <v>0</v>
      </c>
      <c r="I515" s="87">
        <f t="shared" si="46"/>
        <v>0</v>
      </c>
      <c r="K515" s="13">
        <f>VLOOKUP(A515,Journal!$C$7:$M$84,4)</f>
        <v>0</v>
      </c>
      <c r="L515" s="13">
        <f>VLOOKUP(A515,Journal!$C$7:$M$84,5)</f>
        <v>0</v>
      </c>
      <c r="M515" s="13">
        <f t="shared" si="48"/>
        <v>0</v>
      </c>
      <c r="N515" s="13">
        <f t="shared" si="49"/>
        <v>0</v>
      </c>
      <c r="O515" s="13"/>
      <c r="P515" s="13">
        <f t="shared" si="50"/>
        <v>1.0000000000000001E-5</v>
      </c>
      <c r="T515" t="str">
        <f t="shared" si="45"/>
        <v/>
      </c>
    </row>
    <row r="516" spans="1:20" x14ac:dyDescent="0.25">
      <c r="A516">
        <f t="shared" si="47"/>
        <v>509</v>
      </c>
      <c r="B516" s="88" t="str">
        <f>IF(OR(B515="Total",B515=""),"",IF(VLOOKUP(A516,Journal!$C$7:$E$84,3)=0,"Total",VLOOKUP(A516,Journal!$C$7:$D$84,2)))</f>
        <v/>
      </c>
      <c r="C516" s="86" t="str">
        <f>IF(B516="","",VLOOKUP(A516,Journal!$C$7:$E$84,3))</f>
        <v/>
      </c>
      <c r="D516" s="84" t="str">
        <f>IF(B516="","",VLOOKUP(A516,Journal!$C$7:$J$84,8))</f>
        <v/>
      </c>
      <c r="E516" s="84" t="str">
        <f>IF(B516="","",VLOOKUP(A516,Journal!$C$7:$L$84,10))</f>
        <v/>
      </c>
      <c r="F516" s="84" t="str">
        <f>IF(B516="","",VLOOKUP(A516,Journal!$C$7:$M$84,11))</f>
        <v/>
      </c>
      <c r="G516" s="102">
        <f>IF(B516="Total",SUM(G$8:G515)+0.0001,IF(OR(B516="",M516=0),0,VLOOKUP(A516,Journal!$C$7:M$84,7)))</f>
        <v>0</v>
      </c>
      <c r="H516" s="102">
        <f>IF(B516="Total",SUM(H$8:H515)+0.0001,IF(OR(B516="",N516=0),0,VLOOKUP(A516,Journal!$C$7:M$84,7)))</f>
        <v>0</v>
      </c>
      <c r="I516" s="87">
        <f t="shared" si="46"/>
        <v>0</v>
      </c>
      <c r="K516" s="13">
        <f>VLOOKUP(A516,Journal!$C$7:$M$84,4)</f>
        <v>0</v>
      </c>
      <c r="L516" s="13">
        <f>VLOOKUP(A516,Journal!$C$7:$M$84,5)</f>
        <v>0</v>
      </c>
      <c r="M516" s="13">
        <f t="shared" si="48"/>
        <v>0</v>
      </c>
      <c r="N516" s="13">
        <f t="shared" si="49"/>
        <v>0</v>
      </c>
      <c r="O516" s="13"/>
      <c r="P516" s="13">
        <f t="shared" si="50"/>
        <v>1.0000000000000001E-5</v>
      </c>
      <c r="T516" t="str">
        <f t="shared" si="45"/>
        <v/>
      </c>
    </row>
    <row r="517" spans="1:20" x14ac:dyDescent="0.25">
      <c r="A517">
        <f t="shared" si="47"/>
        <v>510</v>
      </c>
      <c r="B517" s="88" t="str">
        <f>IF(OR(B516="Total",B516=""),"",IF(VLOOKUP(A517,Journal!$C$7:$E$84,3)=0,"Total",VLOOKUP(A517,Journal!$C$7:$D$84,2)))</f>
        <v/>
      </c>
      <c r="C517" s="86" t="str">
        <f>IF(B517="","",VLOOKUP(A517,Journal!$C$7:$E$84,3))</f>
        <v/>
      </c>
      <c r="D517" s="84" t="str">
        <f>IF(B517="","",VLOOKUP(A517,Journal!$C$7:$J$84,8))</f>
        <v/>
      </c>
      <c r="E517" s="84" t="str">
        <f>IF(B517="","",VLOOKUP(A517,Journal!$C$7:$L$84,10))</f>
        <v/>
      </c>
      <c r="F517" s="84" t="str">
        <f>IF(B517="","",VLOOKUP(A517,Journal!$C$7:$M$84,11))</f>
        <v/>
      </c>
      <c r="G517" s="102">
        <f>IF(B517="Total",SUM(G$8:G516)+0.0001,IF(OR(B517="",M517=0),0,VLOOKUP(A517,Journal!$C$7:M$84,7)))</f>
        <v>0</v>
      </c>
      <c r="H517" s="102">
        <f>IF(B517="Total",SUM(H$8:H516)+0.0001,IF(OR(B517="",N517=0),0,VLOOKUP(A517,Journal!$C$7:M$84,7)))</f>
        <v>0</v>
      </c>
      <c r="I517" s="87">
        <f t="shared" si="46"/>
        <v>0</v>
      </c>
      <c r="K517" s="13">
        <f>VLOOKUP(A517,Journal!$C$7:$M$84,4)</f>
        <v>0</v>
      </c>
      <c r="L517" s="13">
        <f>VLOOKUP(A517,Journal!$C$7:$M$84,5)</f>
        <v>0</v>
      </c>
      <c r="M517" s="13">
        <f t="shared" si="48"/>
        <v>0</v>
      </c>
      <c r="N517" s="13">
        <f t="shared" si="49"/>
        <v>0</v>
      </c>
      <c r="O517" s="13"/>
      <c r="P517" s="13">
        <f t="shared" si="50"/>
        <v>1.0000000000000001E-5</v>
      </c>
      <c r="T517" t="str">
        <f t="shared" si="45"/>
        <v/>
      </c>
    </row>
    <row r="518" spans="1:20" x14ac:dyDescent="0.25">
      <c r="A518">
        <f t="shared" si="47"/>
        <v>511</v>
      </c>
      <c r="B518" s="88" t="str">
        <f>IF(OR(B517="Total",B517=""),"",IF(VLOOKUP(A518,Journal!$C$7:$E$84,3)=0,"Total",VLOOKUP(A518,Journal!$C$7:$D$84,2)))</f>
        <v/>
      </c>
      <c r="C518" s="86" t="str">
        <f>IF(B518="","",VLOOKUP(A518,Journal!$C$7:$E$84,3))</f>
        <v/>
      </c>
      <c r="D518" s="84" t="str">
        <f>IF(B518="","",VLOOKUP(A518,Journal!$C$7:$J$84,8))</f>
        <v/>
      </c>
      <c r="E518" s="84" t="str">
        <f>IF(B518="","",VLOOKUP(A518,Journal!$C$7:$L$84,10))</f>
        <v/>
      </c>
      <c r="F518" s="84" t="str">
        <f>IF(B518="","",VLOOKUP(A518,Journal!$C$7:$M$84,11))</f>
        <v/>
      </c>
      <c r="G518" s="102">
        <f>IF(B518="Total",SUM(G$8:G517)+0.0001,IF(OR(B518="",M518=0),0,VLOOKUP(A518,Journal!$C$7:M$84,7)))</f>
        <v>0</v>
      </c>
      <c r="H518" s="102">
        <f>IF(B518="Total",SUM(H$8:H517)+0.0001,IF(OR(B518="",N518=0),0,VLOOKUP(A518,Journal!$C$7:M$84,7)))</f>
        <v>0</v>
      </c>
      <c r="I518" s="87">
        <f t="shared" si="46"/>
        <v>0</v>
      </c>
      <c r="K518" s="13">
        <f>VLOOKUP(A518,Journal!$C$7:$M$84,4)</f>
        <v>0</v>
      </c>
      <c r="L518" s="13">
        <f>VLOOKUP(A518,Journal!$C$7:$M$84,5)</f>
        <v>0</v>
      </c>
      <c r="M518" s="13">
        <f t="shared" si="48"/>
        <v>0</v>
      </c>
      <c r="N518" s="13">
        <f t="shared" si="49"/>
        <v>0</v>
      </c>
      <c r="O518" s="13"/>
      <c r="P518" s="13">
        <f t="shared" si="50"/>
        <v>1.0000000000000001E-5</v>
      </c>
      <c r="T518" t="str">
        <f t="shared" si="45"/>
        <v/>
      </c>
    </row>
    <row r="519" spans="1:20" x14ac:dyDescent="0.25">
      <c r="A519">
        <f t="shared" si="47"/>
        <v>512</v>
      </c>
      <c r="B519" s="88" t="str">
        <f>IF(OR(B518="Total",B518=""),"",IF(VLOOKUP(A519,Journal!$C$7:$E$84,3)=0,"Total",VLOOKUP(A519,Journal!$C$7:$D$84,2)))</f>
        <v/>
      </c>
      <c r="C519" s="86" t="str">
        <f>IF(B519="","",VLOOKUP(A519,Journal!$C$7:$E$84,3))</f>
        <v/>
      </c>
      <c r="D519" s="84" t="str">
        <f>IF(B519="","",VLOOKUP(A519,Journal!$C$7:$J$84,8))</f>
        <v/>
      </c>
      <c r="E519" s="84" t="str">
        <f>IF(B519="","",VLOOKUP(A519,Journal!$C$7:$L$84,10))</f>
        <v/>
      </c>
      <c r="F519" s="84" t="str">
        <f>IF(B519="","",VLOOKUP(A519,Journal!$C$7:$M$84,11))</f>
        <v/>
      </c>
      <c r="G519" s="102">
        <f>IF(B519="Total",SUM(G$8:G518)+0.0001,IF(OR(B519="",M519=0),0,VLOOKUP(A519,Journal!$C$7:M$84,7)))</f>
        <v>0</v>
      </c>
      <c r="H519" s="102">
        <f>IF(B519="Total",SUM(H$8:H518)+0.0001,IF(OR(B519="",N519=0),0,VLOOKUP(A519,Journal!$C$7:M$84,7)))</f>
        <v>0</v>
      </c>
      <c r="I519" s="87">
        <f t="shared" si="46"/>
        <v>0</v>
      </c>
      <c r="K519" s="13">
        <f>VLOOKUP(A519,Journal!$C$7:$M$84,4)</f>
        <v>0</v>
      </c>
      <c r="L519" s="13">
        <f>VLOOKUP(A519,Journal!$C$7:$M$84,5)</f>
        <v>0</v>
      </c>
      <c r="M519" s="13">
        <f t="shared" si="48"/>
        <v>0</v>
      </c>
      <c r="N519" s="13">
        <f t="shared" si="49"/>
        <v>0</v>
      </c>
      <c r="O519" s="13"/>
      <c r="P519" s="13">
        <f t="shared" si="50"/>
        <v>1.0000000000000001E-5</v>
      </c>
      <c r="T519" t="str">
        <f t="shared" si="45"/>
        <v/>
      </c>
    </row>
    <row r="520" spans="1:20" x14ac:dyDescent="0.25">
      <c r="A520">
        <f t="shared" si="47"/>
        <v>513</v>
      </c>
      <c r="B520" s="88" t="str">
        <f>IF(OR(B519="Total",B519=""),"",IF(VLOOKUP(A520,Journal!$C$7:$E$84,3)=0,"Total",VLOOKUP(A520,Journal!$C$7:$D$84,2)))</f>
        <v/>
      </c>
      <c r="C520" s="86" t="str">
        <f>IF(B520="","",VLOOKUP(A520,Journal!$C$7:$E$84,3))</f>
        <v/>
      </c>
      <c r="D520" s="84" t="str">
        <f>IF(B520="","",VLOOKUP(A520,Journal!$C$7:$J$84,8))</f>
        <v/>
      </c>
      <c r="E520" s="84" t="str">
        <f>IF(B520="","",VLOOKUP(A520,Journal!$C$7:$L$84,10))</f>
        <v/>
      </c>
      <c r="F520" s="84" t="str">
        <f>IF(B520="","",VLOOKUP(A520,Journal!$C$7:$M$84,11))</f>
        <v/>
      </c>
      <c r="G520" s="102">
        <f>IF(B520="Total",SUM(G$8:G519)+0.0001,IF(OR(B520="",M520=0),0,VLOOKUP(A520,Journal!$C$7:M$84,7)))</f>
        <v>0</v>
      </c>
      <c r="H520" s="102">
        <f>IF(B520="Total",SUM(H$8:H519)+0.0001,IF(OR(B520="",N520=0),0,VLOOKUP(A520,Journal!$C$7:M$84,7)))</f>
        <v>0</v>
      </c>
      <c r="I520" s="87">
        <f t="shared" si="46"/>
        <v>0</v>
      </c>
      <c r="K520" s="13">
        <f>VLOOKUP(A520,Journal!$C$7:$M$84,4)</f>
        <v>0</v>
      </c>
      <c r="L520" s="13">
        <f>VLOOKUP(A520,Journal!$C$7:$M$84,5)</f>
        <v>0</v>
      </c>
      <c r="M520" s="13">
        <f t="shared" si="48"/>
        <v>0</v>
      </c>
      <c r="N520" s="13">
        <f t="shared" si="49"/>
        <v>0</v>
      </c>
      <c r="O520" s="13"/>
      <c r="P520" s="13">
        <f t="shared" si="50"/>
        <v>1.0000000000000001E-5</v>
      </c>
      <c r="T520" t="str">
        <f t="shared" si="45"/>
        <v/>
      </c>
    </row>
    <row r="521" spans="1:20" x14ac:dyDescent="0.25">
      <c r="A521">
        <f t="shared" si="47"/>
        <v>514</v>
      </c>
      <c r="B521" s="88" t="str">
        <f>IF(OR(B520="Total",B520=""),"",IF(VLOOKUP(A521,Journal!$C$7:$E$84,3)=0,"Total",VLOOKUP(A521,Journal!$C$7:$D$84,2)))</f>
        <v/>
      </c>
      <c r="C521" s="86" t="str">
        <f>IF(B521="","",VLOOKUP(A521,Journal!$C$7:$E$84,3))</f>
        <v/>
      </c>
      <c r="D521" s="84" t="str">
        <f>IF(B521="","",VLOOKUP(A521,Journal!$C$7:$J$84,8))</f>
        <v/>
      </c>
      <c r="E521" s="84" t="str">
        <f>IF(B521="","",VLOOKUP(A521,Journal!$C$7:$L$84,10))</f>
        <v/>
      </c>
      <c r="F521" s="84" t="str">
        <f>IF(B521="","",VLOOKUP(A521,Journal!$C$7:$M$84,11))</f>
        <v/>
      </c>
      <c r="G521" s="102">
        <f>IF(B521="Total",SUM(G$8:G520)+0.0001,IF(OR(B521="",M521=0),0,VLOOKUP(A521,Journal!$C$7:M$84,7)))</f>
        <v>0</v>
      </c>
      <c r="H521" s="102">
        <f>IF(B521="Total",SUM(H$8:H520)+0.0001,IF(OR(B521="",N521=0),0,VLOOKUP(A521,Journal!$C$7:M$84,7)))</f>
        <v>0</v>
      </c>
      <c r="I521" s="87">
        <f t="shared" si="46"/>
        <v>0</v>
      </c>
      <c r="K521" s="13">
        <f>VLOOKUP(A521,Journal!$C$7:$M$84,4)</f>
        <v>0</v>
      </c>
      <c r="L521" s="13">
        <f>VLOOKUP(A521,Journal!$C$7:$M$84,5)</f>
        <v>0</v>
      </c>
      <c r="M521" s="13">
        <f t="shared" si="48"/>
        <v>0</v>
      </c>
      <c r="N521" s="13">
        <f t="shared" si="49"/>
        <v>0</v>
      </c>
      <c r="O521" s="13"/>
      <c r="P521" s="13">
        <f t="shared" si="50"/>
        <v>1.0000000000000001E-5</v>
      </c>
      <c r="T521" t="str">
        <f t="shared" ref="T521:T584" si="51">IF(AND(G521&lt;&gt;0,B521&lt;&gt;"Total",G521=H521),"Beide Konten sind Erfolgskonten, weshalb Saldo gleich bleibt","")</f>
        <v/>
      </c>
    </row>
    <row r="522" spans="1:20" x14ac:dyDescent="0.25">
      <c r="A522">
        <f t="shared" si="47"/>
        <v>515</v>
      </c>
      <c r="B522" s="88" t="str">
        <f>IF(OR(B521="Total",B521=""),"",IF(VLOOKUP(A522,Journal!$C$7:$E$84,3)=0,"Total",VLOOKUP(A522,Journal!$C$7:$D$84,2)))</f>
        <v/>
      </c>
      <c r="C522" s="86" t="str">
        <f>IF(B522="","",VLOOKUP(A522,Journal!$C$7:$E$84,3))</f>
        <v/>
      </c>
      <c r="D522" s="84" t="str">
        <f>IF(B522="","",VLOOKUP(A522,Journal!$C$7:$J$84,8))</f>
        <v/>
      </c>
      <c r="E522" s="84" t="str">
        <f>IF(B522="","",VLOOKUP(A522,Journal!$C$7:$L$84,10))</f>
        <v/>
      </c>
      <c r="F522" s="84" t="str">
        <f>IF(B522="","",VLOOKUP(A522,Journal!$C$7:$M$84,11))</f>
        <v/>
      </c>
      <c r="G522" s="102">
        <f>IF(B522="Total",SUM(G$8:G521)+0.0001,IF(OR(B522="",M522=0),0,VLOOKUP(A522,Journal!$C$7:M$84,7)))</f>
        <v>0</v>
      </c>
      <c r="H522" s="102">
        <f>IF(B522="Total",SUM(H$8:H521)+0.0001,IF(OR(B522="",N522=0),0,VLOOKUP(A522,Journal!$C$7:M$84,7)))</f>
        <v>0</v>
      </c>
      <c r="I522" s="87">
        <f t="shared" ref="I522:I585" si="52">IF(B522="Total",I521,IF(B522="",0,I521+G522-H522))</f>
        <v>0</v>
      </c>
      <c r="K522" s="13">
        <f>VLOOKUP(A522,Journal!$C$7:$M$84,4)</f>
        <v>0</v>
      </c>
      <c r="L522" s="13">
        <f>VLOOKUP(A522,Journal!$C$7:$M$84,5)</f>
        <v>0</v>
      </c>
      <c r="M522" s="13">
        <f t="shared" si="48"/>
        <v>0</v>
      </c>
      <c r="N522" s="13">
        <f t="shared" si="49"/>
        <v>0</v>
      </c>
      <c r="O522" s="13"/>
      <c r="P522" s="13">
        <f t="shared" si="50"/>
        <v>1.0000000000000001E-5</v>
      </c>
      <c r="T522" t="str">
        <f t="shared" si="51"/>
        <v/>
      </c>
    </row>
    <row r="523" spans="1:20" x14ac:dyDescent="0.25">
      <c r="A523">
        <f t="shared" ref="A523:A586" si="53">A522+1</f>
        <v>516</v>
      </c>
      <c r="B523" s="88" t="str">
        <f>IF(OR(B522="Total",B522=""),"",IF(VLOOKUP(A523,Journal!$C$7:$E$84,3)=0,"Total",VLOOKUP(A523,Journal!$C$7:$D$84,2)))</f>
        <v/>
      </c>
      <c r="C523" s="86" t="str">
        <f>IF(B523="","",VLOOKUP(A523,Journal!$C$7:$E$84,3))</f>
        <v/>
      </c>
      <c r="D523" s="84" t="str">
        <f>IF(B523="","",VLOOKUP(A523,Journal!$C$7:$J$84,8))</f>
        <v/>
      </c>
      <c r="E523" s="84" t="str">
        <f>IF(B523="","",VLOOKUP(A523,Journal!$C$7:$L$84,10))</f>
        <v/>
      </c>
      <c r="F523" s="84" t="str">
        <f>IF(B523="","",VLOOKUP(A523,Journal!$C$7:$M$84,11))</f>
        <v/>
      </c>
      <c r="G523" s="102">
        <f>IF(B523="Total",SUM(G$8:G522)+0.0001,IF(OR(B523="",M523=0),0,VLOOKUP(A523,Journal!$C$7:M$84,7)))</f>
        <v>0</v>
      </c>
      <c r="H523" s="102">
        <f>IF(B523="Total",SUM(H$8:H522)+0.0001,IF(OR(B523="",N523=0),0,VLOOKUP(A523,Journal!$C$7:M$84,7)))</f>
        <v>0</v>
      </c>
      <c r="I523" s="87">
        <f t="shared" si="52"/>
        <v>0</v>
      </c>
      <c r="K523" s="13">
        <f>VLOOKUP(A523,Journal!$C$7:$M$84,4)</f>
        <v>0</v>
      </c>
      <c r="L523" s="13">
        <f>VLOOKUP(A523,Journal!$C$7:$M$84,5)</f>
        <v>0</v>
      </c>
      <c r="M523" s="13">
        <f t="shared" si="48"/>
        <v>0</v>
      </c>
      <c r="N523" s="13">
        <f t="shared" si="49"/>
        <v>0</v>
      </c>
      <c r="O523" s="13"/>
      <c r="P523" s="13">
        <f t="shared" si="50"/>
        <v>1.0000000000000001E-5</v>
      </c>
      <c r="T523" t="str">
        <f t="shared" si="51"/>
        <v/>
      </c>
    </row>
    <row r="524" spans="1:20" x14ac:dyDescent="0.25">
      <c r="A524">
        <f t="shared" si="53"/>
        <v>517</v>
      </c>
      <c r="B524" s="88" t="str">
        <f>IF(OR(B523="Total",B523=""),"",IF(VLOOKUP(A524,Journal!$C$7:$E$84,3)=0,"Total",VLOOKUP(A524,Journal!$C$7:$D$84,2)))</f>
        <v/>
      </c>
      <c r="C524" s="86" t="str">
        <f>IF(B524="","",VLOOKUP(A524,Journal!$C$7:$E$84,3))</f>
        <v/>
      </c>
      <c r="D524" s="84" t="str">
        <f>IF(B524="","",VLOOKUP(A524,Journal!$C$7:$J$84,8))</f>
        <v/>
      </c>
      <c r="E524" s="84" t="str">
        <f>IF(B524="","",VLOOKUP(A524,Journal!$C$7:$L$84,10))</f>
        <v/>
      </c>
      <c r="F524" s="84" t="str">
        <f>IF(B524="","",VLOOKUP(A524,Journal!$C$7:$M$84,11))</f>
        <v/>
      </c>
      <c r="G524" s="102">
        <f>IF(B524="Total",SUM(G$8:G523)+0.0001,IF(OR(B524="",M524=0),0,VLOOKUP(A524,Journal!$C$7:M$84,7)))</f>
        <v>0</v>
      </c>
      <c r="H524" s="102">
        <f>IF(B524="Total",SUM(H$8:H523)+0.0001,IF(OR(B524="",N524=0),0,VLOOKUP(A524,Journal!$C$7:M$84,7)))</f>
        <v>0</v>
      </c>
      <c r="I524" s="87">
        <f t="shared" si="52"/>
        <v>0</v>
      </c>
      <c r="K524" s="13">
        <f>VLOOKUP(A524,Journal!$C$7:$M$84,4)</f>
        <v>0</v>
      </c>
      <c r="L524" s="13">
        <f>VLOOKUP(A524,Journal!$C$7:$M$84,5)</f>
        <v>0</v>
      </c>
      <c r="M524" s="13">
        <f t="shared" si="48"/>
        <v>0</v>
      </c>
      <c r="N524" s="13">
        <f t="shared" si="49"/>
        <v>0</v>
      </c>
      <c r="O524" s="13"/>
      <c r="P524" s="13">
        <f t="shared" si="50"/>
        <v>1.0000000000000001E-5</v>
      </c>
      <c r="T524" t="str">
        <f t="shared" si="51"/>
        <v/>
      </c>
    </row>
    <row r="525" spans="1:20" x14ac:dyDescent="0.25">
      <c r="A525">
        <f t="shared" si="53"/>
        <v>518</v>
      </c>
      <c r="B525" s="88" t="str">
        <f>IF(OR(B524="Total",B524=""),"",IF(VLOOKUP(A525,Journal!$C$7:$E$84,3)=0,"Total",VLOOKUP(A525,Journal!$C$7:$D$84,2)))</f>
        <v/>
      </c>
      <c r="C525" s="86" t="str">
        <f>IF(B525="","",VLOOKUP(A525,Journal!$C$7:$E$84,3))</f>
        <v/>
      </c>
      <c r="D525" s="84" t="str">
        <f>IF(B525="","",VLOOKUP(A525,Journal!$C$7:$J$84,8))</f>
        <v/>
      </c>
      <c r="E525" s="84" t="str">
        <f>IF(B525="","",VLOOKUP(A525,Journal!$C$7:$L$84,10))</f>
        <v/>
      </c>
      <c r="F525" s="84" t="str">
        <f>IF(B525="","",VLOOKUP(A525,Journal!$C$7:$M$84,11))</f>
        <v/>
      </c>
      <c r="G525" s="102">
        <f>IF(B525="Total",SUM(G$8:G524)+0.0001,IF(OR(B525="",M525=0),0,VLOOKUP(A525,Journal!$C$7:M$84,7)))</f>
        <v>0</v>
      </c>
      <c r="H525" s="102">
        <f>IF(B525="Total",SUM(H$8:H524)+0.0001,IF(OR(B525="",N525=0),0,VLOOKUP(A525,Journal!$C$7:M$84,7)))</f>
        <v>0</v>
      </c>
      <c r="I525" s="87">
        <f t="shared" si="52"/>
        <v>0</v>
      </c>
      <c r="K525" s="13">
        <f>VLOOKUP(A525,Journal!$C$7:$M$84,4)</f>
        <v>0</v>
      </c>
      <c r="L525" s="13">
        <f>VLOOKUP(A525,Journal!$C$7:$M$84,5)</f>
        <v>0</v>
      </c>
      <c r="M525" s="13">
        <f t="shared" si="48"/>
        <v>0</v>
      </c>
      <c r="N525" s="13">
        <f t="shared" si="49"/>
        <v>0</v>
      </c>
      <c r="O525" s="13"/>
      <c r="P525" s="13">
        <f t="shared" si="50"/>
        <v>1.0000000000000001E-5</v>
      </c>
      <c r="T525" t="str">
        <f t="shared" si="51"/>
        <v/>
      </c>
    </row>
    <row r="526" spans="1:20" x14ac:dyDescent="0.25">
      <c r="A526">
        <f t="shared" si="53"/>
        <v>519</v>
      </c>
      <c r="B526" s="88" t="str">
        <f>IF(OR(B525="Total",B525=""),"",IF(VLOOKUP(A526,Journal!$C$7:$E$84,3)=0,"Total",VLOOKUP(A526,Journal!$C$7:$D$84,2)))</f>
        <v/>
      </c>
      <c r="C526" s="86" t="str">
        <f>IF(B526="","",VLOOKUP(A526,Journal!$C$7:$E$84,3))</f>
        <v/>
      </c>
      <c r="D526" s="84" t="str">
        <f>IF(B526="","",VLOOKUP(A526,Journal!$C$7:$J$84,8))</f>
        <v/>
      </c>
      <c r="E526" s="84" t="str">
        <f>IF(B526="","",VLOOKUP(A526,Journal!$C$7:$L$84,10))</f>
        <v/>
      </c>
      <c r="F526" s="84" t="str">
        <f>IF(B526="","",VLOOKUP(A526,Journal!$C$7:$M$84,11))</f>
        <v/>
      </c>
      <c r="G526" s="102">
        <f>IF(B526="Total",SUM(G$8:G525)+0.0001,IF(OR(B526="",M526=0),0,VLOOKUP(A526,Journal!$C$7:M$84,7)))</f>
        <v>0</v>
      </c>
      <c r="H526" s="102">
        <f>IF(B526="Total",SUM(H$8:H525)+0.0001,IF(OR(B526="",N526=0),0,VLOOKUP(A526,Journal!$C$7:M$84,7)))</f>
        <v>0</v>
      </c>
      <c r="I526" s="87">
        <f t="shared" si="52"/>
        <v>0</v>
      </c>
      <c r="K526" s="13">
        <f>VLOOKUP(A526,Journal!$C$7:$M$84,4)</f>
        <v>0</v>
      </c>
      <c r="L526" s="13">
        <f>VLOOKUP(A526,Journal!$C$7:$M$84,5)</f>
        <v>0</v>
      </c>
      <c r="M526" s="13">
        <f t="shared" si="48"/>
        <v>0</v>
      </c>
      <c r="N526" s="13">
        <f t="shared" si="49"/>
        <v>0</v>
      </c>
      <c r="O526" s="13"/>
      <c r="P526" s="13">
        <f t="shared" si="50"/>
        <v>1.0000000000000001E-5</v>
      </c>
      <c r="T526" t="str">
        <f t="shared" si="51"/>
        <v/>
      </c>
    </row>
    <row r="527" spans="1:20" x14ac:dyDescent="0.25">
      <c r="A527">
        <f t="shared" si="53"/>
        <v>520</v>
      </c>
      <c r="B527" s="88" t="str">
        <f>IF(OR(B526="Total",B526=""),"",IF(VLOOKUP(A527,Journal!$C$7:$E$84,3)=0,"Total",VLOOKUP(A527,Journal!$C$7:$D$84,2)))</f>
        <v/>
      </c>
      <c r="C527" s="86" t="str">
        <f>IF(B527="","",VLOOKUP(A527,Journal!$C$7:$E$84,3))</f>
        <v/>
      </c>
      <c r="D527" s="84" t="str">
        <f>IF(B527="","",VLOOKUP(A527,Journal!$C$7:$J$84,8))</f>
        <v/>
      </c>
      <c r="E527" s="84" t="str">
        <f>IF(B527="","",VLOOKUP(A527,Journal!$C$7:$L$84,10))</f>
        <v/>
      </c>
      <c r="F527" s="84" t="str">
        <f>IF(B527="","",VLOOKUP(A527,Journal!$C$7:$M$84,11))</f>
        <v/>
      </c>
      <c r="G527" s="102">
        <f>IF(B527="Total",SUM(G$8:G526)+0.0001,IF(OR(B527="",M527=0),0,VLOOKUP(A527,Journal!$C$7:M$84,7)))</f>
        <v>0</v>
      </c>
      <c r="H527" s="102">
        <f>IF(B527="Total",SUM(H$8:H526)+0.0001,IF(OR(B527="",N527=0),0,VLOOKUP(A527,Journal!$C$7:M$84,7)))</f>
        <v>0</v>
      </c>
      <c r="I527" s="87">
        <f t="shared" si="52"/>
        <v>0</v>
      </c>
      <c r="K527" s="13">
        <f>VLOOKUP(A527,Journal!$C$7:$M$84,4)</f>
        <v>0</v>
      </c>
      <c r="L527" s="13">
        <f>VLOOKUP(A527,Journal!$C$7:$M$84,5)</f>
        <v>0</v>
      </c>
      <c r="M527" s="13">
        <f t="shared" si="48"/>
        <v>0</v>
      </c>
      <c r="N527" s="13">
        <f t="shared" si="49"/>
        <v>0</v>
      </c>
      <c r="O527" s="13"/>
      <c r="P527" s="13">
        <f t="shared" si="50"/>
        <v>1.0000000000000001E-5</v>
      </c>
      <c r="T527" t="str">
        <f t="shared" si="51"/>
        <v/>
      </c>
    </row>
    <row r="528" spans="1:20" x14ac:dyDescent="0.25">
      <c r="A528">
        <f t="shared" si="53"/>
        <v>521</v>
      </c>
      <c r="B528" s="88" t="str">
        <f>IF(OR(B527="Total",B527=""),"",IF(VLOOKUP(A528,Journal!$C$7:$E$84,3)=0,"Total",VLOOKUP(A528,Journal!$C$7:$D$84,2)))</f>
        <v/>
      </c>
      <c r="C528" s="86" t="str">
        <f>IF(B528="","",VLOOKUP(A528,Journal!$C$7:$E$84,3))</f>
        <v/>
      </c>
      <c r="D528" s="84" t="str">
        <f>IF(B528="","",VLOOKUP(A528,Journal!$C$7:$J$84,8))</f>
        <v/>
      </c>
      <c r="E528" s="84" t="str">
        <f>IF(B528="","",VLOOKUP(A528,Journal!$C$7:$L$84,10))</f>
        <v/>
      </c>
      <c r="F528" s="84" t="str">
        <f>IF(B528="","",VLOOKUP(A528,Journal!$C$7:$M$84,11))</f>
        <v/>
      </c>
      <c r="G528" s="102">
        <f>IF(B528="Total",SUM(G$8:G527)+0.0001,IF(OR(B528="",M528=0),0,VLOOKUP(A528,Journal!$C$7:M$84,7)))</f>
        <v>0</v>
      </c>
      <c r="H528" s="102">
        <f>IF(B528="Total",SUM(H$8:H527)+0.0001,IF(OR(B528="",N528=0),0,VLOOKUP(A528,Journal!$C$7:M$84,7)))</f>
        <v>0</v>
      </c>
      <c r="I528" s="87">
        <f t="shared" si="52"/>
        <v>0</v>
      </c>
      <c r="K528" s="13">
        <f>VLOOKUP(A528,Journal!$C$7:$M$84,4)</f>
        <v>0</v>
      </c>
      <c r="L528" s="13">
        <f>VLOOKUP(A528,Journal!$C$7:$M$84,5)</f>
        <v>0</v>
      </c>
      <c r="M528" s="13">
        <f t="shared" si="48"/>
        <v>0</v>
      </c>
      <c r="N528" s="13">
        <f t="shared" si="49"/>
        <v>0</v>
      </c>
      <c r="O528" s="13"/>
      <c r="P528" s="13">
        <f t="shared" si="50"/>
        <v>1.0000000000000001E-5</v>
      </c>
      <c r="T528" t="str">
        <f t="shared" si="51"/>
        <v/>
      </c>
    </row>
    <row r="529" spans="1:20" x14ac:dyDescent="0.25">
      <c r="A529">
        <f t="shared" si="53"/>
        <v>522</v>
      </c>
      <c r="B529" s="88" t="str">
        <f>IF(OR(B528="Total",B528=""),"",IF(VLOOKUP(A529,Journal!$C$7:$E$84,3)=0,"Total",VLOOKUP(A529,Journal!$C$7:$D$84,2)))</f>
        <v/>
      </c>
      <c r="C529" s="86" t="str">
        <f>IF(B529="","",VLOOKUP(A529,Journal!$C$7:$E$84,3))</f>
        <v/>
      </c>
      <c r="D529" s="84" t="str">
        <f>IF(B529="","",VLOOKUP(A529,Journal!$C$7:$J$84,8))</f>
        <v/>
      </c>
      <c r="E529" s="84" t="str">
        <f>IF(B529="","",VLOOKUP(A529,Journal!$C$7:$L$84,10))</f>
        <v/>
      </c>
      <c r="F529" s="84" t="str">
        <f>IF(B529="","",VLOOKUP(A529,Journal!$C$7:$M$84,11))</f>
        <v/>
      </c>
      <c r="G529" s="102">
        <f>IF(B529="Total",SUM(G$8:G528)+0.0001,IF(OR(B529="",M529=0),0,VLOOKUP(A529,Journal!$C$7:M$84,7)))</f>
        <v>0</v>
      </c>
      <c r="H529" s="102">
        <f>IF(B529="Total",SUM(H$8:H528)+0.0001,IF(OR(B529="",N529=0),0,VLOOKUP(A529,Journal!$C$7:M$84,7)))</f>
        <v>0</v>
      </c>
      <c r="I529" s="87">
        <f t="shared" si="52"/>
        <v>0</v>
      </c>
      <c r="K529" s="13">
        <f>VLOOKUP(A529,Journal!$C$7:$M$84,4)</f>
        <v>0</v>
      </c>
      <c r="L529" s="13">
        <f>VLOOKUP(A529,Journal!$C$7:$M$84,5)</f>
        <v>0</v>
      </c>
      <c r="M529" s="13">
        <f t="shared" si="48"/>
        <v>0</v>
      </c>
      <c r="N529" s="13">
        <f t="shared" si="49"/>
        <v>0</v>
      </c>
      <c r="O529" s="13"/>
      <c r="P529" s="13">
        <f t="shared" si="50"/>
        <v>1.0000000000000001E-5</v>
      </c>
      <c r="T529" t="str">
        <f t="shared" si="51"/>
        <v/>
      </c>
    </row>
    <row r="530" spans="1:20" x14ac:dyDescent="0.25">
      <c r="A530">
        <f t="shared" si="53"/>
        <v>523</v>
      </c>
      <c r="B530" s="88" t="str">
        <f>IF(OR(B529="Total",B529=""),"",IF(VLOOKUP(A530,Journal!$C$7:$E$84,3)=0,"Total",VLOOKUP(A530,Journal!$C$7:$D$84,2)))</f>
        <v/>
      </c>
      <c r="C530" s="86" t="str">
        <f>IF(B530="","",VLOOKUP(A530,Journal!$C$7:$E$84,3))</f>
        <v/>
      </c>
      <c r="D530" s="84" t="str">
        <f>IF(B530="","",VLOOKUP(A530,Journal!$C$7:$J$84,8))</f>
        <v/>
      </c>
      <c r="E530" s="84" t="str">
        <f>IF(B530="","",VLOOKUP(A530,Journal!$C$7:$L$84,10))</f>
        <v/>
      </c>
      <c r="F530" s="84" t="str">
        <f>IF(B530="","",VLOOKUP(A530,Journal!$C$7:$M$84,11))</f>
        <v/>
      </c>
      <c r="G530" s="102">
        <f>IF(B530="Total",SUM(G$8:G529)+0.0001,IF(OR(B530="",M530=0),0,VLOOKUP(A530,Journal!$C$7:M$84,7)))</f>
        <v>0</v>
      </c>
      <c r="H530" s="102">
        <f>IF(B530="Total",SUM(H$8:H529)+0.0001,IF(OR(B530="",N530=0),0,VLOOKUP(A530,Journal!$C$7:M$84,7)))</f>
        <v>0</v>
      </c>
      <c r="I530" s="87">
        <f t="shared" si="52"/>
        <v>0</v>
      </c>
      <c r="K530" s="13">
        <f>VLOOKUP(A530,Journal!$C$7:$M$84,4)</f>
        <v>0</v>
      </c>
      <c r="L530" s="13">
        <f>VLOOKUP(A530,Journal!$C$7:$M$84,5)</f>
        <v>0</v>
      </c>
      <c r="M530" s="13">
        <f t="shared" si="48"/>
        <v>0</v>
      </c>
      <c r="N530" s="13">
        <f t="shared" si="49"/>
        <v>0</v>
      </c>
      <c r="O530" s="13"/>
      <c r="P530" s="13">
        <f t="shared" si="50"/>
        <v>1.0000000000000001E-5</v>
      </c>
      <c r="T530" t="str">
        <f t="shared" si="51"/>
        <v/>
      </c>
    </row>
    <row r="531" spans="1:20" x14ac:dyDescent="0.25">
      <c r="A531">
        <f t="shared" si="53"/>
        <v>524</v>
      </c>
      <c r="B531" s="88" t="str">
        <f>IF(OR(B530="Total",B530=""),"",IF(VLOOKUP(A531,Journal!$C$7:$E$84,3)=0,"Total",VLOOKUP(A531,Journal!$C$7:$D$84,2)))</f>
        <v/>
      </c>
      <c r="C531" s="86" t="str">
        <f>IF(B531="","",VLOOKUP(A531,Journal!$C$7:$E$84,3))</f>
        <v/>
      </c>
      <c r="D531" s="84" t="str">
        <f>IF(B531="","",VLOOKUP(A531,Journal!$C$7:$J$84,8))</f>
        <v/>
      </c>
      <c r="E531" s="84" t="str">
        <f>IF(B531="","",VLOOKUP(A531,Journal!$C$7:$L$84,10))</f>
        <v/>
      </c>
      <c r="F531" s="84" t="str">
        <f>IF(B531="","",VLOOKUP(A531,Journal!$C$7:$M$84,11))</f>
        <v/>
      </c>
      <c r="G531" s="102">
        <f>IF(B531="Total",SUM(G$8:G530)+0.0001,IF(OR(B531="",M531=0),0,VLOOKUP(A531,Journal!$C$7:M$84,7)))</f>
        <v>0</v>
      </c>
      <c r="H531" s="102">
        <f>IF(B531="Total",SUM(H$8:H530)+0.0001,IF(OR(B531="",N531=0),0,VLOOKUP(A531,Journal!$C$7:M$84,7)))</f>
        <v>0</v>
      </c>
      <c r="I531" s="87">
        <f t="shared" si="52"/>
        <v>0</v>
      </c>
      <c r="K531" s="13">
        <f>VLOOKUP(A531,Journal!$C$7:$M$84,4)</f>
        <v>0</v>
      </c>
      <c r="L531" s="13">
        <f>VLOOKUP(A531,Journal!$C$7:$M$84,5)</f>
        <v>0</v>
      </c>
      <c r="M531" s="13">
        <f t="shared" si="48"/>
        <v>0</v>
      </c>
      <c r="N531" s="13">
        <f t="shared" si="49"/>
        <v>0</v>
      </c>
      <c r="O531" s="13"/>
      <c r="P531" s="13">
        <f t="shared" si="50"/>
        <v>1.0000000000000001E-5</v>
      </c>
      <c r="T531" t="str">
        <f t="shared" si="51"/>
        <v/>
      </c>
    </row>
    <row r="532" spans="1:20" x14ac:dyDescent="0.25">
      <c r="A532">
        <f t="shared" si="53"/>
        <v>525</v>
      </c>
      <c r="B532" s="88" t="str">
        <f>IF(OR(B531="Total",B531=""),"",IF(VLOOKUP(A532,Journal!$C$7:$E$84,3)=0,"Total",VLOOKUP(A532,Journal!$C$7:$D$84,2)))</f>
        <v/>
      </c>
      <c r="C532" s="86" t="str">
        <f>IF(B532="","",VLOOKUP(A532,Journal!$C$7:$E$84,3))</f>
        <v/>
      </c>
      <c r="D532" s="84" t="str">
        <f>IF(B532="","",VLOOKUP(A532,Journal!$C$7:$J$84,8))</f>
        <v/>
      </c>
      <c r="E532" s="84" t="str">
        <f>IF(B532="","",VLOOKUP(A532,Journal!$C$7:$L$84,10))</f>
        <v/>
      </c>
      <c r="F532" s="84" t="str">
        <f>IF(B532="","",VLOOKUP(A532,Journal!$C$7:$M$84,11))</f>
        <v/>
      </c>
      <c r="G532" s="102">
        <f>IF(B532="Total",SUM(G$8:G531)+0.0001,IF(OR(B532="",M532=0),0,VLOOKUP(A532,Journal!$C$7:M$84,7)))</f>
        <v>0</v>
      </c>
      <c r="H532" s="102">
        <f>IF(B532="Total",SUM(H$8:H531)+0.0001,IF(OR(B532="",N532=0),0,VLOOKUP(A532,Journal!$C$7:M$84,7)))</f>
        <v>0</v>
      </c>
      <c r="I532" s="87">
        <f t="shared" si="52"/>
        <v>0</v>
      </c>
      <c r="K532" s="13">
        <f>VLOOKUP(A532,Journal!$C$7:$M$84,4)</f>
        <v>0</v>
      </c>
      <c r="L532" s="13">
        <f>VLOOKUP(A532,Journal!$C$7:$M$84,5)</f>
        <v>0</v>
      </c>
      <c r="M532" s="13">
        <f t="shared" si="48"/>
        <v>0</v>
      </c>
      <c r="N532" s="13">
        <f t="shared" si="49"/>
        <v>0</v>
      </c>
      <c r="O532" s="13"/>
      <c r="P532" s="13">
        <f t="shared" si="50"/>
        <v>1.0000000000000001E-5</v>
      </c>
      <c r="T532" t="str">
        <f t="shared" si="51"/>
        <v/>
      </c>
    </row>
    <row r="533" spans="1:20" x14ac:dyDescent="0.25">
      <c r="A533">
        <f t="shared" si="53"/>
        <v>526</v>
      </c>
      <c r="B533" s="88" t="str">
        <f>IF(OR(B532="Total",B532=""),"",IF(VLOOKUP(A533,Journal!$C$7:$E$84,3)=0,"Total",VLOOKUP(A533,Journal!$C$7:$D$84,2)))</f>
        <v/>
      </c>
      <c r="C533" s="86" t="str">
        <f>IF(B533="","",VLOOKUP(A533,Journal!$C$7:$E$84,3))</f>
        <v/>
      </c>
      <c r="D533" s="84" t="str">
        <f>IF(B533="","",VLOOKUP(A533,Journal!$C$7:$J$84,8))</f>
        <v/>
      </c>
      <c r="E533" s="84" t="str">
        <f>IF(B533="","",VLOOKUP(A533,Journal!$C$7:$L$84,10))</f>
        <v/>
      </c>
      <c r="F533" s="84" t="str">
        <f>IF(B533="","",VLOOKUP(A533,Journal!$C$7:$M$84,11))</f>
        <v/>
      </c>
      <c r="G533" s="102">
        <f>IF(B533="Total",SUM(G$8:G532)+0.0001,IF(OR(B533="",M533=0),0,VLOOKUP(A533,Journal!$C$7:M$84,7)))</f>
        <v>0</v>
      </c>
      <c r="H533" s="102">
        <f>IF(B533="Total",SUM(H$8:H532)+0.0001,IF(OR(B533="",N533=0),0,VLOOKUP(A533,Journal!$C$7:M$84,7)))</f>
        <v>0</v>
      </c>
      <c r="I533" s="87">
        <f t="shared" si="52"/>
        <v>0</v>
      </c>
      <c r="K533" s="13">
        <f>VLOOKUP(A533,Journal!$C$7:$M$84,4)</f>
        <v>0</v>
      </c>
      <c r="L533" s="13">
        <f>VLOOKUP(A533,Journal!$C$7:$M$84,5)</f>
        <v>0</v>
      </c>
      <c r="M533" s="13">
        <f t="shared" si="48"/>
        <v>0</v>
      </c>
      <c r="N533" s="13">
        <f t="shared" si="49"/>
        <v>0</v>
      </c>
      <c r="O533" s="13"/>
      <c r="P533" s="13">
        <f t="shared" si="50"/>
        <v>1.0000000000000001E-5</v>
      </c>
      <c r="T533" t="str">
        <f t="shared" si="51"/>
        <v/>
      </c>
    </row>
    <row r="534" spans="1:20" x14ac:dyDescent="0.25">
      <c r="A534">
        <f t="shared" si="53"/>
        <v>527</v>
      </c>
      <c r="B534" s="88" t="str">
        <f>IF(OR(B533="Total",B533=""),"",IF(VLOOKUP(A534,Journal!$C$7:$E$84,3)=0,"Total",VLOOKUP(A534,Journal!$C$7:$D$84,2)))</f>
        <v/>
      </c>
      <c r="C534" s="86" t="str">
        <f>IF(B534="","",VLOOKUP(A534,Journal!$C$7:$E$84,3))</f>
        <v/>
      </c>
      <c r="D534" s="84" t="str">
        <f>IF(B534="","",VLOOKUP(A534,Journal!$C$7:$J$84,8))</f>
        <v/>
      </c>
      <c r="E534" s="84" t="str">
        <f>IF(B534="","",VLOOKUP(A534,Journal!$C$7:$L$84,10))</f>
        <v/>
      </c>
      <c r="F534" s="84" t="str">
        <f>IF(B534="","",VLOOKUP(A534,Journal!$C$7:$M$84,11))</f>
        <v/>
      </c>
      <c r="G534" s="102">
        <f>IF(B534="Total",SUM(G$8:G533)+0.0001,IF(OR(B534="",M534=0),0,VLOOKUP(A534,Journal!$C$7:M$84,7)))</f>
        <v>0</v>
      </c>
      <c r="H534" s="102">
        <f>IF(B534="Total",SUM(H$8:H533)+0.0001,IF(OR(B534="",N534=0),0,VLOOKUP(A534,Journal!$C$7:M$84,7)))</f>
        <v>0</v>
      </c>
      <c r="I534" s="87">
        <f t="shared" si="52"/>
        <v>0</v>
      </c>
      <c r="K534" s="13">
        <f>VLOOKUP(A534,Journal!$C$7:$M$84,4)</f>
        <v>0</v>
      </c>
      <c r="L534" s="13">
        <f>VLOOKUP(A534,Journal!$C$7:$M$84,5)</f>
        <v>0</v>
      </c>
      <c r="M534" s="13">
        <f t="shared" si="48"/>
        <v>0</v>
      </c>
      <c r="N534" s="13">
        <f t="shared" si="49"/>
        <v>0</v>
      </c>
      <c r="O534" s="13"/>
      <c r="P534" s="13">
        <f t="shared" si="50"/>
        <v>1.0000000000000001E-5</v>
      </c>
      <c r="T534" t="str">
        <f t="shared" si="51"/>
        <v/>
      </c>
    </row>
    <row r="535" spans="1:20" x14ac:dyDescent="0.25">
      <c r="A535">
        <f t="shared" si="53"/>
        <v>528</v>
      </c>
      <c r="B535" s="88" t="str">
        <f>IF(OR(B534="Total",B534=""),"",IF(VLOOKUP(A535,Journal!$C$7:$E$84,3)=0,"Total",VLOOKUP(A535,Journal!$C$7:$D$84,2)))</f>
        <v/>
      </c>
      <c r="C535" s="86" t="str">
        <f>IF(B535="","",VLOOKUP(A535,Journal!$C$7:$E$84,3))</f>
        <v/>
      </c>
      <c r="D535" s="84" t="str">
        <f>IF(B535="","",VLOOKUP(A535,Journal!$C$7:$J$84,8))</f>
        <v/>
      </c>
      <c r="E535" s="84" t="str">
        <f>IF(B535="","",VLOOKUP(A535,Journal!$C$7:$L$84,10))</f>
        <v/>
      </c>
      <c r="F535" s="84" t="str">
        <f>IF(B535="","",VLOOKUP(A535,Journal!$C$7:$M$84,11))</f>
        <v/>
      </c>
      <c r="G535" s="102">
        <f>IF(B535="Total",SUM(G$8:G534)+0.0001,IF(OR(B535="",M535=0),0,VLOOKUP(A535,Journal!$C$7:M$84,7)))</f>
        <v>0</v>
      </c>
      <c r="H535" s="102">
        <f>IF(B535="Total",SUM(H$8:H534)+0.0001,IF(OR(B535="",N535=0),0,VLOOKUP(A535,Journal!$C$7:M$84,7)))</f>
        <v>0</v>
      </c>
      <c r="I535" s="87">
        <f t="shared" si="52"/>
        <v>0</v>
      </c>
      <c r="K535" s="13">
        <f>VLOOKUP(A535,Journal!$C$7:$M$84,4)</f>
        <v>0</v>
      </c>
      <c r="L535" s="13">
        <f>VLOOKUP(A535,Journal!$C$7:$M$84,5)</f>
        <v>0</v>
      </c>
      <c r="M535" s="13">
        <f t="shared" si="48"/>
        <v>0</v>
      </c>
      <c r="N535" s="13">
        <f t="shared" si="49"/>
        <v>0</v>
      </c>
      <c r="O535" s="13"/>
      <c r="P535" s="13">
        <f t="shared" si="50"/>
        <v>1.0000000000000001E-5</v>
      </c>
      <c r="T535" t="str">
        <f t="shared" si="51"/>
        <v/>
      </c>
    </row>
    <row r="536" spans="1:20" x14ac:dyDescent="0.25">
      <c r="A536">
        <f t="shared" si="53"/>
        <v>529</v>
      </c>
      <c r="B536" s="88" t="str">
        <f>IF(OR(B535="Total",B535=""),"",IF(VLOOKUP(A536,Journal!$C$7:$E$84,3)=0,"Total",VLOOKUP(A536,Journal!$C$7:$D$84,2)))</f>
        <v/>
      </c>
      <c r="C536" s="86" t="str">
        <f>IF(B536="","",VLOOKUP(A536,Journal!$C$7:$E$84,3))</f>
        <v/>
      </c>
      <c r="D536" s="84" t="str">
        <f>IF(B536="","",VLOOKUP(A536,Journal!$C$7:$J$84,8))</f>
        <v/>
      </c>
      <c r="E536" s="84" t="str">
        <f>IF(B536="","",VLOOKUP(A536,Journal!$C$7:$L$84,10))</f>
        <v/>
      </c>
      <c r="F536" s="84" t="str">
        <f>IF(B536="","",VLOOKUP(A536,Journal!$C$7:$M$84,11))</f>
        <v/>
      </c>
      <c r="G536" s="102">
        <f>IF(B536="Total",SUM(G$8:G535)+0.0001,IF(OR(B536="",M536=0),0,VLOOKUP(A536,Journal!$C$7:M$84,7)))</f>
        <v>0</v>
      </c>
      <c r="H536" s="102">
        <f>IF(B536="Total",SUM(H$8:H535)+0.0001,IF(OR(B536="",N536=0),0,VLOOKUP(A536,Journal!$C$7:M$84,7)))</f>
        <v>0</v>
      </c>
      <c r="I536" s="87">
        <f t="shared" si="52"/>
        <v>0</v>
      </c>
      <c r="K536" s="13">
        <f>VLOOKUP(A536,Journal!$C$7:$M$84,4)</f>
        <v>0</v>
      </c>
      <c r="L536" s="13">
        <f>VLOOKUP(A536,Journal!$C$7:$M$84,5)</f>
        <v>0</v>
      </c>
      <c r="M536" s="13">
        <f t="shared" si="48"/>
        <v>0</v>
      </c>
      <c r="N536" s="13">
        <f t="shared" si="49"/>
        <v>0</v>
      </c>
      <c r="O536" s="13"/>
      <c r="P536" s="13">
        <f t="shared" si="50"/>
        <v>1.0000000000000001E-5</v>
      </c>
      <c r="T536" t="str">
        <f t="shared" si="51"/>
        <v/>
      </c>
    </row>
    <row r="537" spans="1:20" x14ac:dyDescent="0.25">
      <c r="A537">
        <f t="shared" si="53"/>
        <v>530</v>
      </c>
      <c r="B537" s="88" t="str">
        <f>IF(OR(B536="Total",B536=""),"",IF(VLOOKUP(A537,Journal!$C$7:$E$84,3)=0,"Total",VLOOKUP(A537,Journal!$C$7:$D$84,2)))</f>
        <v/>
      </c>
      <c r="C537" s="86" t="str">
        <f>IF(B537="","",VLOOKUP(A537,Journal!$C$7:$E$84,3))</f>
        <v/>
      </c>
      <c r="D537" s="84" t="str">
        <f>IF(B537="","",VLOOKUP(A537,Journal!$C$7:$J$84,8))</f>
        <v/>
      </c>
      <c r="E537" s="84" t="str">
        <f>IF(B537="","",VLOOKUP(A537,Journal!$C$7:$L$84,10))</f>
        <v/>
      </c>
      <c r="F537" s="84" t="str">
        <f>IF(B537="","",VLOOKUP(A537,Journal!$C$7:$M$84,11))</f>
        <v/>
      </c>
      <c r="G537" s="102">
        <f>IF(B537="Total",SUM(G$8:G536)+0.0001,IF(OR(B537="",M537=0),0,VLOOKUP(A537,Journal!$C$7:M$84,7)))</f>
        <v>0</v>
      </c>
      <c r="H537" s="102">
        <f>IF(B537="Total",SUM(H$8:H536)+0.0001,IF(OR(B537="",N537=0),0,VLOOKUP(A537,Journal!$C$7:M$84,7)))</f>
        <v>0</v>
      </c>
      <c r="I537" s="87">
        <f t="shared" si="52"/>
        <v>0</v>
      </c>
      <c r="K537" s="13">
        <f>VLOOKUP(A537,Journal!$C$7:$M$84,4)</f>
        <v>0</v>
      </c>
      <c r="L537" s="13">
        <f>VLOOKUP(A537,Journal!$C$7:$M$84,5)</f>
        <v>0</v>
      </c>
      <c r="M537" s="13">
        <f t="shared" ref="M537:M600" si="54">IF(AND(L537&gt;=$F$1,L537&lt;9999),1,0)</f>
        <v>0</v>
      </c>
      <c r="N537" s="13">
        <f t="shared" ref="N537:N600" si="55">IF(AND(K537&gt;=$F$1,K537&lt;9999),1,0)</f>
        <v>0</v>
      </c>
      <c r="O537" s="13"/>
      <c r="P537" s="13">
        <f t="shared" ref="P537:P600" si="56">IF(I536=I537,I536+0.00001,I537)</f>
        <v>1.0000000000000001E-5</v>
      </c>
      <c r="T537" t="str">
        <f t="shared" si="51"/>
        <v/>
      </c>
    </row>
    <row r="538" spans="1:20" x14ac:dyDescent="0.25">
      <c r="A538">
        <f t="shared" si="53"/>
        <v>531</v>
      </c>
      <c r="B538" s="88" t="str">
        <f>IF(OR(B537="Total",B537=""),"",IF(VLOOKUP(A538,Journal!$C$7:$E$84,3)=0,"Total",VLOOKUP(A538,Journal!$C$7:$D$84,2)))</f>
        <v/>
      </c>
      <c r="C538" s="86" t="str">
        <f>IF(B538="","",VLOOKUP(A538,Journal!$C$7:$E$84,3))</f>
        <v/>
      </c>
      <c r="D538" s="84" t="str">
        <f>IF(B538="","",VLOOKUP(A538,Journal!$C$7:$J$84,8))</f>
        <v/>
      </c>
      <c r="E538" s="84" t="str">
        <f>IF(B538="","",VLOOKUP(A538,Journal!$C$7:$L$84,10))</f>
        <v/>
      </c>
      <c r="F538" s="84" t="str">
        <f>IF(B538="","",VLOOKUP(A538,Journal!$C$7:$M$84,11))</f>
        <v/>
      </c>
      <c r="G538" s="102">
        <f>IF(B538="Total",SUM(G$8:G537)+0.0001,IF(OR(B538="",M538=0),0,VLOOKUP(A538,Journal!$C$7:M$84,7)))</f>
        <v>0</v>
      </c>
      <c r="H538" s="102">
        <f>IF(B538="Total",SUM(H$8:H537)+0.0001,IF(OR(B538="",N538=0),0,VLOOKUP(A538,Journal!$C$7:M$84,7)))</f>
        <v>0</v>
      </c>
      <c r="I538" s="87">
        <f t="shared" si="52"/>
        <v>0</v>
      </c>
      <c r="K538" s="13">
        <f>VLOOKUP(A538,Journal!$C$7:$M$84,4)</f>
        <v>0</v>
      </c>
      <c r="L538" s="13">
        <f>VLOOKUP(A538,Journal!$C$7:$M$84,5)</f>
        <v>0</v>
      </c>
      <c r="M538" s="13">
        <f t="shared" si="54"/>
        <v>0</v>
      </c>
      <c r="N538" s="13">
        <f t="shared" si="55"/>
        <v>0</v>
      </c>
      <c r="O538" s="13"/>
      <c r="P538" s="13">
        <f t="shared" si="56"/>
        <v>1.0000000000000001E-5</v>
      </c>
      <c r="T538" t="str">
        <f t="shared" si="51"/>
        <v/>
      </c>
    </row>
    <row r="539" spans="1:20" x14ac:dyDescent="0.25">
      <c r="A539">
        <f t="shared" si="53"/>
        <v>532</v>
      </c>
      <c r="B539" s="88" t="str">
        <f>IF(OR(B538="Total",B538=""),"",IF(VLOOKUP(A539,Journal!$C$7:$E$84,3)=0,"Total",VLOOKUP(A539,Journal!$C$7:$D$84,2)))</f>
        <v/>
      </c>
      <c r="C539" s="86" t="str">
        <f>IF(B539="","",VLOOKUP(A539,Journal!$C$7:$E$84,3))</f>
        <v/>
      </c>
      <c r="D539" s="84" t="str">
        <f>IF(B539="","",VLOOKUP(A539,Journal!$C$7:$J$84,8))</f>
        <v/>
      </c>
      <c r="E539" s="84" t="str">
        <f>IF(B539="","",VLOOKUP(A539,Journal!$C$7:$L$84,10))</f>
        <v/>
      </c>
      <c r="F539" s="84" t="str">
        <f>IF(B539="","",VLOOKUP(A539,Journal!$C$7:$M$84,11))</f>
        <v/>
      </c>
      <c r="G539" s="102">
        <f>IF(B539="Total",SUM(G$8:G538)+0.0001,IF(OR(B539="",M539=0),0,VLOOKUP(A539,Journal!$C$7:M$84,7)))</f>
        <v>0</v>
      </c>
      <c r="H539" s="102">
        <f>IF(B539="Total",SUM(H$8:H538)+0.0001,IF(OR(B539="",N539=0),0,VLOOKUP(A539,Journal!$C$7:M$84,7)))</f>
        <v>0</v>
      </c>
      <c r="I539" s="87">
        <f t="shared" si="52"/>
        <v>0</v>
      </c>
      <c r="K539" s="13">
        <f>VLOOKUP(A539,Journal!$C$7:$M$84,4)</f>
        <v>0</v>
      </c>
      <c r="L539" s="13">
        <f>VLOOKUP(A539,Journal!$C$7:$M$84,5)</f>
        <v>0</v>
      </c>
      <c r="M539" s="13">
        <f t="shared" si="54"/>
        <v>0</v>
      </c>
      <c r="N539" s="13">
        <f t="shared" si="55"/>
        <v>0</v>
      </c>
      <c r="O539" s="13"/>
      <c r="P539" s="13">
        <f t="shared" si="56"/>
        <v>1.0000000000000001E-5</v>
      </c>
      <c r="T539" t="str">
        <f t="shared" si="51"/>
        <v/>
      </c>
    </row>
    <row r="540" spans="1:20" x14ac:dyDescent="0.25">
      <c r="A540">
        <f t="shared" si="53"/>
        <v>533</v>
      </c>
      <c r="B540" s="88" t="str">
        <f>IF(OR(B539="Total",B539=""),"",IF(VLOOKUP(A540,Journal!$C$7:$E$84,3)=0,"Total",VLOOKUP(A540,Journal!$C$7:$D$84,2)))</f>
        <v/>
      </c>
      <c r="C540" s="86" t="str">
        <f>IF(B540="","",VLOOKUP(A540,Journal!$C$7:$E$84,3))</f>
        <v/>
      </c>
      <c r="D540" s="84" t="str">
        <f>IF(B540="","",VLOOKUP(A540,Journal!$C$7:$J$84,8))</f>
        <v/>
      </c>
      <c r="E540" s="84" t="str">
        <f>IF(B540="","",VLOOKUP(A540,Journal!$C$7:$L$84,10))</f>
        <v/>
      </c>
      <c r="F540" s="84" t="str">
        <f>IF(B540="","",VLOOKUP(A540,Journal!$C$7:$M$84,11))</f>
        <v/>
      </c>
      <c r="G540" s="102">
        <f>IF(B540="Total",SUM(G$8:G539)+0.0001,IF(OR(B540="",M540=0),0,VLOOKUP(A540,Journal!$C$7:M$84,7)))</f>
        <v>0</v>
      </c>
      <c r="H540" s="102">
        <f>IF(B540="Total",SUM(H$8:H539)+0.0001,IF(OR(B540="",N540=0),0,VLOOKUP(A540,Journal!$C$7:M$84,7)))</f>
        <v>0</v>
      </c>
      <c r="I540" s="87">
        <f t="shared" si="52"/>
        <v>0</v>
      </c>
      <c r="K540" s="13">
        <f>VLOOKUP(A540,Journal!$C$7:$M$84,4)</f>
        <v>0</v>
      </c>
      <c r="L540" s="13">
        <f>VLOOKUP(A540,Journal!$C$7:$M$84,5)</f>
        <v>0</v>
      </c>
      <c r="M540" s="13">
        <f t="shared" si="54"/>
        <v>0</v>
      </c>
      <c r="N540" s="13">
        <f t="shared" si="55"/>
        <v>0</v>
      </c>
      <c r="O540" s="13"/>
      <c r="P540" s="13">
        <f t="shared" si="56"/>
        <v>1.0000000000000001E-5</v>
      </c>
      <c r="T540" t="str">
        <f t="shared" si="51"/>
        <v/>
      </c>
    </row>
    <row r="541" spans="1:20" x14ac:dyDescent="0.25">
      <c r="A541">
        <f t="shared" si="53"/>
        <v>534</v>
      </c>
      <c r="B541" s="88" t="str">
        <f>IF(OR(B540="Total",B540=""),"",IF(VLOOKUP(A541,Journal!$C$7:$E$84,3)=0,"Total",VLOOKUP(A541,Journal!$C$7:$D$84,2)))</f>
        <v/>
      </c>
      <c r="C541" s="86" t="str">
        <f>IF(B541="","",VLOOKUP(A541,Journal!$C$7:$E$84,3))</f>
        <v/>
      </c>
      <c r="D541" s="84" t="str">
        <f>IF(B541="","",VLOOKUP(A541,Journal!$C$7:$J$84,8))</f>
        <v/>
      </c>
      <c r="E541" s="84" t="str">
        <f>IF(B541="","",VLOOKUP(A541,Journal!$C$7:$L$84,10))</f>
        <v/>
      </c>
      <c r="F541" s="84" t="str">
        <f>IF(B541="","",VLOOKUP(A541,Journal!$C$7:$M$84,11))</f>
        <v/>
      </c>
      <c r="G541" s="102">
        <f>IF(B541="Total",SUM(G$8:G540)+0.0001,IF(OR(B541="",M541=0),0,VLOOKUP(A541,Journal!$C$7:M$84,7)))</f>
        <v>0</v>
      </c>
      <c r="H541" s="102">
        <f>IF(B541="Total",SUM(H$8:H540)+0.0001,IF(OR(B541="",N541=0),0,VLOOKUP(A541,Journal!$C$7:M$84,7)))</f>
        <v>0</v>
      </c>
      <c r="I541" s="87">
        <f t="shared" si="52"/>
        <v>0</v>
      </c>
      <c r="K541" s="13">
        <f>VLOOKUP(A541,Journal!$C$7:$M$84,4)</f>
        <v>0</v>
      </c>
      <c r="L541" s="13">
        <f>VLOOKUP(A541,Journal!$C$7:$M$84,5)</f>
        <v>0</v>
      </c>
      <c r="M541" s="13">
        <f t="shared" si="54"/>
        <v>0</v>
      </c>
      <c r="N541" s="13">
        <f t="shared" si="55"/>
        <v>0</v>
      </c>
      <c r="O541" s="13"/>
      <c r="P541" s="13">
        <f t="shared" si="56"/>
        <v>1.0000000000000001E-5</v>
      </c>
      <c r="T541" t="str">
        <f t="shared" si="51"/>
        <v/>
      </c>
    </row>
    <row r="542" spans="1:20" x14ac:dyDescent="0.25">
      <c r="A542">
        <f t="shared" si="53"/>
        <v>535</v>
      </c>
      <c r="B542" s="88" t="str">
        <f>IF(OR(B541="Total",B541=""),"",IF(VLOOKUP(A542,Journal!$C$7:$E$84,3)=0,"Total",VLOOKUP(A542,Journal!$C$7:$D$84,2)))</f>
        <v/>
      </c>
      <c r="C542" s="86" t="str">
        <f>IF(B542="","",VLOOKUP(A542,Journal!$C$7:$E$84,3))</f>
        <v/>
      </c>
      <c r="D542" s="84" t="str">
        <f>IF(B542="","",VLOOKUP(A542,Journal!$C$7:$J$84,8))</f>
        <v/>
      </c>
      <c r="E542" s="84" t="str">
        <f>IF(B542="","",VLOOKUP(A542,Journal!$C$7:$L$84,10))</f>
        <v/>
      </c>
      <c r="F542" s="84" t="str">
        <f>IF(B542="","",VLOOKUP(A542,Journal!$C$7:$M$84,11))</f>
        <v/>
      </c>
      <c r="G542" s="102">
        <f>IF(B542="Total",SUM(G$8:G541)+0.0001,IF(OR(B542="",M542=0),0,VLOOKUP(A542,Journal!$C$7:M$84,7)))</f>
        <v>0</v>
      </c>
      <c r="H542" s="102">
        <f>IF(B542="Total",SUM(H$8:H541)+0.0001,IF(OR(B542="",N542=0),0,VLOOKUP(A542,Journal!$C$7:M$84,7)))</f>
        <v>0</v>
      </c>
      <c r="I542" s="87">
        <f t="shared" si="52"/>
        <v>0</v>
      </c>
      <c r="K542" s="13">
        <f>VLOOKUP(A542,Journal!$C$7:$M$84,4)</f>
        <v>0</v>
      </c>
      <c r="L542" s="13">
        <f>VLOOKUP(A542,Journal!$C$7:$M$84,5)</f>
        <v>0</v>
      </c>
      <c r="M542" s="13">
        <f t="shared" si="54"/>
        <v>0</v>
      </c>
      <c r="N542" s="13">
        <f t="shared" si="55"/>
        <v>0</v>
      </c>
      <c r="O542" s="13"/>
      <c r="P542" s="13">
        <f t="shared" si="56"/>
        <v>1.0000000000000001E-5</v>
      </c>
      <c r="T542" t="str">
        <f t="shared" si="51"/>
        <v/>
      </c>
    </row>
    <row r="543" spans="1:20" x14ac:dyDescent="0.25">
      <c r="A543">
        <f t="shared" si="53"/>
        <v>536</v>
      </c>
      <c r="B543" s="88" t="str">
        <f>IF(OR(B542="Total",B542=""),"",IF(VLOOKUP(A543,Journal!$C$7:$E$84,3)=0,"Total",VLOOKUP(A543,Journal!$C$7:$D$84,2)))</f>
        <v/>
      </c>
      <c r="C543" s="86" t="str">
        <f>IF(B543="","",VLOOKUP(A543,Journal!$C$7:$E$84,3))</f>
        <v/>
      </c>
      <c r="D543" s="84" t="str">
        <f>IF(B543="","",VLOOKUP(A543,Journal!$C$7:$J$84,8))</f>
        <v/>
      </c>
      <c r="E543" s="84" t="str">
        <f>IF(B543="","",VLOOKUP(A543,Journal!$C$7:$L$84,10))</f>
        <v/>
      </c>
      <c r="F543" s="84" t="str">
        <f>IF(B543="","",VLOOKUP(A543,Journal!$C$7:$M$84,11))</f>
        <v/>
      </c>
      <c r="G543" s="102">
        <f>IF(B543="Total",SUM(G$8:G542)+0.0001,IF(OR(B543="",M543=0),0,VLOOKUP(A543,Journal!$C$7:M$84,7)))</f>
        <v>0</v>
      </c>
      <c r="H543" s="102">
        <f>IF(B543="Total",SUM(H$8:H542)+0.0001,IF(OR(B543="",N543=0),0,VLOOKUP(A543,Journal!$C$7:M$84,7)))</f>
        <v>0</v>
      </c>
      <c r="I543" s="87">
        <f t="shared" si="52"/>
        <v>0</v>
      </c>
      <c r="K543" s="13">
        <f>VLOOKUP(A543,Journal!$C$7:$M$84,4)</f>
        <v>0</v>
      </c>
      <c r="L543" s="13">
        <f>VLOOKUP(A543,Journal!$C$7:$M$84,5)</f>
        <v>0</v>
      </c>
      <c r="M543" s="13">
        <f t="shared" si="54"/>
        <v>0</v>
      </c>
      <c r="N543" s="13">
        <f t="shared" si="55"/>
        <v>0</v>
      </c>
      <c r="O543" s="13"/>
      <c r="P543" s="13">
        <f t="shared" si="56"/>
        <v>1.0000000000000001E-5</v>
      </c>
      <c r="T543" t="str">
        <f t="shared" si="51"/>
        <v/>
      </c>
    </row>
    <row r="544" spans="1:20" x14ac:dyDescent="0.25">
      <c r="A544">
        <f t="shared" si="53"/>
        <v>537</v>
      </c>
      <c r="B544" s="88" t="str">
        <f>IF(OR(B543="Total",B543=""),"",IF(VLOOKUP(A544,Journal!$C$7:$E$84,3)=0,"Total",VLOOKUP(A544,Journal!$C$7:$D$84,2)))</f>
        <v/>
      </c>
      <c r="C544" s="86" t="str">
        <f>IF(B544="","",VLOOKUP(A544,Journal!$C$7:$E$84,3))</f>
        <v/>
      </c>
      <c r="D544" s="84" t="str">
        <f>IF(B544="","",VLOOKUP(A544,Journal!$C$7:$J$84,8))</f>
        <v/>
      </c>
      <c r="E544" s="84" t="str">
        <f>IF(B544="","",VLOOKUP(A544,Journal!$C$7:$L$84,10))</f>
        <v/>
      </c>
      <c r="F544" s="84" t="str">
        <f>IF(B544="","",VLOOKUP(A544,Journal!$C$7:$M$84,11))</f>
        <v/>
      </c>
      <c r="G544" s="102">
        <f>IF(B544="Total",SUM(G$8:G543)+0.0001,IF(OR(B544="",M544=0),0,VLOOKUP(A544,Journal!$C$7:M$84,7)))</f>
        <v>0</v>
      </c>
      <c r="H544" s="102">
        <f>IF(B544="Total",SUM(H$8:H543)+0.0001,IF(OR(B544="",N544=0),0,VLOOKUP(A544,Journal!$C$7:M$84,7)))</f>
        <v>0</v>
      </c>
      <c r="I544" s="87">
        <f t="shared" si="52"/>
        <v>0</v>
      </c>
      <c r="K544" s="13">
        <f>VLOOKUP(A544,Journal!$C$7:$M$84,4)</f>
        <v>0</v>
      </c>
      <c r="L544" s="13">
        <f>VLOOKUP(A544,Journal!$C$7:$M$84,5)</f>
        <v>0</v>
      </c>
      <c r="M544" s="13">
        <f t="shared" si="54"/>
        <v>0</v>
      </c>
      <c r="N544" s="13">
        <f t="shared" si="55"/>
        <v>0</v>
      </c>
      <c r="O544" s="13"/>
      <c r="P544" s="13">
        <f t="shared" si="56"/>
        <v>1.0000000000000001E-5</v>
      </c>
      <c r="T544" t="str">
        <f t="shared" si="51"/>
        <v/>
      </c>
    </row>
    <row r="545" spans="1:20" x14ac:dyDescent="0.25">
      <c r="A545">
        <f t="shared" si="53"/>
        <v>538</v>
      </c>
      <c r="B545" s="88" t="str">
        <f>IF(OR(B544="Total",B544=""),"",IF(VLOOKUP(A545,Journal!$C$7:$E$84,3)=0,"Total",VLOOKUP(A545,Journal!$C$7:$D$84,2)))</f>
        <v/>
      </c>
      <c r="C545" s="86" t="str">
        <f>IF(B545="","",VLOOKUP(A545,Journal!$C$7:$E$84,3))</f>
        <v/>
      </c>
      <c r="D545" s="84" t="str">
        <f>IF(B545="","",VLOOKUP(A545,Journal!$C$7:$J$84,8))</f>
        <v/>
      </c>
      <c r="E545" s="84" t="str">
        <f>IF(B545="","",VLOOKUP(A545,Journal!$C$7:$L$84,10))</f>
        <v/>
      </c>
      <c r="F545" s="84" t="str">
        <f>IF(B545="","",VLOOKUP(A545,Journal!$C$7:$M$84,11))</f>
        <v/>
      </c>
      <c r="G545" s="102">
        <f>IF(B545="Total",SUM(G$8:G544)+0.0001,IF(OR(B545="",M545=0),0,VLOOKUP(A545,Journal!$C$7:M$84,7)))</f>
        <v>0</v>
      </c>
      <c r="H545" s="102">
        <f>IF(B545="Total",SUM(H$8:H544)+0.0001,IF(OR(B545="",N545=0),0,VLOOKUP(A545,Journal!$C$7:M$84,7)))</f>
        <v>0</v>
      </c>
      <c r="I545" s="87">
        <f t="shared" si="52"/>
        <v>0</v>
      </c>
      <c r="K545" s="13">
        <f>VLOOKUP(A545,Journal!$C$7:$M$84,4)</f>
        <v>0</v>
      </c>
      <c r="L545" s="13">
        <f>VLOOKUP(A545,Journal!$C$7:$M$84,5)</f>
        <v>0</v>
      </c>
      <c r="M545" s="13">
        <f t="shared" si="54"/>
        <v>0</v>
      </c>
      <c r="N545" s="13">
        <f t="shared" si="55"/>
        <v>0</v>
      </c>
      <c r="O545" s="13"/>
      <c r="P545" s="13">
        <f t="shared" si="56"/>
        <v>1.0000000000000001E-5</v>
      </c>
      <c r="T545" t="str">
        <f t="shared" si="51"/>
        <v/>
      </c>
    </row>
    <row r="546" spans="1:20" x14ac:dyDescent="0.25">
      <c r="A546">
        <f t="shared" si="53"/>
        <v>539</v>
      </c>
      <c r="B546" s="88" t="str">
        <f>IF(OR(B545="Total",B545=""),"",IF(VLOOKUP(A546,Journal!$C$7:$E$84,3)=0,"Total",VLOOKUP(A546,Journal!$C$7:$D$84,2)))</f>
        <v/>
      </c>
      <c r="C546" s="86" t="str">
        <f>IF(B546="","",VLOOKUP(A546,Journal!$C$7:$E$84,3))</f>
        <v/>
      </c>
      <c r="D546" s="84" t="str">
        <f>IF(B546="","",VLOOKUP(A546,Journal!$C$7:$J$84,8))</f>
        <v/>
      </c>
      <c r="E546" s="84" t="str">
        <f>IF(B546="","",VLOOKUP(A546,Journal!$C$7:$L$84,10))</f>
        <v/>
      </c>
      <c r="F546" s="84" t="str">
        <f>IF(B546="","",VLOOKUP(A546,Journal!$C$7:$M$84,11))</f>
        <v/>
      </c>
      <c r="G546" s="102">
        <f>IF(B546="Total",SUM(G$8:G545)+0.0001,IF(OR(B546="",M546=0),0,VLOOKUP(A546,Journal!$C$7:M$84,7)))</f>
        <v>0</v>
      </c>
      <c r="H546" s="102">
        <f>IF(B546="Total",SUM(H$8:H545)+0.0001,IF(OR(B546="",N546=0),0,VLOOKUP(A546,Journal!$C$7:M$84,7)))</f>
        <v>0</v>
      </c>
      <c r="I546" s="87">
        <f t="shared" si="52"/>
        <v>0</v>
      </c>
      <c r="K546" s="13">
        <f>VLOOKUP(A546,Journal!$C$7:$M$84,4)</f>
        <v>0</v>
      </c>
      <c r="L546" s="13">
        <f>VLOOKUP(A546,Journal!$C$7:$M$84,5)</f>
        <v>0</v>
      </c>
      <c r="M546" s="13">
        <f t="shared" si="54"/>
        <v>0</v>
      </c>
      <c r="N546" s="13">
        <f t="shared" si="55"/>
        <v>0</v>
      </c>
      <c r="O546" s="13"/>
      <c r="P546" s="13">
        <f t="shared" si="56"/>
        <v>1.0000000000000001E-5</v>
      </c>
      <c r="T546" t="str">
        <f t="shared" si="51"/>
        <v/>
      </c>
    </row>
    <row r="547" spans="1:20" x14ac:dyDescent="0.25">
      <c r="A547">
        <f t="shared" si="53"/>
        <v>540</v>
      </c>
      <c r="B547" s="88" t="str">
        <f>IF(OR(B546="Total",B546=""),"",IF(VLOOKUP(A547,Journal!$C$7:$E$84,3)=0,"Total",VLOOKUP(A547,Journal!$C$7:$D$84,2)))</f>
        <v/>
      </c>
      <c r="C547" s="86" t="str">
        <f>IF(B547="","",VLOOKUP(A547,Journal!$C$7:$E$84,3))</f>
        <v/>
      </c>
      <c r="D547" s="84" t="str">
        <f>IF(B547="","",VLOOKUP(A547,Journal!$C$7:$J$84,8))</f>
        <v/>
      </c>
      <c r="E547" s="84" t="str">
        <f>IF(B547="","",VLOOKUP(A547,Journal!$C$7:$L$84,10))</f>
        <v/>
      </c>
      <c r="F547" s="84" t="str">
        <f>IF(B547="","",VLOOKUP(A547,Journal!$C$7:$M$84,11))</f>
        <v/>
      </c>
      <c r="G547" s="102">
        <f>IF(B547="Total",SUM(G$8:G546)+0.0001,IF(OR(B547="",M547=0),0,VLOOKUP(A547,Journal!$C$7:M$84,7)))</f>
        <v>0</v>
      </c>
      <c r="H547" s="102">
        <f>IF(B547="Total",SUM(H$8:H546)+0.0001,IF(OR(B547="",N547=0),0,VLOOKUP(A547,Journal!$C$7:M$84,7)))</f>
        <v>0</v>
      </c>
      <c r="I547" s="87">
        <f t="shared" si="52"/>
        <v>0</v>
      </c>
      <c r="K547" s="13">
        <f>VLOOKUP(A547,Journal!$C$7:$M$84,4)</f>
        <v>0</v>
      </c>
      <c r="L547" s="13">
        <f>VLOOKUP(A547,Journal!$C$7:$M$84,5)</f>
        <v>0</v>
      </c>
      <c r="M547" s="13">
        <f t="shared" si="54"/>
        <v>0</v>
      </c>
      <c r="N547" s="13">
        <f t="shared" si="55"/>
        <v>0</v>
      </c>
      <c r="O547" s="13"/>
      <c r="P547" s="13">
        <f t="shared" si="56"/>
        <v>1.0000000000000001E-5</v>
      </c>
      <c r="T547" t="str">
        <f t="shared" si="51"/>
        <v/>
      </c>
    </row>
    <row r="548" spans="1:20" x14ac:dyDescent="0.25">
      <c r="A548">
        <f t="shared" si="53"/>
        <v>541</v>
      </c>
      <c r="B548" s="88" t="str">
        <f>IF(OR(B547="Total",B547=""),"",IF(VLOOKUP(A548,Journal!$C$7:$E$84,3)=0,"Total",VLOOKUP(A548,Journal!$C$7:$D$84,2)))</f>
        <v/>
      </c>
      <c r="C548" s="86" t="str">
        <f>IF(B548="","",VLOOKUP(A548,Journal!$C$7:$E$84,3))</f>
        <v/>
      </c>
      <c r="D548" s="84" t="str">
        <f>IF(B548="","",VLOOKUP(A548,Journal!$C$7:$J$84,8))</f>
        <v/>
      </c>
      <c r="E548" s="84" t="str">
        <f>IF(B548="","",VLOOKUP(A548,Journal!$C$7:$L$84,10))</f>
        <v/>
      </c>
      <c r="F548" s="84" t="str">
        <f>IF(B548="","",VLOOKUP(A548,Journal!$C$7:$M$84,11))</f>
        <v/>
      </c>
      <c r="G548" s="102">
        <f>IF(B548="Total",SUM(G$8:G547)+0.0001,IF(OR(B548="",M548=0),0,VLOOKUP(A548,Journal!$C$7:M$84,7)))</f>
        <v>0</v>
      </c>
      <c r="H548" s="102">
        <f>IF(B548="Total",SUM(H$8:H547)+0.0001,IF(OR(B548="",N548=0),0,VLOOKUP(A548,Journal!$C$7:M$84,7)))</f>
        <v>0</v>
      </c>
      <c r="I548" s="87">
        <f t="shared" si="52"/>
        <v>0</v>
      </c>
      <c r="K548" s="13">
        <f>VLOOKUP(A548,Journal!$C$7:$M$84,4)</f>
        <v>0</v>
      </c>
      <c r="L548" s="13">
        <f>VLOOKUP(A548,Journal!$C$7:$M$84,5)</f>
        <v>0</v>
      </c>
      <c r="M548" s="13">
        <f t="shared" si="54"/>
        <v>0</v>
      </c>
      <c r="N548" s="13">
        <f t="shared" si="55"/>
        <v>0</v>
      </c>
      <c r="O548" s="13"/>
      <c r="P548" s="13">
        <f t="shared" si="56"/>
        <v>1.0000000000000001E-5</v>
      </c>
      <c r="T548" t="str">
        <f t="shared" si="51"/>
        <v/>
      </c>
    </row>
    <row r="549" spans="1:20" x14ac:dyDescent="0.25">
      <c r="A549">
        <f t="shared" si="53"/>
        <v>542</v>
      </c>
      <c r="B549" s="88" t="str">
        <f>IF(OR(B548="Total",B548=""),"",IF(VLOOKUP(A549,Journal!$C$7:$E$84,3)=0,"Total",VLOOKUP(A549,Journal!$C$7:$D$84,2)))</f>
        <v/>
      </c>
      <c r="C549" s="86" t="str">
        <f>IF(B549="","",VLOOKUP(A549,Journal!$C$7:$E$84,3))</f>
        <v/>
      </c>
      <c r="D549" s="84" t="str">
        <f>IF(B549="","",VLOOKUP(A549,Journal!$C$7:$J$84,8))</f>
        <v/>
      </c>
      <c r="E549" s="84" t="str">
        <f>IF(B549="","",VLOOKUP(A549,Journal!$C$7:$L$84,10))</f>
        <v/>
      </c>
      <c r="F549" s="84" t="str">
        <f>IF(B549="","",VLOOKUP(A549,Journal!$C$7:$M$84,11))</f>
        <v/>
      </c>
      <c r="G549" s="102">
        <f>IF(B549="Total",SUM(G$8:G548)+0.0001,IF(OR(B549="",M549=0),0,VLOOKUP(A549,Journal!$C$7:M$84,7)))</f>
        <v>0</v>
      </c>
      <c r="H549" s="102">
        <f>IF(B549="Total",SUM(H$8:H548)+0.0001,IF(OR(B549="",N549=0),0,VLOOKUP(A549,Journal!$C$7:M$84,7)))</f>
        <v>0</v>
      </c>
      <c r="I549" s="87">
        <f t="shared" si="52"/>
        <v>0</v>
      </c>
      <c r="K549" s="13">
        <f>VLOOKUP(A549,Journal!$C$7:$M$84,4)</f>
        <v>0</v>
      </c>
      <c r="L549" s="13">
        <f>VLOOKUP(A549,Journal!$C$7:$M$84,5)</f>
        <v>0</v>
      </c>
      <c r="M549" s="13">
        <f t="shared" si="54"/>
        <v>0</v>
      </c>
      <c r="N549" s="13">
        <f t="shared" si="55"/>
        <v>0</v>
      </c>
      <c r="O549" s="13"/>
      <c r="P549" s="13">
        <f t="shared" si="56"/>
        <v>1.0000000000000001E-5</v>
      </c>
      <c r="T549" t="str">
        <f t="shared" si="51"/>
        <v/>
      </c>
    </row>
    <row r="550" spans="1:20" x14ac:dyDescent="0.25">
      <c r="A550">
        <f t="shared" si="53"/>
        <v>543</v>
      </c>
      <c r="B550" s="88" t="str">
        <f>IF(OR(B549="Total",B549=""),"",IF(VLOOKUP(A550,Journal!$C$7:$E$84,3)=0,"Total",VLOOKUP(A550,Journal!$C$7:$D$84,2)))</f>
        <v/>
      </c>
      <c r="C550" s="86" t="str">
        <f>IF(B550="","",VLOOKUP(A550,Journal!$C$7:$E$84,3))</f>
        <v/>
      </c>
      <c r="D550" s="84" t="str">
        <f>IF(B550="","",VLOOKUP(A550,Journal!$C$7:$J$84,8))</f>
        <v/>
      </c>
      <c r="E550" s="84" t="str">
        <f>IF(B550="","",VLOOKUP(A550,Journal!$C$7:$L$84,10))</f>
        <v/>
      </c>
      <c r="F550" s="84" t="str">
        <f>IF(B550="","",VLOOKUP(A550,Journal!$C$7:$M$84,11))</f>
        <v/>
      </c>
      <c r="G550" s="102">
        <f>IF(B550="Total",SUM(G$8:G549)+0.0001,IF(OR(B550="",M550=0),0,VLOOKUP(A550,Journal!$C$7:M$84,7)))</f>
        <v>0</v>
      </c>
      <c r="H550" s="102">
        <f>IF(B550="Total",SUM(H$8:H549)+0.0001,IF(OR(B550="",N550=0),0,VLOOKUP(A550,Journal!$C$7:M$84,7)))</f>
        <v>0</v>
      </c>
      <c r="I550" s="87">
        <f t="shared" si="52"/>
        <v>0</v>
      </c>
      <c r="K550" s="13">
        <f>VLOOKUP(A550,Journal!$C$7:$M$84,4)</f>
        <v>0</v>
      </c>
      <c r="L550" s="13">
        <f>VLOOKUP(A550,Journal!$C$7:$M$84,5)</f>
        <v>0</v>
      </c>
      <c r="M550" s="13">
        <f t="shared" si="54"/>
        <v>0</v>
      </c>
      <c r="N550" s="13">
        <f t="shared" si="55"/>
        <v>0</v>
      </c>
      <c r="O550" s="13"/>
      <c r="P550" s="13">
        <f t="shared" si="56"/>
        <v>1.0000000000000001E-5</v>
      </c>
      <c r="T550" t="str">
        <f t="shared" si="51"/>
        <v/>
      </c>
    </row>
    <row r="551" spans="1:20" x14ac:dyDescent="0.25">
      <c r="A551">
        <f t="shared" si="53"/>
        <v>544</v>
      </c>
      <c r="B551" s="88" t="str">
        <f>IF(OR(B550="Total",B550=""),"",IF(VLOOKUP(A551,Journal!$C$7:$E$84,3)=0,"Total",VLOOKUP(A551,Journal!$C$7:$D$84,2)))</f>
        <v/>
      </c>
      <c r="C551" s="86" t="str">
        <f>IF(B551="","",VLOOKUP(A551,Journal!$C$7:$E$84,3))</f>
        <v/>
      </c>
      <c r="D551" s="84" t="str">
        <f>IF(B551="","",VLOOKUP(A551,Journal!$C$7:$J$84,8))</f>
        <v/>
      </c>
      <c r="E551" s="84" t="str">
        <f>IF(B551="","",VLOOKUP(A551,Journal!$C$7:$L$84,10))</f>
        <v/>
      </c>
      <c r="F551" s="84" t="str">
        <f>IF(B551="","",VLOOKUP(A551,Journal!$C$7:$M$84,11))</f>
        <v/>
      </c>
      <c r="G551" s="102">
        <f>IF(B551="Total",SUM(G$8:G550)+0.0001,IF(OR(B551="",M551=0),0,VLOOKUP(A551,Journal!$C$7:M$84,7)))</f>
        <v>0</v>
      </c>
      <c r="H551" s="102">
        <f>IF(B551="Total",SUM(H$8:H550)+0.0001,IF(OR(B551="",N551=0),0,VLOOKUP(A551,Journal!$C$7:M$84,7)))</f>
        <v>0</v>
      </c>
      <c r="I551" s="87">
        <f t="shared" si="52"/>
        <v>0</v>
      </c>
      <c r="K551" s="13">
        <f>VLOOKUP(A551,Journal!$C$7:$M$84,4)</f>
        <v>0</v>
      </c>
      <c r="L551" s="13">
        <f>VLOOKUP(A551,Journal!$C$7:$M$84,5)</f>
        <v>0</v>
      </c>
      <c r="M551" s="13">
        <f t="shared" si="54"/>
        <v>0</v>
      </c>
      <c r="N551" s="13">
        <f t="shared" si="55"/>
        <v>0</v>
      </c>
      <c r="O551" s="13"/>
      <c r="P551" s="13">
        <f t="shared" si="56"/>
        <v>1.0000000000000001E-5</v>
      </c>
      <c r="T551" t="str">
        <f t="shared" si="51"/>
        <v/>
      </c>
    </row>
    <row r="552" spans="1:20" x14ac:dyDescent="0.25">
      <c r="A552">
        <f t="shared" si="53"/>
        <v>545</v>
      </c>
      <c r="B552" s="88" t="str">
        <f>IF(OR(B551="Total",B551=""),"",IF(VLOOKUP(A552,Journal!$C$7:$E$84,3)=0,"Total",VLOOKUP(A552,Journal!$C$7:$D$84,2)))</f>
        <v/>
      </c>
      <c r="C552" s="86" t="str">
        <f>IF(B552="","",VLOOKUP(A552,Journal!$C$7:$E$84,3))</f>
        <v/>
      </c>
      <c r="D552" s="84" t="str">
        <f>IF(B552="","",VLOOKUP(A552,Journal!$C$7:$J$84,8))</f>
        <v/>
      </c>
      <c r="E552" s="84" t="str">
        <f>IF(B552="","",VLOOKUP(A552,Journal!$C$7:$L$84,10))</f>
        <v/>
      </c>
      <c r="F552" s="84" t="str">
        <f>IF(B552="","",VLOOKUP(A552,Journal!$C$7:$M$84,11))</f>
        <v/>
      </c>
      <c r="G552" s="102">
        <f>IF(B552="Total",SUM(G$8:G551)+0.0001,IF(OR(B552="",M552=0),0,VLOOKUP(A552,Journal!$C$7:M$84,7)))</f>
        <v>0</v>
      </c>
      <c r="H552" s="102">
        <f>IF(B552="Total",SUM(H$8:H551)+0.0001,IF(OR(B552="",N552=0),0,VLOOKUP(A552,Journal!$C$7:M$84,7)))</f>
        <v>0</v>
      </c>
      <c r="I552" s="87">
        <f t="shared" si="52"/>
        <v>0</v>
      </c>
      <c r="K552" s="13">
        <f>VLOOKUP(A552,Journal!$C$7:$M$84,4)</f>
        <v>0</v>
      </c>
      <c r="L552" s="13">
        <f>VLOOKUP(A552,Journal!$C$7:$M$84,5)</f>
        <v>0</v>
      </c>
      <c r="M552" s="13">
        <f t="shared" si="54"/>
        <v>0</v>
      </c>
      <c r="N552" s="13">
        <f t="shared" si="55"/>
        <v>0</v>
      </c>
      <c r="O552" s="13"/>
      <c r="P552" s="13">
        <f t="shared" si="56"/>
        <v>1.0000000000000001E-5</v>
      </c>
      <c r="T552" t="str">
        <f t="shared" si="51"/>
        <v/>
      </c>
    </row>
    <row r="553" spans="1:20" x14ac:dyDescent="0.25">
      <c r="A553">
        <f t="shared" si="53"/>
        <v>546</v>
      </c>
      <c r="B553" s="88" t="str">
        <f>IF(OR(B552="Total",B552=""),"",IF(VLOOKUP(A553,Journal!$C$7:$E$84,3)=0,"Total",VLOOKUP(A553,Journal!$C$7:$D$84,2)))</f>
        <v/>
      </c>
      <c r="C553" s="86" t="str">
        <f>IF(B553="","",VLOOKUP(A553,Journal!$C$7:$E$84,3))</f>
        <v/>
      </c>
      <c r="D553" s="84" t="str">
        <f>IF(B553="","",VLOOKUP(A553,Journal!$C$7:$J$84,8))</f>
        <v/>
      </c>
      <c r="E553" s="84" t="str">
        <f>IF(B553="","",VLOOKUP(A553,Journal!$C$7:$L$84,10))</f>
        <v/>
      </c>
      <c r="F553" s="84" t="str">
        <f>IF(B553="","",VLOOKUP(A553,Journal!$C$7:$M$84,11))</f>
        <v/>
      </c>
      <c r="G553" s="102">
        <f>IF(B553="Total",SUM(G$8:G552)+0.0001,IF(OR(B553="",M553=0),0,VLOOKUP(A553,Journal!$C$7:M$84,7)))</f>
        <v>0</v>
      </c>
      <c r="H553" s="102">
        <f>IF(B553="Total",SUM(H$8:H552)+0.0001,IF(OR(B553="",N553=0),0,VLOOKUP(A553,Journal!$C$7:M$84,7)))</f>
        <v>0</v>
      </c>
      <c r="I553" s="87">
        <f t="shared" si="52"/>
        <v>0</v>
      </c>
      <c r="K553" s="13">
        <f>VLOOKUP(A553,Journal!$C$7:$M$84,4)</f>
        <v>0</v>
      </c>
      <c r="L553" s="13">
        <f>VLOOKUP(A553,Journal!$C$7:$M$84,5)</f>
        <v>0</v>
      </c>
      <c r="M553" s="13">
        <f t="shared" si="54"/>
        <v>0</v>
      </c>
      <c r="N553" s="13">
        <f t="shared" si="55"/>
        <v>0</v>
      </c>
      <c r="O553" s="13"/>
      <c r="P553" s="13">
        <f t="shared" si="56"/>
        <v>1.0000000000000001E-5</v>
      </c>
      <c r="T553" t="str">
        <f t="shared" si="51"/>
        <v/>
      </c>
    </row>
    <row r="554" spans="1:20" x14ac:dyDescent="0.25">
      <c r="A554">
        <f t="shared" si="53"/>
        <v>547</v>
      </c>
      <c r="B554" s="88" t="str">
        <f>IF(OR(B553="Total",B553=""),"",IF(VLOOKUP(A554,Journal!$C$7:$E$84,3)=0,"Total",VLOOKUP(A554,Journal!$C$7:$D$84,2)))</f>
        <v/>
      </c>
      <c r="C554" s="86" t="str">
        <f>IF(B554="","",VLOOKUP(A554,Journal!$C$7:$E$84,3))</f>
        <v/>
      </c>
      <c r="D554" s="84" t="str">
        <f>IF(B554="","",VLOOKUP(A554,Journal!$C$7:$J$84,8))</f>
        <v/>
      </c>
      <c r="E554" s="84" t="str">
        <f>IF(B554="","",VLOOKUP(A554,Journal!$C$7:$L$84,10))</f>
        <v/>
      </c>
      <c r="F554" s="84" t="str">
        <f>IF(B554="","",VLOOKUP(A554,Journal!$C$7:$M$84,11))</f>
        <v/>
      </c>
      <c r="G554" s="102">
        <f>IF(B554="Total",SUM(G$8:G553)+0.0001,IF(OR(B554="",M554=0),0,VLOOKUP(A554,Journal!$C$7:M$84,7)))</f>
        <v>0</v>
      </c>
      <c r="H554" s="102">
        <f>IF(B554="Total",SUM(H$8:H553)+0.0001,IF(OR(B554="",N554=0),0,VLOOKUP(A554,Journal!$C$7:M$84,7)))</f>
        <v>0</v>
      </c>
      <c r="I554" s="87">
        <f t="shared" si="52"/>
        <v>0</v>
      </c>
      <c r="K554" s="13">
        <f>VLOOKUP(A554,Journal!$C$7:$M$84,4)</f>
        <v>0</v>
      </c>
      <c r="L554" s="13">
        <f>VLOOKUP(A554,Journal!$C$7:$M$84,5)</f>
        <v>0</v>
      </c>
      <c r="M554" s="13">
        <f t="shared" si="54"/>
        <v>0</v>
      </c>
      <c r="N554" s="13">
        <f t="shared" si="55"/>
        <v>0</v>
      </c>
      <c r="O554" s="13"/>
      <c r="P554" s="13">
        <f t="shared" si="56"/>
        <v>1.0000000000000001E-5</v>
      </c>
      <c r="T554" t="str">
        <f t="shared" si="51"/>
        <v/>
      </c>
    </row>
    <row r="555" spans="1:20" x14ac:dyDescent="0.25">
      <c r="A555">
        <f t="shared" si="53"/>
        <v>548</v>
      </c>
      <c r="B555" s="88" t="str">
        <f>IF(OR(B554="Total",B554=""),"",IF(VLOOKUP(A555,Journal!$C$7:$E$84,3)=0,"Total",VLOOKUP(A555,Journal!$C$7:$D$84,2)))</f>
        <v/>
      </c>
      <c r="C555" s="86" t="str">
        <f>IF(B555="","",VLOOKUP(A555,Journal!$C$7:$E$84,3))</f>
        <v/>
      </c>
      <c r="D555" s="84" t="str">
        <f>IF(B555="","",VLOOKUP(A555,Journal!$C$7:$J$84,8))</f>
        <v/>
      </c>
      <c r="E555" s="84" t="str">
        <f>IF(B555="","",VLOOKUP(A555,Journal!$C$7:$L$84,10))</f>
        <v/>
      </c>
      <c r="F555" s="84" t="str">
        <f>IF(B555="","",VLOOKUP(A555,Journal!$C$7:$M$84,11))</f>
        <v/>
      </c>
      <c r="G555" s="102">
        <f>IF(B555="Total",SUM(G$8:G554)+0.0001,IF(OR(B555="",M555=0),0,VLOOKUP(A555,Journal!$C$7:M$84,7)))</f>
        <v>0</v>
      </c>
      <c r="H555" s="102">
        <f>IF(B555="Total",SUM(H$8:H554)+0.0001,IF(OR(B555="",N555=0),0,VLOOKUP(A555,Journal!$C$7:M$84,7)))</f>
        <v>0</v>
      </c>
      <c r="I555" s="87">
        <f t="shared" si="52"/>
        <v>0</v>
      </c>
      <c r="K555" s="13">
        <f>VLOOKUP(A555,Journal!$C$7:$M$84,4)</f>
        <v>0</v>
      </c>
      <c r="L555" s="13">
        <f>VLOOKUP(A555,Journal!$C$7:$M$84,5)</f>
        <v>0</v>
      </c>
      <c r="M555" s="13">
        <f t="shared" si="54"/>
        <v>0</v>
      </c>
      <c r="N555" s="13">
        <f t="shared" si="55"/>
        <v>0</v>
      </c>
      <c r="O555" s="13"/>
      <c r="P555" s="13">
        <f t="shared" si="56"/>
        <v>1.0000000000000001E-5</v>
      </c>
      <c r="T555" t="str">
        <f t="shared" si="51"/>
        <v/>
      </c>
    </row>
    <row r="556" spans="1:20" x14ac:dyDescent="0.25">
      <c r="A556">
        <f t="shared" si="53"/>
        <v>549</v>
      </c>
      <c r="B556" s="88" t="str">
        <f>IF(OR(B555="Total",B555=""),"",IF(VLOOKUP(A556,Journal!$C$7:$E$84,3)=0,"Total",VLOOKUP(A556,Journal!$C$7:$D$84,2)))</f>
        <v/>
      </c>
      <c r="C556" s="86" t="str">
        <f>IF(B556="","",VLOOKUP(A556,Journal!$C$7:$E$84,3))</f>
        <v/>
      </c>
      <c r="D556" s="84" t="str">
        <f>IF(B556="","",VLOOKUP(A556,Journal!$C$7:$J$84,8))</f>
        <v/>
      </c>
      <c r="E556" s="84" t="str">
        <f>IF(B556="","",VLOOKUP(A556,Journal!$C$7:$L$84,10))</f>
        <v/>
      </c>
      <c r="F556" s="84" t="str">
        <f>IF(B556="","",VLOOKUP(A556,Journal!$C$7:$M$84,11))</f>
        <v/>
      </c>
      <c r="G556" s="102">
        <f>IF(B556="Total",SUM(G$8:G555)+0.0001,IF(OR(B556="",M556=0),0,VLOOKUP(A556,Journal!$C$7:M$84,7)))</f>
        <v>0</v>
      </c>
      <c r="H556" s="102">
        <f>IF(B556="Total",SUM(H$8:H555)+0.0001,IF(OR(B556="",N556=0),0,VLOOKUP(A556,Journal!$C$7:M$84,7)))</f>
        <v>0</v>
      </c>
      <c r="I556" s="87">
        <f t="shared" si="52"/>
        <v>0</v>
      </c>
      <c r="K556" s="13">
        <f>VLOOKUP(A556,Journal!$C$7:$M$84,4)</f>
        <v>0</v>
      </c>
      <c r="L556" s="13">
        <f>VLOOKUP(A556,Journal!$C$7:$M$84,5)</f>
        <v>0</v>
      </c>
      <c r="M556" s="13">
        <f t="shared" si="54"/>
        <v>0</v>
      </c>
      <c r="N556" s="13">
        <f t="shared" si="55"/>
        <v>0</v>
      </c>
      <c r="O556" s="13"/>
      <c r="P556" s="13">
        <f t="shared" si="56"/>
        <v>1.0000000000000001E-5</v>
      </c>
      <c r="T556" t="str">
        <f t="shared" si="51"/>
        <v/>
      </c>
    </row>
    <row r="557" spans="1:20" x14ac:dyDescent="0.25">
      <c r="A557">
        <f t="shared" si="53"/>
        <v>550</v>
      </c>
      <c r="B557" s="88" t="str">
        <f>IF(OR(B556="Total",B556=""),"",IF(VLOOKUP(A557,Journal!$C$7:$E$84,3)=0,"Total",VLOOKUP(A557,Journal!$C$7:$D$84,2)))</f>
        <v/>
      </c>
      <c r="C557" s="86" t="str">
        <f>IF(B557="","",VLOOKUP(A557,Journal!$C$7:$E$84,3))</f>
        <v/>
      </c>
      <c r="D557" s="84" t="str">
        <f>IF(B557="","",VLOOKUP(A557,Journal!$C$7:$J$84,8))</f>
        <v/>
      </c>
      <c r="E557" s="84" t="str">
        <f>IF(B557="","",VLOOKUP(A557,Journal!$C$7:$L$84,10))</f>
        <v/>
      </c>
      <c r="F557" s="84" t="str">
        <f>IF(B557="","",VLOOKUP(A557,Journal!$C$7:$M$84,11))</f>
        <v/>
      </c>
      <c r="G557" s="102">
        <f>IF(B557="Total",SUM(G$8:G556)+0.0001,IF(OR(B557="",M557=0),0,VLOOKUP(A557,Journal!$C$7:M$84,7)))</f>
        <v>0</v>
      </c>
      <c r="H557" s="102">
        <f>IF(B557="Total",SUM(H$8:H556)+0.0001,IF(OR(B557="",N557=0),0,VLOOKUP(A557,Journal!$C$7:M$84,7)))</f>
        <v>0</v>
      </c>
      <c r="I557" s="87">
        <f t="shared" si="52"/>
        <v>0</v>
      </c>
      <c r="K557" s="13">
        <f>VLOOKUP(A557,Journal!$C$7:$M$84,4)</f>
        <v>0</v>
      </c>
      <c r="L557" s="13">
        <f>VLOOKUP(A557,Journal!$C$7:$M$84,5)</f>
        <v>0</v>
      </c>
      <c r="M557" s="13">
        <f t="shared" si="54"/>
        <v>0</v>
      </c>
      <c r="N557" s="13">
        <f t="shared" si="55"/>
        <v>0</v>
      </c>
      <c r="O557" s="13"/>
      <c r="P557" s="13">
        <f t="shared" si="56"/>
        <v>1.0000000000000001E-5</v>
      </c>
      <c r="T557" t="str">
        <f t="shared" si="51"/>
        <v/>
      </c>
    </row>
    <row r="558" spans="1:20" x14ac:dyDescent="0.25">
      <c r="A558">
        <f t="shared" si="53"/>
        <v>551</v>
      </c>
      <c r="B558" s="88" t="str">
        <f>IF(OR(B557="Total",B557=""),"",IF(VLOOKUP(A558,Journal!$C$7:$E$84,3)=0,"Total",VLOOKUP(A558,Journal!$C$7:$D$84,2)))</f>
        <v/>
      </c>
      <c r="C558" s="86" t="str">
        <f>IF(B558="","",VLOOKUP(A558,Journal!$C$7:$E$84,3))</f>
        <v/>
      </c>
      <c r="D558" s="84" t="str">
        <f>IF(B558="","",VLOOKUP(A558,Journal!$C$7:$J$84,8))</f>
        <v/>
      </c>
      <c r="E558" s="84" t="str">
        <f>IF(B558="","",VLOOKUP(A558,Journal!$C$7:$L$84,10))</f>
        <v/>
      </c>
      <c r="F558" s="84" t="str">
        <f>IF(B558="","",VLOOKUP(A558,Journal!$C$7:$M$84,11))</f>
        <v/>
      </c>
      <c r="G558" s="102">
        <f>IF(B558="Total",SUM(G$8:G557)+0.0001,IF(OR(B558="",M558=0),0,VLOOKUP(A558,Journal!$C$7:M$84,7)))</f>
        <v>0</v>
      </c>
      <c r="H558" s="102">
        <f>IF(B558="Total",SUM(H$8:H557)+0.0001,IF(OR(B558="",N558=0),0,VLOOKUP(A558,Journal!$C$7:M$84,7)))</f>
        <v>0</v>
      </c>
      <c r="I558" s="87">
        <f t="shared" si="52"/>
        <v>0</v>
      </c>
      <c r="K558" s="13">
        <f>VLOOKUP(A558,Journal!$C$7:$M$84,4)</f>
        <v>0</v>
      </c>
      <c r="L558" s="13">
        <f>VLOOKUP(A558,Journal!$C$7:$M$84,5)</f>
        <v>0</v>
      </c>
      <c r="M558" s="13">
        <f t="shared" si="54"/>
        <v>0</v>
      </c>
      <c r="N558" s="13">
        <f t="shared" si="55"/>
        <v>0</v>
      </c>
      <c r="O558" s="13"/>
      <c r="P558" s="13">
        <f t="shared" si="56"/>
        <v>1.0000000000000001E-5</v>
      </c>
      <c r="T558" t="str">
        <f t="shared" si="51"/>
        <v/>
      </c>
    </row>
    <row r="559" spans="1:20" x14ac:dyDescent="0.25">
      <c r="A559">
        <f t="shared" si="53"/>
        <v>552</v>
      </c>
      <c r="B559" s="88" t="str">
        <f>IF(OR(B558="Total",B558=""),"",IF(VLOOKUP(A559,Journal!$C$7:$E$84,3)=0,"Total",VLOOKUP(A559,Journal!$C$7:$D$84,2)))</f>
        <v/>
      </c>
      <c r="C559" s="86" t="str">
        <f>IF(B559="","",VLOOKUP(A559,Journal!$C$7:$E$84,3))</f>
        <v/>
      </c>
      <c r="D559" s="84" t="str">
        <f>IF(B559="","",VLOOKUP(A559,Journal!$C$7:$J$84,8))</f>
        <v/>
      </c>
      <c r="E559" s="84" t="str">
        <f>IF(B559="","",VLOOKUP(A559,Journal!$C$7:$L$84,10))</f>
        <v/>
      </c>
      <c r="F559" s="84" t="str">
        <f>IF(B559="","",VLOOKUP(A559,Journal!$C$7:$M$84,11))</f>
        <v/>
      </c>
      <c r="G559" s="102">
        <f>IF(B559="Total",SUM(G$8:G558)+0.0001,IF(OR(B559="",M559=0),0,VLOOKUP(A559,Journal!$C$7:M$84,7)))</f>
        <v>0</v>
      </c>
      <c r="H559" s="102">
        <f>IF(B559="Total",SUM(H$8:H558)+0.0001,IF(OR(B559="",N559=0),0,VLOOKUP(A559,Journal!$C$7:M$84,7)))</f>
        <v>0</v>
      </c>
      <c r="I559" s="87">
        <f t="shared" si="52"/>
        <v>0</v>
      </c>
      <c r="K559" s="13">
        <f>VLOOKUP(A559,Journal!$C$7:$M$84,4)</f>
        <v>0</v>
      </c>
      <c r="L559" s="13">
        <f>VLOOKUP(A559,Journal!$C$7:$M$84,5)</f>
        <v>0</v>
      </c>
      <c r="M559" s="13">
        <f t="shared" si="54"/>
        <v>0</v>
      </c>
      <c r="N559" s="13">
        <f t="shared" si="55"/>
        <v>0</v>
      </c>
      <c r="O559" s="13"/>
      <c r="P559" s="13">
        <f t="shared" si="56"/>
        <v>1.0000000000000001E-5</v>
      </c>
      <c r="T559" t="str">
        <f t="shared" si="51"/>
        <v/>
      </c>
    </row>
    <row r="560" spans="1:20" x14ac:dyDescent="0.25">
      <c r="A560">
        <f t="shared" si="53"/>
        <v>553</v>
      </c>
      <c r="B560" s="88" t="str">
        <f>IF(OR(B559="Total",B559=""),"",IF(VLOOKUP(A560,Journal!$C$7:$E$84,3)=0,"Total",VLOOKUP(A560,Journal!$C$7:$D$84,2)))</f>
        <v/>
      </c>
      <c r="C560" s="86" t="str">
        <f>IF(B560="","",VLOOKUP(A560,Journal!$C$7:$E$84,3))</f>
        <v/>
      </c>
      <c r="D560" s="84" t="str">
        <f>IF(B560="","",VLOOKUP(A560,Journal!$C$7:$J$84,8))</f>
        <v/>
      </c>
      <c r="E560" s="84" t="str">
        <f>IF(B560="","",VLOOKUP(A560,Journal!$C$7:$L$84,10))</f>
        <v/>
      </c>
      <c r="F560" s="84" t="str">
        <f>IF(B560="","",VLOOKUP(A560,Journal!$C$7:$M$84,11))</f>
        <v/>
      </c>
      <c r="G560" s="102">
        <f>IF(B560="Total",SUM(G$8:G559)+0.0001,IF(OR(B560="",M560=0),0,VLOOKUP(A560,Journal!$C$7:M$84,7)))</f>
        <v>0</v>
      </c>
      <c r="H560" s="102">
        <f>IF(B560="Total",SUM(H$8:H559)+0.0001,IF(OR(B560="",N560=0),0,VLOOKUP(A560,Journal!$C$7:M$84,7)))</f>
        <v>0</v>
      </c>
      <c r="I560" s="87">
        <f t="shared" si="52"/>
        <v>0</v>
      </c>
      <c r="K560" s="13">
        <f>VLOOKUP(A560,Journal!$C$7:$M$84,4)</f>
        <v>0</v>
      </c>
      <c r="L560" s="13">
        <f>VLOOKUP(A560,Journal!$C$7:$M$84,5)</f>
        <v>0</v>
      </c>
      <c r="M560" s="13">
        <f t="shared" si="54"/>
        <v>0</v>
      </c>
      <c r="N560" s="13">
        <f t="shared" si="55"/>
        <v>0</v>
      </c>
      <c r="O560" s="13"/>
      <c r="P560" s="13">
        <f t="shared" si="56"/>
        <v>1.0000000000000001E-5</v>
      </c>
      <c r="T560" t="str">
        <f t="shared" si="51"/>
        <v/>
      </c>
    </row>
    <row r="561" spans="1:20" x14ac:dyDescent="0.25">
      <c r="A561">
        <f t="shared" si="53"/>
        <v>554</v>
      </c>
      <c r="B561" s="88" t="str">
        <f>IF(OR(B560="Total",B560=""),"",IF(VLOOKUP(A561,Journal!$C$7:$E$84,3)=0,"Total",VLOOKUP(A561,Journal!$C$7:$D$84,2)))</f>
        <v/>
      </c>
      <c r="C561" s="86" t="str">
        <f>IF(B561="","",VLOOKUP(A561,Journal!$C$7:$E$84,3))</f>
        <v/>
      </c>
      <c r="D561" s="84" t="str">
        <f>IF(B561="","",VLOOKUP(A561,Journal!$C$7:$J$84,8))</f>
        <v/>
      </c>
      <c r="E561" s="84" t="str">
        <f>IF(B561="","",VLOOKUP(A561,Journal!$C$7:$L$84,10))</f>
        <v/>
      </c>
      <c r="F561" s="84" t="str">
        <f>IF(B561="","",VLOOKUP(A561,Journal!$C$7:$M$84,11))</f>
        <v/>
      </c>
      <c r="G561" s="102">
        <f>IF(B561="Total",SUM(G$8:G560)+0.0001,IF(OR(B561="",M561=0),0,VLOOKUP(A561,Journal!$C$7:M$84,7)))</f>
        <v>0</v>
      </c>
      <c r="H561" s="102">
        <f>IF(B561="Total",SUM(H$8:H560)+0.0001,IF(OR(B561="",N561=0),0,VLOOKUP(A561,Journal!$C$7:M$84,7)))</f>
        <v>0</v>
      </c>
      <c r="I561" s="87">
        <f t="shared" si="52"/>
        <v>0</v>
      </c>
      <c r="K561" s="13">
        <f>VLOOKUP(A561,Journal!$C$7:$M$84,4)</f>
        <v>0</v>
      </c>
      <c r="L561" s="13">
        <f>VLOOKUP(A561,Journal!$C$7:$M$84,5)</f>
        <v>0</v>
      </c>
      <c r="M561" s="13">
        <f t="shared" si="54"/>
        <v>0</v>
      </c>
      <c r="N561" s="13">
        <f t="shared" si="55"/>
        <v>0</v>
      </c>
      <c r="O561" s="13"/>
      <c r="P561" s="13">
        <f t="shared" si="56"/>
        <v>1.0000000000000001E-5</v>
      </c>
      <c r="T561" t="str">
        <f t="shared" si="51"/>
        <v/>
      </c>
    </row>
    <row r="562" spans="1:20" x14ac:dyDescent="0.25">
      <c r="A562">
        <f t="shared" si="53"/>
        <v>555</v>
      </c>
      <c r="B562" s="88" t="str">
        <f>IF(OR(B561="Total",B561=""),"",IF(VLOOKUP(A562,Journal!$C$7:$E$84,3)=0,"Total",VLOOKUP(A562,Journal!$C$7:$D$84,2)))</f>
        <v/>
      </c>
      <c r="C562" s="86" t="str">
        <f>IF(B562="","",VLOOKUP(A562,Journal!$C$7:$E$84,3))</f>
        <v/>
      </c>
      <c r="D562" s="84" t="str">
        <f>IF(B562="","",VLOOKUP(A562,Journal!$C$7:$J$84,8))</f>
        <v/>
      </c>
      <c r="E562" s="84" t="str">
        <f>IF(B562="","",VLOOKUP(A562,Journal!$C$7:$L$84,10))</f>
        <v/>
      </c>
      <c r="F562" s="84" t="str">
        <f>IF(B562="","",VLOOKUP(A562,Journal!$C$7:$M$84,11))</f>
        <v/>
      </c>
      <c r="G562" s="102">
        <f>IF(B562="Total",SUM(G$8:G561)+0.0001,IF(OR(B562="",M562=0),0,VLOOKUP(A562,Journal!$C$7:M$84,7)))</f>
        <v>0</v>
      </c>
      <c r="H562" s="102">
        <f>IF(B562="Total",SUM(H$8:H561)+0.0001,IF(OR(B562="",N562=0),0,VLOOKUP(A562,Journal!$C$7:M$84,7)))</f>
        <v>0</v>
      </c>
      <c r="I562" s="87">
        <f t="shared" si="52"/>
        <v>0</v>
      </c>
      <c r="K562" s="13">
        <f>VLOOKUP(A562,Journal!$C$7:$M$84,4)</f>
        <v>0</v>
      </c>
      <c r="L562" s="13">
        <f>VLOOKUP(A562,Journal!$C$7:$M$84,5)</f>
        <v>0</v>
      </c>
      <c r="M562" s="13">
        <f t="shared" si="54"/>
        <v>0</v>
      </c>
      <c r="N562" s="13">
        <f t="shared" si="55"/>
        <v>0</v>
      </c>
      <c r="O562" s="13"/>
      <c r="P562" s="13">
        <f t="shared" si="56"/>
        <v>1.0000000000000001E-5</v>
      </c>
      <c r="T562" t="str">
        <f t="shared" si="51"/>
        <v/>
      </c>
    </row>
    <row r="563" spans="1:20" x14ac:dyDescent="0.25">
      <c r="A563">
        <f t="shared" si="53"/>
        <v>556</v>
      </c>
      <c r="B563" s="88" t="str">
        <f>IF(OR(B562="Total",B562=""),"",IF(VLOOKUP(A563,Journal!$C$7:$E$84,3)=0,"Total",VLOOKUP(A563,Journal!$C$7:$D$84,2)))</f>
        <v/>
      </c>
      <c r="C563" s="86" t="str">
        <f>IF(B563="","",VLOOKUP(A563,Journal!$C$7:$E$84,3))</f>
        <v/>
      </c>
      <c r="D563" s="84" t="str">
        <f>IF(B563="","",VLOOKUP(A563,Journal!$C$7:$J$84,8))</f>
        <v/>
      </c>
      <c r="E563" s="84" t="str">
        <f>IF(B563="","",VLOOKUP(A563,Journal!$C$7:$L$84,10))</f>
        <v/>
      </c>
      <c r="F563" s="84" t="str">
        <f>IF(B563="","",VLOOKUP(A563,Journal!$C$7:$M$84,11))</f>
        <v/>
      </c>
      <c r="G563" s="102">
        <f>IF(B563="Total",SUM(G$8:G562)+0.0001,IF(OR(B563="",M563=0),0,VLOOKUP(A563,Journal!$C$7:M$84,7)))</f>
        <v>0</v>
      </c>
      <c r="H563" s="102">
        <f>IF(B563="Total",SUM(H$8:H562)+0.0001,IF(OR(B563="",N563=0),0,VLOOKUP(A563,Journal!$C$7:M$84,7)))</f>
        <v>0</v>
      </c>
      <c r="I563" s="87">
        <f t="shared" si="52"/>
        <v>0</v>
      </c>
      <c r="K563" s="13">
        <f>VLOOKUP(A563,Journal!$C$7:$M$84,4)</f>
        <v>0</v>
      </c>
      <c r="L563" s="13">
        <f>VLOOKUP(A563,Journal!$C$7:$M$84,5)</f>
        <v>0</v>
      </c>
      <c r="M563" s="13">
        <f t="shared" si="54"/>
        <v>0</v>
      </c>
      <c r="N563" s="13">
        <f t="shared" si="55"/>
        <v>0</v>
      </c>
      <c r="O563" s="13"/>
      <c r="P563" s="13">
        <f t="shared" si="56"/>
        <v>1.0000000000000001E-5</v>
      </c>
      <c r="T563" t="str">
        <f t="shared" si="51"/>
        <v/>
      </c>
    </row>
    <row r="564" spans="1:20" x14ac:dyDescent="0.25">
      <c r="A564">
        <f t="shared" si="53"/>
        <v>557</v>
      </c>
      <c r="B564" s="88" t="str">
        <f>IF(OR(B563="Total",B563=""),"",IF(VLOOKUP(A564,Journal!$C$7:$E$84,3)=0,"Total",VLOOKUP(A564,Journal!$C$7:$D$84,2)))</f>
        <v/>
      </c>
      <c r="C564" s="86" t="str">
        <f>IF(B564="","",VLOOKUP(A564,Journal!$C$7:$E$84,3))</f>
        <v/>
      </c>
      <c r="D564" s="84" t="str">
        <f>IF(B564="","",VLOOKUP(A564,Journal!$C$7:$J$84,8))</f>
        <v/>
      </c>
      <c r="E564" s="84" t="str">
        <f>IF(B564="","",VLOOKUP(A564,Journal!$C$7:$L$84,10))</f>
        <v/>
      </c>
      <c r="F564" s="84" t="str">
        <f>IF(B564="","",VLOOKUP(A564,Journal!$C$7:$M$84,11))</f>
        <v/>
      </c>
      <c r="G564" s="102">
        <f>IF(B564="Total",SUM(G$8:G563)+0.0001,IF(OR(B564="",M564=0),0,VLOOKUP(A564,Journal!$C$7:M$84,7)))</f>
        <v>0</v>
      </c>
      <c r="H564" s="102">
        <f>IF(B564="Total",SUM(H$8:H563)+0.0001,IF(OR(B564="",N564=0),0,VLOOKUP(A564,Journal!$C$7:M$84,7)))</f>
        <v>0</v>
      </c>
      <c r="I564" s="87">
        <f t="shared" si="52"/>
        <v>0</v>
      </c>
      <c r="K564" s="13">
        <f>VLOOKUP(A564,Journal!$C$7:$M$84,4)</f>
        <v>0</v>
      </c>
      <c r="L564" s="13">
        <f>VLOOKUP(A564,Journal!$C$7:$M$84,5)</f>
        <v>0</v>
      </c>
      <c r="M564" s="13">
        <f t="shared" si="54"/>
        <v>0</v>
      </c>
      <c r="N564" s="13">
        <f t="shared" si="55"/>
        <v>0</v>
      </c>
      <c r="O564" s="13"/>
      <c r="P564" s="13">
        <f t="shared" si="56"/>
        <v>1.0000000000000001E-5</v>
      </c>
      <c r="T564" t="str">
        <f t="shared" si="51"/>
        <v/>
      </c>
    </row>
    <row r="565" spans="1:20" x14ac:dyDescent="0.25">
      <c r="A565">
        <f t="shared" si="53"/>
        <v>558</v>
      </c>
      <c r="B565" s="88" t="str">
        <f>IF(OR(B564="Total",B564=""),"",IF(VLOOKUP(A565,Journal!$C$7:$E$84,3)=0,"Total",VLOOKUP(A565,Journal!$C$7:$D$84,2)))</f>
        <v/>
      </c>
      <c r="C565" s="86" t="str">
        <f>IF(B565="","",VLOOKUP(A565,Journal!$C$7:$E$84,3))</f>
        <v/>
      </c>
      <c r="D565" s="84" t="str">
        <f>IF(B565="","",VLOOKUP(A565,Journal!$C$7:$J$84,8))</f>
        <v/>
      </c>
      <c r="E565" s="84" t="str">
        <f>IF(B565="","",VLOOKUP(A565,Journal!$C$7:$L$84,10))</f>
        <v/>
      </c>
      <c r="F565" s="84" t="str">
        <f>IF(B565="","",VLOOKUP(A565,Journal!$C$7:$M$84,11))</f>
        <v/>
      </c>
      <c r="G565" s="102">
        <f>IF(B565="Total",SUM(G$8:G564)+0.0001,IF(OR(B565="",M565=0),0,VLOOKUP(A565,Journal!$C$7:M$84,7)))</f>
        <v>0</v>
      </c>
      <c r="H565" s="102">
        <f>IF(B565="Total",SUM(H$8:H564)+0.0001,IF(OR(B565="",N565=0),0,VLOOKUP(A565,Journal!$C$7:M$84,7)))</f>
        <v>0</v>
      </c>
      <c r="I565" s="87">
        <f t="shared" si="52"/>
        <v>0</v>
      </c>
      <c r="K565" s="13">
        <f>VLOOKUP(A565,Journal!$C$7:$M$84,4)</f>
        <v>0</v>
      </c>
      <c r="L565" s="13">
        <f>VLOOKUP(A565,Journal!$C$7:$M$84,5)</f>
        <v>0</v>
      </c>
      <c r="M565" s="13">
        <f t="shared" si="54"/>
        <v>0</v>
      </c>
      <c r="N565" s="13">
        <f t="shared" si="55"/>
        <v>0</v>
      </c>
      <c r="O565" s="13"/>
      <c r="P565" s="13">
        <f t="shared" si="56"/>
        <v>1.0000000000000001E-5</v>
      </c>
      <c r="T565" t="str">
        <f t="shared" si="51"/>
        <v/>
      </c>
    </row>
    <row r="566" spans="1:20" x14ac:dyDescent="0.25">
      <c r="A566">
        <f t="shared" si="53"/>
        <v>559</v>
      </c>
      <c r="B566" s="88" t="str">
        <f>IF(OR(B565="Total",B565=""),"",IF(VLOOKUP(A566,Journal!$C$7:$E$84,3)=0,"Total",VLOOKUP(A566,Journal!$C$7:$D$84,2)))</f>
        <v/>
      </c>
      <c r="C566" s="86" t="str">
        <f>IF(B566="","",VLOOKUP(A566,Journal!$C$7:$E$84,3))</f>
        <v/>
      </c>
      <c r="D566" s="84" t="str">
        <f>IF(B566="","",VLOOKUP(A566,Journal!$C$7:$J$84,8))</f>
        <v/>
      </c>
      <c r="E566" s="84" t="str">
        <f>IF(B566="","",VLOOKUP(A566,Journal!$C$7:$L$84,10))</f>
        <v/>
      </c>
      <c r="F566" s="84" t="str">
        <f>IF(B566="","",VLOOKUP(A566,Journal!$C$7:$M$84,11))</f>
        <v/>
      </c>
      <c r="G566" s="102">
        <f>IF(B566="Total",SUM(G$8:G565)+0.0001,IF(OR(B566="",M566=0),0,VLOOKUP(A566,Journal!$C$7:M$84,7)))</f>
        <v>0</v>
      </c>
      <c r="H566" s="102">
        <f>IF(B566="Total",SUM(H$8:H565)+0.0001,IF(OR(B566="",N566=0),0,VLOOKUP(A566,Journal!$C$7:M$84,7)))</f>
        <v>0</v>
      </c>
      <c r="I566" s="87">
        <f t="shared" si="52"/>
        <v>0</v>
      </c>
      <c r="K566" s="13">
        <f>VLOOKUP(A566,Journal!$C$7:$M$84,4)</f>
        <v>0</v>
      </c>
      <c r="L566" s="13">
        <f>VLOOKUP(A566,Journal!$C$7:$M$84,5)</f>
        <v>0</v>
      </c>
      <c r="M566" s="13">
        <f t="shared" si="54"/>
        <v>0</v>
      </c>
      <c r="N566" s="13">
        <f t="shared" si="55"/>
        <v>0</v>
      </c>
      <c r="O566" s="13"/>
      <c r="P566" s="13">
        <f t="shared" si="56"/>
        <v>1.0000000000000001E-5</v>
      </c>
      <c r="T566" t="str">
        <f t="shared" si="51"/>
        <v/>
      </c>
    </row>
    <row r="567" spans="1:20" x14ac:dyDescent="0.25">
      <c r="A567">
        <f t="shared" si="53"/>
        <v>560</v>
      </c>
      <c r="B567" s="88" t="str">
        <f>IF(OR(B566="Total",B566=""),"",IF(VLOOKUP(A567,Journal!$C$7:$E$84,3)=0,"Total",VLOOKUP(A567,Journal!$C$7:$D$84,2)))</f>
        <v/>
      </c>
      <c r="C567" s="86" t="str">
        <f>IF(B567="","",VLOOKUP(A567,Journal!$C$7:$E$84,3))</f>
        <v/>
      </c>
      <c r="D567" s="84" t="str">
        <f>IF(B567="","",VLOOKUP(A567,Journal!$C$7:$J$84,8))</f>
        <v/>
      </c>
      <c r="E567" s="84" t="str">
        <f>IF(B567="","",VLOOKUP(A567,Journal!$C$7:$L$84,10))</f>
        <v/>
      </c>
      <c r="F567" s="84" t="str">
        <f>IF(B567="","",VLOOKUP(A567,Journal!$C$7:$M$84,11))</f>
        <v/>
      </c>
      <c r="G567" s="102">
        <f>IF(B567="Total",SUM(G$8:G566)+0.0001,IF(OR(B567="",M567=0),0,VLOOKUP(A567,Journal!$C$7:M$84,7)))</f>
        <v>0</v>
      </c>
      <c r="H567" s="102">
        <f>IF(B567="Total",SUM(H$8:H566)+0.0001,IF(OR(B567="",N567=0),0,VLOOKUP(A567,Journal!$C$7:M$84,7)))</f>
        <v>0</v>
      </c>
      <c r="I567" s="87">
        <f t="shared" si="52"/>
        <v>0</v>
      </c>
      <c r="K567" s="13">
        <f>VLOOKUP(A567,Journal!$C$7:$M$84,4)</f>
        <v>0</v>
      </c>
      <c r="L567" s="13">
        <f>VLOOKUP(A567,Journal!$C$7:$M$84,5)</f>
        <v>0</v>
      </c>
      <c r="M567" s="13">
        <f t="shared" si="54"/>
        <v>0</v>
      </c>
      <c r="N567" s="13">
        <f t="shared" si="55"/>
        <v>0</v>
      </c>
      <c r="O567" s="13"/>
      <c r="P567" s="13">
        <f t="shared" si="56"/>
        <v>1.0000000000000001E-5</v>
      </c>
      <c r="T567" t="str">
        <f t="shared" si="51"/>
        <v/>
      </c>
    </row>
    <row r="568" spans="1:20" x14ac:dyDescent="0.25">
      <c r="A568">
        <f t="shared" si="53"/>
        <v>561</v>
      </c>
      <c r="B568" s="88" t="str">
        <f>IF(OR(B567="Total",B567=""),"",IF(VLOOKUP(A568,Journal!$C$7:$E$84,3)=0,"Total",VLOOKUP(A568,Journal!$C$7:$D$84,2)))</f>
        <v/>
      </c>
      <c r="C568" s="86" t="str">
        <f>IF(B568="","",VLOOKUP(A568,Journal!$C$7:$E$84,3))</f>
        <v/>
      </c>
      <c r="D568" s="84" t="str">
        <f>IF(B568="","",VLOOKUP(A568,Journal!$C$7:$J$84,8))</f>
        <v/>
      </c>
      <c r="E568" s="84" t="str">
        <f>IF(B568="","",VLOOKUP(A568,Journal!$C$7:$L$84,10))</f>
        <v/>
      </c>
      <c r="F568" s="84" t="str">
        <f>IF(B568="","",VLOOKUP(A568,Journal!$C$7:$M$84,11))</f>
        <v/>
      </c>
      <c r="G568" s="102">
        <f>IF(B568="Total",SUM(G$8:G567)+0.0001,IF(OR(B568="",M568=0),0,VLOOKUP(A568,Journal!$C$7:M$84,7)))</f>
        <v>0</v>
      </c>
      <c r="H568" s="102">
        <f>IF(B568="Total",SUM(H$8:H567)+0.0001,IF(OR(B568="",N568=0),0,VLOOKUP(A568,Journal!$C$7:M$84,7)))</f>
        <v>0</v>
      </c>
      <c r="I568" s="87">
        <f t="shared" si="52"/>
        <v>0</v>
      </c>
      <c r="K568" s="13">
        <f>VLOOKUP(A568,Journal!$C$7:$M$84,4)</f>
        <v>0</v>
      </c>
      <c r="L568" s="13">
        <f>VLOOKUP(A568,Journal!$C$7:$M$84,5)</f>
        <v>0</v>
      </c>
      <c r="M568" s="13">
        <f t="shared" si="54"/>
        <v>0</v>
      </c>
      <c r="N568" s="13">
        <f t="shared" si="55"/>
        <v>0</v>
      </c>
      <c r="O568" s="13"/>
      <c r="P568" s="13">
        <f t="shared" si="56"/>
        <v>1.0000000000000001E-5</v>
      </c>
      <c r="T568" t="str">
        <f t="shared" si="51"/>
        <v/>
      </c>
    </row>
    <row r="569" spans="1:20" x14ac:dyDescent="0.25">
      <c r="A569">
        <f t="shared" si="53"/>
        <v>562</v>
      </c>
      <c r="B569" s="88" t="str">
        <f>IF(OR(B568="Total",B568=""),"",IF(VLOOKUP(A569,Journal!$C$7:$E$84,3)=0,"Total",VLOOKUP(A569,Journal!$C$7:$D$84,2)))</f>
        <v/>
      </c>
      <c r="C569" s="86" t="str">
        <f>IF(B569="","",VLOOKUP(A569,Journal!$C$7:$E$84,3))</f>
        <v/>
      </c>
      <c r="D569" s="84" t="str">
        <f>IF(B569="","",VLOOKUP(A569,Journal!$C$7:$J$84,8))</f>
        <v/>
      </c>
      <c r="E569" s="84" t="str">
        <f>IF(B569="","",VLOOKUP(A569,Journal!$C$7:$L$84,10))</f>
        <v/>
      </c>
      <c r="F569" s="84" t="str">
        <f>IF(B569="","",VLOOKUP(A569,Journal!$C$7:$M$84,11))</f>
        <v/>
      </c>
      <c r="G569" s="102">
        <f>IF(B569="Total",SUM(G$8:G568)+0.0001,IF(OR(B569="",M569=0),0,VLOOKUP(A569,Journal!$C$7:M$84,7)))</f>
        <v>0</v>
      </c>
      <c r="H569" s="102">
        <f>IF(B569="Total",SUM(H$8:H568)+0.0001,IF(OR(B569="",N569=0),0,VLOOKUP(A569,Journal!$C$7:M$84,7)))</f>
        <v>0</v>
      </c>
      <c r="I569" s="87">
        <f t="shared" si="52"/>
        <v>0</v>
      </c>
      <c r="K569" s="13">
        <f>VLOOKUP(A569,Journal!$C$7:$M$84,4)</f>
        <v>0</v>
      </c>
      <c r="L569" s="13">
        <f>VLOOKUP(A569,Journal!$C$7:$M$84,5)</f>
        <v>0</v>
      </c>
      <c r="M569" s="13">
        <f t="shared" si="54"/>
        <v>0</v>
      </c>
      <c r="N569" s="13">
        <f t="shared" si="55"/>
        <v>0</v>
      </c>
      <c r="O569" s="13"/>
      <c r="P569" s="13">
        <f t="shared" si="56"/>
        <v>1.0000000000000001E-5</v>
      </c>
      <c r="T569" t="str">
        <f t="shared" si="51"/>
        <v/>
      </c>
    </row>
    <row r="570" spans="1:20" x14ac:dyDescent="0.25">
      <c r="A570">
        <f t="shared" si="53"/>
        <v>563</v>
      </c>
      <c r="B570" s="88" t="str">
        <f>IF(OR(B569="Total",B569=""),"",IF(VLOOKUP(A570,Journal!$C$7:$E$84,3)=0,"Total",VLOOKUP(A570,Journal!$C$7:$D$84,2)))</f>
        <v/>
      </c>
      <c r="C570" s="86" t="str">
        <f>IF(B570="","",VLOOKUP(A570,Journal!$C$7:$E$84,3))</f>
        <v/>
      </c>
      <c r="D570" s="84" t="str">
        <f>IF(B570="","",VLOOKUP(A570,Journal!$C$7:$J$84,8))</f>
        <v/>
      </c>
      <c r="E570" s="84" t="str">
        <f>IF(B570="","",VLOOKUP(A570,Journal!$C$7:$L$84,10))</f>
        <v/>
      </c>
      <c r="F570" s="84" t="str">
        <f>IF(B570="","",VLOOKUP(A570,Journal!$C$7:$M$84,11))</f>
        <v/>
      </c>
      <c r="G570" s="102">
        <f>IF(B570="Total",SUM(G$8:G569)+0.0001,IF(OR(B570="",M570=0),0,VLOOKUP(A570,Journal!$C$7:M$84,7)))</f>
        <v>0</v>
      </c>
      <c r="H570" s="102">
        <f>IF(B570="Total",SUM(H$8:H569)+0.0001,IF(OR(B570="",N570=0),0,VLOOKUP(A570,Journal!$C$7:M$84,7)))</f>
        <v>0</v>
      </c>
      <c r="I570" s="87">
        <f t="shared" si="52"/>
        <v>0</v>
      </c>
      <c r="K570" s="13">
        <f>VLOOKUP(A570,Journal!$C$7:$M$84,4)</f>
        <v>0</v>
      </c>
      <c r="L570" s="13">
        <f>VLOOKUP(A570,Journal!$C$7:$M$84,5)</f>
        <v>0</v>
      </c>
      <c r="M570" s="13">
        <f t="shared" si="54"/>
        <v>0</v>
      </c>
      <c r="N570" s="13">
        <f t="shared" si="55"/>
        <v>0</v>
      </c>
      <c r="O570" s="13"/>
      <c r="P570" s="13">
        <f t="shared" si="56"/>
        <v>1.0000000000000001E-5</v>
      </c>
      <c r="T570" t="str">
        <f t="shared" si="51"/>
        <v/>
      </c>
    </row>
    <row r="571" spans="1:20" x14ac:dyDescent="0.25">
      <c r="A571">
        <f t="shared" si="53"/>
        <v>564</v>
      </c>
      <c r="B571" s="88" t="str">
        <f>IF(OR(B570="Total",B570=""),"",IF(VLOOKUP(A571,Journal!$C$7:$E$84,3)=0,"Total",VLOOKUP(A571,Journal!$C$7:$D$84,2)))</f>
        <v/>
      </c>
      <c r="C571" s="86" t="str">
        <f>IF(B571="","",VLOOKUP(A571,Journal!$C$7:$E$84,3))</f>
        <v/>
      </c>
      <c r="D571" s="84" t="str">
        <f>IF(B571="","",VLOOKUP(A571,Journal!$C$7:$J$84,8))</f>
        <v/>
      </c>
      <c r="E571" s="84" t="str">
        <f>IF(B571="","",VLOOKUP(A571,Journal!$C$7:$L$84,10))</f>
        <v/>
      </c>
      <c r="F571" s="84" t="str">
        <f>IF(B571="","",VLOOKUP(A571,Journal!$C$7:$M$84,11))</f>
        <v/>
      </c>
      <c r="G571" s="102">
        <f>IF(B571="Total",SUM(G$8:G570)+0.0001,IF(OR(B571="",M571=0),0,VLOOKUP(A571,Journal!$C$7:M$84,7)))</f>
        <v>0</v>
      </c>
      <c r="H571" s="102">
        <f>IF(B571="Total",SUM(H$8:H570)+0.0001,IF(OR(B571="",N571=0),0,VLOOKUP(A571,Journal!$C$7:M$84,7)))</f>
        <v>0</v>
      </c>
      <c r="I571" s="87">
        <f t="shared" si="52"/>
        <v>0</v>
      </c>
      <c r="K571" s="13">
        <f>VLOOKUP(A571,Journal!$C$7:$M$84,4)</f>
        <v>0</v>
      </c>
      <c r="L571" s="13">
        <f>VLOOKUP(A571,Journal!$C$7:$M$84,5)</f>
        <v>0</v>
      </c>
      <c r="M571" s="13">
        <f t="shared" si="54"/>
        <v>0</v>
      </c>
      <c r="N571" s="13">
        <f t="shared" si="55"/>
        <v>0</v>
      </c>
      <c r="O571" s="13"/>
      <c r="P571" s="13">
        <f t="shared" si="56"/>
        <v>1.0000000000000001E-5</v>
      </c>
      <c r="T571" t="str">
        <f t="shared" si="51"/>
        <v/>
      </c>
    </row>
    <row r="572" spans="1:20" x14ac:dyDescent="0.25">
      <c r="A572">
        <f t="shared" si="53"/>
        <v>565</v>
      </c>
      <c r="B572" s="88" t="str">
        <f>IF(OR(B571="Total",B571=""),"",IF(VLOOKUP(A572,Journal!$C$7:$E$84,3)=0,"Total",VLOOKUP(A572,Journal!$C$7:$D$84,2)))</f>
        <v/>
      </c>
      <c r="C572" s="86" t="str">
        <f>IF(B572="","",VLOOKUP(A572,Journal!$C$7:$E$84,3))</f>
        <v/>
      </c>
      <c r="D572" s="84" t="str">
        <f>IF(B572="","",VLOOKUP(A572,Journal!$C$7:$J$84,8))</f>
        <v/>
      </c>
      <c r="E572" s="84" t="str">
        <f>IF(B572="","",VLOOKUP(A572,Journal!$C$7:$L$84,10))</f>
        <v/>
      </c>
      <c r="F572" s="84" t="str">
        <f>IF(B572="","",VLOOKUP(A572,Journal!$C$7:$M$84,11))</f>
        <v/>
      </c>
      <c r="G572" s="102">
        <f>IF(B572="Total",SUM(G$8:G571)+0.0001,IF(OR(B572="",M572=0),0,VLOOKUP(A572,Journal!$C$7:M$84,7)))</f>
        <v>0</v>
      </c>
      <c r="H572" s="102">
        <f>IF(B572="Total",SUM(H$8:H571)+0.0001,IF(OR(B572="",N572=0),0,VLOOKUP(A572,Journal!$C$7:M$84,7)))</f>
        <v>0</v>
      </c>
      <c r="I572" s="87">
        <f t="shared" si="52"/>
        <v>0</v>
      </c>
      <c r="K572" s="13">
        <f>VLOOKUP(A572,Journal!$C$7:$M$84,4)</f>
        <v>0</v>
      </c>
      <c r="L572" s="13">
        <f>VLOOKUP(A572,Journal!$C$7:$M$84,5)</f>
        <v>0</v>
      </c>
      <c r="M572" s="13">
        <f t="shared" si="54"/>
        <v>0</v>
      </c>
      <c r="N572" s="13">
        <f t="shared" si="55"/>
        <v>0</v>
      </c>
      <c r="O572" s="13"/>
      <c r="P572" s="13">
        <f t="shared" si="56"/>
        <v>1.0000000000000001E-5</v>
      </c>
      <c r="T572" t="str">
        <f t="shared" si="51"/>
        <v/>
      </c>
    </row>
    <row r="573" spans="1:20" x14ac:dyDescent="0.25">
      <c r="A573">
        <f t="shared" si="53"/>
        <v>566</v>
      </c>
      <c r="B573" s="88" t="str">
        <f>IF(OR(B572="Total",B572=""),"",IF(VLOOKUP(A573,Journal!$C$7:$E$84,3)=0,"Total",VLOOKUP(A573,Journal!$C$7:$D$84,2)))</f>
        <v/>
      </c>
      <c r="C573" s="86" t="str">
        <f>IF(B573="","",VLOOKUP(A573,Journal!$C$7:$E$84,3))</f>
        <v/>
      </c>
      <c r="D573" s="84" t="str">
        <f>IF(B573="","",VLOOKUP(A573,Journal!$C$7:$J$84,8))</f>
        <v/>
      </c>
      <c r="E573" s="84" t="str">
        <f>IF(B573="","",VLOOKUP(A573,Journal!$C$7:$L$84,10))</f>
        <v/>
      </c>
      <c r="F573" s="84" t="str">
        <f>IF(B573="","",VLOOKUP(A573,Journal!$C$7:$M$84,11))</f>
        <v/>
      </c>
      <c r="G573" s="102">
        <f>IF(B573="Total",SUM(G$8:G572)+0.0001,IF(OR(B573="",M573=0),0,VLOOKUP(A573,Journal!$C$7:M$84,7)))</f>
        <v>0</v>
      </c>
      <c r="H573" s="102">
        <f>IF(B573="Total",SUM(H$8:H572)+0.0001,IF(OR(B573="",N573=0),0,VLOOKUP(A573,Journal!$C$7:M$84,7)))</f>
        <v>0</v>
      </c>
      <c r="I573" s="87">
        <f t="shared" si="52"/>
        <v>0</v>
      </c>
      <c r="K573" s="13">
        <f>VLOOKUP(A573,Journal!$C$7:$M$84,4)</f>
        <v>0</v>
      </c>
      <c r="L573" s="13">
        <f>VLOOKUP(A573,Journal!$C$7:$M$84,5)</f>
        <v>0</v>
      </c>
      <c r="M573" s="13">
        <f t="shared" si="54"/>
        <v>0</v>
      </c>
      <c r="N573" s="13">
        <f t="shared" si="55"/>
        <v>0</v>
      </c>
      <c r="O573" s="13"/>
      <c r="P573" s="13">
        <f t="shared" si="56"/>
        <v>1.0000000000000001E-5</v>
      </c>
      <c r="T573" t="str">
        <f t="shared" si="51"/>
        <v/>
      </c>
    </row>
    <row r="574" spans="1:20" x14ac:dyDescent="0.25">
      <c r="A574">
        <f t="shared" si="53"/>
        <v>567</v>
      </c>
      <c r="B574" s="88" t="str">
        <f>IF(OR(B573="Total",B573=""),"",IF(VLOOKUP(A574,Journal!$C$7:$E$84,3)=0,"Total",VLOOKUP(A574,Journal!$C$7:$D$84,2)))</f>
        <v/>
      </c>
      <c r="C574" s="86" t="str">
        <f>IF(B574="","",VLOOKUP(A574,Journal!$C$7:$E$84,3))</f>
        <v/>
      </c>
      <c r="D574" s="84" t="str">
        <f>IF(B574="","",VLOOKUP(A574,Journal!$C$7:$J$84,8))</f>
        <v/>
      </c>
      <c r="E574" s="84" t="str">
        <f>IF(B574="","",VLOOKUP(A574,Journal!$C$7:$L$84,10))</f>
        <v/>
      </c>
      <c r="F574" s="84" t="str">
        <f>IF(B574="","",VLOOKUP(A574,Journal!$C$7:$M$84,11))</f>
        <v/>
      </c>
      <c r="G574" s="102">
        <f>IF(B574="Total",SUM(G$8:G573)+0.0001,IF(OR(B574="",M574=0),0,VLOOKUP(A574,Journal!$C$7:M$84,7)))</f>
        <v>0</v>
      </c>
      <c r="H574" s="102">
        <f>IF(B574="Total",SUM(H$8:H573)+0.0001,IF(OR(B574="",N574=0),0,VLOOKUP(A574,Journal!$C$7:M$84,7)))</f>
        <v>0</v>
      </c>
      <c r="I574" s="87">
        <f t="shared" si="52"/>
        <v>0</v>
      </c>
      <c r="K574" s="13">
        <f>VLOOKUP(A574,Journal!$C$7:$M$84,4)</f>
        <v>0</v>
      </c>
      <c r="L574" s="13">
        <f>VLOOKUP(A574,Journal!$C$7:$M$84,5)</f>
        <v>0</v>
      </c>
      <c r="M574" s="13">
        <f t="shared" si="54"/>
        <v>0</v>
      </c>
      <c r="N574" s="13">
        <f t="shared" si="55"/>
        <v>0</v>
      </c>
      <c r="O574" s="13"/>
      <c r="P574" s="13">
        <f t="shared" si="56"/>
        <v>1.0000000000000001E-5</v>
      </c>
      <c r="T574" t="str">
        <f t="shared" si="51"/>
        <v/>
      </c>
    </row>
    <row r="575" spans="1:20" x14ac:dyDescent="0.25">
      <c r="A575">
        <f t="shared" si="53"/>
        <v>568</v>
      </c>
      <c r="B575" s="88" t="str">
        <f>IF(OR(B574="Total",B574=""),"",IF(VLOOKUP(A575,Journal!$C$7:$E$84,3)=0,"Total",VLOOKUP(A575,Journal!$C$7:$D$84,2)))</f>
        <v/>
      </c>
      <c r="C575" s="86" t="str">
        <f>IF(B575="","",VLOOKUP(A575,Journal!$C$7:$E$84,3))</f>
        <v/>
      </c>
      <c r="D575" s="84" t="str">
        <f>IF(B575="","",VLOOKUP(A575,Journal!$C$7:$J$84,8))</f>
        <v/>
      </c>
      <c r="E575" s="84" t="str">
        <f>IF(B575="","",VLOOKUP(A575,Journal!$C$7:$L$84,10))</f>
        <v/>
      </c>
      <c r="F575" s="84" t="str">
        <f>IF(B575="","",VLOOKUP(A575,Journal!$C$7:$M$84,11))</f>
        <v/>
      </c>
      <c r="G575" s="102">
        <f>IF(B575="Total",SUM(G$8:G574)+0.0001,IF(OR(B575="",M575=0),0,VLOOKUP(A575,Journal!$C$7:M$84,7)))</f>
        <v>0</v>
      </c>
      <c r="H575" s="102">
        <f>IF(B575="Total",SUM(H$8:H574)+0.0001,IF(OR(B575="",N575=0),0,VLOOKUP(A575,Journal!$C$7:M$84,7)))</f>
        <v>0</v>
      </c>
      <c r="I575" s="87">
        <f t="shared" si="52"/>
        <v>0</v>
      </c>
      <c r="K575" s="13">
        <f>VLOOKUP(A575,Journal!$C$7:$M$84,4)</f>
        <v>0</v>
      </c>
      <c r="L575" s="13">
        <f>VLOOKUP(A575,Journal!$C$7:$M$84,5)</f>
        <v>0</v>
      </c>
      <c r="M575" s="13">
        <f t="shared" si="54"/>
        <v>0</v>
      </c>
      <c r="N575" s="13">
        <f t="shared" si="55"/>
        <v>0</v>
      </c>
      <c r="O575" s="13"/>
      <c r="P575" s="13">
        <f t="shared" si="56"/>
        <v>1.0000000000000001E-5</v>
      </c>
      <c r="T575" t="str">
        <f t="shared" si="51"/>
        <v/>
      </c>
    </row>
    <row r="576" spans="1:20" x14ac:dyDescent="0.25">
      <c r="A576">
        <f t="shared" si="53"/>
        <v>569</v>
      </c>
      <c r="B576" s="88" t="str">
        <f>IF(OR(B575="Total",B575=""),"",IF(VLOOKUP(A576,Journal!$C$7:$E$84,3)=0,"Total",VLOOKUP(A576,Journal!$C$7:$D$84,2)))</f>
        <v/>
      </c>
      <c r="C576" s="86" t="str">
        <f>IF(B576="","",VLOOKUP(A576,Journal!$C$7:$E$84,3))</f>
        <v/>
      </c>
      <c r="D576" s="84" t="str">
        <f>IF(B576="","",VLOOKUP(A576,Journal!$C$7:$J$84,8))</f>
        <v/>
      </c>
      <c r="E576" s="84" t="str">
        <f>IF(B576="","",VLOOKUP(A576,Journal!$C$7:$L$84,10))</f>
        <v/>
      </c>
      <c r="F576" s="84" t="str">
        <f>IF(B576="","",VLOOKUP(A576,Journal!$C$7:$M$84,11))</f>
        <v/>
      </c>
      <c r="G576" s="102">
        <f>IF(B576="Total",SUM(G$8:G575)+0.0001,IF(OR(B576="",M576=0),0,VLOOKUP(A576,Journal!$C$7:M$84,7)))</f>
        <v>0</v>
      </c>
      <c r="H576" s="102">
        <f>IF(B576="Total",SUM(H$8:H575)+0.0001,IF(OR(B576="",N576=0),0,VLOOKUP(A576,Journal!$C$7:M$84,7)))</f>
        <v>0</v>
      </c>
      <c r="I576" s="87">
        <f t="shared" si="52"/>
        <v>0</v>
      </c>
      <c r="K576" s="13">
        <f>VLOOKUP(A576,Journal!$C$7:$M$84,4)</f>
        <v>0</v>
      </c>
      <c r="L576" s="13">
        <f>VLOOKUP(A576,Journal!$C$7:$M$84,5)</f>
        <v>0</v>
      </c>
      <c r="M576" s="13">
        <f t="shared" si="54"/>
        <v>0</v>
      </c>
      <c r="N576" s="13">
        <f t="shared" si="55"/>
        <v>0</v>
      </c>
      <c r="O576" s="13"/>
      <c r="P576" s="13">
        <f t="shared" si="56"/>
        <v>1.0000000000000001E-5</v>
      </c>
      <c r="T576" t="str">
        <f t="shared" si="51"/>
        <v/>
      </c>
    </row>
    <row r="577" spans="1:20" x14ac:dyDescent="0.25">
      <c r="A577">
        <f t="shared" si="53"/>
        <v>570</v>
      </c>
      <c r="B577" s="88" t="str">
        <f>IF(OR(B576="Total",B576=""),"",IF(VLOOKUP(A577,Journal!$C$7:$E$84,3)=0,"Total",VLOOKUP(A577,Journal!$C$7:$D$84,2)))</f>
        <v/>
      </c>
      <c r="C577" s="86" t="str">
        <f>IF(B577="","",VLOOKUP(A577,Journal!$C$7:$E$84,3))</f>
        <v/>
      </c>
      <c r="D577" s="84" t="str">
        <f>IF(B577="","",VLOOKUP(A577,Journal!$C$7:$J$84,8))</f>
        <v/>
      </c>
      <c r="E577" s="84" t="str">
        <f>IF(B577="","",VLOOKUP(A577,Journal!$C$7:$L$84,10))</f>
        <v/>
      </c>
      <c r="F577" s="84" t="str">
        <f>IF(B577="","",VLOOKUP(A577,Journal!$C$7:$M$84,11))</f>
        <v/>
      </c>
      <c r="G577" s="102">
        <f>IF(B577="Total",SUM(G$8:G576)+0.0001,IF(OR(B577="",M577=0),0,VLOOKUP(A577,Journal!$C$7:M$84,7)))</f>
        <v>0</v>
      </c>
      <c r="H577" s="102">
        <f>IF(B577="Total",SUM(H$8:H576)+0.0001,IF(OR(B577="",N577=0),0,VLOOKUP(A577,Journal!$C$7:M$84,7)))</f>
        <v>0</v>
      </c>
      <c r="I577" s="87">
        <f t="shared" si="52"/>
        <v>0</v>
      </c>
      <c r="K577" s="13">
        <f>VLOOKUP(A577,Journal!$C$7:$M$84,4)</f>
        <v>0</v>
      </c>
      <c r="L577" s="13">
        <f>VLOOKUP(A577,Journal!$C$7:$M$84,5)</f>
        <v>0</v>
      </c>
      <c r="M577" s="13">
        <f t="shared" si="54"/>
        <v>0</v>
      </c>
      <c r="N577" s="13">
        <f t="shared" si="55"/>
        <v>0</v>
      </c>
      <c r="O577" s="13"/>
      <c r="P577" s="13">
        <f t="shared" si="56"/>
        <v>1.0000000000000001E-5</v>
      </c>
      <c r="T577" t="str">
        <f t="shared" si="51"/>
        <v/>
      </c>
    </row>
    <row r="578" spans="1:20" x14ac:dyDescent="0.25">
      <c r="A578">
        <f t="shared" si="53"/>
        <v>571</v>
      </c>
      <c r="B578" s="88" t="str">
        <f>IF(OR(B577="Total",B577=""),"",IF(VLOOKUP(A578,Journal!$C$7:$E$84,3)=0,"Total",VLOOKUP(A578,Journal!$C$7:$D$84,2)))</f>
        <v/>
      </c>
      <c r="C578" s="86" t="str">
        <f>IF(B578="","",VLOOKUP(A578,Journal!$C$7:$E$84,3))</f>
        <v/>
      </c>
      <c r="D578" s="84" t="str">
        <f>IF(B578="","",VLOOKUP(A578,Journal!$C$7:$J$84,8))</f>
        <v/>
      </c>
      <c r="E578" s="84" t="str">
        <f>IF(B578="","",VLOOKUP(A578,Journal!$C$7:$L$84,10))</f>
        <v/>
      </c>
      <c r="F578" s="84" t="str">
        <f>IF(B578="","",VLOOKUP(A578,Journal!$C$7:$M$84,11))</f>
        <v/>
      </c>
      <c r="G578" s="102">
        <f>IF(B578="Total",SUM(G$8:G577)+0.0001,IF(OR(B578="",M578=0),0,VLOOKUP(A578,Journal!$C$7:M$84,7)))</f>
        <v>0</v>
      </c>
      <c r="H578" s="102">
        <f>IF(B578="Total",SUM(H$8:H577)+0.0001,IF(OR(B578="",N578=0),0,VLOOKUP(A578,Journal!$C$7:M$84,7)))</f>
        <v>0</v>
      </c>
      <c r="I578" s="87">
        <f t="shared" si="52"/>
        <v>0</v>
      </c>
      <c r="K578" s="13">
        <f>VLOOKUP(A578,Journal!$C$7:$M$84,4)</f>
        <v>0</v>
      </c>
      <c r="L578" s="13">
        <f>VLOOKUP(A578,Journal!$C$7:$M$84,5)</f>
        <v>0</v>
      </c>
      <c r="M578" s="13">
        <f t="shared" si="54"/>
        <v>0</v>
      </c>
      <c r="N578" s="13">
        <f t="shared" si="55"/>
        <v>0</v>
      </c>
      <c r="O578" s="13"/>
      <c r="P578" s="13">
        <f t="shared" si="56"/>
        <v>1.0000000000000001E-5</v>
      </c>
      <c r="T578" t="str">
        <f t="shared" si="51"/>
        <v/>
      </c>
    </row>
    <row r="579" spans="1:20" x14ac:dyDescent="0.25">
      <c r="A579">
        <f t="shared" si="53"/>
        <v>572</v>
      </c>
      <c r="B579" s="88" t="str">
        <f>IF(OR(B578="Total",B578=""),"",IF(VLOOKUP(A579,Journal!$C$7:$E$84,3)=0,"Total",VLOOKUP(A579,Journal!$C$7:$D$84,2)))</f>
        <v/>
      </c>
      <c r="C579" s="86" t="str">
        <f>IF(B579="","",VLOOKUP(A579,Journal!$C$7:$E$84,3))</f>
        <v/>
      </c>
      <c r="D579" s="84" t="str">
        <f>IF(B579="","",VLOOKUP(A579,Journal!$C$7:$J$84,8))</f>
        <v/>
      </c>
      <c r="E579" s="84" t="str">
        <f>IF(B579="","",VLOOKUP(A579,Journal!$C$7:$L$84,10))</f>
        <v/>
      </c>
      <c r="F579" s="84" t="str">
        <f>IF(B579="","",VLOOKUP(A579,Journal!$C$7:$M$84,11))</f>
        <v/>
      </c>
      <c r="G579" s="102">
        <f>IF(B579="Total",SUM(G$8:G578)+0.0001,IF(OR(B579="",M579=0),0,VLOOKUP(A579,Journal!$C$7:M$84,7)))</f>
        <v>0</v>
      </c>
      <c r="H579" s="102">
        <f>IF(B579="Total",SUM(H$8:H578)+0.0001,IF(OR(B579="",N579=0),0,VLOOKUP(A579,Journal!$C$7:M$84,7)))</f>
        <v>0</v>
      </c>
      <c r="I579" s="87">
        <f t="shared" si="52"/>
        <v>0</v>
      </c>
      <c r="K579" s="13">
        <f>VLOOKUP(A579,Journal!$C$7:$M$84,4)</f>
        <v>0</v>
      </c>
      <c r="L579" s="13">
        <f>VLOOKUP(A579,Journal!$C$7:$M$84,5)</f>
        <v>0</v>
      </c>
      <c r="M579" s="13">
        <f t="shared" si="54"/>
        <v>0</v>
      </c>
      <c r="N579" s="13">
        <f t="shared" si="55"/>
        <v>0</v>
      </c>
      <c r="O579" s="13"/>
      <c r="P579" s="13">
        <f t="shared" si="56"/>
        <v>1.0000000000000001E-5</v>
      </c>
      <c r="T579" t="str">
        <f t="shared" si="51"/>
        <v/>
      </c>
    </row>
    <row r="580" spans="1:20" x14ac:dyDescent="0.25">
      <c r="A580">
        <f t="shared" si="53"/>
        <v>573</v>
      </c>
      <c r="B580" s="88" t="str">
        <f>IF(OR(B579="Total",B579=""),"",IF(VLOOKUP(A580,Journal!$C$7:$E$84,3)=0,"Total",VLOOKUP(A580,Journal!$C$7:$D$84,2)))</f>
        <v/>
      </c>
      <c r="C580" s="86" t="str">
        <f>IF(B580="","",VLOOKUP(A580,Journal!$C$7:$E$84,3))</f>
        <v/>
      </c>
      <c r="D580" s="84" t="str">
        <f>IF(B580="","",VLOOKUP(A580,Journal!$C$7:$J$84,8))</f>
        <v/>
      </c>
      <c r="E580" s="84" t="str">
        <f>IF(B580="","",VLOOKUP(A580,Journal!$C$7:$L$84,10))</f>
        <v/>
      </c>
      <c r="F580" s="84" t="str">
        <f>IF(B580="","",VLOOKUP(A580,Journal!$C$7:$M$84,11))</f>
        <v/>
      </c>
      <c r="G580" s="102">
        <f>IF(B580="Total",SUM(G$8:G579)+0.0001,IF(OR(B580="",M580=0),0,VLOOKUP(A580,Journal!$C$7:M$84,7)))</f>
        <v>0</v>
      </c>
      <c r="H580" s="102">
        <f>IF(B580="Total",SUM(H$8:H579)+0.0001,IF(OR(B580="",N580=0),0,VLOOKUP(A580,Journal!$C$7:M$84,7)))</f>
        <v>0</v>
      </c>
      <c r="I580" s="87">
        <f t="shared" si="52"/>
        <v>0</v>
      </c>
      <c r="K580" s="13">
        <f>VLOOKUP(A580,Journal!$C$7:$M$84,4)</f>
        <v>0</v>
      </c>
      <c r="L580" s="13">
        <f>VLOOKUP(A580,Journal!$C$7:$M$84,5)</f>
        <v>0</v>
      </c>
      <c r="M580" s="13">
        <f t="shared" si="54"/>
        <v>0</v>
      </c>
      <c r="N580" s="13">
        <f t="shared" si="55"/>
        <v>0</v>
      </c>
      <c r="O580" s="13"/>
      <c r="P580" s="13">
        <f t="shared" si="56"/>
        <v>1.0000000000000001E-5</v>
      </c>
      <c r="T580" t="str">
        <f t="shared" si="51"/>
        <v/>
      </c>
    </row>
    <row r="581" spans="1:20" x14ac:dyDescent="0.25">
      <c r="A581">
        <f t="shared" si="53"/>
        <v>574</v>
      </c>
      <c r="B581" s="88" t="str">
        <f>IF(OR(B580="Total",B580=""),"",IF(VLOOKUP(A581,Journal!$C$7:$E$84,3)=0,"Total",VLOOKUP(A581,Journal!$C$7:$D$84,2)))</f>
        <v/>
      </c>
      <c r="C581" s="86" t="str">
        <f>IF(B581="","",VLOOKUP(A581,Journal!$C$7:$E$84,3))</f>
        <v/>
      </c>
      <c r="D581" s="84" t="str">
        <f>IF(B581="","",VLOOKUP(A581,Journal!$C$7:$J$84,8))</f>
        <v/>
      </c>
      <c r="E581" s="84" t="str">
        <f>IF(B581="","",VLOOKUP(A581,Journal!$C$7:$L$84,10))</f>
        <v/>
      </c>
      <c r="F581" s="84" t="str">
        <f>IF(B581="","",VLOOKUP(A581,Journal!$C$7:$M$84,11))</f>
        <v/>
      </c>
      <c r="G581" s="102">
        <f>IF(B581="Total",SUM(G$8:G580)+0.0001,IF(OR(B581="",M581=0),0,VLOOKUP(A581,Journal!$C$7:M$84,7)))</f>
        <v>0</v>
      </c>
      <c r="H581" s="102">
        <f>IF(B581="Total",SUM(H$8:H580)+0.0001,IF(OR(B581="",N581=0),0,VLOOKUP(A581,Journal!$C$7:M$84,7)))</f>
        <v>0</v>
      </c>
      <c r="I581" s="87">
        <f t="shared" si="52"/>
        <v>0</v>
      </c>
      <c r="K581" s="13">
        <f>VLOOKUP(A581,Journal!$C$7:$M$84,4)</f>
        <v>0</v>
      </c>
      <c r="L581" s="13">
        <f>VLOOKUP(A581,Journal!$C$7:$M$84,5)</f>
        <v>0</v>
      </c>
      <c r="M581" s="13">
        <f t="shared" si="54"/>
        <v>0</v>
      </c>
      <c r="N581" s="13">
        <f t="shared" si="55"/>
        <v>0</v>
      </c>
      <c r="O581" s="13"/>
      <c r="P581" s="13">
        <f t="shared" si="56"/>
        <v>1.0000000000000001E-5</v>
      </c>
      <c r="T581" t="str">
        <f t="shared" si="51"/>
        <v/>
      </c>
    </row>
    <row r="582" spans="1:20" x14ac:dyDescent="0.25">
      <c r="A582">
        <f t="shared" si="53"/>
        <v>575</v>
      </c>
      <c r="B582" s="88" t="str">
        <f>IF(OR(B581="Total",B581=""),"",IF(VLOOKUP(A582,Journal!$C$7:$E$84,3)=0,"Total",VLOOKUP(A582,Journal!$C$7:$D$84,2)))</f>
        <v/>
      </c>
      <c r="C582" s="86" t="str">
        <f>IF(B582="","",VLOOKUP(A582,Journal!$C$7:$E$84,3))</f>
        <v/>
      </c>
      <c r="D582" s="84" t="str">
        <f>IF(B582="","",VLOOKUP(A582,Journal!$C$7:$J$84,8))</f>
        <v/>
      </c>
      <c r="E582" s="84" t="str">
        <f>IF(B582="","",VLOOKUP(A582,Journal!$C$7:$L$84,10))</f>
        <v/>
      </c>
      <c r="F582" s="84" t="str">
        <f>IF(B582="","",VLOOKUP(A582,Journal!$C$7:$M$84,11))</f>
        <v/>
      </c>
      <c r="G582" s="102">
        <f>IF(B582="Total",SUM(G$8:G581)+0.0001,IF(OR(B582="",M582=0),0,VLOOKUP(A582,Journal!$C$7:M$84,7)))</f>
        <v>0</v>
      </c>
      <c r="H582" s="102">
        <f>IF(B582="Total",SUM(H$8:H581)+0.0001,IF(OR(B582="",N582=0),0,VLOOKUP(A582,Journal!$C$7:M$84,7)))</f>
        <v>0</v>
      </c>
      <c r="I582" s="87">
        <f t="shared" si="52"/>
        <v>0</v>
      </c>
      <c r="K582" s="13">
        <f>VLOOKUP(A582,Journal!$C$7:$M$84,4)</f>
        <v>0</v>
      </c>
      <c r="L582" s="13">
        <f>VLOOKUP(A582,Journal!$C$7:$M$84,5)</f>
        <v>0</v>
      </c>
      <c r="M582" s="13">
        <f t="shared" si="54"/>
        <v>0</v>
      </c>
      <c r="N582" s="13">
        <f t="shared" si="55"/>
        <v>0</v>
      </c>
      <c r="O582" s="13"/>
      <c r="P582" s="13">
        <f t="shared" si="56"/>
        <v>1.0000000000000001E-5</v>
      </c>
      <c r="T582" t="str">
        <f t="shared" si="51"/>
        <v/>
      </c>
    </row>
    <row r="583" spans="1:20" x14ac:dyDescent="0.25">
      <c r="A583">
        <f t="shared" si="53"/>
        <v>576</v>
      </c>
      <c r="B583" s="88" t="str">
        <f>IF(OR(B582="Total",B582=""),"",IF(VLOOKUP(A583,Journal!$C$7:$E$84,3)=0,"Total",VLOOKUP(A583,Journal!$C$7:$D$84,2)))</f>
        <v/>
      </c>
      <c r="C583" s="86" t="str">
        <f>IF(B583="","",VLOOKUP(A583,Journal!$C$7:$E$84,3))</f>
        <v/>
      </c>
      <c r="D583" s="84" t="str">
        <f>IF(B583="","",VLOOKUP(A583,Journal!$C$7:$J$84,8))</f>
        <v/>
      </c>
      <c r="E583" s="84" t="str">
        <f>IF(B583="","",VLOOKUP(A583,Journal!$C$7:$L$84,10))</f>
        <v/>
      </c>
      <c r="F583" s="84" t="str">
        <f>IF(B583="","",VLOOKUP(A583,Journal!$C$7:$M$84,11))</f>
        <v/>
      </c>
      <c r="G583" s="102">
        <f>IF(B583="Total",SUM(G$8:G582)+0.0001,IF(OR(B583="",M583=0),0,VLOOKUP(A583,Journal!$C$7:M$84,7)))</f>
        <v>0</v>
      </c>
      <c r="H583" s="102">
        <f>IF(B583="Total",SUM(H$8:H582)+0.0001,IF(OR(B583="",N583=0),0,VLOOKUP(A583,Journal!$C$7:M$84,7)))</f>
        <v>0</v>
      </c>
      <c r="I583" s="87">
        <f t="shared" si="52"/>
        <v>0</v>
      </c>
      <c r="K583" s="13">
        <f>VLOOKUP(A583,Journal!$C$7:$M$84,4)</f>
        <v>0</v>
      </c>
      <c r="L583" s="13">
        <f>VLOOKUP(A583,Journal!$C$7:$M$84,5)</f>
        <v>0</v>
      </c>
      <c r="M583" s="13">
        <f t="shared" si="54"/>
        <v>0</v>
      </c>
      <c r="N583" s="13">
        <f t="shared" si="55"/>
        <v>0</v>
      </c>
      <c r="O583" s="13"/>
      <c r="P583" s="13">
        <f t="shared" si="56"/>
        <v>1.0000000000000001E-5</v>
      </c>
      <c r="T583" t="str">
        <f t="shared" si="51"/>
        <v/>
      </c>
    </row>
    <row r="584" spans="1:20" x14ac:dyDescent="0.25">
      <c r="A584">
        <f t="shared" si="53"/>
        <v>577</v>
      </c>
      <c r="B584" s="88" t="str">
        <f>IF(OR(B583="Total",B583=""),"",IF(VLOOKUP(A584,Journal!$C$7:$E$84,3)=0,"Total",VLOOKUP(A584,Journal!$C$7:$D$84,2)))</f>
        <v/>
      </c>
      <c r="C584" s="86" t="str">
        <f>IF(B584="","",VLOOKUP(A584,Journal!$C$7:$E$84,3))</f>
        <v/>
      </c>
      <c r="D584" s="84" t="str">
        <f>IF(B584="","",VLOOKUP(A584,Journal!$C$7:$J$84,8))</f>
        <v/>
      </c>
      <c r="E584" s="84" t="str">
        <f>IF(B584="","",VLOOKUP(A584,Journal!$C$7:$L$84,10))</f>
        <v/>
      </c>
      <c r="F584" s="84" t="str">
        <f>IF(B584="","",VLOOKUP(A584,Journal!$C$7:$M$84,11))</f>
        <v/>
      </c>
      <c r="G584" s="102">
        <f>IF(B584="Total",SUM(G$8:G583)+0.0001,IF(OR(B584="",M584=0),0,VLOOKUP(A584,Journal!$C$7:M$84,7)))</f>
        <v>0</v>
      </c>
      <c r="H584" s="102">
        <f>IF(B584="Total",SUM(H$8:H583)+0.0001,IF(OR(B584="",N584=0),0,VLOOKUP(A584,Journal!$C$7:M$84,7)))</f>
        <v>0</v>
      </c>
      <c r="I584" s="87">
        <f t="shared" si="52"/>
        <v>0</v>
      </c>
      <c r="K584" s="13">
        <f>VLOOKUP(A584,Journal!$C$7:$M$84,4)</f>
        <v>0</v>
      </c>
      <c r="L584" s="13">
        <f>VLOOKUP(A584,Journal!$C$7:$M$84,5)</f>
        <v>0</v>
      </c>
      <c r="M584" s="13">
        <f t="shared" si="54"/>
        <v>0</v>
      </c>
      <c r="N584" s="13">
        <f t="shared" si="55"/>
        <v>0</v>
      </c>
      <c r="O584" s="13"/>
      <c r="P584" s="13">
        <f t="shared" si="56"/>
        <v>1.0000000000000001E-5</v>
      </c>
      <c r="T584" t="str">
        <f t="shared" si="51"/>
        <v/>
      </c>
    </row>
    <row r="585" spans="1:20" x14ac:dyDescent="0.25">
      <c r="A585">
        <f t="shared" si="53"/>
        <v>578</v>
      </c>
      <c r="B585" s="88" t="str">
        <f>IF(OR(B584="Total",B584=""),"",IF(VLOOKUP(A585,Journal!$C$7:$E$84,3)=0,"Total",VLOOKUP(A585,Journal!$C$7:$D$84,2)))</f>
        <v/>
      </c>
      <c r="C585" s="86" t="str">
        <f>IF(B585="","",VLOOKUP(A585,Journal!$C$7:$E$84,3))</f>
        <v/>
      </c>
      <c r="D585" s="84" t="str">
        <f>IF(B585="","",VLOOKUP(A585,Journal!$C$7:$J$84,8))</f>
        <v/>
      </c>
      <c r="E585" s="84" t="str">
        <f>IF(B585="","",VLOOKUP(A585,Journal!$C$7:$L$84,10))</f>
        <v/>
      </c>
      <c r="F585" s="84" t="str">
        <f>IF(B585="","",VLOOKUP(A585,Journal!$C$7:$M$84,11))</f>
        <v/>
      </c>
      <c r="G585" s="102">
        <f>IF(B585="Total",SUM(G$8:G584)+0.0001,IF(OR(B585="",M585=0),0,VLOOKUP(A585,Journal!$C$7:M$84,7)))</f>
        <v>0</v>
      </c>
      <c r="H585" s="102">
        <f>IF(B585="Total",SUM(H$8:H584)+0.0001,IF(OR(B585="",N585=0),0,VLOOKUP(A585,Journal!$C$7:M$84,7)))</f>
        <v>0</v>
      </c>
      <c r="I585" s="87">
        <f t="shared" si="52"/>
        <v>0</v>
      </c>
      <c r="K585" s="13">
        <f>VLOOKUP(A585,Journal!$C$7:$M$84,4)</f>
        <v>0</v>
      </c>
      <c r="L585" s="13">
        <f>VLOOKUP(A585,Journal!$C$7:$M$84,5)</f>
        <v>0</v>
      </c>
      <c r="M585" s="13">
        <f t="shared" si="54"/>
        <v>0</v>
      </c>
      <c r="N585" s="13">
        <f t="shared" si="55"/>
        <v>0</v>
      </c>
      <c r="O585" s="13"/>
      <c r="P585" s="13">
        <f t="shared" si="56"/>
        <v>1.0000000000000001E-5</v>
      </c>
      <c r="T585" t="str">
        <f t="shared" ref="T585:T648" si="57">IF(AND(G585&lt;&gt;0,B585&lt;&gt;"Total",G585=H585),"Beide Konten sind Erfolgskonten, weshalb Saldo gleich bleibt","")</f>
        <v/>
      </c>
    </row>
    <row r="586" spans="1:20" x14ac:dyDescent="0.25">
      <c r="A586">
        <f t="shared" si="53"/>
        <v>579</v>
      </c>
      <c r="B586" s="88" t="str">
        <f>IF(OR(B585="Total",B585=""),"",IF(VLOOKUP(A586,Journal!$C$7:$E$84,3)=0,"Total",VLOOKUP(A586,Journal!$C$7:$D$84,2)))</f>
        <v/>
      </c>
      <c r="C586" s="86" t="str">
        <f>IF(B586="","",VLOOKUP(A586,Journal!$C$7:$E$84,3))</f>
        <v/>
      </c>
      <c r="D586" s="84" t="str">
        <f>IF(B586="","",VLOOKUP(A586,Journal!$C$7:$J$84,8))</f>
        <v/>
      </c>
      <c r="E586" s="84" t="str">
        <f>IF(B586="","",VLOOKUP(A586,Journal!$C$7:$L$84,10))</f>
        <v/>
      </c>
      <c r="F586" s="84" t="str">
        <f>IF(B586="","",VLOOKUP(A586,Journal!$C$7:$M$84,11))</f>
        <v/>
      </c>
      <c r="G586" s="102">
        <f>IF(B586="Total",SUM(G$8:G585)+0.0001,IF(OR(B586="",M586=0),0,VLOOKUP(A586,Journal!$C$7:M$84,7)))</f>
        <v>0</v>
      </c>
      <c r="H586" s="102">
        <f>IF(B586="Total",SUM(H$8:H585)+0.0001,IF(OR(B586="",N586=0),0,VLOOKUP(A586,Journal!$C$7:M$84,7)))</f>
        <v>0</v>
      </c>
      <c r="I586" s="87">
        <f t="shared" ref="I586:I649" si="58">IF(B586="Total",I585,IF(B586="",0,I585+G586-H586))</f>
        <v>0</v>
      </c>
      <c r="K586" s="13">
        <f>VLOOKUP(A586,Journal!$C$7:$M$84,4)</f>
        <v>0</v>
      </c>
      <c r="L586" s="13">
        <f>VLOOKUP(A586,Journal!$C$7:$M$84,5)</f>
        <v>0</v>
      </c>
      <c r="M586" s="13">
        <f t="shared" si="54"/>
        <v>0</v>
      </c>
      <c r="N586" s="13">
        <f t="shared" si="55"/>
        <v>0</v>
      </c>
      <c r="O586" s="13"/>
      <c r="P586" s="13">
        <f t="shared" si="56"/>
        <v>1.0000000000000001E-5</v>
      </c>
      <c r="T586" t="str">
        <f t="shared" si="57"/>
        <v/>
      </c>
    </row>
    <row r="587" spans="1:20" x14ac:dyDescent="0.25">
      <c r="A587">
        <f t="shared" ref="A587:A650" si="59">A586+1</f>
        <v>580</v>
      </c>
      <c r="B587" s="88" t="str">
        <f>IF(OR(B586="Total",B586=""),"",IF(VLOOKUP(A587,Journal!$C$7:$E$84,3)=0,"Total",VLOOKUP(A587,Journal!$C$7:$D$84,2)))</f>
        <v/>
      </c>
      <c r="C587" s="86" t="str">
        <f>IF(B587="","",VLOOKUP(A587,Journal!$C$7:$E$84,3))</f>
        <v/>
      </c>
      <c r="D587" s="84" t="str">
        <f>IF(B587="","",VLOOKUP(A587,Journal!$C$7:$J$84,8))</f>
        <v/>
      </c>
      <c r="E587" s="84" t="str">
        <f>IF(B587="","",VLOOKUP(A587,Journal!$C$7:$L$84,10))</f>
        <v/>
      </c>
      <c r="F587" s="84" t="str">
        <f>IF(B587="","",VLOOKUP(A587,Journal!$C$7:$M$84,11))</f>
        <v/>
      </c>
      <c r="G587" s="102">
        <f>IF(B587="Total",SUM(G$8:G586)+0.0001,IF(OR(B587="",M587=0),0,VLOOKUP(A587,Journal!$C$7:M$84,7)))</f>
        <v>0</v>
      </c>
      <c r="H587" s="102">
        <f>IF(B587="Total",SUM(H$8:H586)+0.0001,IF(OR(B587="",N587=0),0,VLOOKUP(A587,Journal!$C$7:M$84,7)))</f>
        <v>0</v>
      </c>
      <c r="I587" s="87">
        <f t="shared" si="58"/>
        <v>0</v>
      </c>
      <c r="K587" s="13">
        <f>VLOOKUP(A587,Journal!$C$7:$M$84,4)</f>
        <v>0</v>
      </c>
      <c r="L587" s="13">
        <f>VLOOKUP(A587,Journal!$C$7:$M$84,5)</f>
        <v>0</v>
      </c>
      <c r="M587" s="13">
        <f t="shared" si="54"/>
        <v>0</v>
      </c>
      <c r="N587" s="13">
        <f t="shared" si="55"/>
        <v>0</v>
      </c>
      <c r="O587" s="13"/>
      <c r="P587" s="13">
        <f t="shared" si="56"/>
        <v>1.0000000000000001E-5</v>
      </c>
      <c r="T587" t="str">
        <f t="shared" si="57"/>
        <v/>
      </c>
    </row>
    <row r="588" spans="1:20" x14ac:dyDescent="0.25">
      <c r="A588">
        <f t="shared" si="59"/>
        <v>581</v>
      </c>
      <c r="B588" s="88" t="str">
        <f>IF(OR(B587="Total",B587=""),"",IF(VLOOKUP(A588,Journal!$C$7:$E$84,3)=0,"Total",VLOOKUP(A588,Journal!$C$7:$D$84,2)))</f>
        <v/>
      </c>
      <c r="C588" s="86" t="str">
        <f>IF(B588="","",VLOOKUP(A588,Journal!$C$7:$E$84,3))</f>
        <v/>
      </c>
      <c r="D588" s="84" t="str">
        <f>IF(B588="","",VLOOKUP(A588,Journal!$C$7:$J$84,8))</f>
        <v/>
      </c>
      <c r="E588" s="84" t="str">
        <f>IF(B588="","",VLOOKUP(A588,Journal!$C$7:$L$84,10))</f>
        <v/>
      </c>
      <c r="F588" s="84" t="str">
        <f>IF(B588="","",VLOOKUP(A588,Journal!$C$7:$M$84,11))</f>
        <v/>
      </c>
      <c r="G588" s="102">
        <f>IF(B588="Total",SUM(G$8:G587)+0.0001,IF(OR(B588="",M588=0),0,VLOOKUP(A588,Journal!$C$7:M$84,7)))</f>
        <v>0</v>
      </c>
      <c r="H588" s="102">
        <f>IF(B588="Total",SUM(H$8:H587)+0.0001,IF(OR(B588="",N588=0),0,VLOOKUP(A588,Journal!$C$7:M$84,7)))</f>
        <v>0</v>
      </c>
      <c r="I588" s="87">
        <f t="shared" si="58"/>
        <v>0</v>
      </c>
      <c r="K588" s="13">
        <f>VLOOKUP(A588,Journal!$C$7:$M$84,4)</f>
        <v>0</v>
      </c>
      <c r="L588" s="13">
        <f>VLOOKUP(A588,Journal!$C$7:$M$84,5)</f>
        <v>0</v>
      </c>
      <c r="M588" s="13">
        <f t="shared" si="54"/>
        <v>0</v>
      </c>
      <c r="N588" s="13">
        <f t="shared" si="55"/>
        <v>0</v>
      </c>
      <c r="O588" s="13"/>
      <c r="P588" s="13">
        <f t="shared" si="56"/>
        <v>1.0000000000000001E-5</v>
      </c>
      <c r="T588" t="str">
        <f t="shared" si="57"/>
        <v/>
      </c>
    </row>
    <row r="589" spans="1:20" x14ac:dyDescent="0.25">
      <c r="A589">
        <f t="shared" si="59"/>
        <v>582</v>
      </c>
      <c r="B589" s="88" t="str">
        <f>IF(OR(B588="Total",B588=""),"",IF(VLOOKUP(A589,Journal!$C$7:$E$84,3)=0,"Total",VLOOKUP(A589,Journal!$C$7:$D$84,2)))</f>
        <v/>
      </c>
      <c r="C589" s="86" t="str">
        <f>IF(B589="","",VLOOKUP(A589,Journal!$C$7:$E$84,3))</f>
        <v/>
      </c>
      <c r="D589" s="84" t="str">
        <f>IF(B589="","",VLOOKUP(A589,Journal!$C$7:$J$84,8))</f>
        <v/>
      </c>
      <c r="E589" s="84" t="str">
        <f>IF(B589="","",VLOOKUP(A589,Journal!$C$7:$L$84,10))</f>
        <v/>
      </c>
      <c r="F589" s="84" t="str">
        <f>IF(B589="","",VLOOKUP(A589,Journal!$C$7:$M$84,11))</f>
        <v/>
      </c>
      <c r="G589" s="102">
        <f>IF(B589="Total",SUM(G$8:G588)+0.0001,IF(OR(B589="",M589=0),0,VLOOKUP(A589,Journal!$C$7:M$84,7)))</f>
        <v>0</v>
      </c>
      <c r="H589" s="102">
        <f>IF(B589="Total",SUM(H$8:H588)+0.0001,IF(OR(B589="",N589=0),0,VLOOKUP(A589,Journal!$C$7:M$84,7)))</f>
        <v>0</v>
      </c>
      <c r="I589" s="87">
        <f t="shared" si="58"/>
        <v>0</v>
      </c>
      <c r="K589" s="13">
        <f>VLOOKUP(A589,Journal!$C$7:$M$84,4)</f>
        <v>0</v>
      </c>
      <c r="L589" s="13">
        <f>VLOOKUP(A589,Journal!$C$7:$M$84,5)</f>
        <v>0</v>
      </c>
      <c r="M589" s="13">
        <f t="shared" si="54"/>
        <v>0</v>
      </c>
      <c r="N589" s="13">
        <f t="shared" si="55"/>
        <v>0</v>
      </c>
      <c r="O589" s="13"/>
      <c r="P589" s="13">
        <f t="shared" si="56"/>
        <v>1.0000000000000001E-5</v>
      </c>
      <c r="T589" t="str">
        <f t="shared" si="57"/>
        <v/>
      </c>
    </row>
    <row r="590" spans="1:20" x14ac:dyDescent="0.25">
      <c r="A590">
        <f t="shared" si="59"/>
        <v>583</v>
      </c>
      <c r="B590" s="88" t="str">
        <f>IF(OR(B589="Total",B589=""),"",IF(VLOOKUP(A590,Journal!$C$7:$E$84,3)=0,"Total",VLOOKUP(A590,Journal!$C$7:$D$84,2)))</f>
        <v/>
      </c>
      <c r="C590" s="86" t="str">
        <f>IF(B590="","",VLOOKUP(A590,Journal!$C$7:$E$84,3))</f>
        <v/>
      </c>
      <c r="D590" s="84" t="str">
        <f>IF(B590="","",VLOOKUP(A590,Journal!$C$7:$J$84,8))</f>
        <v/>
      </c>
      <c r="E590" s="84" t="str">
        <f>IF(B590="","",VLOOKUP(A590,Journal!$C$7:$L$84,10))</f>
        <v/>
      </c>
      <c r="F590" s="84" t="str">
        <f>IF(B590="","",VLOOKUP(A590,Journal!$C$7:$M$84,11))</f>
        <v/>
      </c>
      <c r="G590" s="102">
        <f>IF(B590="Total",SUM(G$8:G589)+0.0001,IF(OR(B590="",M590=0),0,VLOOKUP(A590,Journal!$C$7:M$84,7)))</f>
        <v>0</v>
      </c>
      <c r="H590" s="102">
        <f>IF(B590="Total",SUM(H$8:H589)+0.0001,IF(OR(B590="",N590=0),0,VLOOKUP(A590,Journal!$C$7:M$84,7)))</f>
        <v>0</v>
      </c>
      <c r="I590" s="87">
        <f t="shared" si="58"/>
        <v>0</v>
      </c>
      <c r="K590" s="13">
        <f>VLOOKUP(A590,Journal!$C$7:$M$84,4)</f>
        <v>0</v>
      </c>
      <c r="L590" s="13">
        <f>VLOOKUP(A590,Journal!$C$7:$M$84,5)</f>
        <v>0</v>
      </c>
      <c r="M590" s="13">
        <f t="shared" si="54"/>
        <v>0</v>
      </c>
      <c r="N590" s="13">
        <f t="shared" si="55"/>
        <v>0</v>
      </c>
      <c r="O590" s="13"/>
      <c r="P590" s="13">
        <f t="shared" si="56"/>
        <v>1.0000000000000001E-5</v>
      </c>
      <c r="T590" t="str">
        <f t="shared" si="57"/>
        <v/>
      </c>
    </row>
    <row r="591" spans="1:20" x14ac:dyDescent="0.25">
      <c r="A591">
        <f t="shared" si="59"/>
        <v>584</v>
      </c>
      <c r="B591" s="88" t="str">
        <f>IF(OR(B590="Total",B590=""),"",IF(VLOOKUP(A591,Journal!$C$7:$E$84,3)=0,"Total",VLOOKUP(A591,Journal!$C$7:$D$84,2)))</f>
        <v/>
      </c>
      <c r="C591" s="86" t="str">
        <f>IF(B591="","",VLOOKUP(A591,Journal!$C$7:$E$84,3))</f>
        <v/>
      </c>
      <c r="D591" s="84" t="str">
        <f>IF(B591="","",VLOOKUP(A591,Journal!$C$7:$J$84,8))</f>
        <v/>
      </c>
      <c r="E591" s="84" t="str">
        <f>IF(B591="","",VLOOKUP(A591,Journal!$C$7:$L$84,10))</f>
        <v/>
      </c>
      <c r="F591" s="84" t="str">
        <f>IF(B591="","",VLOOKUP(A591,Journal!$C$7:$M$84,11))</f>
        <v/>
      </c>
      <c r="G591" s="102">
        <f>IF(B591="Total",SUM(G$8:G590)+0.0001,IF(OR(B591="",M591=0),0,VLOOKUP(A591,Journal!$C$7:M$84,7)))</f>
        <v>0</v>
      </c>
      <c r="H591" s="102">
        <f>IF(B591="Total",SUM(H$8:H590)+0.0001,IF(OR(B591="",N591=0),0,VLOOKUP(A591,Journal!$C$7:M$84,7)))</f>
        <v>0</v>
      </c>
      <c r="I591" s="87">
        <f t="shared" si="58"/>
        <v>0</v>
      </c>
      <c r="K591" s="13">
        <f>VLOOKUP(A591,Journal!$C$7:$M$84,4)</f>
        <v>0</v>
      </c>
      <c r="L591" s="13">
        <f>VLOOKUP(A591,Journal!$C$7:$M$84,5)</f>
        <v>0</v>
      </c>
      <c r="M591" s="13">
        <f t="shared" si="54"/>
        <v>0</v>
      </c>
      <c r="N591" s="13">
        <f t="shared" si="55"/>
        <v>0</v>
      </c>
      <c r="O591" s="13"/>
      <c r="P591" s="13">
        <f t="shared" si="56"/>
        <v>1.0000000000000001E-5</v>
      </c>
      <c r="T591" t="str">
        <f t="shared" si="57"/>
        <v/>
      </c>
    </row>
    <row r="592" spans="1:20" x14ac:dyDescent="0.25">
      <c r="A592">
        <f t="shared" si="59"/>
        <v>585</v>
      </c>
      <c r="B592" s="88" t="str">
        <f>IF(OR(B591="Total",B591=""),"",IF(VLOOKUP(A592,Journal!$C$7:$E$84,3)=0,"Total",VLOOKUP(A592,Journal!$C$7:$D$84,2)))</f>
        <v/>
      </c>
      <c r="C592" s="86" t="str">
        <f>IF(B592="","",VLOOKUP(A592,Journal!$C$7:$E$84,3))</f>
        <v/>
      </c>
      <c r="D592" s="84" t="str">
        <f>IF(B592="","",VLOOKUP(A592,Journal!$C$7:$J$84,8))</f>
        <v/>
      </c>
      <c r="E592" s="84" t="str">
        <f>IF(B592="","",VLOOKUP(A592,Journal!$C$7:$L$84,10))</f>
        <v/>
      </c>
      <c r="F592" s="84" t="str">
        <f>IF(B592="","",VLOOKUP(A592,Journal!$C$7:$M$84,11))</f>
        <v/>
      </c>
      <c r="G592" s="102">
        <f>IF(B592="Total",SUM(G$8:G591)+0.0001,IF(OR(B592="",M592=0),0,VLOOKUP(A592,Journal!$C$7:M$84,7)))</f>
        <v>0</v>
      </c>
      <c r="H592" s="102">
        <f>IF(B592="Total",SUM(H$8:H591)+0.0001,IF(OR(B592="",N592=0),0,VLOOKUP(A592,Journal!$C$7:M$84,7)))</f>
        <v>0</v>
      </c>
      <c r="I592" s="87">
        <f t="shared" si="58"/>
        <v>0</v>
      </c>
      <c r="K592" s="13">
        <f>VLOOKUP(A592,Journal!$C$7:$M$84,4)</f>
        <v>0</v>
      </c>
      <c r="L592" s="13">
        <f>VLOOKUP(A592,Journal!$C$7:$M$84,5)</f>
        <v>0</v>
      </c>
      <c r="M592" s="13">
        <f t="shared" si="54"/>
        <v>0</v>
      </c>
      <c r="N592" s="13">
        <f t="shared" si="55"/>
        <v>0</v>
      </c>
      <c r="O592" s="13"/>
      <c r="P592" s="13">
        <f t="shared" si="56"/>
        <v>1.0000000000000001E-5</v>
      </c>
      <c r="T592" t="str">
        <f t="shared" si="57"/>
        <v/>
      </c>
    </row>
    <row r="593" spans="1:20" x14ac:dyDescent="0.25">
      <c r="A593">
        <f t="shared" si="59"/>
        <v>586</v>
      </c>
      <c r="B593" s="88" t="str">
        <f>IF(OR(B592="Total",B592=""),"",IF(VLOOKUP(A593,Journal!$C$7:$E$84,3)=0,"Total",VLOOKUP(A593,Journal!$C$7:$D$84,2)))</f>
        <v/>
      </c>
      <c r="C593" s="86" t="str">
        <f>IF(B593="","",VLOOKUP(A593,Journal!$C$7:$E$84,3))</f>
        <v/>
      </c>
      <c r="D593" s="84" t="str">
        <f>IF(B593="","",VLOOKUP(A593,Journal!$C$7:$J$84,8))</f>
        <v/>
      </c>
      <c r="E593" s="84" t="str">
        <f>IF(B593="","",VLOOKUP(A593,Journal!$C$7:$L$84,10))</f>
        <v/>
      </c>
      <c r="F593" s="84" t="str">
        <f>IF(B593="","",VLOOKUP(A593,Journal!$C$7:$M$84,11))</f>
        <v/>
      </c>
      <c r="G593" s="102">
        <f>IF(B593="Total",SUM(G$8:G592)+0.0001,IF(OR(B593="",M593=0),0,VLOOKUP(A593,Journal!$C$7:M$84,7)))</f>
        <v>0</v>
      </c>
      <c r="H593" s="102">
        <f>IF(B593="Total",SUM(H$8:H592)+0.0001,IF(OR(B593="",N593=0),0,VLOOKUP(A593,Journal!$C$7:M$84,7)))</f>
        <v>0</v>
      </c>
      <c r="I593" s="87">
        <f t="shared" si="58"/>
        <v>0</v>
      </c>
      <c r="K593" s="13">
        <f>VLOOKUP(A593,Journal!$C$7:$M$84,4)</f>
        <v>0</v>
      </c>
      <c r="L593" s="13">
        <f>VLOOKUP(A593,Journal!$C$7:$M$84,5)</f>
        <v>0</v>
      </c>
      <c r="M593" s="13">
        <f t="shared" si="54"/>
        <v>0</v>
      </c>
      <c r="N593" s="13">
        <f t="shared" si="55"/>
        <v>0</v>
      </c>
      <c r="O593" s="13"/>
      <c r="P593" s="13">
        <f t="shared" si="56"/>
        <v>1.0000000000000001E-5</v>
      </c>
      <c r="T593" t="str">
        <f t="shared" si="57"/>
        <v/>
      </c>
    </row>
    <row r="594" spans="1:20" x14ac:dyDescent="0.25">
      <c r="A594">
        <f t="shared" si="59"/>
        <v>587</v>
      </c>
      <c r="B594" s="88" t="str">
        <f>IF(OR(B593="Total",B593=""),"",IF(VLOOKUP(A594,Journal!$C$7:$E$84,3)=0,"Total",VLOOKUP(A594,Journal!$C$7:$D$84,2)))</f>
        <v/>
      </c>
      <c r="C594" s="86" t="str">
        <f>IF(B594="","",VLOOKUP(A594,Journal!$C$7:$E$84,3))</f>
        <v/>
      </c>
      <c r="D594" s="84" t="str">
        <f>IF(B594="","",VLOOKUP(A594,Journal!$C$7:$J$84,8))</f>
        <v/>
      </c>
      <c r="E594" s="84" t="str">
        <f>IF(B594="","",VLOOKUP(A594,Journal!$C$7:$L$84,10))</f>
        <v/>
      </c>
      <c r="F594" s="84" t="str">
        <f>IF(B594="","",VLOOKUP(A594,Journal!$C$7:$M$84,11))</f>
        <v/>
      </c>
      <c r="G594" s="102">
        <f>IF(B594="Total",SUM(G$8:G593)+0.0001,IF(OR(B594="",M594=0),0,VLOOKUP(A594,Journal!$C$7:M$84,7)))</f>
        <v>0</v>
      </c>
      <c r="H594" s="102">
        <f>IF(B594="Total",SUM(H$8:H593)+0.0001,IF(OR(B594="",N594=0),0,VLOOKUP(A594,Journal!$C$7:M$84,7)))</f>
        <v>0</v>
      </c>
      <c r="I594" s="87">
        <f t="shared" si="58"/>
        <v>0</v>
      </c>
      <c r="K594" s="13">
        <f>VLOOKUP(A594,Journal!$C$7:$M$84,4)</f>
        <v>0</v>
      </c>
      <c r="L594" s="13">
        <f>VLOOKUP(A594,Journal!$C$7:$M$84,5)</f>
        <v>0</v>
      </c>
      <c r="M594" s="13">
        <f t="shared" si="54"/>
        <v>0</v>
      </c>
      <c r="N594" s="13">
        <f t="shared" si="55"/>
        <v>0</v>
      </c>
      <c r="O594" s="13"/>
      <c r="P594" s="13">
        <f t="shared" si="56"/>
        <v>1.0000000000000001E-5</v>
      </c>
      <c r="T594" t="str">
        <f t="shared" si="57"/>
        <v/>
      </c>
    </row>
    <row r="595" spans="1:20" x14ac:dyDescent="0.25">
      <c r="A595">
        <f t="shared" si="59"/>
        <v>588</v>
      </c>
      <c r="B595" s="88" t="str">
        <f>IF(OR(B594="Total",B594=""),"",IF(VLOOKUP(A595,Journal!$C$7:$E$84,3)=0,"Total",VLOOKUP(A595,Journal!$C$7:$D$84,2)))</f>
        <v/>
      </c>
      <c r="C595" s="86" t="str">
        <f>IF(B595="","",VLOOKUP(A595,Journal!$C$7:$E$84,3))</f>
        <v/>
      </c>
      <c r="D595" s="84" t="str">
        <f>IF(B595="","",VLOOKUP(A595,Journal!$C$7:$J$84,8))</f>
        <v/>
      </c>
      <c r="E595" s="84" t="str">
        <f>IF(B595="","",VLOOKUP(A595,Journal!$C$7:$L$84,10))</f>
        <v/>
      </c>
      <c r="F595" s="84" t="str">
        <f>IF(B595="","",VLOOKUP(A595,Journal!$C$7:$M$84,11))</f>
        <v/>
      </c>
      <c r="G595" s="102">
        <f>IF(B595="Total",SUM(G$8:G594)+0.0001,IF(OR(B595="",M595=0),0,VLOOKUP(A595,Journal!$C$7:M$84,7)))</f>
        <v>0</v>
      </c>
      <c r="H595" s="102">
        <f>IF(B595="Total",SUM(H$8:H594)+0.0001,IF(OR(B595="",N595=0),0,VLOOKUP(A595,Journal!$C$7:M$84,7)))</f>
        <v>0</v>
      </c>
      <c r="I595" s="87">
        <f t="shared" si="58"/>
        <v>0</v>
      </c>
      <c r="K595" s="13">
        <f>VLOOKUP(A595,Journal!$C$7:$M$84,4)</f>
        <v>0</v>
      </c>
      <c r="L595" s="13">
        <f>VLOOKUP(A595,Journal!$C$7:$M$84,5)</f>
        <v>0</v>
      </c>
      <c r="M595" s="13">
        <f t="shared" si="54"/>
        <v>0</v>
      </c>
      <c r="N595" s="13">
        <f t="shared" si="55"/>
        <v>0</v>
      </c>
      <c r="O595" s="13"/>
      <c r="P595" s="13">
        <f t="shared" si="56"/>
        <v>1.0000000000000001E-5</v>
      </c>
      <c r="T595" t="str">
        <f t="shared" si="57"/>
        <v/>
      </c>
    </row>
    <row r="596" spans="1:20" x14ac:dyDescent="0.25">
      <c r="A596">
        <f t="shared" si="59"/>
        <v>589</v>
      </c>
      <c r="B596" s="88" t="str">
        <f>IF(OR(B595="Total",B595=""),"",IF(VLOOKUP(A596,Journal!$C$7:$E$84,3)=0,"Total",VLOOKUP(A596,Journal!$C$7:$D$84,2)))</f>
        <v/>
      </c>
      <c r="C596" s="86" t="str">
        <f>IF(B596="","",VLOOKUP(A596,Journal!$C$7:$E$84,3))</f>
        <v/>
      </c>
      <c r="D596" s="84" t="str">
        <f>IF(B596="","",VLOOKUP(A596,Journal!$C$7:$J$84,8))</f>
        <v/>
      </c>
      <c r="E596" s="84" t="str">
        <f>IF(B596="","",VLOOKUP(A596,Journal!$C$7:$L$84,10))</f>
        <v/>
      </c>
      <c r="F596" s="84" t="str">
        <f>IF(B596="","",VLOOKUP(A596,Journal!$C$7:$M$84,11))</f>
        <v/>
      </c>
      <c r="G596" s="102">
        <f>IF(B596="Total",SUM(G$8:G595)+0.0001,IF(OR(B596="",M596=0),0,VLOOKUP(A596,Journal!$C$7:M$84,7)))</f>
        <v>0</v>
      </c>
      <c r="H596" s="102">
        <f>IF(B596="Total",SUM(H$8:H595)+0.0001,IF(OR(B596="",N596=0),0,VLOOKUP(A596,Journal!$C$7:M$84,7)))</f>
        <v>0</v>
      </c>
      <c r="I596" s="87">
        <f t="shared" si="58"/>
        <v>0</v>
      </c>
      <c r="K596" s="13">
        <f>VLOOKUP(A596,Journal!$C$7:$M$84,4)</f>
        <v>0</v>
      </c>
      <c r="L596" s="13">
        <f>VLOOKUP(A596,Journal!$C$7:$M$84,5)</f>
        <v>0</v>
      </c>
      <c r="M596" s="13">
        <f t="shared" si="54"/>
        <v>0</v>
      </c>
      <c r="N596" s="13">
        <f t="shared" si="55"/>
        <v>0</v>
      </c>
      <c r="O596" s="13"/>
      <c r="P596" s="13">
        <f t="shared" si="56"/>
        <v>1.0000000000000001E-5</v>
      </c>
      <c r="T596" t="str">
        <f t="shared" si="57"/>
        <v/>
      </c>
    </row>
    <row r="597" spans="1:20" x14ac:dyDescent="0.25">
      <c r="A597">
        <f t="shared" si="59"/>
        <v>590</v>
      </c>
      <c r="B597" s="88" t="str">
        <f>IF(OR(B596="Total",B596=""),"",IF(VLOOKUP(A597,Journal!$C$7:$E$84,3)=0,"Total",VLOOKUP(A597,Journal!$C$7:$D$84,2)))</f>
        <v/>
      </c>
      <c r="C597" s="86" t="str">
        <f>IF(B597="","",VLOOKUP(A597,Journal!$C$7:$E$84,3))</f>
        <v/>
      </c>
      <c r="D597" s="84" t="str">
        <f>IF(B597="","",VLOOKUP(A597,Journal!$C$7:$J$84,8))</f>
        <v/>
      </c>
      <c r="E597" s="84" t="str">
        <f>IF(B597="","",VLOOKUP(A597,Journal!$C$7:$L$84,10))</f>
        <v/>
      </c>
      <c r="F597" s="84" t="str">
        <f>IF(B597="","",VLOOKUP(A597,Journal!$C$7:$M$84,11))</f>
        <v/>
      </c>
      <c r="G597" s="102">
        <f>IF(B597="Total",SUM(G$8:G596)+0.0001,IF(OR(B597="",M597=0),0,VLOOKUP(A597,Journal!$C$7:M$84,7)))</f>
        <v>0</v>
      </c>
      <c r="H597" s="102">
        <f>IF(B597="Total",SUM(H$8:H596)+0.0001,IF(OR(B597="",N597=0),0,VLOOKUP(A597,Journal!$C$7:M$84,7)))</f>
        <v>0</v>
      </c>
      <c r="I597" s="87">
        <f t="shared" si="58"/>
        <v>0</v>
      </c>
      <c r="K597" s="13">
        <f>VLOOKUP(A597,Journal!$C$7:$M$84,4)</f>
        <v>0</v>
      </c>
      <c r="L597" s="13">
        <f>VLOOKUP(A597,Journal!$C$7:$M$84,5)</f>
        <v>0</v>
      </c>
      <c r="M597" s="13">
        <f t="shared" si="54"/>
        <v>0</v>
      </c>
      <c r="N597" s="13">
        <f t="shared" si="55"/>
        <v>0</v>
      </c>
      <c r="O597" s="13"/>
      <c r="P597" s="13">
        <f t="shared" si="56"/>
        <v>1.0000000000000001E-5</v>
      </c>
      <c r="T597" t="str">
        <f t="shared" si="57"/>
        <v/>
      </c>
    </row>
    <row r="598" spans="1:20" x14ac:dyDescent="0.25">
      <c r="A598">
        <f t="shared" si="59"/>
        <v>591</v>
      </c>
      <c r="B598" s="88" t="str">
        <f>IF(OR(B597="Total",B597=""),"",IF(VLOOKUP(A598,Journal!$C$7:$E$84,3)=0,"Total",VLOOKUP(A598,Journal!$C$7:$D$84,2)))</f>
        <v/>
      </c>
      <c r="C598" s="86" t="str">
        <f>IF(B598="","",VLOOKUP(A598,Journal!$C$7:$E$84,3))</f>
        <v/>
      </c>
      <c r="D598" s="84" t="str">
        <f>IF(B598="","",VLOOKUP(A598,Journal!$C$7:$J$84,8))</f>
        <v/>
      </c>
      <c r="E598" s="84" t="str">
        <f>IF(B598="","",VLOOKUP(A598,Journal!$C$7:$L$84,10))</f>
        <v/>
      </c>
      <c r="F598" s="84" t="str">
        <f>IF(B598="","",VLOOKUP(A598,Journal!$C$7:$M$84,11))</f>
        <v/>
      </c>
      <c r="G598" s="102">
        <f>IF(B598="Total",SUM(G$8:G597)+0.0001,IF(OR(B598="",M598=0),0,VLOOKUP(A598,Journal!$C$7:M$84,7)))</f>
        <v>0</v>
      </c>
      <c r="H598" s="102">
        <f>IF(B598="Total",SUM(H$8:H597)+0.0001,IF(OR(B598="",N598=0),0,VLOOKUP(A598,Journal!$C$7:M$84,7)))</f>
        <v>0</v>
      </c>
      <c r="I598" s="87">
        <f t="shared" si="58"/>
        <v>0</v>
      </c>
      <c r="K598" s="13">
        <f>VLOOKUP(A598,Journal!$C$7:$M$84,4)</f>
        <v>0</v>
      </c>
      <c r="L598" s="13">
        <f>VLOOKUP(A598,Journal!$C$7:$M$84,5)</f>
        <v>0</v>
      </c>
      <c r="M598" s="13">
        <f t="shared" si="54"/>
        <v>0</v>
      </c>
      <c r="N598" s="13">
        <f t="shared" si="55"/>
        <v>0</v>
      </c>
      <c r="O598" s="13"/>
      <c r="P598" s="13">
        <f t="shared" si="56"/>
        <v>1.0000000000000001E-5</v>
      </c>
      <c r="T598" t="str">
        <f t="shared" si="57"/>
        <v/>
      </c>
    </row>
    <row r="599" spans="1:20" x14ac:dyDescent="0.25">
      <c r="A599">
        <f t="shared" si="59"/>
        <v>592</v>
      </c>
      <c r="B599" s="88" t="str">
        <f>IF(OR(B598="Total",B598=""),"",IF(VLOOKUP(A599,Journal!$C$7:$E$84,3)=0,"Total",VLOOKUP(A599,Journal!$C$7:$D$84,2)))</f>
        <v/>
      </c>
      <c r="C599" s="86" t="str">
        <f>IF(B599="","",VLOOKUP(A599,Journal!$C$7:$E$84,3))</f>
        <v/>
      </c>
      <c r="D599" s="84" t="str">
        <f>IF(B599="","",VLOOKUP(A599,Journal!$C$7:$J$84,8))</f>
        <v/>
      </c>
      <c r="E599" s="84" t="str">
        <f>IF(B599="","",VLOOKUP(A599,Journal!$C$7:$L$84,10))</f>
        <v/>
      </c>
      <c r="F599" s="84" t="str">
        <f>IF(B599="","",VLOOKUP(A599,Journal!$C$7:$M$84,11))</f>
        <v/>
      </c>
      <c r="G599" s="102">
        <f>IF(B599="Total",SUM(G$8:G598)+0.0001,IF(OR(B599="",M599=0),0,VLOOKUP(A599,Journal!$C$7:M$84,7)))</f>
        <v>0</v>
      </c>
      <c r="H599" s="102">
        <f>IF(B599="Total",SUM(H$8:H598)+0.0001,IF(OR(B599="",N599=0),0,VLOOKUP(A599,Journal!$C$7:M$84,7)))</f>
        <v>0</v>
      </c>
      <c r="I599" s="87">
        <f t="shared" si="58"/>
        <v>0</v>
      </c>
      <c r="K599" s="13">
        <f>VLOOKUP(A599,Journal!$C$7:$M$84,4)</f>
        <v>0</v>
      </c>
      <c r="L599" s="13">
        <f>VLOOKUP(A599,Journal!$C$7:$M$84,5)</f>
        <v>0</v>
      </c>
      <c r="M599" s="13">
        <f t="shared" si="54"/>
        <v>0</v>
      </c>
      <c r="N599" s="13">
        <f t="shared" si="55"/>
        <v>0</v>
      </c>
      <c r="O599" s="13"/>
      <c r="P599" s="13">
        <f t="shared" si="56"/>
        <v>1.0000000000000001E-5</v>
      </c>
      <c r="T599" t="str">
        <f t="shared" si="57"/>
        <v/>
      </c>
    </row>
    <row r="600" spans="1:20" x14ac:dyDescent="0.25">
      <c r="A600">
        <f t="shared" si="59"/>
        <v>593</v>
      </c>
      <c r="B600" s="88" t="str">
        <f>IF(OR(B599="Total",B599=""),"",IF(VLOOKUP(A600,Journal!$C$7:$E$84,3)=0,"Total",VLOOKUP(A600,Journal!$C$7:$D$84,2)))</f>
        <v/>
      </c>
      <c r="C600" s="86" t="str">
        <f>IF(B600="","",VLOOKUP(A600,Journal!$C$7:$E$84,3))</f>
        <v/>
      </c>
      <c r="D600" s="84" t="str">
        <f>IF(B600="","",VLOOKUP(A600,Journal!$C$7:$J$84,8))</f>
        <v/>
      </c>
      <c r="E600" s="84" t="str">
        <f>IF(B600="","",VLOOKUP(A600,Journal!$C$7:$L$84,10))</f>
        <v/>
      </c>
      <c r="F600" s="84" t="str">
        <f>IF(B600="","",VLOOKUP(A600,Journal!$C$7:$M$84,11))</f>
        <v/>
      </c>
      <c r="G600" s="102">
        <f>IF(B600="Total",SUM(G$8:G599)+0.0001,IF(OR(B600="",M600=0),0,VLOOKUP(A600,Journal!$C$7:M$84,7)))</f>
        <v>0</v>
      </c>
      <c r="H600" s="102">
        <f>IF(B600="Total",SUM(H$8:H599)+0.0001,IF(OR(B600="",N600=0),0,VLOOKUP(A600,Journal!$C$7:M$84,7)))</f>
        <v>0</v>
      </c>
      <c r="I600" s="87">
        <f t="shared" si="58"/>
        <v>0</v>
      </c>
      <c r="K600" s="13">
        <f>VLOOKUP(A600,Journal!$C$7:$M$84,4)</f>
        <v>0</v>
      </c>
      <c r="L600" s="13">
        <f>VLOOKUP(A600,Journal!$C$7:$M$84,5)</f>
        <v>0</v>
      </c>
      <c r="M600" s="13">
        <f t="shared" si="54"/>
        <v>0</v>
      </c>
      <c r="N600" s="13">
        <f t="shared" si="55"/>
        <v>0</v>
      </c>
      <c r="O600" s="13"/>
      <c r="P600" s="13">
        <f t="shared" si="56"/>
        <v>1.0000000000000001E-5</v>
      </c>
      <c r="T600" t="str">
        <f t="shared" si="57"/>
        <v/>
      </c>
    </row>
    <row r="601" spans="1:20" x14ac:dyDescent="0.25">
      <c r="A601">
        <f t="shared" si="59"/>
        <v>594</v>
      </c>
      <c r="B601" s="88" t="str">
        <f>IF(OR(B600="Total",B600=""),"",IF(VLOOKUP(A601,Journal!$C$7:$E$84,3)=0,"Total",VLOOKUP(A601,Journal!$C$7:$D$84,2)))</f>
        <v/>
      </c>
      <c r="C601" s="86" t="str">
        <f>IF(B601="","",VLOOKUP(A601,Journal!$C$7:$E$84,3))</f>
        <v/>
      </c>
      <c r="D601" s="84" t="str">
        <f>IF(B601="","",VLOOKUP(A601,Journal!$C$7:$J$84,8))</f>
        <v/>
      </c>
      <c r="E601" s="84" t="str">
        <f>IF(B601="","",VLOOKUP(A601,Journal!$C$7:$L$84,10))</f>
        <v/>
      </c>
      <c r="F601" s="84" t="str">
        <f>IF(B601="","",VLOOKUP(A601,Journal!$C$7:$M$84,11))</f>
        <v/>
      </c>
      <c r="G601" s="102">
        <f>IF(B601="Total",SUM(G$8:G600)+0.0001,IF(OR(B601="",M601=0),0,VLOOKUP(A601,Journal!$C$7:M$84,7)))</f>
        <v>0</v>
      </c>
      <c r="H601" s="102">
        <f>IF(B601="Total",SUM(H$8:H600)+0.0001,IF(OR(B601="",N601=0),0,VLOOKUP(A601,Journal!$C$7:M$84,7)))</f>
        <v>0</v>
      </c>
      <c r="I601" s="87">
        <f t="shared" si="58"/>
        <v>0</v>
      </c>
      <c r="K601" s="13">
        <f>VLOOKUP(A601,Journal!$C$7:$M$84,4)</f>
        <v>0</v>
      </c>
      <c r="L601" s="13">
        <f>VLOOKUP(A601,Journal!$C$7:$M$84,5)</f>
        <v>0</v>
      </c>
      <c r="M601" s="13">
        <f t="shared" ref="M601:M664" si="60">IF(AND(L601&gt;=$F$1,L601&lt;9999),1,0)</f>
        <v>0</v>
      </c>
      <c r="N601" s="13">
        <f t="shared" ref="N601:N664" si="61">IF(AND(K601&gt;=$F$1,K601&lt;9999),1,0)</f>
        <v>0</v>
      </c>
      <c r="O601" s="13"/>
      <c r="P601" s="13">
        <f t="shared" ref="P601:P664" si="62">IF(I600=I601,I600+0.00001,I601)</f>
        <v>1.0000000000000001E-5</v>
      </c>
      <c r="T601" t="str">
        <f t="shared" si="57"/>
        <v/>
      </c>
    </row>
    <row r="602" spans="1:20" x14ac:dyDescent="0.25">
      <c r="A602">
        <f t="shared" si="59"/>
        <v>595</v>
      </c>
      <c r="B602" s="88" t="str">
        <f>IF(OR(B601="Total",B601=""),"",IF(VLOOKUP(A602,Journal!$C$7:$E$84,3)=0,"Total",VLOOKUP(A602,Journal!$C$7:$D$84,2)))</f>
        <v/>
      </c>
      <c r="C602" s="86" t="str">
        <f>IF(B602="","",VLOOKUP(A602,Journal!$C$7:$E$84,3))</f>
        <v/>
      </c>
      <c r="D602" s="84" t="str">
        <f>IF(B602="","",VLOOKUP(A602,Journal!$C$7:$J$84,8))</f>
        <v/>
      </c>
      <c r="E602" s="84" t="str">
        <f>IF(B602="","",VLOOKUP(A602,Journal!$C$7:$L$84,10))</f>
        <v/>
      </c>
      <c r="F602" s="84" t="str">
        <f>IF(B602="","",VLOOKUP(A602,Journal!$C$7:$M$84,11))</f>
        <v/>
      </c>
      <c r="G602" s="102">
        <f>IF(B602="Total",SUM(G$8:G601)+0.0001,IF(OR(B602="",M602=0),0,VLOOKUP(A602,Journal!$C$7:M$84,7)))</f>
        <v>0</v>
      </c>
      <c r="H602" s="102">
        <f>IF(B602="Total",SUM(H$8:H601)+0.0001,IF(OR(B602="",N602=0),0,VLOOKUP(A602,Journal!$C$7:M$84,7)))</f>
        <v>0</v>
      </c>
      <c r="I602" s="87">
        <f t="shared" si="58"/>
        <v>0</v>
      </c>
      <c r="K602" s="13">
        <f>VLOOKUP(A602,Journal!$C$7:$M$84,4)</f>
        <v>0</v>
      </c>
      <c r="L602" s="13">
        <f>VLOOKUP(A602,Journal!$C$7:$M$84,5)</f>
        <v>0</v>
      </c>
      <c r="M602" s="13">
        <f t="shared" si="60"/>
        <v>0</v>
      </c>
      <c r="N602" s="13">
        <f t="shared" si="61"/>
        <v>0</v>
      </c>
      <c r="O602" s="13"/>
      <c r="P602" s="13">
        <f t="shared" si="62"/>
        <v>1.0000000000000001E-5</v>
      </c>
      <c r="T602" t="str">
        <f t="shared" si="57"/>
        <v/>
      </c>
    </row>
    <row r="603" spans="1:20" x14ac:dyDescent="0.25">
      <c r="A603">
        <f t="shared" si="59"/>
        <v>596</v>
      </c>
      <c r="B603" s="88" t="str">
        <f>IF(OR(B602="Total",B602=""),"",IF(VLOOKUP(A603,Journal!$C$7:$E$84,3)=0,"Total",VLOOKUP(A603,Journal!$C$7:$D$84,2)))</f>
        <v/>
      </c>
      <c r="C603" s="86" t="str">
        <f>IF(B603="","",VLOOKUP(A603,Journal!$C$7:$E$84,3))</f>
        <v/>
      </c>
      <c r="D603" s="84" t="str">
        <f>IF(B603="","",VLOOKUP(A603,Journal!$C$7:$J$84,8))</f>
        <v/>
      </c>
      <c r="E603" s="84" t="str">
        <f>IF(B603="","",VLOOKUP(A603,Journal!$C$7:$L$84,10))</f>
        <v/>
      </c>
      <c r="F603" s="84" t="str">
        <f>IF(B603="","",VLOOKUP(A603,Journal!$C$7:$M$84,11))</f>
        <v/>
      </c>
      <c r="G603" s="102">
        <f>IF(B603="Total",SUM(G$8:G602)+0.0001,IF(OR(B603="",M603=0),0,VLOOKUP(A603,Journal!$C$7:M$84,7)))</f>
        <v>0</v>
      </c>
      <c r="H603" s="102">
        <f>IF(B603="Total",SUM(H$8:H602)+0.0001,IF(OR(B603="",N603=0),0,VLOOKUP(A603,Journal!$C$7:M$84,7)))</f>
        <v>0</v>
      </c>
      <c r="I603" s="87">
        <f t="shared" si="58"/>
        <v>0</v>
      </c>
      <c r="K603" s="13">
        <f>VLOOKUP(A603,Journal!$C$7:$M$84,4)</f>
        <v>0</v>
      </c>
      <c r="L603" s="13">
        <f>VLOOKUP(A603,Journal!$C$7:$M$84,5)</f>
        <v>0</v>
      </c>
      <c r="M603" s="13">
        <f t="shared" si="60"/>
        <v>0</v>
      </c>
      <c r="N603" s="13">
        <f t="shared" si="61"/>
        <v>0</v>
      </c>
      <c r="O603" s="13"/>
      <c r="P603" s="13">
        <f t="shared" si="62"/>
        <v>1.0000000000000001E-5</v>
      </c>
      <c r="T603" t="str">
        <f t="shared" si="57"/>
        <v/>
      </c>
    </row>
    <row r="604" spans="1:20" x14ac:dyDescent="0.25">
      <c r="A604">
        <f t="shared" si="59"/>
        <v>597</v>
      </c>
      <c r="B604" s="88" t="str">
        <f>IF(OR(B603="Total",B603=""),"",IF(VLOOKUP(A604,Journal!$C$7:$E$84,3)=0,"Total",VLOOKUP(A604,Journal!$C$7:$D$84,2)))</f>
        <v/>
      </c>
      <c r="C604" s="86" t="str">
        <f>IF(B604="","",VLOOKUP(A604,Journal!$C$7:$E$84,3))</f>
        <v/>
      </c>
      <c r="D604" s="84" t="str">
        <f>IF(B604="","",VLOOKUP(A604,Journal!$C$7:$J$84,8))</f>
        <v/>
      </c>
      <c r="E604" s="84" t="str">
        <f>IF(B604="","",VLOOKUP(A604,Journal!$C$7:$L$84,10))</f>
        <v/>
      </c>
      <c r="F604" s="84" t="str">
        <f>IF(B604="","",VLOOKUP(A604,Journal!$C$7:$M$84,11))</f>
        <v/>
      </c>
      <c r="G604" s="102">
        <f>IF(B604="Total",SUM(G$8:G603)+0.0001,IF(OR(B604="",M604=0),0,VLOOKUP(A604,Journal!$C$7:M$84,7)))</f>
        <v>0</v>
      </c>
      <c r="H604" s="102">
        <f>IF(B604="Total",SUM(H$8:H603)+0.0001,IF(OR(B604="",N604=0),0,VLOOKUP(A604,Journal!$C$7:M$84,7)))</f>
        <v>0</v>
      </c>
      <c r="I604" s="87">
        <f t="shared" si="58"/>
        <v>0</v>
      </c>
      <c r="K604" s="13">
        <f>VLOOKUP(A604,Journal!$C$7:$M$84,4)</f>
        <v>0</v>
      </c>
      <c r="L604" s="13">
        <f>VLOOKUP(A604,Journal!$C$7:$M$84,5)</f>
        <v>0</v>
      </c>
      <c r="M604" s="13">
        <f t="shared" si="60"/>
        <v>0</v>
      </c>
      <c r="N604" s="13">
        <f t="shared" si="61"/>
        <v>0</v>
      </c>
      <c r="O604" s="13"/>
      <c r="P604" s="13">
        <f t="shared" si="62"/>
        <v>1.0000000000000001E-5</v>
      </c>
      <c r="T604" t="str">
        <f t="shared" si="57"/>
        <v/>
      </c>
    </row>
    <row r="605" spans="1:20" x14ac:dyDescent="0.25">
      <c r="A605">
        <f t="shared" si="59"/>
        <v>598</v>
      </c>
      <c r="B605" s="88" t="str">
        <f>IF(OR(B604="Total",B604=""),"",IF(VLOOKUP(A605,Journal!$C$7:$E$84,3)=0,"Total",VLOOKUP(A605,Journal!$C$7:$D$84,2)))</f>
        <v/>
      </c>
      <c r="C605" s="86" t="str">
        <f>IF(B605="","",VLOOKUP(A605,Journal!$C$7:$E$84,3))</f>
        <v/>
      </c>
      <c r="D605" s="84" t="str">
        <f>IF(B605="","",VLOOKUP(A605,Journal!$C$7:$J$84,8))</f>
        <v/>
      </c>
      <c r="E605" s="84" t="str">
        <f>IF(B605="","",VLOOKUP(A605,Journal!$C$7:$L$84,10))</f>
        <v/>
      </c>
      <c r="F605" s="84" t="str">
        <f>IF(B605="","",VLOOKUP(A605,Journal!$C$7:$M$84,11))</f>
        <v/>
      </c>
      <c r="G605" s="102">
        <f>IF(B605="Total",SUM(G$8:G604)+0.0001,IF(OR(B605="",M605=0),0,VLOOKUP(A605,Journal!$C$7:M$84,7)))</f>
        <v>0</v>
      </c>
      <c r="H605" s="102">
        <f>IF(B605="Total",SUM(H$8:H604)+0.0001,IF(OR(B605="",N605=0),0,VLOOKUP(A605,Journal!$C$7:M$84,7)))</f>
        <v>0</v>
      </c>
      <c r="I605" s="87">
        <f t="shared" si="58"/>
        <v>0</v>
      </c>
      <c r="K605" s="13">
        <f>VLOOKUP(A605,Journal!$C$7:$M$84,4)</f>
        <v>0</v>
      </c>
      <c r="L605" s="13">
        <f>VLOOKUP(A605,Journal!$C$7:$M$84,5)</f>
        <v>0</v>
      </c>
      <c r="M605" s="13">
        <f t="shared" si="60"/>
        <v>0</v>
      </c>
      <c r="N605" s="13">
        <f t="shared" si="61"/>
        <v>0</v>
      </c>
      <c r="O605" s="13"/>
      <c r="P605" s="13">
        <f t="shared" si="62"/>
        <v>1.0000000000000001E-5</v>
      </c>
      <c r="T605" t="str">
        <f t="shared" si="57"/>
        <v/>
      </c>
    </row>
    <row r="606" spans="1:20" x14ac:dyDescent="0.25">
      <c r="A606">
        <f t="shared" si="59"/>
        <v>599</v>
      </c>
      <c r="B606" s="88" t="str">
        <f>IF(OR(B605="Total",B605=""),"",IF(VLOOKUP(A606,Journal!$C$7:$E$84,3)=0,"Total",VLOOKUP(A606,Journal!$C$7:$D$84,2)))</f>
        <v/>
      </c>
      <c r="C606" s="86" t="str">
        <f>IF(B606="","",VLOOKUP(A606,Journal!$C$7:$E$84,3))</f>
        <v/>
      </c>
      <c r="D606" s="84" t="str">
        <f>IF(B606="","",VLOOKUP(A606,Journal!$C$7:$J$84,8))</f>
        <v/>
      </c>
      <c r="E606" s="84" t="str">
        <f>IF(B606="","",VLOOKUP(A606,Journal!$C$7:$L$84,10))</f>
        <v/>
      </c>
      <c r="F606" s="84" t="str">
        <f>IF(B606="","",VLOOKUP(A606,Journal!$C$7:$M$84,11))</f>
        <v/>
      </c>
      <c r="G606" s="102">
        <f>IF(B606="Total",SUM(G$8:G605)+0.0001,IF(OR(B606="",M606=0),0,VLOOKUP(A606,Journal!$C$7:M$84,7)))</f>
        <v>0</v>
      </c>
      <c r="H606" s="102">
        <f>IF(B606="Total",SUM(H$8:H605)+0.0001,IF(OR(B606="",N606=0),0,VLOOKUP(A606,Journal!$C$7:M$84,7)))</f>
        <v>0</v>
      </c>
      <c r="I606" s="87">
        <f t="shared" si="58"/>
        <v>0</v>
      </c>
      <c r="K606" s="13">
        <f>VLOOKUP(A606,Journal!$C$7:$M$84,4)</f>
        <v>0</v>
      </c>
      <c r="L606" s="13">
        <f>VLOOKUP(A606,Journal!$C$7:$M$84,5)</f>
        <v>0</v>
      </c>
      <c r="M606" s="13">
        <f t="shared" si="60"/>
        <v>0</v>
      </c>
      <c r="N606" s="13">
        <f t="shared" si="61"/>
        <v>0</v>
      </c>
      <c r="O606" s="13"/>
      <c r="P606" s="13">
        <f t="shared" si="62"/>
        <v>1.0000000000000001E-5</v>
      </c>
      <c r="T606" t="str">
        <f t="shared" si="57"/>
        <v/>
      </c>
    </row>
    <row r="607" spans="1:20" x14ac:dyDescent="0.25">
      <c r="A607">
        <f t="shared" si="59"/>
        <v>600</v>
      </c>
      <c r="B607" s="88" t="str">
        <f>IF(OR(B606="Total",B606=""),"",IF(VLOOKUP(A607,Journal!$C$7:$E$84,3)=0,"Total",VLOOKUP(A607,Journal!$C$7:$D$84,2)))</f>
        <v/>
      </c>
      <c r="C607" s="86" t="str">
        <f>IF(B607="","",VLOOKUP(A607,Journal!$C$7:$E$84,3))</f>
        <v/>
      </c>
      <c r="D607" s="84" t="str">
        <f>IF(B607="","",VLOOKUP(A607,Journal!$C$7:$J$84,8))</f>
        <v/>
      </c>
      <c r="E607" s="84" t="str">
        <f>IF(B607="","",VLOOKUP(A607,Journal!$C$7:$L$84,10))</f>
        <v/>
      </c>
      <c r="F607" s="84" t="str">
        <f>IF(B607="","",VLOOKUP(A607,Journal!$C$7:$M$84,11))</f>
        <v/>
      </c>
      <c r="G607" s="102">
        <f>IF(B607="Total",SUM(G$8:G606)+0.0001,IF(OR(B607="",M607=0),0,VLOOKUP(A607,Journal!$C$7:M$84,7)))</f>
        <v>0</v>
      </c>
      <c r="H607" s="102">
        <f>IF(B607="Total",SUM(H$8:H606)+0.0001,IF(OR(B607="",N607=0),0,VLOOKUP(A607,Journal!$C$7:M$84,7)))</f>
        <v>0</v>
      </c>
      <c r="I607" s="87">
        <f t="shared" si="58"/>
        <v>0</v>
      </c>
      <c r="K607" s="13">
        <f>VLOOKUP(A607,Journal!$C$7:$M$84,4)</f>
        <v>0</v>
      </c>
      <c r="L607" s="13">
        <f>VLOOKUP(A607,Journal!$C$7:$M$84,5)</f>
        <v>0</v>
      </c>
      <c r="M607" s="13">
        <f t="shared" si="60"/>
        <v>0</v>
      </c>
      <c r="N607" s="13">
        <f t="shared" si="61"/>
        <v>0</v>
      </c>
      <c r="O607" s="13"/>
      <c r="P607" s="13">
        <f t="shared" si="62"/>
        <v>1.0000000000000001E-5</v>
      </c>
      <c r="T607" t="str">
        <f t="shared" si="57"/>
        <v/>
      </c>
    </row>
    <row r="608" spans="1:20" x14ac:dyDescent="0.25">
      <c r="A608">
        <f t="shared" si="59"/>
        <v>601</v>
      </c>
      <c r="B608" s="88" t="str">
        <f>IF(OR(B607="Total",B607=""),"",IF(VLOOKUP(A608,Journal!$C$7:$E$84,3)=0,"Total",VLOOKUP(A608,Journal!$C$7:$D$84,2)))</f>
        <v/>
      </c>
      <c r="C608" s="86" t="str">
        <f>IF(B608="","",VLOOKUP(A608,Journal!$C$7:$E$84,3))</f>
        <v/>
      </c>
      <c r="D608" s="84" t="str">
        <f>IF(B608="","",VLOOKUP(A608,Journal!$C$7:$J$84,8))</f>
        <v/>
      </c>
      <c r="E608" s="84" t="str">
        <f>IF(B608="","",VLOOKUP(A608,Journal!$C$7:$L$84,10))</f>
        <v/>
      </c>
      <c r="F608" s="84" t="str">
        <f>IF(B608="","",VLOOKUP(A608,Journal!$C$7:$M$84,11))</f>
        <v/>
      </c>
      <c r="G608" s="102">
        <f>IF(B608="Total",SUM(G$8:G607)+0.0001,IF(OR(B608="",M608=0),0,VLOOKUP(A608,Journal!$C$7:M$84,7)))</f>
        <v>0</v>
      </c>
      <c r="H608" s="102">
        <f>IF(B608="Total",SUM(H$8:H607)+0.0001,IF(OR(B608="",N608=0),0,VLOOKUP(A608,Journal!$C$7:M$84,7)))</f>
        <v>0</v>
      </c>
      <c r="I608" s="87">
        <f t="shared" si="58"/>
        <v>0</v>
      </c>
      <c r="K608" s="13">
        <f>VLOOKUP(A608,Journal!$C$7:$M$84,4)</f>
        <v>0</v>
      </c>
      <c r="L608" s="13">
        <f>VLOOKUP(A608,Journal!$C$7:$M$84,5)</f>
        <v>0</v>
      </c>
      <c r="M608" s="13">
        <f t="shared" si="60"/>
        <v>0</v>
      </c>
      <c r="N608" s="13">
        <f t="shared" si="61"/>
        <v>0</v>
      </c>
      <c r="O608" s="13"/>
      <c r="P608" s="13">
        <f t="shared" si="62"/>
        <v>1.0000000000000001E-5</v>
      </c>
      <c r="T608" t="str">
        <f t="shared" si="57"/>
        <v/>
      </c>
    </row>
    <row r="609" spans="1:20" x14ac:dyDescent="0.25">
      <c r="A609">
        <f t="shared" si="59"/>
        <v>602</v>
      </c>
      <c r="B609" s="88" t="str">
        <f>IF(OR(B608="Total",B608=""),"",IF(VLOOKUP(A609,Journal!$C$7:$E$84,3)=0,"Total",VLOOKUP(A609,Journal!$C$7:$D$84,2)))</f>
        <v/>
      </c>
      <c r="C609" s="86" t="str">
        <f>IF(B609="","",VLOOKUP(A609,Journal!$C$7:$E$84,3))</f>
        <v/>
      </c>
      <c r="D609" s="84" t="str">
        <f>IF(B609="","",VLOOKUP(A609,Journal!$C$7:$J$84,8))</f>
        <v/>
      </c>
      <c r="E609" s="84" t="str">
        <f>IF(B609="","",VLOOKUP(A609,Journal!$C$7:$L$84,10))</f>
        <v/>
      </c>
      <c r="F609" s="84" t="str">
        <f>IF(B609="","",VLOOKUP(A609,Journal!$C$7:$M$84,11))</f>
        <v/>
      </c>
      <c r="G609" s="102">
        <f>IF(B609="Total",SUM(G$8:G608)+0.0001,IF(OR(B609="",M609=0),0,VLOOKUP(A609,Journal!$C$7:M$84,7)))</f>
        <v>0</v>
      </c>
      <c r="H609" s="102">
        <f>IF(B609="Total",SUM(H$8:H608)+0.0001,IF(OR(B609="",N609=0),0,VLOOKUP(A609,Journal!$C$7:M$84,7)))</f>
        <v>0</v>
      </c>
      <c r="I609" s="87">
        <f t="shared" si="58"/>
        <v>0</v>
      </c>
      <c r="K609" s="13">
        <f>VLOOKUP(A609,Journal!$C$7:$M$84,4)</f>
        <v>0</v>
      </c>
      <c r="L609" s="13">
        <f>VLOOKUP(A609,Journal!$C$7:$M$84,5)</f>
        <v>0</v>
      </c>
      <c r="M609" s="13">
        <f t="shared" si="60"/>
        <v>0</v>
      </c>
      <c r="N609" s="13">
        <f t="shared" si="61"/>
        <v>0</v>
      </c>
      <c r="O609" s="13"/>
      <c r="P609" s="13">
        <f t="shared" si="62"/>
        <v>1.0000000000000001E-5</v>
      </c>
      <c r="T609" t="str">
        <f t="shared" si="57"/>
        <v/>
      </c>
    </row>
    <row r="610" spans="1:20" x14ac:dyDescent="0.25">
      <c r="A610">
        <f t="shared" si="59"/>
        <v>603</v>
      </c>
      <c r="B610" s="88" t="str">
        <f>IF(OR(B609="Total",B609=""),"",IF(VLOOKUP(A610,Journal!$C$7:$E$84,3)=0,"Total",VLOOKUP(A610,Journal!$C$7:$D$84,2)))</f>
        <v/>
      </c>
      <c r="C610" s="86" t="str">
        <f>IF(B610="","",VLOOKUP(A610,Journal!$C$7:$E$84,3))</f>
        <v/>
      </c>
      <c r="D610" s="84" t="str">
        <f>IF(B610="","",VLOOKUP(A610,Journal!$C$7:$J$84,8))</f>
        <v/>
      </c>
      <c r="E610" s="84" t="str">
        <f>IF(B610="","",VLOOKUP(A610,Journal!$C$7:$L$84,10))</f>
        <v/>
      </c>
      <c r="F610" s="84" t="str">
        <f>IF(B610="","",VLOOKUP(A610,Journal!$C$7:$M$84,11))</f>
        <v/>
      </c>
      <c r="G610" s="102">
        <f>IF(B610="Total",SUM(G$8:G609)+0.0001,IF(OR(B610="",M610=0),0,VLOOKUP(A610,Journal!$C$7:M$84,7)))</f>
        <v>0</v>
      </c>
      <c r="H610" s="102">
        <f>IF(B610="Total",SUM(H$8:H609)+0.0001,IF(OR(B610="",N610=0),0,VLOOKUP(A610,Journal!$C$7:M$84,7)))</f>
        <v>0</v>
      </c>
      <c r="I610" s="87">
        <f t="shared" si="58"/>
        <v>0</v>
      </c>
      <c r="K610" s="13">
        <f>VLOOKUP(A610,Journal!$C$7:$M$84,4)</f>
        <v>0</v>
      </c>
      <c r="L610" s="13">
        <f>VLOOKUP(A610,Journal!$C$7:$M$84,5)</f>
        <v>0</v>
      </c>
      <c r="M610" s="13">
        <f t="shared" si="60"/>
        <v>0</v>
      </c>
      <c r="N610" s="13">
        <f t="shared" si="61"/>
        <v>0</v>
      </c>
      <c r="O610" s="13"/>
      <c r="P610" s="13">
        <f t="shared" si="62"/>
        <v>1.0000000000000001E-5</v>
      </c>
      <c r="T610" t="str">
        <f t="shared" si="57"/>
        <v/>
      </c>
    </row>
    <row r="611" spans="1:20" x14ac:dyDescent="0.25">
      <c r="A611">
        <f t="shared" si="59"/>
        <v>604</v>
      </c>
      <c r="B611" s="88" t="str">
        <f>IF(OR(B610="Total",B610=""),"",IF(VLOOKUP(A611,Journal!$C$7:$E$84,3)=0,"Total",VLOOKUP(A611,Journal!$C$7:$D$84,2)))</f>
        <v/>
      </c>
      <c r="C611" s="86" t="str">
        <f>IF(B611="","",VLOOKUP(A611,Journal!$C$7:$E$84,3))</f>
        <v/>
      </c>
      <c r="D611" s="84" t="str">
        <f>IF(B611="","",VLOOKUP(A611,Journal!$C$7:$J$84,8))</f>
        <v/>
      </c>
      <c r="E611" s="84" t="str">
        <f>IF(B611="","",VLOOKUP(A611,Journal!$C$7:$L$84,10))</f>
        <v/>
      </c>
      <c r="F611" s="84" t="str">
        <f>IF(B611="","",VLOOKUP(A611,Journal!$C$7:$M$84,11))</f>
        <v/>
      </c>
      <c r="G611" s="102">
        <f>IF(B611="Total",SUM(G$8:G610)+0.0001,IF(OR(B611="",M611=0),0,VLOOKUP(A611,Journal!$C$7:M$84,7)))</f>
        <v>0</v>
      </c>
      <c r="H611" s="102">
        <f>IF(B611="Total",SUM(H$8:H610)+0.0001,IF(OR(B611="",N611=0),0,VLOOKUP(A611,Journal!$C$7:M$84,7)))</f>
        <v>0</v>
      </c>
      <c r="I611" s="87">
        <f t="shared" si="58"/>
        <v>0</v>
      </c>
      <c r="K611" s="13">
        <f>VLOOKUP(A611,Journal!$C$7:$M$84,4)</f>
        <v>0</v>
      </c>
      <c r="L611" s="13">
        <f>VLOOKUP(A611,Journal!$C$7:$M$84,5)</f>
        <v>0</v>
      </c>
      <c r="M611" s="13">
        <f t="shared" si="60"/>
        <v>0</v>
      </c>
      <c r="N611" s="13">
        <f t="shared" si="61"/>
        <v>0</v>
      </c>
      <c r="O611" s="13"/>
      <c r="P611" s="13">
        <f t="shared" si="62"/>
        <v>1.0000000000000001E-5</v>
      </c>
      <c r="T611" t="str">
        <f t="shared" si="57"/>
        <v/>
      </c>
    </row>
    <row r="612" spans="1:20" x14ac:dyDescent="0.25">
      <c r="A612">
        <f t="shared" si="59"/>
        <v>605</v>
      </c>
      <c r="B612" s="88" t="str">
        <f>IF(OR(B611="Total",B611=""),"",IF(VLOOKUP(A612,Journal!$C$7:$E$84,3)=0,"Total",VLOOKUP(A612,Journal!$C$7:$D$84,2)))</f>
        <v/>
      </c>
      <c r="C612" s="86" t="str">
        <f>IF(B612="","",VLOOKUP(A612,Journal!$C$7:$E$84,3))</f>
        <v/>
      </c>
      <c r="D612" s="84" t="str">
        <f>IF(B612="","",VLOOKUP(A612,Journal!$C$7:$J$84,8))</f>
        <v/>
      </c>
      <c r="E612" s="84" t="str">
        <f>IF(B612="","",VLOOKUP(A612,Journal!$C$7:$L$84,10))</f>
        <v/>
      </c>
      <c r="F612" s="84" t="str">
        <f>IF(B612="","",VLOOKUP(A612,Journal!$C$7:$M$84,11))</f>
        <v/>
      </c>
      <c r="G612" s="102">
        <f>IF(B612="Total",SUM(G$8:G611)+0.0001,IF(OR(B612="",M612=0),0,VLOOKUP(A612,Journal!$C$7:M$84,7)))</f>
        <v>0</v>
      </c>
      <c r="H612" s="102">
        <f>IF(B612="Total",SUM(H$8:H611)+0.0001,IF(OR(B612="",N612=0),0,VLOOKUP(A612,Journal!$C$7:M$84,7)))</f>
        <v>0</v>
      </c>
      <c r="I612" s="87">
        <f t="shared" si="58"/>
        <v>0</v>
      </c>
      <c r="K612" s="13">
        <f>VLOOKUP(A612,Journal!$C$7:$M$84,4)</f>
        <v>0</v>
      </c>
      <c r="L612" s="13">
        <f>VLOOKUP(A612,Journal!$C$7:$M$84,5)</f>
        <v>0</v>
      </c>
      <c r="M612" s="13">
        <f t="shared" si="60"/>
        <v>0</v>
      </c>
      <c r="N612" s="13">
        <f t="shared" si="61"/>
        <v>0</v>
      </c>
      <c r="O612" s="13"/>
      <c r="P612" s="13">
        <f t="shared" si="62"/>
        <v>1.0000000000000001E-5</v>
      </c>
      <c r="T612" t="str">
        <f t="shared" si="57"/>
        <v/>
      </c>
    </row>
    <row r="613" spans="1:20" x14ac:dyDescent="0.25">
      <c r="A613">
        <f t="shared" si="59"/>
        <v>606</v>
      </c>
      <c r="B613" s="88" t="str">
        <f>IF(OR(B612="Total",B612=""),"",IF(VLOOKUP(A613,Journal!$C$7:$E$84,3)=0,"Total",VLOOKUP(A613,Journal!$C$7:$D$84,2)))</f>
        <v/>
      </c>
      <c r="C613" s="86" t="str">
        <f>IF(B613="","",VLOOKUP(A613,Journal!$C$7:$E$84,3))</f>
        <v/>
      </c>
      <c r="D613" s="84" t="str">
        <f>IF(B613="","",VLOOKUP(A613,Journal!$C$7:$J$84,8))</f>
        <v/>
      </c>
      <c r="E613" s="84" t="str">
        <f>IF(B613="","",VLOOKUP(A613,Journal!$C$7:$L$84,10))</f>
        <v/>
      </c>
      <c r="F613" s="84" t="str">
        <f>IF(B613="","",VLOOKUP(A613,Journal!$C$7:$M$84,11))</f>
        <v/>
      </c>
      <c r="G613" s="102">
        <f>IF(B613="Total",SUM(G$8:G612)+0.0001,IF(OR(B613="",M613=0),0,VLOOKUP(A613,Journal!$C$7:M$84,7)))</f>
        <v>0</v>
      </c>
      <c r="H613" s="102">
        <f>IF(B613="Total",SUM(H$8:H612)+0.0001,IF(OR(B613="",N613=0),0,VLOOKUP(A613,Journal!$C$7:M$84,7)))</f>
        <v>0</v>
      </c>
      <c r="I613" s="87">
        <f t="shared" si="58"/>
        <v>0</v>
      </c>
      <c r="K613" s="13">
        <f>VLOOKUP(A613,Journal!$C$7:$M$84,4)</f>
        <v>0</v>
      </c>
      <c r="L613" s="13">
        <f>VLOOKUP(A613,Journal!$C$7:$M$84,5)</f>
        <v>0</v>
      </c>
      <c r="M613" s="13">
        <f t="shared" si="60"/>
        <v>0</v>
      </c>
      <c r="N613" s="13">
        <f t="shared" si="61"/>
        <v>0</v>
      </c>
      <c r="O613" s="13"/>
      <c r="P613" s="13">
        <f t="shared" si="62"/>
        <v>1.0000000000000001E-5</v>
      </c>
      <c r="T613" t="str">
        <f t="shared" si="57"/>
        <v/>
      </c>
    </row>
    <row r="614" spans="1:20" x14ac:dyDescent="0.25">
      <c r="A614">
        <f t="shared" si="59"/>
        <v>607</v>
      </c>
      <c r="B614" s="88" t="str">
        <f>IF(OR(B613="Total",B613=""),"",IF(VLOOKUP(A614,Journal!$C$7:$E$84,3)=0,"Total",VLOOKUP(A614,Journal!$C$7:$D$84,2)))</f>
        <v/>
      </c>
      <c r="C614" s="86" t="str">
        <f>IF(B614="","",VLOOKUP(A614,Journal!$C$7:$E$84,3))</f>
        <v/>
      </c>
      <c r="D614" s="84" t="str">
        <f>IF(B614="","",VLOOKUP(A614,Journal!$C$7:$J$84,8))</f>
        <v/>
      </c>
      <c r="E614" s="84" t="str">
        <f>IF(B614="","",VLOOKUP(A614,Journal!$C$7:$L$84,10))</f>
        <v/>
      </c>
      <c r="F614" s="84" t="str">
        <f>IF(B614="","",VLOOKUP(A614,Journal!$C$7:$M$84,11))</f>
        <v/>
      </c>
      <c r="G614" s="102">
        <f>IF(B614="Total",SUM(G$8:G613)+0.0001,IF(OR(B614="",M614=0),0,VLOOKUP(A614,Journal!$C$7:M$84,7)))</f>
        <v>0</v>
      </c>
      <c r="H614" s="102">
        <f>IF(B614="Total",SUM(H$8:H613)+0.0001,IF(OR(B614="",N614=0),0,VLOOKUP(A614,Journal!$C$7:M$84,7)))</f>
        <v>0</v>
      </c>
      <c r="I614" s="87">
        <f t="shared" si="58"/>
        <v>0</v>
      </c>
      <c r="K614" s="13">
        <f>VLOOKUP(A614,Journal!$C$7:$M$84,4)</f>
        <v>0</v>
      </c>
      <c r="L614" s="13">
        <f>VLOOKUP(A614,Journal!$C$7:$M$84,5)</f>
        <v>0</v>
      </c>
      <c r="M614" s="13">
        <f t="shared" si="60"/>
        <v>0</v>
      </c>
      <c r="N614" s="13">
        <f t="shared" si="61"/>
        <v>0</v>
      </c>
      <c r="O614" s="13"/>
      <c r="P614" s="13">
        <f t="shared" si="62"/>
        <v>1.0000000000000001E-5</v>
      </c>
      <c r="T614" t="str">
        <f t="shared" si="57"/>
        <v/>
      </c>
    </row>
    <row r="615" spans="1:20" x14ac:dyDescent="0.25">
      <c r="A615">
        <f t="shared" si="59"/>
        <v>608</v>
      </c>
      <c r="B615" s="88" t="str">
        <f>IF(OR(B614="Total",B614=""),"",IF(VLOOKUP(A615,Journal!$C$7:$E$84,3)=0,"Total",VLOOKUP(A615,Journal!$C$7:$D$84,2)))</f>
        <v/>
      </c>
      <c r="C615" s="86" t="str">
        <f>IF(B615="","",VLOOKUP(A615,Journal!$C$7:$E$84,3))</f>
        <v/>
      </c>
      <c r="D615" s="84" t="str">
        <f>IF(B615="","",VLOOKUP(A615,Journal!$C$7:$J$84,8))</f>
        <v/>
      </c>
      <c r="E615" s="84" t="str">
        <f>IF(B615="","",VLOOKUP(A615,Journal!$C$7:$L$84,10))</f>
        <v/>
      </c>
      <c r="F615" s="84" t="str">
        <f>IF(B615="","",VLOOKUP(A615,Journal!$C$7:$M$84,11))</f>
        <v/>
      </c>
      <c r="G615" s="102">
        <f>IF(B615="Total",SUM(G$8:G614)+0.0001,IF(OR(B615="",M615=0),0,VLOOKUP(A615,Journal!$C$7:M$84,7)))</f>
        <v>0</v>
      </c>
      <c r="H615" s="102">
        <f>IF(B615="Total",SUM(H$8:H614)+0.0001,IF(OR(B615="",N615=0),0,VLOOKUP(A615,Journal!$C$7:M$84,7)))</f>
        <v>0</v>
      </c>
      <c r="I615" s="87">
        <f t="shared" si="58"/>
        <v>0</v>
      </c>
      <c r="K615" s="13">
        <f>VLOOKUP(A615,Journal!$C$7:$M$84,4)</f>
        <v>0</v>
      </c>
      <c r="L615" s="13">
        <f>VLOOKUP(A615,Journal!$C$7:$M$84,5)</f>
        <v>0</v>
      </c>
      <c r="M615" s="13">
        <f t="shared" si="60"/>
        <v>0</v>
      </c>
      <c r="N615" s="13">
        <f t="shared" si="61"/>
        <v>0</v>
      </c>
      <c r="O615" s="13"/>
      <c r="P615" s="13">
        <f t="shared" si="62"/>
        <v>1.0000000000000001E-5</v>
      </c>
      <c r="T615" t="str">
        <f t="shared" si="57"/>
        <v/>
      </c>
    </row>
    <row r="616" spans="1:20" x14ac:dyDescent="0.25">
      <c r="A616">
        <f t="shared" si="59"/>
        <v>609</v>
      </c>
      <c r="B616" s="88" t="str">
        <f>IF(OR(B615="Total",B615=""),"",IF(VLOOKUP(A616,Journal!$C$7:$E$84,3)=0,"Total",VLOOKUP(A616,Journal!$C$7:$D$84,2)))</f>
        <v/>
      </c>
      <c r="C616" s="86" t="str">
        <f>IF(B616="","",VLOOKUP(A616,Journal!$C$7:$E$84,3))</f>
        <v/>
      </c>
      <c r="D616" s="84" t="str">
        <f>IF(B616="","",VLOOKUP(A616,Journal!$C$7:$J$84,8))</f>
        <v/>
      </c>
      <c r="E616" s="84" t="str">
        <f>IF(B616="","",VLOOKUP(A616,Journal!$C$7:$L$84,10))</f>
        <v/>
      </c>
      <c r="F616" s="84" t="str">
        <f>IF(B616="","",VLOOKUP(A616,Journal!$C$7:$M$84,11))</f>
        <v/>
      </c>
      <c r="G616" s="102">
        <f>IF(B616="Total",SUM(G$8:G615)+0.0001,IF(OR(B616="",M616=0),0,VLOOKUP(A616,Journal!$C$7:M$84,7)))</f>
        <v>0</v>
      </c>
      <c r="H616" s="102">
        <f>IF(B616="Total",SUM(H$8:H615)+0.0001,IF(OR(B616="",N616=0),0,VLOOKUP(A616,Journal!$C$7:M$84,7)))</f>
        <v>0</v>
      </c>
      <c r="I616" s="87">
        <f t="shared" si="58"/>
        <v>0</v>
      </c>
      <c r="K616" s="13">
        <f>VLOOKUP(A616,Journal!$C$7:$M$84,4)</f>
        <v>0</v>
      </c>
      <c r="L616" s="13">
        <f>VLOOKUP(A616,Journal!$C$7:$M$84,5)</f>
        <v>0</v>
      </c>
      <c r="M616" s="13">
        <f t="shared" si="60"/>
        <v>0</v>
      </c>
      <c r="N616" s="13">
        <f t="shared" si="61"/>
        <v>0</v>
      </c>
      <c r="O616" s="13"/>
      <c r="P616" s="13">
        <f t="shared" si="62"/>
        <v>1.0000000000000001E-5</v>
      </c>
      <c r="T616" t="str">
        <f t="shared" si="57"/>
        <v/>
      </c>
    </row>
    <row r="617" spans="1:20" x14ac:dyDescent="0.25">
      <c r="A617">
        <f t="shared" si="59"/>
        <v>610</v>
      </c>
      <c r="B617" s="88" t="str">
        <f>IF(OR(B616="Total",B616=""),"",IF(VLOOKUP(A617,Journal!$C$7:$E$84,3)=0,"Total",VLOOKUP(A617,Journal!$C$7:$D$84,2)))</f>
        <v/>
      </c>
      <c r="C617" s="86" t="str">
        <f>IF(B617="","",VLOOKUP(A617,Journal!$C$7:$E$84,3))</f>
        <v/>
      </c>
      <c r="D617" s="84" t="str">
        <f>IF(B617="","",VLOOKUP(A617,Journal!$C$7:$J$84,8))</f>
        <v/>
      </c>
      <c r="E617" s="84" t="str">
        <f>IF(B617="","",VLOOKUP(A617,Journal!$C$7:$L$84,10))</f>
        <v/>
      </c>
      <c r="F617" s="84" t="str">
        <f>IF(B617="","",VLOOKUP(A617,Journal!$C$7:$M$84,11))</f>
        <v/>
      </c>
      <c r="G617" s="102">
        <f>IF(B617="Total",SUM(G$8:G616)+0.0001,IF(OR(B617="",M617=0),0,VLOOKUP(A617,Journal!$C$7:M$84,7)))</f>
        <v>0</v>
      </c>
      <c r="H617" s="102">
        <f>IF(B617="Total",SUM(H$8:H616)+0.0001,IF(OR(B617="",N617=0),0,VLOOKUP(A617,Journal!$C$7:M$84,7)))</f>
        <v>0</v>
      </c>
      <c r="I617" s="87">
        <f t="shared" si="58"/>
        <v>0</v>
      </c>
      <c r="K617" s="13">
        <f>VLOOKUP(A617,Journal!$C$7:$M$84,4)</f>
        <v>0</v>
      </c>
      <c r="L617" s="13">
        <f>VLOOKUP(A617,Journal!$C$7:$M$84,5)</f>
        <v>0</v>
      </c>
      <c r="M617" s="13">
        <f t="shared" si="60"/>
        <v>0</v>
      </c>
      <c r="N617" s="13">
        <f t="shared" si="61"/>
        <v>0</v>
      </c>
      <c r="O617" s="13"/>
      <c r="P617" s="13">
        <f t="shared" si="62"/>
        <v>1.0000000000000001E-5</v>
      </c>
      <c r="T617" t="str">
        <f t="shared" si="57"/>
        <v/>
      </c>
    </row>
    <row r="618" spans="1:20" x14ac:dyDescent="0.25">
      <c r="A618">
        <f t="shared" si="59"/>
        <v>611</v>
      </c>
      <c r="B618" s="88" t="str">
        <f>IF(OR(B617="Total",B617=""),"",IF(VLOOKUP(A618,Journal!$C$7:$E$84,3)=0,"Total",VLOOKUP(A618,Journal!$C$7:$D$84,2)))</f>
        <v/>
      </c>
      <c r="C618" s="86" t="str">
        <f>IF(B618="","",VLOOKUP(A618,Journal!$C$7:$E$84,3))</f>
        <v/>
      </c>
      <c r="D618" s="84" t="str">
        <f>IF(B618="","",VLOOKUP(A618,Journal!$C$7:$J$84,8))</f>
        <v/>
      </c>
      <c r="E618" s="84" t="str">
        <f>IF(B618="","",VLOOKUP(A618,Journal!$C$7:$L$84,10))</f>
        <v/>
      </c>
      <c r="F618" s="84" t="str">
        <f>IF(B618="","",VLOOKUP(A618,Journal!$C$7:$M$84,11))</f>
        <v/>
      </c>
      <c r="G618" s="102">
        <f>IF(B618="Total",SUM(G$8:G617)+0.0001,IF(OR(B618="",M618=0),0,VLOOKUP(A618,Journal!$C$7:M$84,7)))</f>
        <v>0</v>
      </c>
      <c r="H618" s="102">
        <f>IF(B618="Total",SUM(H$8:H617)+0.0001,IF(OR(B618="",N618=0),0,VLOOKUP(A618,Journal!$C$7:M$84,7)))</f>
        <v>0</v>
      </c>
      <c r="I618" s="87">
        <f t="shared" si="58"/>
        <v>0</v>
      </c>
      <c r="K618" s="13">
        <f>VLOOKUP(A618,Journal!$C$7:$M$84,4)</f>
        <v>0</v>
      </c>
      <c r="L618" s="13">
        <f>VLOOKUP(A618,Journal!$C$7:$M$84,5)</f>
        <v>0</v>
      </c>
      <c r="M618" s="13">
        <f t="shared" si="60"/>
        <v>0</v>
      </c>
      <c r="N618" s="13">
        <f t="shared" si="61"/>
        <v>0</v>
      </c>
      <c r="O618" s="13"/>
      <c r="P618" s="13">
        <f t="shared" si="62"/>
        <v>1.0000000000000001E-5</v>
      </c>
      <c r="T618" t="str">
        <f t="shared" si="57"/>
        <v/>
      </c>
    </row>
    <row r="619" spans="1:20" x14ac:dyDescent="0.25">
      <c r="A619">
        <f t="shared" si="59"/>
        <v>612</v>
      </c>
      <c r="B619" s="88" t="str">
        <f>IF(OR(B618="Total",B618=""),"",IF(VLOOKUP(A619,Journal!$C$7:$E$84,3)=0,"Total",VLOOKUP(A619,Journal!$C$7:$D$84,2)))</f>
        <v/>
      </c>
      <c r="C619" s="86" t="str">
        <f>IF(B619="","",VLOOKUP(A619,Journal!$C$7:$E$84,3))</f>
        <v/>
      </c>
      <c r="D619" s="84" t="str">
        <f>IF(B619="","",VLOOKUP(A619,Journal!$C$7:$J$84,8))</f>
        <v/>
      </c>
      <c r="E619" s="84" t="str">
        <f>IF(B619="","",VLOOKUP(A619,Journal!$C$7:$L$84,10))</f>
        <v/>
      </c>
      <c r="F619" s="84" t="str">
        <f>IF(B619="","",VLOOKUP(A619,Journal!$C$7:$M$84,11))</f>
        <v/>
      </c>
      <c r="G619" s="102">
        <f>IF(B619="Total",SUM(G$8:G618)+0.0001,IF(OR(B619="",M619=0),0,VLOOKUP(A619,Journal!$C$7:M$84,7)))</f>
        <v>0</v>
      </c>
      <c r="H619" s="102">
        <f>IF(B619="Total",SUM(H$8:H618)+0.0001,IF(OR(B619="",N619=0),0,VLOOKUP(A619,Journal!$C$7:M$84,7)))</f>
        <v>0</v>
      </c>
      <c r="I619" s="87">
        <f t="shared" si="58"/>
        <v>0</v>
      </c>
      <c r="K619" s="13">
        <f>VLOOKUP(A619,Journal!$C$7:$M$84,4)</f>
        <v>0</v>
      </c>
      <c r="L619" s="13">
        <f>VLOOKUP(A619,Journal!$C$7:$M$84,5)</f>
        <v>0</v>
      </c>
      <c r="M619" s="13">
        <f t="shared" si="60"/>
        <v>0</v>
      </c>
      <c r="N619" s="13">
        <f t="shared" si="61"/>
        <v>0</v>
      </c>
      <c r="O619" s="13"/>
      <c r="P619" s="13">
        <f t="shared" si="62"/>
        <v>1.0000000000000001E-5</v>
      </c>
      <c r="T619" t="str">
        <f t="shared" si="57"/>
        <v/>
      </c>
    </row>
    <row r="620" spans="1:20" x14ac:dyDescent="0.25">
      <c r="A620">
        <f t="shared" si="59"/>
        <v>613</v>
      </c>
      <c r="B620" s="88" t="str">
        <f>IF(OR(B619="Total",B619=""),"",IF(VLOOKUP(A620,Journal!$C$7:$E$84,3)=0,"Total",VLOOKUP(A620,Journal!$C$7:$D$84,2)))</f>
        <v/>
      </c>
      <c r="C620" s="86" t="str">
        <f>IF(B620="","",VLOOKUP(A620,Journal!$C$7:$E$84,3))</f>
        <v/>
      </c>
      <c r="D620" s="84" t="str">
        <f>IF(B620="","",VLOOKUP(A620,Journal!$C$7:$J$84,8))</f>
        <v/>
      </c>
      <c r="E620" s="84" t="str">
        <f>IF(B620="","",VLOOKUP(A620,Journal!$C$7:$L$84,10))</f>
        <v/>
      </c>
      <c r="F620" s="84" t="str">
        <f>IF(B620="","",VLOOKUP(A620,Journal!$C$7:$M$84,11))</f>
        <v/>
      </c>
      <c r="G620" s="102">
        <f>IF(B620="Total",SUM(G$8:G619)+0.0001,IF(OR(B620="",M620=0),0,VLOOKUP(A620,Journal!$C$7:M$84,7)))</f>
        <v>0</v>
      </c>
      <c r="H620" s="102">
        <f>IF(B620="Total",SUM(H$8:H619)+0.0001,IF(OR(B620="",N620=0),0,VLOOKUP(A620,Journal!$C$7:M$84,7)))</f>
        <v>0</v>
      </c>
      <c r="I620" s="87">
        <f t="shared" si="58"/>
        <v>0</v>
      </c>
      <c r="K620" s="13">
        <f>VLOOKUP(A620,Journal!$C$7:$M$84,4)</f>
        <v>0</v>
      </c>
      <c r="L620" s="13">
        <f>VLOOKUP(A620,Journal!$C$7:$M$84,5)</f>
        <v>0</v>
      </c>
      <c r="M620" s="13">
        <f t="shared" si="60"/>
        <v>0</v>
      </c>
      <c r="N620" s="13">
        <f t="shared" si="61"/>
        <v>0</v>
      </c>
      <c r="O620" s="13"/>
      <c r="P620" s="13">
        <f t="shared" si="62"/>
        <v>1.0000000000000001E-5</v>
      </c>
      <c r="T620" t="str">
        <f t="shared" si="57"/>
        <v/>
      </c>
    </row>
    <row r="621" spans="1:20" x14ac:dyDescent="0.25">
      <c r="A621">
        <f t="shared" si="59"/>
        <v>614</v>
      </c>
      <c r="B621" s="88" t="str">
        <f>IF(OR(B620="Total",B620=""),"",IF(VLOOKUP(A621,Journal!$C$7:$E$84,3)=0,"Total",VLOOKUP(A621,Journal!$C$7:$D$84,2)))</f>
        <v/>
      </c>
      <c r="C621" s="86" t="str">
        <f>IF(B621="","",VLOOKUP(A621,Journal!$C$7:$E$84,3))</f>
        <v/>
      </c>
      <c r="D621" s="84" t="str">
        <f>IF(B621="","",VLOOKUP(A621,Journal!$C$7:$J$84,8))</f>
        <v/>
      </c>
      <c r="E621" s="84" t="str">
        <f>IF(B621="","",VLOOKUP(A621,Journal!$C$7:$L$84,10))</f>
        <v/>
      </c>
      <c r="F621" s="84" t="str">
        <f>IF(B621="","",VLOOKUP(A621,Journal!$C$7:$M$84,11))</f>
        <v/>
      </c>
      <c r="G621" s="102">
        <f>IF(B621="Total",SUM(G$8:G620)+0.0001,IF(OR(B621="",M621=0),0,VLOOKUP(A621,Journal!$C$7:M$84,7)))</f>
        <v>0</v>
      </c>
      <c r="H621" s="102">
        <f>IF(B621="Total",SUM(H$8:H620)+0.0001,IF(OR(B621="",N621=0),0,VLOOKUP(A621,Journal!$C$7:M$84,7)))</f>
        <v>0</v>
      </c>
      <c r="I621" s="87">
        <f t="shared" si="58"/>
        <v>0</v>
      </c>
      <c r="K621" s="13">
        <f>VLOOKUP(A621,Journal!$C$7:$M$84,4)</f>
        <v>0</v>
      </c>
      <c r="L621" s="13">
        <f>VLOOKUP(A621,Journal!$C$7:$M$84,5)</f>
        <v>0</v>
      </c>
      <c r="M621" s="13">
        <f t="shared" si="60"/>
        <v>0</v>
      </c>
      <c r="N621" s="13">
        <f t="shared" si="61"/>
        <v>0</v>
      </c>
      <c r="O621" s="13"/>
      <c r="P621" s="13">
        <f t="shared" si="62"/>
        <v>1.0000000000000001E-5</v>
      </c>
      <c r="T621" t="str">
        <f t="shared" si="57"/>
        <v/>
      </c>
    </row>
    <row r="622" spans="1:20" x14ac:dyDescent="0.25">
      <c r="A622">
        <f t="shared" si="59"/>
        <v>615</v>
      </c>
      <c r="B622" s="88" t="str">
        <f>IF(OR(B621="Total",B621=""),"",IF(VLOOKUP(A622,Journal!$C$7:$E$84,3)=0,"Total",VLOOKUP(A622,Journal!$C$7:$D$84,2)))</f>
        <v/>
      </c>
      <c r="C622" s="86" t="str">
        <f>IF(B622="","",VLOOKUP(A622,Journal!$C$7:$E$84,3))</f>
        <v/>
      </c>
      <c r="D622" s="84" t="str">
        <f>IF(B622="","",VLOOKUP(A622,Journal!$C$7:$J$84,8))</f>
        <v/>
      </c>
      <c r="E622" s="84" t="str">
        <f>IF(B622="","",VLOOKUP(A622,Journal!$C$7:$L$84,10))</f>
        <v/>
      </c>
      <c r="F622" s="84" t="str">
        <f>IF(B622="","",VLOOKUP(A622,Journal!$C$7:$M$84,11))</f>
        <v/>
      </c>
      <c r="G622" s="102">
        <f>IF(B622="Total",SUM(G$8:G621)+0.0001,IF(OR(B622="",M622=0),0,VLOOKUP(A622,Journal!$C$7:M$84,7)))</f>
        <v>0</v>
      </c>
      <c r="H622" s="102">
        <f>IF(B622="Total",SUM(H$8:H621)+0.0001,IF(OR(B622="",N622=0),0,VLOOKUP(A622,Journal!$C$7:M$84,7)))</f>
        <v>0</v>
      </c>
      <c r="I622" s="87">
        <f t="shared" si="58"/>
        <v>0</v>
      </c>
      <c r="K622" s="13">
        <f>VLOOKUP(A622,Journal!$C$7:$M$84,4)</f>
        <v>0</v>
      </c>
      <c r="L622" s="13">
        <f>VLOOKUP(A622,Journal!$C$7:$M$84,5)</f>
        <v>0</v>
      </c>
      <c r="M622" s="13">
        <f t="shared" si="60"/>
        <v>0</v>
      </c>
      <c r="N622" s="13">
        <f t="shared" si="61"/>
        <v>0</v>
      </c>
      <c r="O622" s="13"/>
      <c r="P622" s="13">
        <f t="shared" si="62"/>
        <v>1.0000000000000001E-5</v>
      </c>
      <c r="T622" t="str">
        <f t="shared" si="57"/>
        <v/>
      </c>
    </row>
    <row r="623" spans="1:20" x14ac:dyDescent="0.25">
      <c r="A623">
        <f t="shared" si="59"/>
        <v>616</v>
      </c>
      <c r="B623" s="88" t="str">
        <f>IF(OR(B622="Total",B622=""),"",IF(VLOOKUP(A623,Journal!$C$7:$E$84,3)=0,"Total",VLOOKUP(A623,Journal!$C$7:$D$84,2)))</f>
        <v/>
      </c>
      <c r="C623" s="86" t="str">
        <f>IF(B623="","",VLOOKUP(A623,Journal!$C$7:$E$84,3))</f>
        <v/>
      </c>
      <c r="D623" s="84" t="str">
        <f>IF(B623="","",VLOOKUP(A623,Journal!$C$7:$J$84,8))</f>
        <v/>
      </c>
      <c r="E623" s="84" t="str">
        <f>IF(B623="","",VLOOKUP(A623,Journal!$C$7:$L$84,10))</f>
        <v/>
      </c>
      <c r="F623" s="84" t="str">
        <f>IF(B623="","",VLOOKUP(A623,Journal!$C$7:$M$84,11))</f>
        <v/>
      </c>
      <c r="G623" s="102">
        <f>IF(B623="Total",SUM(G$8:G622)+0.0001,IF(OR(B623="",M623=0),0,VLOOKUP(A623,Journal!$C$7:M$84,7)))</f>
        <v>0</v>
      </c>
      <c r="H623" s="102">
        <f>IF(B623="Total",SUM(H$8:H622)+0.0001,IF(OR(B623="",N623=0),0,VLOOKUP(A623,Journal!$C$7:M$84,7)))</f>
        <v>0</v>
      </c>
      <c r="I623" s="87">
        <f t="shared" si="58"/>
        <v>0</v>
      </c>
      <c r="K623" s="13">
        <f>VLOOKUP(A623,Journal!$C$7:$M$84,4)</f>
        <v>0</v>
      </c>
      <c r="L623" s="13">
        <f>VLOOKUP(A623,Journal!$C$7:$M$84,5)</f>
        <v>0</v>
      </c>
      <c r="M623" s="13">
        <f t="shared" si="60"/>
        <v>0</v>
      </c>
      <c r="N623" s="13">
        <f t="shared" si="61"/>
        <v>0</v>
      </c>
      <c r="O623" s="13"/>
      <c r="P623" s="13">
        <f t="shared" si="62"/>
        <v>1.0000000000000001E-5</v>
      </c>
      <c r="T623" t="str">
        <f t="shared" si="57"/>
        <v/>
      </c>
    </row>
    <row r="624" spans="1:20" x14ac:dyDescent="0.25">
      <c r="A624">
        <f t="shared" si="59"/>
        <v>617</v>
      </c>
      <c r="B624" s="88" t="str">
        <f>IF(OR(B623="Total",B623=""),"",IF(VLOOKUP(A624,Journal!$C$7:$E$84,3)=0,"Total",VLOOKUP(A624,Journal!$C$7:$D$84,2)))</f>
        <v/>
      </c>
      <c r="C624" s="86" t="str">
        <f>IF(B624="","",VLOOKUP(A624,Journal!$C$7:$E$84,3))</f>
        <v/>
      </c>
      <c r="D624" s="84" t="str">
        <f>IF(B624="","",VLOOKUP(A624,Journal!$C$7:$J$84,8))</f>
        <v/>
      </c>
      <c r="E624" s="84" t="str">
        <f>IF(B624="","",VLOOKUP(A624,Journal!$C$7:$L$84,10))</f>
        <v/>
      </c>
      <c r="F624" s="84" t="str">
        <f>IF(B624="","",VLOOKUP(A624,Journal!$C$7:$M$84,11))</f>
        <v/>
      </c>
      <c r="G624" s="102">
        <f>IF(B624="Total",SUM(G$8:G623)+0.0001,IF(OR(B624="",M624=0),0,VLOOKUP(A624,Journal!$C$7:M$84,7)))</f>
        <v>0</v>
      </c>
      <c r="H624" s="102">
        <f>IF(B624="Total",SUM(H$8:H623)+0.0001,IF(OR(B624="",N624=0),0,VLOOKUP(A624,Journal!$C$7:M$84,7)))</f>
        <v>0</v>
      </c>
      <c r="I624" s="87">
        <f t="shared" si="58"/>
        <v>0</v>
      </c>
      <c r="K624" s="13">
        <f>VLOOKUP(A624,Journal!$C$7:$M$84,4)</f>
        <v>0</v>
      </c>
      <c r="L624" s="13">
        <f>VLOOKUP(A624,Journal!$C$7:$M$84,5)</f>
        <v>0</v>
      </c>
      <c r="M624" s="13">
        <f t="shared" si="60"/>
        <v>0</v>
      </c>
      <c r="N624" s="13">
        <f t="shared" si="61"/>
        <v>0</v>
      </c>
      <c r="O624" s="13"/>
      <c r="P624" s="13">
        <f t="shared" si="62"/>
        <v>1.0000000000000001E-5</v>
      </c>
      <c r="T624" t="str">
        <f t="shared" si="57"/>
        <v/>
      </c>
    </row>
    <row r="625" spans="1:20" x14ac:dyDescent="0.25">
      <c r="A625">
        <f t="shared" si="59"/>
        <v>618</v>
      </c>
      <c r="B625" s="88" t="str">
        <f>IF(OR(B624="Total",B624=""),"",IF(VLOOKUP(A625,Journal!$C$7:$E$84,3)=0,"Total",VLOOKUP(A625,Journal!$C$7:$D$84,2)))</f>
        <v/>
      </c>
      <c r="C625" s="86" t="str">
        <f>IF(B625="","",VLOOKUP(A625,Journal!$C$7:$E$84,3))</f>
        <v/>
      </c>
      <c r="D625" s="84" t="str">
        <f>IF(B625="","",VLOOKUP(A625,Journal!$C$7:$J$84,8))</f>
        <v/>
      </c>
      <c r="E625" s="84" t="str">
        <f>IF(B625="","",VLOOKUP(A625,Journal!$C$7:$L$84,10))</f>
        <v/>
      </c>
      <c r="F625" s="84" t="str">
        <f>IF(B625="","",VLOOKUP(A625,Journal!$C$7:$M$84,11))</f>
        <v/>
      </c>
      <c r="G625" s="102">
        <f>IF(B625="Total",SUM(G$8:G624)+0.0001,IF(OR(B625="",M625=0),0,VLOOKUP(A625,Journal!$C$7:M$84,7)))</f>
        <v>0</v>
      </c>
      <c r="H625" s="102">
        <f>IF(B625="Total",SUM(H$8:H624)+0.0001,IF(OR(B625="",N625=0),0,VLOOKUP(A625,Journal!$C$7:M$84,7)))</f>
        <v>0</v>
      </c>
      <c r="I625" s="87">
        <f t="shared" si="58"/>
        <v>0</v>
      </c>
      <c r="K625" s="13">
        <f>VLOOKUP(A625,Journal!$C$7:$M$84,4)</f>
        <v>0</v>
      </c>
      <c r="L625" s="13">
        <f>VLOOKUP(A625,Journal!$C$7:$M$84,5)</f>
        <v>0</v>
      </c>
      <c r="M625" s="13">
        <f t="shared" si="60"/>
        <v>0</v>
      </c>
      <c r="N625" s="13">
        <f t="shared" si="61"/>
        <v>0</v>
      </c>
      <c r="O625" s="13"/>
      <c r="P625" s="13">
        <f t="shared" si="62"/>
        <v>1.0000000000000001E-5</v>
      </c>
      <c r="T625" t="str">
        <f t="shared" si="57"/>
        <v/>
      </c>
    </row>
    <row r="626" spans="1:20" x14ac:dyDescent="0.25">
      <c r="A626">
        <f t="shared" si="59"/>
        <v>619</v>
      </c>
      <c r="B626" s="88" t="str">
        <f>IF(OR(B625="Total",B625=""),"",IF(VLOOKUP(A626,Journal!$C$7:$E$84,3)=0,"Total",VLOOKUP(A626,Journal!$C$7:$D$84,2)))</f>
        <v/>
      </c>
      <c r="C626" s="86" t="str">
        <f>IF(B626="","",VLOOKUP(A626,Journal!$C$7:$E$84,3))</f>
        <v/>
      </c>
      <c r="D626" s="84" t="str">
        <f>IF(B626="","",VLOOKUP(A626,Journal!$C$7:$J$84,8))</f>
        <v/>
      </c>
      <c r="E626" s="84" t="str">
        <f>IF(B626="","",VLOOKUP(A626,Journal!$C$7:$L$84,10))</f>
        <v/>
      </c>
      <c r="F626" s="84" t="str">
        <f>IF(B626="","",VLOOKUP(A626,Journal!$C$7:$M$84,11))</f>
        <v/>
      </c>
      <c r="G626" s="102">
        <f>IF(B626="Total",SUM(G$8:G625)+0.0001,IF(OR(B626="",M626=0),0,VLOOKUP(A626,Journal!$C$7:M$84,7)))</f>
        <v>0</v>
      </c>
      <c r="H626" s="102">
        <f>IF(B626="Total",SUM(H$8:H625)+0.0001,IF(OR(B626="",N626=0),0,VLOOKUP(A626,Journal!$C$7:M$84,7)))</f>
        <v>0</v>
      </c>
      <c r="I626" s="87">
        <f t="shared" si="58"/>
        <v>0</v>
      </c>
      <c r="K626" s="13">
        <f>VLOOKUP(A626,Journal!$C$7:$M$84,4)</f>
        <v>0</v>
      </c>
      <c r="L626" s="13">
        <f>VLOOKUP(A626,Journal!$C$7:$M$84,5)</f>
        <v>0</v>
      </c>
      <c r="M626" s="13">
        <f t="shared" si="60"/>
        <v>0</v>
      </c>
      <c r="N626" s="13">
        <f t="shared" si="61"/>
        <v>0</v>
      </c>
      <c r="O626" s="13"/>
      <c r="P626" s="13">
        <f t="shared" si="62"/>
        <v>1.0000000000000001E-5</v>
      </c>
      <c r="T626" t="str">
        <f t="shared" si="57"/>
        <v/>
      </c>
    </row>
    <row r="627" spans="1:20" x14ac:dyDescent="0.25">
      <c r="A627">
        <f t="shared" si="59"/>
        <v>620</v>
      </c>
      <c r="B627" s="88" t="str">
        <f>IF(OR(B626="Total",B626=""),"",IF(VLOOKUP(A627,Journal!$C$7:$E$84,3)=0,"Total",VLOOKUP(A627,Journal!$C$7:$D$84,2)))</f>
        <v/>
      </c>
      <c r="C627" s="86" t="str">
        <f>IF(B627="","",VLOOKUP(A627,Journal!$C$7:$E$84,3))</f>
        <v/>
      </c>
      <c r="D627" s="84" t="str">
        <f>IF(B627="","",VLOOKUP(A627,Journal!$C$7:$J$84,8))</f>
        <v/>
      </c>
      <c r="E627" s="84" t="str">
        <f>IF(B627="","",VLOOKUP(A627,Journal!$C$7:$L$84,10))</f>
        <v/>
      </c>
      <c r="F627" s="84" t="str">
        <f>IF(B627="","",VLOOKUP(A627,Journal!$C$7:$M$84,11))</f>
        <v/>
      </c>
      <c r="G627" s="102">
        <f>IF(B627="Total",SUM(G$8:G626)+0.0001,IF(OR(B627="",M627=0),0,VLOOKUP(A627,Journal!$C$7:M$84,7)))</f>
        <v>0</v>
      </c>
      <c r="H627" s="102">
        <f>IF(B627="Total",SUM(H$8:H626)+0.0001,IF(OR(B627="",N627=0),0,VLOOKUP(A627,Journal!$C$7:M$84,7)))</f>
        <v>0</v>
      </c>
      <c r="I627" s="87">
        <f t="shared" si="58"/>
        <v>0</v>
      </c>
      <c r="K627" s="13">
        <f>VLOOKUP(A627,Journal!$C$7:$M$84,4)</f>
        <v>0</v>
      </c>
      <c r="L627" s="13">
        <f>VLOOKUP(A627,Journal!$C$7:$M$84,5)</f>
        <v>0</v>
      </c>
      <c r="M627" s="13">
        <f t="shared" si="60"/>
        <v>0</v>
      </c>
      <c r="N627" s="13">
        <f t="shared" si="61"/>
        <v>0</v>
      </c>
      <c r="O627" s="13"/>
      <c r="P627" s="13">
        <f t="shared" si="62"/>
        <v>1.0000000000000001E-5</v>
      </c>
      <c r="T627" t="str">
        <f t="shared" si="57"/>
        <v/>
      </c>
    </row>
    <row r="628" spans="1:20" x14ac:dyDescent="0.25">
      <c r="A628">
        <f t="shared" si="59"/>
        <v>621</v>
      </c>
      <c r="B628" s="88" t="str">
        <f>IF(OR(B627="Total",B627=""),"",IF(VLOOKUP(A628,Journal!$C$7:$E$84,3)=0,"Total",VLOOKUP(A628,Journal!$C$7:$D$84,2)))</f>
        <v/>
      </c>
      <c r="C628" s="86" t="str">
        <f>IF(B628="","",VLOOKUP(A628,Journal!$C$7:$E$84,3))</f>
        <v/>
      </c>
      <c r="D628" s="84" t="str">
        <f>IF(B628="","",VLOOKUP(A628,Journal!$C$7:$J$84,8))</f>
        <v/>
      </c>
      <c r="E628" s="84" t="str">
        <f>IF(B628="","",VLOOKUP(A628,Journal!$C$7:$L$84,10))</f>
        <v/>
      </c>
      <c r="F628" s="84" t="str">
        <f>IF(B628="","",VLOOKUP(A628,Journal!$C$7:$M$84,11))</f>
        <v/>
      </c>
      <c r="G628" s="102">
        <f>IF(B628="Total",SUM(G$8:G627)+0.0001,IF(OR(B628="",M628=0),0,VLOOKUP(A628,Journal!$C$7:M$84,7)))</f>
        <v>0</v>
      </c>
      <c r="H628" s="102">
        <f>IF(B628="Total",SUM(H$8:H627)+0.0001,IF(OR(B628="",N628=0),0,VLOOKUP(A628,Journal!$C$7:M$84,7)))</f>
        <v>0</v>
      </c>
      <c r="I628" s="87">
        <f t="shared" si="58"/>
        <v>0</v>
      </c>
      <c r="K628" s="13">
        <f>VLOOKUP(A628,Journal!$C$7:$M$84,4)</f>
        <v>0</v>
      </c>
      <c r="L628" s="13">
        <f>VLOOKUP(A628,Journal!$C$7:$M$84,5)</f>
        <v>0</v>
      </c>
      <c r="M628" s="13">
        <f t="shared" si="60"/>
        <v>0</v>
      </c>
      <c r="N628" s="13">
        <f t="shared" si="61"/>
        <v>0</v>
      </c>
      <c r="O628" s="13"/>
      <c r="P628" s="13">
        <f t="shared" si="62"/>
        <v>1.0000000000000001E-5</v>
      </c>
      <c r="T628" t="str">
        <f t="shared" si="57"/>
        <v/>
      </c>
    </row>
    <row r="629" spans="1:20" x14ac:dyDescent="0.25">
      <c r="A629">
        <f t="shared" si="59"/>
        <v>622</v>
      </c>
      <c r="B629" s="88" t="str">
        <f>IF(OR(B628="Total",B628=""),"",IF(VLOOKUP(A629,Journal!$C$7:$E$84,3)=0,"Total",VLOOKUP(A629,Journal!$C$7:$D$84,2)))</f>
        <v/>
      </c>
      <c r="C629" s="86" t="str">
        <f>IF(B629="","",VLOOKUP(A629,Journal!$C$7:$E$84,3))</f>
        <v/>
      </c>
      <c r="D629" s="84" t="str">
        <f>IF(B629="","",VLOOKUP(A629,Journal!$C$7:$J$84,8))</f>
        <v/>
      </c>
      <c r="E629" s="84" t="str">
        <f>IF(B629="","",VLOOKUP(A629,Journal!$C$7:$L$84,10))</f>
        <v/>
      </c>
      <c r="F629" s="84" t="str">
        <f>IF(B629="","",VLOOKUP(A629,Journal!$C$7:$M$84,11))</f>
        <v/>
      </c>
      <c r="G629" s="102">
        <f>IF(B629="Total",SUM(G$8:G628)+0.0001,IF(OR(B629="",M629=0),0,VLOOKUP(A629,Journal!$C$7:M$84,7)))</f>
        <v>0</v>
      </c>
      <c r="H629" s="102">
        <f>IF(B629="Total",SUM(H$8:H628)+0.0001,IF(OR(B629="",N629=0),0,VLOOKUP(A629,Journal!$C$7:M$84,7)))</f>
        <v>0</v>
      </c>
      <c r="I629" s="87">
        <f t="shared" si="58"/>
        <v>0</v>
      </c>
      <c r="K629" s="13">
        <f>VLOOKUP(A629,Journal!$C$7:$M$84,4)</f>
        <v>0</v>
      </c>
      <c r="L629" s="13">
        <f>VLOOKUP(A629,Journal!$C$7:$M$84,5)</f>
        <v>0</v>
      </c>
      <c r="M629" s="13">
        <f t="shared" si="60"/>
        <v>0</v>
      </c>
      <c r="N629" s="13">
        <f t="shared" si="61"/>
        <v>0</v>
      </c>
      <c r="O629" s="13"/>
      <c r="P629" s="13">
        <f t="shared" si="62"/>
        <v>1.0000000000000001E-5</v>
      </c>
      <c r="T629" t="str">
        <f t="shared" si="57"/>
        <v/>
      </c>
    </row>
    <row r="630" spans="1:20" x14ac:dyDescent="0.25">
      <c r="A630">
        <f t="shared" si="59"/>
        <v>623</v>
      </c>
      <c r="B630" s="88" t="str">
        <f>IF(OR(B629="Total",B629=""),"",IF(VLOOKUP(A630,Journal!$C$7:$E$84,3)=0,"Total",VLOOKUP(A630,Journal!$C$7:$D$84,2)))</f>
        <v/>
      </c>
      <c r="C630" s="86" t="str">
        <f>IF(B630="","",VLOOKUP(A630,Journal!$C$7:$E$84,3))</f>
        <v/>
      </c>
      <c r="D630" s="84" t="str">
        <f>IF(B630="","",VLOOKUP(A630,Journal!$C$7:$J$84,8))</f>
        <v/>
      </c>
      <c r="E630" s="84" t="str">
        <f>IF(B630="","",VLOOKUP(A630,Journal!$C$7:$L$84,10))</f>
        <v/>
      </c>
      <c r="F630" s="84" t="str">
        <f>IF(B630="","",VLOOKUP(A630,Journal!$C$7:$M$84,11))</f>
        <v/>
      </c>
      <c r="G630" s="102">
        <f>IF(B630="Total",SUM(G$8:G629)+0.0001,IF(OR(B630="",M630=0),0,VLOOKUP(A630,Journal!$C$7:M$84,7)))</f>
        <v>0</v>
      </c>
      <c r="H630" s="102">
        <f>IF(B630="Total",SUM(H$8:H629)+0.0001,IF(OR(B630="",N630=0),0,VLOOKUP(A630,Journal!$C$7:M$84,7)))</f>
        <v>0</v>
      </c>
      <c r="I630" s="87">
        <f t="shared" si="58"/>
        <v>0</v>
      </c>
      <c r="K630" s="13">
        <f>VLOOKUP(A630,Journal!$C$7:$M$84,4)</f>
        <v>0</v>
      </c>
      <c r="L630" s="13">
        <f>VLOOKUP(A630,Journal!$C$7:$M$84,5)</f>
        <v>0</v>
      </c>
      <c r="M630" s="13">
        <f t="shared" si="60"/>
        <v>0</v>
      </c>
      <c r="N630" s="13">
        <f t="shared" si="61"/>
        <v>0</v>
      </c>
      <c r="O630" s="13"/>
      <c r="P630" s="13">
        <f t="shared" si="62"/>
        <v>1.0000000000000001E-5</v>
      </c>
      <c r="T630" t="str">
        <f t="shared" si="57"/>
        <v/>
      </c>
    </row>
    <row r="631" spans="1:20" x14ac:dyDescent="0.25">
      <c r="A631">
        <f t="shared" si="59"/>
        <v>624</v>
      </c>
      <c r="B631" s="88" t="str">
        <f>IF(OR(B630="Total",B630=""),"",IF(VLOOKUP(A631,Journal!$C$7:$E$84,3)=0,"Total",VLOOKUP(A631,Journal!$C$7:$D$84,2)))</f>
        <v/>
      </c>
      <c r="C631" s="86" t="str">
        <f>IF(B631="","",VLOOKUP(A631,Journal!$C$7:$E$84,3))</f>
        <v/>
      </c>
      <c r="D631" s="84" t="str">
        <f>IF(B631="","",VLOOKUP(A631,Journal!$C$7:$J$84,8))</f>
        <v/>
      </c>
      <c r="E631" s="84" t="str">
        <f>IF(B631="","",VLOOKUP(A631,Journal!$C$7:$L$84,10))</f>
        <v/>
      </c>
      <c r="F631" s="84" t="str">
        <f>IF(B631="","",VLOOKUP(A631,Journal!$C$7:$M$84,11))</f>
        <v/>
      </c>
      <c r="G631" s="102">
        <f>IF(B631="Total",SUM(G$8:G630)+0.0001,IF(OR(B631="",M631=0),0,VLOOKUP(A631,Journal!$C$7:M$84,7)))</f>
        <v>0</v>
      </c>
      <c r="H631" s="102">
        <f>IF(B631="Total",SUM(H$8:H630)+0.0001,IF(OR(B631="",N631=0),0,VLOOKUP(A631,Journal!$C$7:M$84,7)))</f>
        <v>0</v>
      </c>
      <c r="I631" s="87">
        <f t="shared" si="58"/>
        <v>0</v>
      </c>
      <c r="K631" s="13">
        <f>VLOOKUP(A631,Journal!$C$7:$M$84,4)</f>
        <v>0</v>
      </c>
      <c r="L631" s="13">
        <f>VLOOKUP(A631,Journal!$C$7:$M$84,5)</f>
        <v>0</v>
      </c>
      <c r="M631" s="13">
        <f t="shared" si="60"/>
        <v>0</v>
      </c>
      <c r="N631" s="13">
        <f t="shared" si="61"/>
        <v>0</v>
      </c>
      <c r="O631" s="13"/>
      <c r="P631" s="13">
        <f t="shared" si="62"/>
        <v>1.0000000000000001E-5</v>
      </c>
      <c r="T631" t="str">
        <f t="shared" si="57"/>
        <v/>
      </c>
    </row>
    <row r="632" spans="1:20" x14ac:dyDescent="0.25">
      <c r="A632">
        <f t="shared" si="59"/>
        <v>625</v>
      </c>
      <c r="B632" s="88" t="str">
        <f>IF(OR(B631="Total",B631=""),"",IF(VLOOKUP(A632,Journal!$C$7:$E$84,3)=0,"Total",VLOOKUP(A632,Journal!$C$7:$D$84,2)))</f>
        <v/>
      </c>
      <c r="C632" s="86" t="str">
        <f>IF(B632="","",VLOOKUP(A632,Journal!$C$7:$E$84,3))</f>
        <v/>
      </c>
      <c r="D632" s="84" t="str">
        <f>IF(B632="","",VLOOKUP(A632,Journal!$C$7:$J$84,8))</f>
        <v/>
      </c>
      <c r="E632" s="84" t="str">
        <f>IF(B632="","",VLOOKUP(A632,Journal!$C$7:$L$84,10))</f>
        <v/>
      </c>
      <c r="F632" s="84" t="str">
        <f>IF(B632="","",VLOOKUP(A632,Journal!$C$7:$M$84,11))</f>
        <v/>
      </c>
      <c r="G632" s="102">
        <f>IF(B632="Total",SUM(G$8:G631)+0.0001,IF(OR(B632="",M632=0),0,VLOOKUP(A632,Journal!$C$7:M$84,7)))</f>
        <v>0</v>
      </c>
      <c r="H632" s="102">
        <f>IF(B632="Total",SUM(H$8:H631)+0.0001,IF(OR(B632="",N632=0),0,VLOOKUP(A632,Journal!$C$7:M$84,7)))</f>
        <v>0</v>
      </c>
      <c r="I632" s="87">
        <f t="shared" si="58"/>
        <v>0</v>
      </c>
      <c r="K632" s="13">
        <f>VLOOKUP(A632,Journal!$C$7:$M$84,4)</f>
        <v>0</v>
      </c>
      <c r="L632" s="13">
        <f>VLOOKUP(A632,Journal!$C$7:$M$84,5)</f>
        <v>0</v>
      </c>
      <c r="M632" s="13">
        <f t="shared" si="60"/>
        <v>0</v>
      </c>
      <c r="N632" s="13">
        <f t="shared" si="61"/>
        <v>0</v>
      </c>
      <c r="O632" s="13"/>
      <c r="P632" s="13">
        <f t="shared" si="62"/>
        <v>1.0000000000000001E-5</v>
      </c>
      <c r="T632" t="str">
        <f t="shared" si="57"/>
        <v/>
      </c>
    </row>
    <row r="633" spans="1:20" x14ac:dyDescent="0.25">
      <c r="A633">
        <f t="shared" si="59"/>
        <v>626</v>
      </c>
      <c r="B633" s="88" t="str">
        <f>IF(OR(B632="Total",B632=""),"",IF(VLOOKUP(A633,Journal!$C$7:$E$84,3)=0,"Total",VLOOKUP(A633,Journal!$C$7:$D$84,2)))</f>
        <v/>
      </c>
      <c r="C633" s="86" t="str">
        <f>IF(B633="","",VLOOKUP(A633,Journal!$C$7:$E$84,3))</f>
        <v/>
      </c>
      <c r="D633" s="84" t="str">
        <f>IF(B633="","",VLOOKUP(A633,Journal!$C$7:$J$84,8))</f>
        <v/>
      </c>
      <c r="E633" s="84" t="str">
        <f>IF(B633="","",VLOOKUP(A633,Journal!$C$7:$L$84,10))</f>
        <v/>
      </c>
      <c r="F633" s="84" t="str">
        <f>IF(B633="","",VLOOKUP(A633,Journal!$C$7:$M$84,11))</f>
        <v/>
      </c>
      <c r="G633" s="102">
        <f>IF(B633="Total",SUM(G$8:G632)+0.0001,IF(OR(B633="",M633=0),0,VLOOKUP(A633,Journal!$C$7:M$84,7)))</f>
        <v>0</v>
      </c>
      <c r="H633" s="102">
        <f>IF(B633="Total",SUM(H$8:H632)+0.0001,IF(OR(B633="",N633=0),0,VLOOKUP(A633,Journal!$C$7:M$84,7)))</f>
        <v>0</v>
      </c>
      <c r="I633" s="87">
        <f t="shared" si="58"/>
        <v>0</v>
      </c>
      <c r="K633" s="13">
        <f>VLOOKUP(A633,Journal!$C$7:$M$84,4)</f>
        <v>0</v>
      </c>
      <c r="L633" s="13">
        <f>VLOOKUP(A633,Journal!$C$7:$M$84,5)</f>
        <v>0</v>
      </c>
      <c r="M633" s="13">
        <f t="shared" si="60"/>
        <v>0</v>
      </c>
      <c r="N633" s="13">
        <f t="shared" si="61"/>
        <v>0</v>
      </c>
      <c r="O633" s="13"/>
      <c r="P633" s="13">
        <f t="shared" si="62"/>
        <v>1.0000000000000001E-5</v>
      </c>
      <c r="T633" t="str">
        <f t="shared" si="57"/>
        <v/>
      </c>
    </row>
    <row r="634" spans="1:20" x14ac:dyDescent="0.25">
      <c r="A634">
        <f t="shared" si="59"/>
        <v>627</v>
      </c>
      <c r="B634" s="88" t="str">
        <f>IF(OR(B633="Total",B633=""),"",IF(VLOOKUP(A634,Journal!$C$7:$E$84,3)=0,"Total",VLOOKUP(A634,Journal!$C$7:$D$84,2)))</f>
        <v/>
      </c>
      <c r="C634" s="86" t="str">
        <f>IF(B634="","",VLOOKUP(A634,Journal!$C$7:$E$84,3))</f>
        <v/>
      </c>
      <c r="D634" s="84" t="str">
        <f>IF(B634="","",VLOOKUP(A634,Journal!$C$7:$J$84,8))</f>
        <v/>
      </c>
      <c r="E634" s="84" t="str">
        <f>IF(B634="","",VLOOKUP(A634,Journal!$C$7:$L$84,10))</f>
        <v/>
      </c>
      <c r="F634" s="84" t="str">
        <f>IF(B634="","",VLOOKUP(A634,Journal!$C$7:$M$84,11))</f>
        <v/>
      </c>
      <c r="G634" s="102">
        <f>IF(B634="Total",SUM(G$8:G633)+0.0001,IF(OR(B634="",M634=0),0,VLOOKUP(A634,Journal!$C$7:M$84,7)))</f>
        <v>0</v>
      </c>
      <c r="H634" s="102">
        <f>IF(B634="Total",SUM(H$8:H633)+0.0001,IF(OR(B634="",N634=0),0,VLOOKUP(A634,Journal!$C$7:M$84,7)))</f>
        <v>0</v>
      </c>
      <c r="I634" s="87">
        <f t="shared" si="58"/>
        <v>0</v>
      </c>
      <c r="K634" s="13">
        <f>VLOOKUP(A634,Journal!$C$7:$M$84,4)</f>
        <v>0</v>
      </c>
      <c r="L634" s="13">
        <f>VLOOKUP(A634,Journal!$C$7:$M$84,5)</f>
        <v>0</v>
      </c>
      <c r="M634" s="13">
        <f t="shared" si="60"/>
        <v>0</v>
      </c>
      <c r="N634" s="13">
        <f t="shared" si="61"/>
        <v>0</v>
      </c>
      <c r="O634" s="13"/>
      <c r="P634" s="13">
        <f t="shared" si="62"/>
        <v>1.0000000000000001E-5</v>
      </c>
      <c r="T634" t="str">
        <f t="shared" si="57"/>
        <v/>
      </c>
    </row>
    <row r="635" spans="1:20" x14ac:dyDescent="0.25">
      <c r="A635">
        <f t="shared" si="59"/>
        <v>628</v>
      </c>
      <c r="B635" s="88" t="str">
        <f>IF(OR(B634="Total",B634=""),"",IF(VLOOKUP(A635,Journal!$C$7:$E$84,3)=0,"Total",VLOOKUP(A635,Journal!$C$7:$D$84,2)))</f>
        <v/>
      </c>
      <c r="C635" s="86" t="str">
        <f>IF(B635="","",VLOOKUP(A635,Journal!$C$7:$E$84,3))</f>
        <v/>
      </c>
      <c r="D635" s="84" t="str">
        <f>IF(B635="","",VLOOKUP(A635,Journal!$C$7:$J$84,8))</f>
        <v/>
      </c>
      <c r="E635" s="84" t="str">
        <f>IF(B635="","",VLOOKUP(A635,Journal!$C$7:$L$84,10))</f>
        <v/>
      </c>
      <c r="F635" s="84" t="str">
        <f>IF(B635="","",VLOOKUP(A635,Journal!$C$7:$M$84,11))</f>
        <v/>
      </c>
      <c r="G635" s="102">
        <f>IF(B635="Total",SUM(G$8:G634)+0.0001,IF(OR(B635="",M635=0),0,VLOOKUP(A635,Journal!$C$7:M$84,7)))</f>
        <v>0</v>
      </c>
      <c r="H635" s="102">
        <f>IF(B635="Total",SUM(H$8:H634)+0.0001,IF(OR(B635="",N635=0),0,VLOOKUP(A635,Journal!$C$7:M$84,7)))</f>
        <v>0</v>
      </c>
      <c r="I635" s="87">
        <f t="shared" si="58"/>
        <v>0</v>
      </c>
      <c r="K635" s="13">
        <f>VLOOKUP(A635,Journal!$C$7:$M$84,4)</f>
        <v>0</v>
      </c>
      <c r="L635" s="13">
        <f>VLOOKUP(A635,Journal!$C$7:$M$84,5)</f>
        <v>0</v>
      </c>
      <c r="M635" s="13">
        <f t="shared" si="60"/>
        <v>0</v>
      </c>
      <c r="N635" s="13">
        <f t="shared" si="61"/>
        <v>0</v>
      </c>
      <c r="O635" s="13"/>
      <c r="P635" s="13">
        <f t="shared" si="62"/>
        <v>1.0000000000000001E-5</v>
      </c>
      <c r="T635" t="str">
        <f t="shared" si="57"/>
        <v/>
      </c>
    </row>
    <row r="636" spans="1:20" x14ac:dyDescent="0.25">
      <c r="A636">
        <f t="shared" si="59"/>
        <v>629</v>
      </c>
      <c r="B636" s="88" t="str">
        <f>IF(OR(B635="Total",B635=""),"",IF(VLOOKUP(A636,Journal!$C$7:$E$84,3)=0,"Total",VLOOKUP(A636,Journal!$C$7:$D$84,2)))</f>
        <v/>
      </c>
      <c r="C636" s="86" t="str">
        <f>IF(B636="","",VLOOKUP(A636,Journal!$C$7:$E$84,3))</f>
        <v/>
      </c>
      <c r="D636" s="84" t="str">
        <f>IF(B636="","",VLOOKUP(A636,Journal!$C$7:$J$84,8))</f>
        <v/>
      </c>
      <c r="E636" s="84" t="str">
        <f>IF(B636="","",VLOOKUP(A636,Journal!$C$7:$L$84,10))</f>
        <v/>
      </c>
      <c r="F636" s="84" t="str">
        <f>IF(B636="","",VLOOKUP(A636,Journal!$C$7:$M$84,11))</f>
        <v/>
      </c>
      <c r="G636" s="102">
        <f>IF(B636="Total",SUM(G$8:G635)+0.0001,IF(OR(B636="",M636=0),0,VLOOKUP(A636,Journal!$C$7:M$84,7)))</f>
        <v>0</v>
      </c>
      <c r="H636" s="102">
        <f>IF(B636="Total",SUM(H$8:H635)+0.0001,IF(OR(B636="",N636=0),0,VLOOKUP(A636,Journal!$C$7:M$84,7)))</f>
        <v>0</v>
      </c>
      <c r="I636" s="87">
        <f t="shared" si="58"/>
        <v>0</v>
      </c>
      <c r="K636" s="13">
        <f>VLOOKUP(A636,Journal!$C$7:$M$84,4)</f>
        <v>0</v>
      </c>
      <c r="L636" s="13">
        <f>VLOOKUP(A636,Journal!$C$7:$M$84,5)</f>
        <v>0</v>
      </c>
      <c r="M636" s="13">
        <f t="shared" si="60"/>
        <v>0</v>
      </c>
      <c r="N636" s="13">
        <f t="shared" si="61"/>
        <v>0</v>
      </c>
      <c r="O636" s="13"/>
      <c r="P636" s="13">
        <f t="shared" si="62"/>
        <v>1.0000000000000001E-5</v>
      </c>
      <c r="T636" t="str">
        <f t="shared" si="57"/>
        <v/>
      </c>
    </row>
    <row r="637" spans="1:20" x14ac:dyDescent="0.25">
      <c r="A637">
        <f t="shared" si="59"/>
        <v>630</v>
      </c>
      <c r="B637" s="88" t="str">
        <f>IF(OR(B636="Total",B636=""),"",IF(VLOOKUP(A637,Journal!$C$7:$E$84,3)=0,"Total",VLOOKUP(A637,Journal!$C$7:$D$84,2)))</f>
        <v/>
      </c>
      <c r="C637" s="86" t="str">
        <f>IF(B637="","",VLOOKUP(A637,Journal!$C$7:$E$84,3))</f>
        <v/>
      </c>
      <c r="D637" s="84" t="str">
        <f>IF(B637="","",VLOOKUP(A637,Journal!$C$7:$J$84,8))</f>
        <v/>
      </c>
      <c r="E637" s="84" t="str">
        <f>IF(B637="","",VLOOKUP(A637,Journal!$C$7:$L$84,10))</f>
        <v/>
      </c>
      <c r="F637" s="84" t="str">
        <f>IF(B637="","",VLOOKUP(A637,Journal!$C$7:$M$84,11))</f>
        <v/>
      </c>
      <c r="G637" s="102">
        <f>IF(B637="Total",SUM(G$8:G636)+0.0001,IF(OR(B637="",M637=0),0,VLOOKUP(A637,Journal!$C$7:M$84,7)))</f>
        <v>0</v>
      </c>
      <c r="H637" s="102">
        <f>IF(B637="Total",SUM(H$8:H636)+0.0001,IF(OR(B637="",N637=0),0,VLOOKUP(A637,Journal!$C$7:M$84,7)))</f>
        <v>0</v>
      </c>
      <c r="I637" s="87">
        <f t="shared" si="58"/>
        <v>0</v>
      </c>
      <c r="K637" s="13">
        <f>VLOOKUP(A637,Journal!$C$7:$M$84,4)</f>
        <v>0</v>
      </c>
      <c r="L637" s="13">
        <f>VLOOKUP(A637,Journal!$C$7:$M$84,5)</f>
        <v>0</v>
      </c>
      <c r="M637" s="13">
        <f t="shared" si="60"/>
        <v>0</v>
      </c>
      <c r="N637" s="13">
        <f t="shared" si="61"/>
        <v>0</v>
      </c>
      <c r="O637" s="13"/>
      <c r="P637" s="13">
        <f t="shared" si="62"/>
        <v>1.0000000000000001E-5</v>
      </c>
      <c r="T637" t="str">
        <f t="shared" si="57"/>
        <v/>
      </c>
    </row>
    <row r="638" spans="1:20" x14ac:dyDescent="0.25">
      <c r="A638">
        <f t="shared" si="59"/>
        <v>631</v>
      </c>
      <c r="B638" s="88" t="str">
        <f>IF(OR(B637="Total",B637=""),"",IF(VLOOKUP(A638,Journal!$C$7:$E$84,3)=0,"Total",VLOOKUP(A638,Journal!$C$7:$D$84,2)))</f>
        <v/>
      </c>
      <c r="C638" s="86" t="str">
        <f>IF(B638="","",VLOOKUP(A638,Journal!$C$7:$E$84,3))</f>
        <v/>
      </c>
      <c r="D638" s="84" t="str">
        <f>IF(B638="","",VLOOKUP(A638,Journal!$C$7:$J$84,8))</f>
        <v/>
      </c>
      <c r="E638" s="84" t="str">
        <f>IF(B638="","",VLOOKUP(A638,Journal!$C$7:$L$84,10))</f>
        <v/>
      </c>
      <c r="F638" s="84" t="str">
        <f>IF(B638="","",VLOOKUP(A638,Journal!$C$7:$M$84,11))</f>
        <v/>
      </c>
      <c r="G638" s="102">
        <f>IF(B638="Total",SUM(G$8:G637)+0.0001,IF(OR(B638="",M638=0),0,VLOOKUP(A638,Journal!$C$7:M$84,7)))</f>
        <v>0</v>
      </c>
      <c r="H638" s="102">
        <f>IF(B638="Total",SUM(H$8:H637)+0.0001,IF(OR(B638="",N638=0),0,VLOOKUP(A638,Journal!$C$7:M$84,7)))</f>
        <v>0</v>
      </c>
      <c r="I638" s="87">
        <f t="shared" si="58"/>
        <v>0</v>
      </c>
      <c r="K638" s="13">
        <f>VLOOKUP(A638,Journal!$C$7:$M$84,4)</f>
        <v>0</v>
      </c>
      <c r="L638" s="13">
        <f>VLOOKUP(A638,Journal!$C$7:$M$84,5)</f>
        <v>0</v>
      </c>
      <c r="M638" s="13">
        <f t="shared" si="60"/>
        <v>0</v>
      </c>
      <c r="N638" s="13">
        <f t="shared" si="61"/>
        <v>0</v>
      </c>
      <c r="O638" s="13"/>
      <c r="P638" s="13">
        <f t="shared" si="62"/>
        <v>1.0000000000000001E-5</v>
      </c>
      <c r="T638" t="str">
        <f t="shared" si="57"/>
        <v/>
      </c>
    </row>
    <row r="639" spans="1:20" x14ac:dyDescent="0.25">
      <c r="A639">
        <f t="shared" si="59"/>
        <v>632</v>
      </c>
      <c r="B639" s="88" t="str">
        <f>IF(OR(B638="Total",B638=""),"",IF(VLOOKUP(A639,Journal!$C$7:$E$84,3)=0,"Total",VLOOKUP(A639,Journal!$C$7:$D$84,2)))</f>
        <v/>
      </c>
      <c r="C639" s="86" t="str">
        <f>IF(B639="","",VLOOKUP(A639,Journal!$C$7:$E$84,3))</f>
        <v/>
      </c>
      <c r="D639" s="84" t="str">
        <f>IF(B639="","",VLOOKUP(A639,Journal!$C$7:$J$84,8))</f>
        <v/>
      </c>
      <c r="E639" s="84" t="str">
        <f>IF(B639="","",VLOOKUP(A639,Journal!$C$7:$L$84,10))</f>
        <v/>
      </c>
      <c r="F639" s="84" t="str">
        <f>IF(B639="","",VLOOKUP(A639,Journal!$C$7:$M$84,11))</f>
        <v/>
      </c>
      <c r="G639" s="102">
        <f>IF(B639="Total",SUM(G$8:G638)+0.0001,IF(OR(B639="",M639=0),0,VLOOKUP(A639,Journal!$C$7:M$84,7)))</f>
        <v>0</v>
      </c>
      <c r="H639" s="102">
        <f>IF(B639="Total",SUM(H$8:H638)+0.0001,IF(OR(B639="",N639=0),0,VLOOKUP(A639,Journal!$C$7:M$84,7)))</f>
        <v>0</v>
      </c>
      <c r="I639" s="87">
        <f t="shared" si="58"/>
        <v>0</v>
      </c>
      <c r="K639" s="13">
        <f>VLOOKUP(A639,Journal!$C$7:$M$84,4)</f>
        <v>0</v>
      </c>
      <c r="L639" s="13">
        <f>VLOOKUP(A639,Journal!$C$7:$M$84,5)</f>
        <v>0</v>
      </c>
      <c r="M639" s="13">
        <f t="shared" si="60"/>
        <v>0</v>
      </c>
      <c r="N639" s="13">
        <f t="shared" si="61"/>
        <v>0</v>
      </c>
      <c r="O639" s="13"/>
      <c r="P639" s="13">
        <f t="shared" si="62"/>
        <v>1.0000000000000001E-5</v>
      </c>
      <c r="T639" t="str">
        <f t="shared" si="57"/>
        <v/>
      </c>
    </row>
    <row r="640" spans="1:20" x14ac:dyDescent="0.25">
      <c r="A640">
        <f t="shared" si="59"/>
        <v>633</v>
      </c>
      <c r="B640" s="88" t="str">
        <f>IF(OR(B639="Total",B639=""),"",IF(VLOOKUP(A640,Journal!$C$7:$E$84,3)=0,"Total",VLOOKUP(A640,Journal!$C$7:$D$84,2)))</f>
        <v/>
      </c>
      <c r="C640" s="86" t="str">
        <f>IF(B640="","",VLOOKUP(A640,Journal!$C$7:$E$84,3))</f>
        <v/>
      </c>
      <c r="D640" s="84" t="str">
        <f>IF(B640="","",VLOOKUP(A640,Journal!$C$7:$J$84,8))</f>
        <v/>
      </c>
      <c r="E640" s="84" t="str">
        <f>IF(B640="","",VLOOKUP(A640,Journal!$C$7:$L$84,10))</f>
        <v/>
      </c>
      <c r="F640" s="84" t="str">
        <f>IF(B640="","",VLOOKUP(A640,Journal!$C$7:$M$84,11))</f>
        <v/>
      </c>
      <c r="G640" s="102">
        <f>IF(B640="Total",SUM(G$8:G639)+0.0001,IF(OR(B640="",M640=0),0,VLOOKUP(A640,Journal!$C$7:M$84,7)))</f>
        <v>0</v>
      </c>
      <c r="H640" s="102">
        <f>IF(B640="Total",SUM(H$8:H639)+0.0001,IF(OR(B640="",N640=0),0,VLOOKUP(A640,Journal!$C$7:M$84,7)))</f>
        <v>0</v>
      </c>
      <c r="I640" s="87">
        <f t="shared" si="58"/>
        <v>0</v>
      </c>
      <c r="K640" s="13">
        <f>VLOOKUP(A640,Journal!$C$7:$M$84,4)</f>
        <v>0</v>
      </c>
      <c r="L640" s="13">
        <f>VLOOKUP(A640,Journal!$C$7:$M$84,5)</f>
        <v>0</v>
      </c>
      <c r="M640" s="13">
        <f t="shared" si="60"/>
        <v>0</v>
      </c>
      <c r="N640" s="13">
        <f t="shared" si="61"/>
        <v>0</v>
      </c>
      <c r="O640" s="13"/>
      <c r="P640" s="13">
        <f t="shared" si="62"/>
        <v>1.0000000000000001E-5</v>
      </c>
      <c r="T640" t="str">
        <f t="shared" si="57"/>
        <v/>
      </c>
    </row>
    <row r="641" spans="1:20" x14ac:dyDescent="0.25">
      <c r="A641">
        <f t="shared" si="59"/>
        <v>634</v>
      </c>
      <c r="B641" s="88" t="str">
        <f>IF(OR(B640="Total",B640=""),"",IF(VLOOKUP(A641,Journal!$C$7:$E$84,3)=0,"Total",VLOOKUP(A641,Journal!$C$7:$D$84,2)))</f>
        <v/>
      </c>
      <c r="C641" s="86" t="str">
        <f>IF(B641="","",VLOOKUP(A641,Journal!$C$7:$E$84,3))</f>
        <v/>
      </c>
      <c r="D641" s="84" t="str">
        <f>IF(B641="","",VLOOKUP(A641,Journal!$C$7:$J$84,8))</f>
        <v/>
      </c>
      <c r="E641" s="84" t="str">
        <f>IF(B641="","",VLOOKUP(A641,Journal!$C$7:$L$84,10))</f>
        <v/>
      </c>
      <c r="F641" s="84" t="str">
        <f>IF(B641="","",VLOOKUP(A641,Journal!$C$7:$M$84,11))</f>
        <v/>
      </c>
      <c r="G641" s="102">
        <f>IF(B641="Total",SUM(G$8:G640)+0.0001,IF(OR(B641="",M641=0),0,VLOOKUP(A641,Journal!$C$7:M$84,7)))</f>
        <v>0</v>
      </c>
      <c r="H641" s="102">
        <f>IF(B641="Total",SUM(H$8:H640)+0.0001,IF(OR(B641="",N641=0),0,VLOOKUP(A641,Journal!$C$7:M$84,7)))</f>
        <v>0</v>
      </c>
      <c r="I641" s="87">
        <f t="shared" si="58"/>
        <v>0</v>
      </c>
      <c r="K641" s="13">
        <f>VLOOKUP(A641,Journal!$C$7:$M$84,4)</f>
        <v>0</v>
      </c>
      <c r="L641" s="13">
        <f>VLOOKUP(A641,Journal!$C$7:$M$84,5)</f>
        <v>0</v>
      </c>
      <c r="M641" s="13">
        <f t="shared" si="60"/>
        <v>0</v>
      </c>
      <c r="N641" s="13">
        <f t="shared" si="61"/>
        <v>0</v>
      </c>
      <c r="O641" s="13"/>
      <c r="P641" s="13">
        <f t="shared" si="62"/>
        <v>1.0000000000000001E-5</v>
      </c>
      <c r="T641" t="str">
        <f t="shared" si="57"/>
        <v/>
      </c>
    </row>
    <row r="642" spans="1:20" x14ac:dyDescent="0.25">
      <c r="A642">
        <f t="shared" si="59"/>
        <v>635</v>
      </c>
      <c r="B642" s="88" t="str">
        <f>IF(OR(B641="Total",B641=""),"",IF(VLOOKUP(A642,Journal!$C$7:$E$84,3)=0,"Total",VLOOKUP(A642,Journal!$C$7:$D$84,2)))</f>
        <v/>
      </c>
      <c r="C642" s="86" t="str">
        <f>IF(B642="","",VLOOKUP(A642,Journal!$C$7:$E$84,3))</f>
        <v/>
      </c>
      <c r="D642" s="84" t="str">
        <f>IF(B642="","",VLOOKUP(A642,Journal!$C$7:$J$84,8))</f>
        <v/>
      </c>
      <c r="E642" s="84" t="str">
        <f>IF(B642="","",VLOOKUP(A642,Journal!$C$7:$L$84,10))</f>
        <v/>
      </c>
      <c r="F642" s="84" t="str">
        <f>IF(B642="","",VLOOKUP(A642,Journal!$C$7:$M$84,11))</f>
        <v/>
      </c>
      <c r="G642" s="102">
        <f>IF(B642="Total",SUM(G$8:G641)+0.0001,IF(OR(B642="",M642=0),0,VLOOKUP(A642,Journal!$C$7:M$84,7)))</f>
        <v>0</v>
      </c>
      <c r="H642" s="102">
        <f>IF(B642="Total",SUM(H$8:H641)+0.0001,IF(OR(B642="",N642=0),0,VLOOKUP(A642,Journal!$C$7:M$84,7)))</f>
        <v>0</v>
      </c>
      <c r="I642" s="87">
        <f t="shared" si="58"/>
        <v>0</v>
      </c>
      <c r="K642" s="13">
        <f>VLOOKUP(A642,Journal!$C$7:$M$84,4)</f>
        <v>0</v>
      </c>
      <c r="L642" s="13">
        <f>VLOOKUP(A642,Journal!$C$7:$M$84,5)</f>
        <v>0</v>
      </c>
      <c r="M642" s="13">
        <f t="shared" si="60"/>
        <v>0</v>
      </c>
      <c r="N642" s="13">
        <f t="shared" si="61"/>
        <v>0</v>
      </c>
      <c r="O642" s="13"/>
      <c r="P642" s="13">
        <f t="shared" si="62"/>
        <v>1.0000000000000001E-5</v>
      </c>
      <c r="T642" t="str">
        <f t="shared" si="57"/>
        <v/>
      </c>
    </row>
    <row r="643" spans="1:20" x14ac:dyDescent="0.25">
      <c r="A643">
        <f t="shared" si="59"/>
        <v>636</v>
      </c>
      <c r="B643" s="88" t="str">
        <f>IF(OR(B642="Total",B642=""),"",IF(VLOOKUP(A643,Journal!$C$7:$E$84,3)=0,"Total",VLOOKUP(A643,Journal!$C$7:$D$84,2)))</f>
        <v/>
      </c>
      <c r="C643" s="86" t="str">
        <f>IF(B643="","",VLOOKUP(A643,Journal!$C$7:$E$84,3))</f>
        <v/>
      </c>
      <c r="D643" s="84" t="str">
        <f>IF(B643="","",VLOOKUP(A643,Journal!$C$7:$J$84,8))</f>
        <v/>
      </c>
      <c r="E643" s="84" t="str">
        <f>IF(B643="","",VLOOKUP(A643,Journal!$C$7:$L$84,10))</f>
        <v/>
      </c>
      <c r="F643" s="84" t="str">
        <f>IF(B643="","",VLOOKUP(A643,Journal!$C$7:$M$84,11))</f>
        <v/>
      </c>
      <c r="G643" s="102">
        <f>IF(B643="Total",SUM(G$8:G642)+0.0001,IF(OR(B643="",M643=0),0,VLOOKUP(A643,Journal!$C$7:M$84,7)))</f>
        <v>0</v>
      </c>
      <c r="H643" s="102">
        <f>IF(B643="Total",SUM(H$8:H642)+0.0001,IF(OR(B643="",N643=0),0,VLOOKUP(A643,Journal!$C$7:M$84,7)))</f>
        <v>0</v>
      </c>
      <c r="I643" s="87">
        <f t="shared" si="58"/>
        <v>0</v>
      </c>
      <c r="K643" s="13">
        <f>VLOOKUP(A643,Journal!$C$7:$M$84,4)</f>
        <v>0</v>
      </c>
      <c r="L643" s="13">
        <f>VLOOKUP(A643,Journal!$C$7:$M$84,5)</f>
        <v>0</v>
      </c>
      <c r="M643" s="13">
        <f t="shared" si="60"/>
        <v>0</v>
      </c>
      <c r="N643" s="13">
        <f t="shared" si="61"/>
        <v>0</v>
      </c>
      <c r="O643" s="13"/>
      <c r="P643" s="13">
        <f t="shared" si="62"/>
        <v>1.0000000000000001E-5</v>
      </c>
      <c r="T643" t="str">
        <f t="shared" si="57"/>
        <v/>
      </c>
    </row>
    <row r="644" spans="1:20" x14ac:dyDescent="0.25">
      <c r="A644">
        <f t="shared" si="59"/>
        <v>637</v>
      </c>
      <c r="B644" s="88" t="str">
        <f>IF(OR(B643="Total",B643=""),"",IF(VLOOKUP(A644,Journal!$C$7:$E$84,3)=0,"Total",VLOOKUP(A644,Journal!$C$7:$D$84,2)))</f>
        <v/>
      </c>
      <c r="C644" s="86" t="str">
        <f>IF(B644="","",VLOOKUP(A644,Journal!$C$7:$E$84,3))</f>
        <v/>
      </c>
      <c r="D644" s="84" t="str">
        <f>IF(B644="","",VLOOKUP(A644,Journal!$C$7:$J$84,8))</f>
        <v/>
      </c>
      <c r="E644" s="84" t="str">
        <f>IF(B644="","",VLOOKUP(A644,Journal!$C$7:$L$84,10))</f>
        <v/>
      </c>
      <c r="F644" s="84" t="str">
        <f>IF(B644="","",VLOOKUP(A644,Journal!$C$7:$M$84,11))</f>
        <v/>
      </c>
      <c r="G644" s="102">
        <f>IF(B644="Total",SUM(G$8:G643)+0.0001,IF(OR(B644="",M644=0),0,VLOOKUP(A644,Journal!$C$7:M$84,7)))</f>
        <v>0</v>
      </c>
      <c r="H644" s="102">
        <f>IF(B644="Total",SUM(H$8:H643)+0.0001,IF(OR(B644="",N644=0),0,VLOOKUP(A644,Journal!$C$7:M$84,7)))</f>
        <v>0</v>
      </c>
      <c r="I644" s="87">
        <f t="shared" si="58"/>
        <v>0</v>
      </c>
      <c r="K644" s="13">
        <f>VLOOKUP(A644,Journal!$C$7:$M$84,4)</f>
        <v>0</v>
      </c>
      <c r="L644" s="13">
        <f>VLOOKUP(A644,Journal!$C$7:$M$84,5)</f>
        <v>0</v>
      </c>
      <c r="M644" s="13">
        <f t="shared" si="60"/>
        <v>0</v>
      </c>
      <c r="N644" s="13">
        <f t="shared" si="61"/>
        <v>0</v>
      </c>
      <c r="O644" s="13"/>
      <c r="P644" s="13">
        <f t="shared" si="62"/>
        <v>1.0000000000000001E-5</v>
      </c>
      <c r="T644" t="str">
        <f t="shared" si="57"/>
        <v/>
      </c>
    </row>
    <row r="645" spans="1:20" x14ac:dyDescent="0.25">
      <c r="A645">
        <f t="shared" si="59"/>
        <v>638</v>
      </c>
      <c r="B645" s="88" t="str">
        <f>IF(OR(B644="Total",B644=""),"",IF(VLOOKUP(A645,Journal!$C$7:$E$84,3)=0,"Total",VLOOKUP(A645,Journal!$C$7:$D$84,2)))</f>
        <v/>
      </c>
      <c r="C645" s="86" t="str">
        <f>IF(B645="","",VLOOKUP(A645,Journal!$C$7:$E$84,3))</f>
        <v/>
      </c>
      <c r="D645" s="84" t="str">
        <f>IF(B645="","",VLOOKUP(A645,Journal!$C$7:$J$84,8))</f>
        <v/>
      </c>
      <c r="E645" s="84" t="str">
        <f>IF(B645="","",VLOOKUP(A645,Journal!$C$7:$L$84,10))</f>
        <v/>
      </c>
      <c r="F645" s="84" t="str">
        <f>IF(B645="","",VLOOKUP(A645,Journal!$C$7:$M$84,11))</f>
        <v/>
      </c>
      <c r="G645" s="102">
        <f>IF(B645="Total",SUM(G$8:G644)+0.0001,IF(OR(B645="",M645=0),0,VLOOKUP(A645,Journal!$C$7:M$84,7)))</f>
        <v>0</v>
      </c>
      <c r="H645" s="102">
        <f>IF(B645="Total",SUM(H$8:H644)+0.0001,IF(OR(B645="",N645=0),0,VLOOKUP(A645,Journal!$C$7:M$84,7)))</f>
        <v>0</v>
      </c>
      <c r="I645" s="87">
        <f t="shared" si="58"/>
        <v>0</v>
      </c>
      <c r="K645" s="13">
        <f>VLOOKUP(A645,Journal!$C$7:$M$84,4)</f>
        <v>0</v>
      </c>
      <c r="L645" s="13">
        <f>VLOOKUP(A645,Journal!$C$7:$M$84,5)</f>
        <v>0</v>
      </c>
      <c r="M645" s="13">
        <f t="shared" si="60"/>
        <v>0</v>
      </c>
      <c r="N645" s="13">
        <f t="shared" si="61"/>
        <v>0</v>
      </c>
      <c r="O645" s="13"/>
      <c r="P645" s="13">
        <f t="shared" si="62"/>
        <v>1.0000000000000001E-5</v>
      </c>
      <c r="T645" t="str">
        <f t="shared" si="57"/>
        <v/>
      </c>
    </row>
    <row r="646" spans="1:20" x14ac:dyDescent="0.25">
      <c r="A646">
        <f t="shared" si="59"/>
        <v>639</v>
      </c>
      <c r="B646" s="88" t="str">
        <f>IF(OR(B645="Total",B645=""),"",IF(VLOOKUP(A646,Journal!$C$7:$E$84,3)=0,"Total",VLOOKUP(A646,Journal!$C$7:$D$84,2)))</f>
        <v/>
      </c>
      <c r="C646" s="86" t="str">
        <f>IF(B646="","",VLOOKUP(A646,Journal!$C$7:$E$84,3))</f>
        <v/>
      </c>
      <c r="D646" s="84" t="str">
        <f>IF(B646="","",VLOOKUP(A646,Journal!$C$7:$J$84,8))</f>
        <v/>
      </c>
      <c r="E646" s="84" t="str">
        <f>IF(B646="","",VLOOKUP(A646,Journal!$C$7:$L$84,10))</f>
        <v/>
      </c>
      <c r="F646" s="84" t="str">
        <f>IF(B646="","",VLOOKUP(A646,Journal!$C$7:$M$84,11))</f>
        <v/>
      </c>
      <c r="G646" s="102">
        <f>IF(B646="Total",SUM(G$8:G645)+0.0001,IF(OR(B646="",M646=0),0,VLOOKUP(A646,Journal!$C$7:M$84,7)))</f>
        <v>0</v>
      </c>
      <c r="H646" s="102">
        <f>IF(B646="Total",SUM(H$8:H645)+0.0001,IF(OR(B646="",N646=0),0,VLOOKUP(A646,Journal!$C$7:M$84,7)))</f>
        <v>0</v>
      </c>
      <c r="I646" s="87">
        <f t="shared" si="58"/>
        <v>0</v>
      </c>
      <c r="K646" s="13">
        <f>VLOOKUP(A646,Journal!$C$7:$M$84,4)</f>
        <v>0</v>
      </c>
      <c r="L646" s="13">
        <f>VLOOKUP(A646,Journal!$C$7:$M$84,5)</f>
        <v>0</v>
      </c>
      <c r="M646" s="13">
        <f t="shared" si="60"/>
        <v>0</v>
      </c>
      <c r="N646" s="13">
        <f t="shared" si="61"/>
        <v>0</v>
      </c>
      <c r="O646" s="13"/>
      <c r="P646" s="13">
        <f t="shared" si="62"/>
        <v>1.0000000000000001E-5</v>
      </c>
      <c r="T646" t="str">
        <f t="shared" si="57"/>
        <v/>
      </c>
    </row>
    <row r="647" spans="1:20" x14ac:dyDescent="0.25">
      <c r="A647">
        <f t="shared" si="59"/>
        <v>640</v>
      </c>
      <c r="B647" s="88" t="str">
        <f>IF(OR(B646="Total",B646=""),"",IF(VLOOKUP(A647,Journal!$C$7:$E$84,3)=0,"Total",VLOOKUP(A647,Journal!$C$7:$D$84,2)))</f>
        <v/>
      </c>
      <c r="C647" s="86" t="str">
        <f>IF(B647="","",VLOOKUP(A647,Journal!$C$7:$E$84,3))</f>
        <v/>
      </c>
      <c r="D647" s="84" t="str">
        <f>IF(B647="","",VLOOKUP(A647,Journal!$C$7:$J$84,8))</f>
        <v/>
      </c>
      <c r="E647" s="84" t="str">
        <f>IF(B647="","",VLOOKUP(A647,Journal!$C$7:$L$84,10))</f>
        <v/>
      </c>
      <c r="F647" s="84" t="str">
        <f>IF(B647="","",VLOOKUP(A647,Journal!$C$7:$M$84,11))</f>
        <v/>
      </c>
      <c r="G647" s="102">
        <f>IF(B647="Total",SUM(G$8:G646)+0.0001,IF(OR(B647="",M647=0),0,VLOOKUP(A647,Journal!$C$7:M$84,7)))</f>
        <v>0</v>
      </c>
      <c r="H647" s="102">
        <f>IF(B647="Total",SUM(H$8:H646)+0.0001,IF(OR(B647="",N647=0),0,VLOOKUP(A647,Journal!$C$7:M$84,7)))</f>
        <v>0</v>
      </c>
      <c r="I647" s="87">
        <f t="shared" si="58"/>
        <v>0</v>
      </c>
      <c r="K647" s="13">
        <f>VLOOKUP(A647,Journal!$C$7:$M$84,4)</f>
        <v>0</v>
      </c>
      <c r="L647" s="13">
        <f>VLOOKUP(A647,Journal!$C$7:$M$84,5)</f>
        <v>0</v>
      </c>
      <c r="M647" s="13">
        <f t="shared" si="60"/>
        <v>0</v>
      </c>
      <c r="N647" s="13">
        <f t="shared" si="61"/>
        <v>0</v>
      </c>
      <c r="O647" s="13"/>
      <c r="P647" s="13">
        <f t="shared" si="62"/>
        <v>1.0000000000000001E-5</v>
      </c>
      <c r="T647" t="str">
        <f t="shared" si="57"/>
        <v/>
      </c>
    </row>
    <row r="648" spans="1:20" x14ac:dyDescent="0.25">
      <c r="A648">
        <f t="shared" si="59"/>
        <v>641</v>
      </c>
      <c r="B648" s="88" t="str">
        <f>IF(OR(B647="Total",B647=""),"",IF(VLOOKUP(A648,Journal!$C$7:$E$84,3)=0,"Total",VLOOKUP(A648,Journal!$C$7:$D$84,2)))</f>
        <v/>
      </c>
      <c r="C648" s="86" t="str">
        <f>IF(B648="","",VLOOKUP(A648,Journal!$C$7:$E$84,3))</f>
        <v/>
      </c>
      <c r="D648" s="84" t="str">
        <f>IF(B648="","",VLOOKUP(A648,Journal!$C$7:$J$84,8))</f>
        <v/>
      </c>
      <c r="E648" s="84" t="str">
        <f>IF(B648="","",VLOOKUP(A648,Journal!$C$7:$L$84,10))</f>
        <v/>
      </c>
      <c r="F648" s="84" t="str">
        <f>IF(B648="","",VLOOKUP(A648,Journal!$C$7:$M$84,11))</f>
        <v/>
      </c>
      <c r="G648" s="102">
        <f>IF(B648="Total",SUM(G$8:G647)+0.0001,IF(OR(B648="",M648=0),0,VLOOKUP(A648,Journal!$C$7:M$84,7)))</f>
        <v>0</v>
      </c>
      <c r="H648" s="102">
        <f>IF(B648="Total",SUM(H$8:H647)+0.0001,IF(OR(B648="",N648=0),0,VLOOKUP(A648,Journal!$C$7:M$84,7)))</f>
        <v>0</v>
      </c>
      <c r="I648" s="87">
        <f t="shared" si="58"/>
        <v>0</v>
      </c>
      <c r="K648" s="13">
        <f>VLOOKUP(A648,Journal!$C$7:$M$84,4)</f>
        <v>0</v>
      </c>
      <c r="L648" s="13">
        <f>VLOOKUP(A648,Journal!$C$7:$M$84,5)</f>
        <v>0</v>
      </c>
      <c r="M648" s="13">
        <f t="shared" si="60"/>
        <v>0</v>
      </c>
      <c r="N648" s="13">
        <f t="shared" si="61"/>
        <v>0</v>
      </c>
      <c r="O648" s="13"/>
      <c r="P648" s="13">
        <f t="shared" si="62"/>
        <v>1.0000000000000001E-5</v>
      </c>
      <c r="T648" t="str">
        <f t="shared" si="57"/>
        <v/>
      </c>
    </row>
    <row r="649" spans="1:20" x14ac:dyDescent="0.25">
      <c r="A649">
        <f t="shared" si="59"/>
        <v>642</v>
      </c>
      <c r="B649" s="88" t="str">
        <f>IF(OR(B648="Total",B648=""),"",IF(VLOOKUP(A649,Journal!$C$7:$E$84,3)=0,"Total",VLOOKUP(A649,Journal!$C$7:$D$84,2)))</f>
        <v/>
      </c>
      <c r="C649" s="86" t="str">
        <f>IF(B649="","",VLOOKUP(A649,Journal!$C$7:$E$84,3))</f>
        <v/>
      </c>
      <c r="D649" s="84" t="str">
        <f>IF(B649="","",VLOOKUP(A649,Journal!$C$7:$J$84,8))</f>
        <v/>
      </c>
      <c r="E649" s="84" t="str">
        <f>IF(B649="","",VLOOKUP(A649,Journal!$C$7:$L$84,10))</f>
        <v/>
      </c>
      <c r="F649" s="84" t="str">
        <f>IF(B649="","",VLOOKUP(A649,Journal!$C$7:$M$84,11))</f>
        <v/>
      </c>
      <c r="G649" s="102">
        <f>IF(B649="Total",SUM(G$8:G648)+0.0001,IF(OR(B649="",M649=0),0,VLOOKUP(A649,Journal!$C$7:M$84,7)))</f>
        <v>0</v>
      </c>
      <c r="H649" s="102">
        <f>IF(B649="Total",SUM(H$8:H648)+0.0001,IF(OR(B649="",N649=0),0,VLOOKUP(A649,Journal!$C$7:M$84,7)))</f>
        <v>0</v>
      </c>
      <c r="I649" s="87">
        <f t="shared" si="58"/>
        <v>0</v>
      </c>
      <c r="K649" s="13">
        <f>VLOOKUP(A649,Journal!$C$7:$M$84,4)</f>
        <v>0</v>
      </c>
      <c r="L649" s="13">
        <f>VLOOKUP(A649,Journal!$C$7:$M$84,5)</f>
        <v>0</v>
      </c>
      <c r="M649" s="13">
        <f t="shared" si="60"/>
        <v>0</v>
      </c>
      <c r="N649" s="13">
        <f t="shared" si="61"/>
        <v>0</v>
      </c>
      <c r="O649" s="13"/>
      <c r="P649" s="13">
        <f t="shared" si="62"/>
        <v>1.0000000000000001E-5</v>
      </c>
      <c r="T649" t="str">
        <f t="shared" ref="T649:T712" si="63">IF(AND(G649&lt;&gt;0,B649&lt;&gt;"Total",G649=H649),"Beide Konten sind Erfolgskonten, weshalb Saldo gleich bleibt","")</f>
        <v/>
      </c>
    </row>
    <row r="650" spans="1:20" x14ac:dyDescent="0.25">
      <c r="A650">
        <f t="shared" si="59"/>
        <v>643</v>
      </c>
      <c r="B650" s="88" t="str">
        <f>IF(OR(B649="Total",B649=""),"",IF(VLOOKUP(A650,Journal!$C$7:$E$84,3)=0,"Total",VLOOKUP(A650,Journal!$C$7:$D$84,2)))</f>
        <v/>
      </c>
      <c r="C650" s="86" t="str">
        <f>IF(B650="","",VLOOKUP(A650,Journal!$C$7:$E$84,3))</f>
        <v/>
      </c>
      <c r="D650" s="84" t="str">
        <f>IF(B650="","",VLOOKUP(A650,Journal!$C$7:$J$84,8))</f>
        <v/>
      </c>
      <c r="E650" s="84" t="str">
        <f>IF(B650="","",VLOOKUP(A650,Journal!$C$7:$L$84,10))</f>
        <v/>
      </c>
      <c r="F650" s="84" t="str">
        <f>IF(B650="","",VLOOKUP(A650,Journal!$C$7:$M$84,11))</f>
        <v/>
      </c>
      <c r="G650" s="102">
        <f>IF(B650="Total",SUM(G$8:G649)+0.0001,IF(OR(B650="",M650=0),0,VLOOKUP(A650,Journal!$C$7:M$84,7)))</f>
        <v>0</v>
      </c>
      <c r="H650" s="102">
        <f>IF(B650="Total",SUM(H$8:H649)+0.0001,IF(OR(B650="",N650=0),0,VLOOKUP(A650,Journal!$C$7:M$84,7)))</f>
        <v>0</v>
      </c>
      <c r="I650" s="87">
        <f t="shared" ref="I650:I713" si="64">IF(B650="Total",I649,IF(B650="",0,I649+G650-H650))</f>
        <v>0</v>
      </c>
      <c r="K650" s="13">
        <f>VLOOKUP(A650,Journal!$C$7:$M$84,4)</f>
        <v>0</v>
      </c>
      <c r="L650" s="13">
        <f>VLOOKUP(A650,Journal!$C$7:$M$84,5)</f>
        <v>0</v>
      </c>
      <c r="M650" s="13">
        <f t="shared" si="60"/>
        <v>0</v>
      </c>
      <c r="N650" s="13">
        <f t="shared" si="61"/>
        <v>0</v>
      </c>
      <c r="O650" s="13"/>
      <c r="P650" s="13">
        <f t="shared" si="62"/>
        <v>1.0000000000000001E-5</v>
      </c>
      <c r="T650" t="str">
        <f t="shared" si="63"/>
        <v/>
      </c>
    </row>
    <row r="651" spans="1:20" x14ac:dyDescent="0.25">
      <c r="A651">
        <f t="shared" ref="A651:A714" si="65">A650+1</f>
        <v>644</v>
      </c>
      <c r="B651" s="88" t="str">
        <f>IF(OR(B650="Total",B650=""),"",IF(VLOOKUP(A651,Journal!$C$7:$E$84,3)=0,"Total",VLOOKUP(A651,Journal!$C$7:$D$84,2)))</f>
        <v/>
      </c>
      <c r="C651" s="86" t="str">
        <f>IF(B651="","",VLOOKUP(A651,Journal!$C$7:$E$84,3))</f>
        <v/>
      </c>
      <c r="D651" s="84" t="str">
        <f>IF(B651="","",VLOOKUP(A651,Journal!$C$7:$J$84,8))</f>
        <v/>
      </c>
      <c r="E651" s="84" t="str">
        <f>IF(B651="","",VLOOKUP(A651,Journal!$C$7:$L$84,10))</f>
        <v/>
      </c>
      <c r="F651" s="84" t="str">
        <f>IF(B651="","",VLOOKUP(A651,Journal!$C$7:$M$84,11))</f>
        <v/>
      </c>
      <c r="G651" s="102">
        <f>IF(B651="Total",SUM(G$8:G650)+0.0001,IF(OR(B651="",M651=0),0,VLOOKUP(A651,Journal!$C$7:M$84,7)))</f>
        <v>0</v>
      </c>
      <c r="H651" s="102">
        <f>IF(B651="Total",SUM(H$8:H650)+0.0001,IF(OR(B651="",N651=0),0,VLOOKUP(A651,Journal!$C$7:M$84,7)))</f>
        <v>0</v>
      </c>
      <c r="I651" s="87">
        <f t="shared" si="64"/>
        <v>0</v>
      </c>
      <c r="K651" s="13">
        <f>VLOOKUP(A651,Journal!$C$7:$M$84,4)</f>
        <v>0</v>
      </c>
      <c r="L651" s="13">
        <f>VLOOKUP(A651,Journal!$C$7:$M$84,5)</f>
        <v>0</v>
      </c>
      <c r="M651" s="13">
        <f t="shared" si="60"/>
        <v>0</v>
      </c>
      <c r="N651" s="13">
        <f t="shared" si="61"/>
        <v>0</v>
      </c>
      <c r="O651" s="13"/>
      <c r="P651" s="13">
        <f t="shared" si="62"/>
        <v>1.0000000000000001E-5</v>
      </c>
      <c r="T651" t="str">
        <f t="shared" si="63"/>
        <v/>
      </c>
    </row>
    <row r="652" spans="1:20" x14ac:dyDescent="0.25">
      <c r="A652">
        <f t="shared" si="65"/>
        <v>645</v>
      </c>
      <c r="B652" s="88" t="str">
        <f>IF(OR(B651="Total",B651=""),"",IF(VLOOKUP(A652,Journal!$C$7:$E$84,3)=0,"Total",VLOOKUP(A652,Journal!$C$7:$D$84,2)))</f>
        <v/>
      </c>
      <c r="C652" s="86" t="str">
        <f>IF(B652="","",VLOOKUP(A652,Journal!$C$7:$E$84,3))</f>
        <v/>
      </c>
      <c r="D652" s="84" t="str">
        <f>IF(B652="","",VLOOKUP(A652,Journal!$C$7:$J$84,8))</f>
        <v/>
      </c>
      <c r="E652" s="84" t="str">
        <f>IF(B652="","",VLOOKUP(A652,Journal!$C$7:$L$84,10))</f>
        <v/>
      </c>
      <c r="F652" s="84" t="str">
        <f>IF(B652="","",VLOOKUP(A652,Journal!$C$7:$M$84,11))</f>
        <v/>
      </c>
      <c r="G652" s="102">
        <f>IF(B652="Total",SUM(G$8:G651)+0.0001,IF(OR(B652="",M652=0),0,VLOOKUP(A652,Journal!$C$7:M$84,7)))</f>
        <v>0</v>
      </c>
      <c r="H652" s="102">
        <f>IF(B652="Total",SUM(H$8:H651)+0.0001,IF(OR(B652="",N652=0),0,VLOOKUP(A652,Journal!$C$7:M$84,7)))</f>
        <v>0</v>
      </c>
      <c r="I652" s="87">
        <f t="shared" si="64"/>
        <v>0</v>
      </c>
      <c r="K652" s="13">
        <f>VLOOKUP(A652,Journal!$C$7:$M$84,4)</f>
        <v>0</v>
      </c>
      <c r="L652" s="13">
        <f>VLOOKUP(A652,Journal!$C$7:$M$84,5)</f>
        <v>0</v>
      </c>
      <c r="M652" s="13">
        <f t="shared" si="60"/>
        <v>0</v>
      </c>
      <c r="N652" s="13">
        <f t="shared" si="61"/>
        <v>0</v>
      </c>
      <c r="O652" s="13"/>
      <c r="P652" s="13">
        <f t="shared" si="62"/>
        <v>1.0000000000000001E-5</v>
      </c>
      <c r="T652" t="str">
        <f t="shared" si="63"/>
        <v/>
      </c>
    </row>
    <row r="653" spans="1:20" x14ac:dyDescent="0.25">
      <c r="A653">
        <f t="shared" si="65"/>
        <v>646</v>
      </c>
      <c r="B653" s="88" t="str">
        <f>IF(OR(B652="Total",B652=""),"",IF(VLOOKUP(A653,Journal!$C$7:$E$84,3)=0,"Total",VLOOKUP(A653,Journal!$C$7:$D$84,2)))</f>
        <v/>
      </c>
      <c r="C653" s="86" t="str">
        <f>IF(B653="","",VLOOKUP(A653,Journal!$C$7:$E$84,3))</f>
        <v/>
      </c>
      <c r="D653" s="84" t="str">
        <f>IF(B653="","",VLOOKUP(A653,Journal!$C$7:$J$84,8))</f>
        <v/>
      </c>
      <c r="E653" s="84" t="str">
        <f>IF(B653="","",VLOOKUP(A653,Journal!$C$7:$L$84,10))</f>
        <v/>
      </c>
      <c r="F653" s="84" t="str">
        <f>IF(B653="","",VLOOKUP(A653,Journal!$C$7:$M$84,11))</f>
        <v/>
      </c>
      <c r="G653" s="102">
        <f>IF(B653="Total",SUM(G$8:G652)+0.0001,IF(OR(B653="",M653=0),0,VLOOKUP(A653,Journal!$C$7:M$84,7)))</f>
        <v>0</v>
      </c>
      <c r="H653" s="102">
        <f>IF(B653="Total",SUM(H$8:H652)+0.0001,IF(OR(B653="",N653=0),0,VLOOKUP(A653,Journal!$C$7:M$84,7)))</f>
        <v>0</v>
      </c>
      <c r="I653" s="87">
        <f t="shared" si="64"/>
        <v>0</v>
      </c>
      <c r="K653" s="13">
        <f>VLOOKUP(A653,Journal!$C$7:$M$84,4)</f>
        <v>0</v>
      </c>
      <c r="L653" s="13">
        <f>VLOOKUP(A653,Journal!$C$7:$M$84,5)</f>
        <v>0</v>
      </c>
      <c r="M653" s="13">
        <f t="shared" si="60"/>
        <v>0</v>
      </c>
      <c r="N653" s="13">
        <f t="shared" si="61"/>
        <v>0</v>
      </c>
      <c r="O653" s="13"/>
      <c r="P653" s="13">
        <f t="shared" si="62"/>
        <v>1.0000000000000001E-5</v>
      </c>
      <c r="T653" t="str">
        <f t="shared" si="63"/>
        <v/>
      </c>
    </row>
    <row r="654" spans="1:20" x14ac:dyDescent="0.25">
      <c r="A654">
        <f t="shared" si="65"/>
        <v>647</v>
      </c>
      <c r="B654" s="88" t="str">
        <f>IF(OR(B653="Total",B653=""),"",IF(VLOOKUP(A654,Journal!$C$7:$E$84,3)=0,"Total",VLOOKUP(A654,Journal!$C$7:$D$84,2)))</f>
        <v/>
      </c>
      <c r="C654" s="86" t="str">
        <f>IF(B654="","",VLOOKUP(A654,Journal!$C$7:$E$84,3))</f>
        <v/>
      </c>
      <c r="D654" s="84" t="str">
        <f>IF(B654="","",VLOOKUP(A654,Journal!$C$7:$J$84,8))</f>
        <v/>
      </c>
      <c r="E654" s="84" t="str">
        <f>IF(B654="","",VLOOKUP(A654,Journal!$C$7:$L$84,10))</f>
        <v/>
      </c>
      <c r="F654" s="84" t="str">
        <f>IF(B654="","",VLOOKUP(A654,Journal!$C$7:$M$84,11))</f>
        <v/>
      </c>
      <c r="G654" s="102">
        <f>IF(B654="Total",SUM(G$8:G653)+0.0001,IF(OR(B654="",M654=0),0,VLOOKUP(A654,Journal!$C$7:M$84,7)))</f>
        <v>0</v>
      </c>
      <c r="H654" s="102">
        <f>IF(B654="Total",SUM(H$8:H653)+0.0001,IF(OR(B654="",N654=0),0,VLOOKUP(A654,Journal!$C$7:M$84,7)))</f>
        <v>0</v>
      </c>
      <c r="I654" s="87">
        <f t="shared" si="64"/>
        <v>0</v>
      </c>
      <c r="K654" s="13">
        <f>VLOOKUP(A654,Journal!$C$7:$M$84,4)</f>
        <v>0</v>
      </c>
      <c r="L654" s="13">
        <f>VLOOKUP(A654,Journal!$C$7:$M$84,5)</f>
        <v>0</v>
      </c>
      <c r="M654" s="13">
        <f t="shared" si="60"/>
        <v>0</v>
      </c>
      <c r="N654" s="13">
        <f t="shared" si="61"/>
        <v>0</v>
      </c>
      <c r="O654" s="13"/>
      <c r="P654" s="13">
        <f t="shared" si="62"/>
        <v>1.0000000000000001E-5</v>
      </c>
      <c r="T654" t="str">
        <f t="shared" si="63"/>
        <v/>
      </c>
    </row>
    <row r="655" spans="1:20" x14ac:dyDescent="0.25">
      <c r="A655">
        <f t="shared" si="65"/>
        <v>648</v>
      </c>
      <c r="B655" s="88" t="str">
        <f>IF(OR(B654="Total",B654=""),"",IF(VLOOKUP(A655,Journal!$C$7:$E$84,3)=0,"Total",VLOOKUP(A655,Journal!$C$7:$D$84,2)))</f>
        <v/>
      </c>
      <c r="C655" s="86" t="str">
        <f>IF(B655="","",VLOOKUP(A655,Journal!$C$7:$E$84,3))</f>
        <v/>
      </c>
      <c r="D655" s="84" t="str">
        <f>IF(B655="","",VLOOKUP(A655,Journal!$C$7:$J$84,8))</f>
        <v/>
      </c>
      <c r="E655" s="84" t="str">
        <f>IF(B655="","",VLOOKUP(A655,Journal!$C$7:$L$84,10))</f>
        <v/>
      </c>
      <c r="F655" s="84" t="str">
        <f>IF(B655="","",VLOOKUP(A655,Journal!$C$7:$M$84,11))</f>
        <v/>
      </c>
      <c r="G655" s="102">
        <f>IF(B655="Total",SUM(G$8:G654)+0.0001,IF(OR(B655="",M655=0),0,VLOOKUP(A655,Journal!$C$7:M$84,7)))</f>
        <v>0</v>
      </c>
      <c r="H655" s="102">
        <f>IF(B655="Total",SUM(H$8:H654)+0.0001,IF(OR(B655="",N655=0),0,VLOOKUP(A655,Journal!$C$7:M$84,7)))</f>
        <v>0</v>
      </c>
      <c r="I655" s="87">
        <f t="shared" si="64"/>
        <v>0</v>
      </c>
      <c r="K655" s="13">
        <f>VLOOKUP(A655,Journal!$C$7:$M$84,4)</f>
        <v>0</v>
      </c>
      <c r="L655" s="13">
        <f>VLOOKUP(A655,Journal!$C$7:$M$84,5)</f>
        <v>0</v>
      </c>
      <c r="M655" s="13">
        <f t="shared" si="60"/>
        <v>0</v>
      </c>
      <c r="N655" s="13">
        <f t="shared" si="61"/>
        <v>0</v>
      </c>
      <c r="O655" s="13"/>
      <c r="P655" s="13">
        <f t="shared" si="62"/>
        <v>1.0000000000000001E-5</v>
      </c>
      <c r="T655" t="str">
        <f t="shared" si="63"/>
        <v/>
      </c>
    </row>
    <row r="656" spans="1:20" x14ac:dyDescent="0.25">
      <c r="A656">
        <f t="shared" si="65"/>
        <v>649</v>
      </c>
      <c r="B656" s="88" t="str">
        <f>IF(OR(B655="Total",B655=""),"",IF(VLOOKUP(A656,Journal!$C$7:$E$84,3)=0,"Total",VLOOKUP(A656,Journal!$C$7:$D$84,2)))</f>
        <v/>
      </c>
      <c r="C656" s="86" t="str">
        <f>IF(B656="","",VLOOKUP(A656,Journal!$C$7:$E$84,3))</f>
        <v/>
      </c>
      <c r="D656" s="84" t="str">
        <f>IF(B656="","",VLOOKUP(A656,Journal!$C$7:$J$84,8))</f>
        <v/>
      </c>
      <c r="E656" s="84" t="str">
        <f>IF(B656="","",VLOOKUP(A656,Journal!$C$7:$L$84,10))</f>
        <v/>
      </c>
      <c r="F656" s="84" t="str">
        <f>IF(B656="","",VLOOKUP(A656,Journal!$C$7:$M$84,11))</f>
        <v/>
      </c>
      <c r="G656" s="102">
        <f>IF(B656="Total",SUM(G$8:G655)+0.0001,IF(OR(B656="",M656=0),0,VLOOKUP(A656,Journal!$C$7:M$84,7)))</f>
        <v>0</v>
      </c>
      <c r="H656" s="102">
        <f>IF(B656="Total",SUM(H$8:H655)+0.0001,IF(OR(B656="",N656=0),0,VLOOKUP(A656,Journal!$C$7:M$84,7)))</f>
        <v>0</v>
      </c>
      <c r="I656" s="87">
        <f t="shared" si="64"/>
        <v>0</v>
      </c>
      <c r="K656" s="13">
        <f>VLOOKUP(A656,Journal!$C$7:$M$84,4)</f>
        <v>0</v>
      </c>
      <c r="L656" s="13">
        <f>VLOOKUP(A656,Journal!$C$7:$M$84,5)</f>
        <v>0</v>
      </c>
      <c r="M656" s="13">
        <f t="shared" si="60"/>
        <v>0</v>
      </c>
      <c r="N656" s="13">
        <f t="shared" si="61"/>
        <v>0</v>
      </c>
      <c r="O656" s="13"/>
      <c r="P656" s="13">
        <f t="shared" si="62"/>
        <v>1.0000000000000001E-5</v>
      </c>
      <c r="T656" t="str">
        <f t="shared" si="63"/>
        <v/>
      </c>
    </row>
    <row r="657" spans="1:20" x14ac:dyDescent="0.25">
      <c r="A657">
        <f t="shared" si="65"/>
        <v>650</v>
      </c>
      <c r="B657" s="88" t="str">
        <f>IF(OR(B656="Total",B656=""),"",IF(VLOOKUP(A657,Journal!$C$7:$E$84,3)=0,"Total",VLOOKUP(A657,Journal!$C$7:$D$84,2)))</f>
        <v/>
      </c>
      <c r="C657" s="86" t="str">
        <f>IF(B657="","",VLOOKUP(A657,Journal!$C$7:$E$84,3))</f>
        <v/>
      </c>
      <c r="D657" s="84" t="str">
        <f>IF(B657="","",VLOOKUP(A657,Journal!$C$7:$J$84,8))</f>
        <v/>
      </c>
      <c r="E657" s="84" t="str">
        <f>IF(B657="","",VLOOKUP(A657,Journal!$C$7:$L$84,10))</f>
        <v/>
      </c>
      <c r="F657" s="84" t="str">
        <f>IF(B657="","",VLOOKUP(A657,Journal!$C$7:$M$84,11))</f>
        <v/>
      </c>
      <c r="G657" s="102">
        <f>IF(B657="Total",SUM(G$8:G656)+0.0001,IF(OR(B657="",M657=0),0,VLOOKUP(A657,Journal!$C$7:M$84,7)))</f>
        <v>0</v>
      </c>
      <c r="H657" s="102">
        <f>IF(B657="Total",SUM(H$8:H656)+0.0001,IF(OR(B657="",N657=0),0,VLOOKUP(A657,Journal!$C$7:M$84,7)))</f>
        <v>0</v>
      </c>
      <c r="I657" s="87">
        <f t="shared" si="64"/>
        <v>0</v>
      </c>
      <c r="K657" s="13">
        <f>VLOOKUP(A657,Journal!$C$7:$M$84,4)</f>
        <v>0</v>
      </c>
      <c r="L657" s="13">
        <f>VLOOKUP(A657,Journal!$C$7:$M$84,5)</f>
        <v>0</v>
      </c>
      <c r="M657" s="13">
        <f t="shared" si="60"/>
        <v>0</v>
      </c>
      <c r="N657" s="13">
        <f t="shared" si="61"/>
        <v>0</v>
      </c>
      <c r="O657" s="13"/>
      <c r="P657" s="13">
        <f t="shared" si="62"/>
        <v>1.0000000000000001E-5</v>
      </c>
      <c r="T657" t="str">
        <f t="shared" si="63"/>
        <v/>
      </c>
    </row>
    <row r="658" spans="1:20" x14ac:dyDescent="0.25">
      <c r="A658">
        <f t="shared" si="65"/>
        <v>651</v>
      </c>
      <c r="B658" s="88" t="str">
        <f>IF(OR(B657="Total",B657=""),"",IF(VLOOKUP(A658,Journal!$C$7:$E$84,3)=0,"Total",VLOOKUP(A658,Journal!$C$7:$D$84,2)))</f>
        <v/>
      </c>
      <c r="C658" s="86" t="str">
        <f>IF(B658="","",VLOOKUP(A658,Journal!$C$7:$E$84,3))</f>
        <v/>
      </c>
      <c r="D658" s="84" t="str">
        <f>IF(B658="","",VLOOKUP(A658,Journal!$C$7:$J$84,8))</f>
        <v/>
      </c>
      <c r="E658" s="84" t="str">
        <f>IF(B658="","",VLOOKUP(A658,Journal!$C$7:$L$84,10))</f>
        <v/>
      </c>
      <c r="F658" s="84" t="str">
        <f>IF(B658="","",VLOOKUP(A658,Journal!$C$7:$M$84,11))</f>
        <v/>
      </c>
      <c r="G658" s="102">
        <f>IF(B658="Total",SUM(G$8:G657)+0.0001,IF(OR(B658="",M658=0),0,VLOOKUP(A658,Journal!$C$7:M$84,7)))</f>
        <v>0</v>
      </c>
      <c r="H658" s="102">
        <f>IF(B658="Total",SUM(H$8:H657)+0.0001,IF(OR(B658="",N658=0),0,VLOOKUP(A658,Journal!$C$7:M$84,7)))</f>
        <v>0</v>
      </c>
      <c r="I658" s="87">
        <f t="shared" si="64"/>
        <v>0</v>
      </c>
      <c r="K658" s="13">
        <f>VLOOKUP(A658,Journal!$C$7:$M$84,4)</f>
        <v>0</v>
      </c>
      <c r="L658" s="13">
        <f>VLOOKUP(A658,Journal!$C$7:$M$84,5)</f>
        <v>0</v>
      </c>
      <c r="M658" s="13">
        <f t="shared" si="60"/>
        <v>0</v>
      </c>
      <c r="N658" s="13">
        <f t="shared" si="61"/>
        <v>0</v>
      </c>
      <c r="O658" s="13"/>
      <c r="P658" s="13">
        <f t="shared" si="62"/>
        <v>1.0000000000000001E-5</v>
      </c>
      <c r="T658" t="str">
        <f t="shared" si="63"/>
        <v/>
      </c>
    </row>
    <row r="659" spans="1:20" x14ac:dyDescent="0.25">
      <c r="A659">
        <f t="shared" si="65"/>
        <v>652</v>
      </c>
      <c r="B659" s="88" t="str">
        <f>IF(OR(B658="Total",B658=""),"",IF(VLOOKUP(A659,Journal!$C$7:$E$84,3)=0,"Total",VLOOKUP(A659,Journal!$C$7:$D$84,2)))</f>
        <v/>
      </c>
      <c r="C659" s="86" t="str">
        <f>IF(B659="","",VLOOKUP(A659,Journal!$C$7:$E$84,3))</f>
        <v/>
      </c>
      <c r="D659" s="84" t="str">
        <f>IF(B659="","",VLOOKUP(A659,Journal!$C$7:$J$84,8))</f>
        <v/>
      </c>
      <c r="E659" s="84" t="str">
        <f>IF(B659="","",VLOOKUP(A659,Journal!$C$7:$L$84,10))</f>
        <v/>
      </c>
      <c r="F659" s="84" t="str">
        <f>IF(B659="","",VLOOKUP(A659,Journal!$C$7:$M$84,11))</f>
        <v/>
      </c>
      <c r="G659" s="102">
        <f>IF(B659="Total",SUM(G$8:G658)+0.0001,IF(OR(B659="",M659=0),0,VLOOKUP(A659,Journal!$C$7:M$84,7)))</f>
        <v>0</v>
      </c>
      <c r="H659" s="102">
        <f>IF(B659="Total",SUM(H$8:H658)+0.0001,IF(OR(B659="",N659=0),0,VLOOKUP(A659,Journal!$C$7:M$84,7)))</f>
        <v>0</v>
      </c>
      <c r="I659" s="87">
        <f t="shared" si="64"/>
        <v>0</v>
      </c>
      <c r="K659" s="13">
        <f>VLOOKUP(A659,Journal!$C$7:$M$84,4)</f>
        <v>0</v>
      </c>
      <c r="L659" s="13">
        <f>VLOOKUP(A659,Journal!$C$7:$M$84,5)</f>
        <v>0</v>
      </c>
      <c r="M659" s="13">
        <f t="shared" si="60"/>
        <v>0</v>
      </c>
      <c r="N659" s="13">
        <f t="shared" si="61"/>
        <v>0</v>
      </c>
      <c r="O659" s="13"/>
      <c r="P659" s="13">
        <f t="shared" si="62"/>
        <v>1.0000000000000001E-5</v>
      </c>
      <c r="T659" t="str">
        <f t="shared" si="63"/>
        <v/>
      </c>
    </row>
    <row r="660" spans="1:20" x14ac:dyDescent="0.25">
      <c r="A660">
        <f t="shared" si="65"/>
        <v>653</v>
      </c>
      <c r="B660" s="88" t="str">
        <f>IF(OR(B659="Total",B659=""),"",IF(VLOOKUP(A660,Journal!$C$7:$E$84,3)=0,"Total",VLOOKUP(A660,Journal!$C$7:$D$84,2)))</f>
        <v/>
      </c>
      <c r="C660" s="86" t="str">
        <f>IF(B660="","",VLOOKUP(A660,Journal!$C$7:$E$84,3))</f>
        <v/>
      </c>
      <c r="D660" s="84" t="str">
        <f>IF(B660="","",VLOOKUP(A660,Journal!$C$7:$J$84,8))</f>
        <v/>
      </c>
      <c r="E660" s="84" t="str">
        <f>IF(B660="","",VLOOKUP(A660,Journal!$C$7:$L$84,10))</f>
        <v/>
      </c>
      <c r="F660" s="84" t="str">
        <f>IF(B660="","",VLOOKUP(A660,Journal!$C$7:$M$84,11))</f>
        <v/>
      </c>
      <c r="G660" s="102">
        <f>IF(B660="Total",SUM(G$8:G659)+0.0001,IF(OR(B660="",M660=0),0,VLOOKUP(A660,Journal!$C$7:M$84,7)))</f>
        <v>0</v>
      </c>
      <c r="H660" s="102">
        <f>IF(B660="Total",SUM(H$8:H659)+0.0001,IF(OR(B660="",N660=0),0,VLOOKUP(A660,Journal!$C$7:M$84,7)))</f>
        <v>0</v>
      </c>
      <c r="I660" s="87">
        <f t="shared" si="64"/>
        <v>0</v>
      </c>
      <c r="K660" s="13">
        <f>VLOOKUP(A660,Journal!$C$7:$M$84,4)</f>
        <v>0</v>
      </c>
      <c r="L660" s="13">
        <f>VLOOKUP(A660,Journal!$C$7:$M$84,5)</f>
        <v>0</v>
      </c>
      <c r="M660" s="13">
        <f t="shared" si="60"/>
        <v>0</v>
      </c>
      <c r="N660" s="13">
        <f t="shared" si="61"/>
        <v>0</v>
      </c>
      <c r="O660" s="13"/>
      <c r="P660" s="13">
        <f t="shared" si="62"/>
        <v>1.0000000000000001E-5</v>
      </c>
      <c r="T660" t="str">
        <f t="shared" si="63"/>
        <v/>
      </c>
    </row>
    <row r="661" spans="1:20" x14ac:dyDescent="0.25">
      <c r="A661">
        <f t="shared" si="65"/>
        <v>654</v>
      </c>
      <c r="B661" s="88" t="str">
        <f>IF(OR(B660="Total",B660=""),"",IF(VLOOKUP(A661,Journal!$C$7:$E$84,3)=0,"Total",VLOOKUP(A661,Journal!$C$7:$D$84,2)))</f>
        <v/>
      </c>
      <c r="C661" s="86" t="str">
        <f>IF(B661="","",VLOOKUP(A661,Journal!$C$7:$E$84,3))</f>
        <v/>
      </c>
      <c r="D661" s="84" t="str">
        <f>IF(B661="","",VLOOKUP(A661,Journal!$C$7:$J$84,8))</f>
        <v/>
      </c>
      <c r="E661" s="84" t="str">
        <f>IF(B661="","",VLOOKUP(A661,Journal!$C$7:$L$84,10))</f>
        <v/>
      </c>
      <c r="F661" s="84" t="str">
        <f>IF(B661="","",VLOOKUP(A661,Journal!$C$7:$M$84,11))</f>
        <v/>
      </c>
      <c r="G661" s="102">
        <f>IF(B661="Total",SUM(G$8:G660)+0.0001,IF(OR(B661="",M661=0),0,VLOOKUP(A661,Journal!$C$7:M$84,7)))</f>
        <v>0</v>
      </c>
      <c r="H661" s="102">
        <f>IF(B661="Total",SUM(H$8:H660)+0.0001,IF(OR(B661="",N661=0),0,VLOOKUP(A661,Journal!$C$7:M$84,7)))</f>
        <v>0</v>
      </c>
      <c r="I661" s="87">
        <f t="shared" si="64"/>
        <v>0</v>
      </c>
      <c r="K661" s="13">
        <f>VLOOKUP(A661,Journal!$C$7:$M$84,4)</f>
        <v>0</v>
      </c>
      <c r="L661" s="13">
        <f>VLOOKUP(A661,Journal!$C$7:$M$84,5)</f>
        <v>0</v>
      </c>
      <c r="M661" s="13">
        <f t="shared" si="60"/>
        <v>0</v>
      </c>
      <c r="N661" s="13">
        <f t="shared" si="61"/>
        <v>0</v>
      </c>
      <c r="O661" s="13"/>
      <c r="P661" s="13">
        <f t="shared" si="62"/>
        <v>1.0000000000000001E-5</v>
      </c>
      <c r="T661" t="str">
        <f t="shared" si="63"/>
        <v/>
      </c>
    </row>
    <row r="662" spans="1:20" x14ac:dyDescent="0.25">
      <c r="A662">
        <f t="shared" si="65"/>
        <v>655</v>
      </c>
      <c r="B662" s="88" t="str">
        <f>IF(OR(B661="Total",B661=""),"",IF(VLOOKUP(A662,Journal!$C$7:$E$84,3)=0,"Total",VLOOKUP(A662,Journal!$C$7:$D$84,2)))</f>
        <v/>
      </c>
      <c r="C662" s="86" t="str">
        <f>IF(B662="","",VLOOKUP(A662,Journal!$C$7:$E$84,3))</f>
        <v/>
      </c>
      <c r="D662" s="84" t="str">
        <f>IF(B662="","",VLOOKUP(A662,Journal!$C$7:$J$84,8))</f>
        <v/>
      </c>
      <c r="E662" s="84" t="str">
        <f>IF(B662="","",VLOOKUP(A662,Journal!$C$7:$L$84,10))</f>
        <v/>
      </c>
      <c r="F662" s="84" t="str">
        <f>IF(B662="","",VLOOKUP(A662,Journal!$C$7:$M$84,11))</f>
        <v/>
      </c>
      <c r="G662" s="102">
        <f>IF(B662="Total",SUM(G$8:G661)+0.0001,IF(OR(B662="",M662=0),0,VLOOKUP(A662,Journal!$C$7:M$84,7)))</f>
        <v>0</v>
      </c>
      <c r="H662" s="102">
        <f>IF(B662="Total",SUM(H$8:H661)+0.0001,IF(OR(B662="",N662=0),0,VLOOKUP(A662,Journal!$C$7:M$84,7)))</f>
        <v>0</v>
      </c>
      <c r="I662" s="87">
        <f t="shared" si="64"/>
        <v>0</v>
      </c>
      <c r="K662" s="13">
        <f>VLOOKUP(A662,Journal!$C$7:$M$84,4)</f>
        <v>0</v>
      </c>
      <c r="L662" s="13">
        <f>VLOOKUP(A662,Journal!$C$7:$M$84,5)</f>
        <v>0</v>
      </c>
      <c r="M662" s="13">
        <f t="shared" si="60"/>
        <v>0</v>
      </c>
      <c r="N662" s="13">
        <f t="shared" si="61"/>
        <v>0</v>
      </c>
      <c r="O662" s="13"/>
      <c r="P662" s="13">
        <f t="shared" si="62"/>
        <v>1.0000000000000001E-5</v>
      </c>
      <c r="T662" t="str">
        <f t="shared" si="63"/>
        <v/>
      </c>
    </row>
    <row r="663" spans="1:20" x14ac:dyDescent="0.25">
      <c r="A663">
        <f t="shared" si="65"/>
        <v>656</v>
      </c>
      <c r="B663" s="88" t="str">
        <f>IF(OR(B662="Total",B662=""),"",IF(VLOOKUP(A663,Journal!$C$7:$E$84,3)=0,"Total",VLOOKUP(A663,Journal!$C$7:$D$84,2)))</f>
        <v/>
      </c>
      <c r="C663" s="86" t="str">
        <f>IF(B663="","",VLOOKUP(A663,Journal!$C$7:$E$84,3))</f>
        <v/>
      </c>
      <c r="D663" s="84" t="str">
        <f>IF(B663="","",VLOOKUP(A663,Journal!$C$7:$J$84,8))</f>
        <v/>
      </c>
      <c r="E663" s="84" t="str">
        <f>IF(B663="","",VLOOKUP(A663,Journal!$C$7:$L$84,10))</f>
        <v/>
      </c>
      <c r="F663" s="84" t="str">
        <f>IF(B663="","",VLOOKUP(A663,Journal!$C$7:$M$84,11))</f>
        <v/>
      </c>
      <c r="G663" s="102">
        <f>IF(B663="Total",SUM(G$8:G662)+0.0001,IF(OR(B663="",M663=0),0,VLOOKUP(A663,Journal!$C$7:M$84,7)))</f>
        <v>0</v>
      </c>
      <c r="H663" s="102">
        <f>IF(B663="Total",SUM(H$8:H662)+0.0001,IF(OR(B663="",N663=0),0,VLOOKUP(A663,Journal!$C$7:M$84,7)))</f>
        <v>0</v>
      </c>
      <c r="I663" s="87">
        <f t="shared" si="64"/>
        <v>0</v>
      </c>
      <c r="K663" s="13">
        <f>VLOOKUP(A663,Journal!$C$7:$M$84,4)</f>
        <v>0</v>
      </c>
      <c r="L663" s="13">
        <f>VLOOKUP(A663,Journal!$C$7:$M$84,5)</f>
        <v>0</v>
      </c>
      <c r="M663" s="13">
        <f t="shared" si="60"/>
        <v>0</v>
      </c>
      <c r="N663" s="13">
        <f t="shared" si="61"/>
        <v>0</v>
      </c>
      <c r="O663" s="13"/>
      <c r="P663" s="13">
        <f t="shared" si="62"/>
        <v>1.0000000000000001E-5</v>
      </c>
      <c r="T663" t="str">
        <f t="shared" si="63"/>
        <v/>
      </c>
    </row>
    <row r="664" spans="1:20" x14ac:dyDescent="0.25">
      <c r="A664">
        <f t="shared" si="65"/>
        <v>657</v>
      </c>
      <c r="B664" s="88" t="str">
        <f>IF(OR(B663="Total",B663=""),"",IF(VLOOKUP(A664,Journal!$C$7:$E$84,3)=0,"Total",VLOOKUP(A664,Journal!$C$7:$D$84,2)))</f>
        <v/>
      </c>
      <c r="C664" s="86" t="str">
        <f>IF(B664="","",VLOOKUP(A664,Journal!$C$7:$E$84,3))</f>
        <v/>
      </c>
      <c r="D664" s="84" t="str">
        <f>IF(B664="","",VLOOKUP(A664,Journal!$C$7:$J$84,8))</f>
        <v/>
      </c>
      <c r="E664" s="84" t="str">
        <f>IF(B664="","",VLOOKUP(A664,Journal!$C$7:$L$84,10))</f>
        <v/>
      </c>
      <c r="F664" s="84" t="str">
        <f>IF(B664="","",VLOOKUP(A664,Journal!$C$7:$M$84,11))</f>
        <v/>
      </c>
      <c r="G664" s="102">
        <f>IF(B664="Total",SUM(G$8:G663)+0.0001,IF(OR(B664="",M664=0),0,VLOOKUP(A664,Journal!$C$7:M$84,7)))</f>
        <v>0</v>
      </c>
      <c r="H664" s="102">
        <f>IF(B664="Total",SUM(H$8:H663)+0.0001,IF(OR(B664="",N664=0),0,VLOOKUP(A664,Journal!$C$7:M$84,7)))</f>
        <v>0</v>
      </c>
      <c r="I664" s="87">
        <f t="shared" si="64"/>
        <v>0</v>
      </c>
      <c r="K664" s="13">
        <f>VLOOKUP(A664,Journal!$C$7:$M$84,4)</f>
        <v>0</v>
      </c>
      <c r="L664" s="13">
        <f>VLOOKUP(A664,Journal!$C$7:$M$84,5)</f>
        <v>0</v>
      </c>
      <c r="M664" s="13">
        <f t="shared" si="60"/>
        <v>0</v>
      </c>
      <c r="N664" s="13">
        <f t="shared" si="61"/>
        <v>0</v>
      </c>
      <c r="O664" s="13"/>
      <c r="P664" s="13">
        <f t="shared" si="62"/>
        <v>1.0000000000000001E-5</v>
      </c>
      <c r="T664" t="str">
        <f t="shared" si="63"/>
        <v/>
      </c>
    </row>
    <row r="665" spans="1:20" x14ac:dyDescent="0.25">
      <c r="A665">
        <f t="shared" si="65"/>
        <v>658</v>
      </c>
      <c r="B665" s="88" t="str">
        <f>IF(OR(B664="Total",B664=""),"",IF(VLOOKUP(A665,Journal!$C$7:$E$84,3)=0,"Total",VLOOKUP(A665,Journal!$C$7:$D$84,2)))</f>
        <v/>
      </c>
      <c r="C665" s="86" t="str">
        <f>IF(B665="","",VLOOKUP(A665,Journal!$C$7:$E$84,3))</f>
        <v/>
      </c>
      <c r="D665" s="84" t="str">
        <f>IF(B665="","",VLOOKUP(A665,Journal!$C$7:$J$84,8))</f>
        <v/>
      </c>
      <c r="E665" s="84" t="str">
        <f>IF(B665="","",VLOOKUP(A665,Journal!$C$7:$L$84,10))</f>
        <v/>
      </c>
      <c r="F665" s="84" t="str">
        <f>IF(B665="","",VLOOKUP(A665,Journal!$C$7:$M$84,11))</f>
        <v/>
      </c>
      <c r="G665" s="102">
        <f>IF(B665="Total",SUM(G$8:G664)+0.0001,IF(OR(B665="",M665=0),0,VLOOKUP(A665,Journal!$C$7:M$84,7)))</f>
        <v>0</v>
      </c>
      <c r="H665" s="102">
        <f>IF(B665="Total",SUM(H$8:H664)+0.0001,IF(OR(B665="",N665=0),0,VLOOKUP(A665,Journal!$C$7:M$84,7)))</f>
        <v>0</v>
      </c>
      <c r="I665" s="87">
        <f t="shared" si="64"/>
        <v>0</v>
      </c>
      <c r="K665" s="13">
        <f>VLOOKUP(A665,Journal!$C$7:$M$84,4)</f>
        <v>0</v>
      </c>
      <c r="L665" s="13">
        <f>VLOOKUP(A665,Journal!$C$7:$M$84,5)</f>
        <v>0</v>
      </c>
      <c r="M665" s="13">
        <f t="shared" ref="M665:M728" si="66">IF(AND(L665&gt;=$F$1,L665&lt;9999),1,0)</f>
        <v>0</v>
      </c>
      <c r="N665" s="13">
        <f t="shared" ref="N665:N728" si="67">IF(AND(K665&gt;=$F$1,K665&lt;9999),1,0)</f>
        <v>0</v>
      </c>
      <c r="O665" s="13"/>
      <c r="P665" s="13">
        <f t="shared" ref="P665:P728" si="68">IF(I664=I665,I664+0.00001,I665)</f>
        <v>1.0000000000000001E-5</v>
      </c>
      <c r="T665" t="str">
        <f t="shared" si="63"/>
        <v/>
      </c>
    </row>
    <row r="666" spans="1:20" x14ac:dyDescent="0.25">
      <c r="A666">
        <f t="shared" si="65"/>
        <v>659</v>
      </c>
      <c r="B666" s="88" t="str">
        <f>IF(OR(B665="Total",B665=""),"",IF(VLOOKUP(A666,Journal!$C$7:$E$84,3)=0,"Total",VLOOKUP(A666,Journal!$C$7:$D$84,2)))</f>
        <v/>
      </c>
      <c r="C666" s="86" t="str">
        <f>IF(B666="","",VLOOKUP(A666,Journal!$C$7:$E$84,3))</f>
        <v/>
      </c>
      <c r="D666" s="84" t="str">
        <f>IF(B666="","",VLOOKUP(A666,Journal!$C$7:$J$84,8))</f>
        <v/>
      </c>
      <c r="E666" s="84" t="str">
        <f>IF(B666="","",VLOOKUP(A666,Journal!$C$7:$L$84,10))</f>
        <v/>
      </c>
      <c r="F666" s="84" t="str">
        <f>IF(B666="","",VLOOKUP(A666,Journal!$C$7:$M$84,11))</f>
        <v/>
      </c>
      <c r="G666" s="102">
        <f>IF(B666="Total",SUM(G$8:G665)+0.0001,IF(OR(B666="",M666=0),0,VLOOKUP(A666,Journal!$C$7:M$84,7)))</f>
        <v>0</v>
      </c>
      <c r="H666" s="102">
        <f>IF(B666="Total",SUM(H$8:H665)+0.0001,IF(OR(B666="",N666=0),0,VLOOKUP(A666,Journal!$C$7:M$84,7)))</f>
        <v>0</v>
      </c>
      <c r="I666" s="87">
        <f t="shared" si="64"/>
        <v>0</v>
      </c>
      <c r="K666" s="13">
        <f>VLOOKUP(A666,Journal!$C$7:$M$84,4)</f>
        <v>0</v>
      </c>
      <c r="L666" s="13">
        <f>VLOOKUP(A666,Journal!$C$7:$M$84,5)</f>
        <v>0</v>
      </c>
      <c r="M666" s="13">
        <f t="shared" si="66"/>
        <v>0</v>
      </c>
      <c r="N666" s="13">
        <f t="shared" si="67"/>
        <v>0</v>
      </c>
      <c r="O666" s="13"/>
      <c r="P666" s="13">
        <f t="shared" si="68"/>
        <v>1.0000000000000001E-5</v>
      </c>
      <c r="T666" t="str">
        <f t="shared" si="63"/>
        <v/>
      </c>
    </row>
    <row r="667" spans="1:20" x14ac:dyDescent="0.25">
      <c r="A667">
        <f t="shared" si="65"/>
        <v>660</v>
      </c>
      <c r="B667" s="88" t="str">
        <f>IF(OR(B666="Total",B666=""),"",IF(VLOOKUP(A667,Journal!$C$7:$E$84,3)=0,"Total",VLOOKUP(A667,Journal!$C$7:$D$84,2)))</f>
        <v/>
      </c>
      <c r="C667" s="86" t="str">
        <f>IF(B667="","",VLOOKUP(A667,Journal!$C$7:$E$84,3))</f>
        <v/>
      </c>
      <c r="D667" s="84" t="str">
        <f>IF(B667="","",VLOOKUP(A667,Journal!$C$7:$J$84,8))</f>
        <v/>
      </c>
      <c r="E667" s="84" t="str">
        <f>IF(B667="","",VLOOKUP(A667,Journal!$C$7:$L$84,10))</f>
        <v/>
      </c>
      <c r="F667" s="84" t="str">
        <f>IF(B667="","",VLOOKUP(A667,Journal!$C$7:$M$84,11))</f>
        <v/>
      </c>
      <c r="G667" s="102">
        <f>IF(B667="Total",SUM(G$8:G666)+0.0001,IF(OR(B667="",M667=0),0,VLOOKUP(A667,Journal!$C$7:M$84,7)))</f>
        <v>0</v>
      </c>
      <c r="H667" s="102">
        <f>IF(B667="Total",SUM(H$8:H666)+0.0001,IF(OR(B667="",N667=0),0,VLOOKUP(A667,Journal!$C$7:M$84,7)))</f>
        <v>0</v>
      </c>
      <c r="I667" s="87">
        <f t="shared" si="64"/>
        <v>0</v>
      </c>
      <c r="K667" s="13">
        <f>VLOOKUP(A667,Journal!$C$7:$M$84,4)</f>
        <v>0</v>
      </c>
      <c r="L667" s="13">
        <f>VLOOKUP(A667,Journal!$C$7:$M$84,5)</f>
        <v>0</v>
      </c>
      <c r="M667" s="13">
        <f t="shared" si="66"/>
        <v>0</v>
      </c>
      <c r="N667" s="13">
        <f t="shared" si="67"/>
        <v>0</v>
      </c>
      <c r="O667" s="13"/>
      <c r="P667" s="13">
        <f t="shared" si="68"/>
        <v>1.0000000000000001E-5</v>
      </c>
      <c r="T667" t="str">
        <f t="shared" si="63"/>
        <v/>
      </c>
    </row>
    <row r="668" spans="1:20" x14ac:dyDescent="0.25">
      <c r="A668">
        <f t="shared" si="65"/>
        <v>661</v>
      </c>
      <c r="B668" s="88" t="str">
        <f>IF(OR(B667="Total",B667=""),"",IF(VLOOKUP(A668,Journal!$C$7:$E$84,3)=0,"Total",VLOOKUP(A668,Journal!$C$7:$D$84,2)))</f>
        <v/>
      </c>
      <c r="C668" s="86" t="str">
        <f>IF(B668="","",VLOOKUP(A668,Journal!$C$7:$E$84,3))</f>
        <v/>
      </c>
      <c r="D668" s="84" t="str">
        <f>IF(B668="","",VLOOKUP(A668,Journal!$C$7:$J$84,8))</f>
        <v/>
      </c>
      <c r="E668" s="84" t="str">
        <f>IF(B668="","",VLOOKUP(A668,Journal!$C$7:$L$84,10))</f>
        <v/>
      </c>
      <c r="F668" s="84" t="str">
        <f>IF(B668="","",VLOOKUP(A668,Journal!$C$7:$M$84,11))</f>
        <v/>
      </c>
      <c r="G668" s="102">
        <f>IF(B668="Total",SUM(G$8:G667)+0.0001,IF(OR(B668="",M668=0),0,VLOOKUP(A668,Journal!$C$7:M$84,7)))</f>
        <v>0</v>
      </c>
      <c r="H668" s="102">
        <f>IF(B668="Total",SUM(H$8:H667)+0.0001,IF(OR(B668="",N668=0),0,VLOOKUP(A668,Journal!$C$7:M$84,7)))</f>
        <v>0</v>
      </c>
      <c r="I668" s="87">
        <f t="shared" si="64"/>
        <v>0</v>
      </c>
      <c r="K668" s="13">
        <f>VLOOKUP(A668,Journal!$C$7:$M$84,4)</f>
        <v>0</v>
      </c>
      <c r="L668" s="13">
        <f>VLOOKUP(A668,Journal!$C$7:$M$84,5)</f>
        <v>0</v>
      </c>
      <c r="M668" s="13">
        <f t="shared" si="66"/>
        <v>0</v>
      </c>
      <c r="N668" s="13">
        <f t="shared" si="67"/>
        <v>0</v>
      </c>
      <c r="O668" s="13"/>
      <c r="P668" s="13">
        <f t="shared" si="68"/>
        <v>1.0000000000000001E-5</v>
      </c>
      <c r="T668" t="str">
        <f t="shared" si="63"/>
        <v/>
      </c>
    </row>
    <row r="669" spans="1:20" x14ac:dyDescent="0.25">
      <c r="A669">
        <f t="shared" si="65"/>
        <v>662</v>
      </c>
      <c r="B669" s="88" t="str">
        <f>IF(OR(B668="Total",B668=""),"",IF(VLOOKUP(A669,Journal!$C$7:$E$84,3)=0,"Total",VLOOKUP(A669,Journal!$C$7:$D$84,2)))</f>
        <v/>
      </c>
      <c r="C669" s="86" t="str">
        <f>IF(B669="","",VLOOKUP(A669,Journal!$C$7:$E$84,3))</f>
        <v/>
      </c>
      <c r="D669" s="84" t="str">
        <f>IF(B669="","",VLOOKUP(A669,Journal!$C$7:$J$84,8))</f>
        <v/>
      </c>
      <c r="E669" s="84" t="str">
        <f>IF(B669="","",VLOOKUP(A669,Journal!$C$7:$L$84,10))</f>
        <v/>
      </c>
      <c r="F669" s="84" t="str">
        <f>IF(B669="","",VLOOKUP(A669,Journal!$C$7:$M$84,11))</f>
        <v/>
      </c>
      <c r="G669" s="102">
        <f>IF(B669="Total",SUM(G$8:G668)+0.0001,IF(OR(B669="",M669=0),0,VLOOKUP(A669,Journal!$C$7:M$84,7)))</f>
        <v>0</v>
      </c>
      <c r="H669" s="102">
        <f>IF(B669="Total",SUM(H$8:H668)+0.0001,IF(OR(B669="",N669=0),0,VLOOKUP(A669,Journal!$C$7:M$84,7)))</f>
        <v>0</v>
      </c>
      <c r="I669" s="87">
        <f t="shared" si="64"/>
        <v>0</v>
      </c>
      <c r="K669" s="13">
        <f>VLOOKUP(A669,Journal!$C$7:$M$84,4)</f>
        <v>0</v>
      </c>
      <c r="L669" s="13">
        <f>VLOOKUP(A669,Journal!$C$7:$M$84,5)</f>
        <v>0</v>
      </c>
      <c r="M669" s="13">
        <f t="shared" si="66"/>
        <v>0</v>
      </c>
      <c r="N669" s="13">
        <f t="shared" si="67"/>
        <v>0</v>
      </c>
      <c r="O669" s="13"/>
      <c r="P669" s="13">
        <f t="shared" si="68"/>
        <v>1.0000000000000001E-5</v>
      </c>
      <c r="T669" t="str">
        <f t="shared" si="63"/>
        <v/>
      </c>
    </row>
    <row r="670" spans="1:20" x14ac:dyDescent="0.25">
      <c r="A670">
        <f t="shared" si="65"/>
        <v>663</v>
      </c>
      <c r="B670" s="88" t="str">
        <f>IF(OR(B669="Total",B669=""),"",IF(VLOOKUP(A670,Journal!$C$7:$E$84,3)=0,"Total",VLOOKUP(A670,Journal!$C$7:$D$84,2)))</f>
        <v/>
      </c>
      <c r="C670" s="86" t="str">
        <f>IF(B670="","",VLOOKUP(A670,Journal!$C$7:$E$84,3))</f>
        <v/>
      </c>
      <c r="D670" s="84" t="str">
        <f>IF(B670="","",VLOOKUP(A670,Journal!$C$7:$J$84,8))</f>
        <v/>
      </c>
      <c r="E670" s="84" t="str">
        <f>IF(B670="","",VLOOKUP(A670,Journal!$C$7:$L$84,10))</f>
        <v/>
      </c>
      <c r="F670" s="84" t="str">
        <f>IF(B670="","",VLOOKUP(A670,Journal!$C$7:$M$84,11))</f>
        <v/>
      </c>
      <c r="G670" s="102">
        <f>IF(B670="Total",SUM(G$8:G669)+0.0001,IF(OR(B670="",M670=0),0,VLOOKUP(A670,Journal!$C$7:M$84,7)))</f>
        <v>0</v>
      </c>
      <c r="H670" s="102">
        <f>IF(B670="Total",SUM(H$8:H669)+0.0001,IF(OR(B670="",N670=0),0,VLOOKUP(A670,Journal!$C$7:M$84,7)))</f>
        <v>0</v>
      </c>
      <c r="I670" s="87">
        <f t="shared" si="64"/>
        <v>0</v>
      </c>
      <c r="K670" s="13">
        <f>VLOOKUP(A670,Journal!$C$7:$M$84,4)</f>
        <v>0</v>
      </c>
      <c r="L670" s="13">
        <f>VLOOKUP(A670,Journal!$C$7:$M$84,5)</f>
        <v>0</v>
      </c>
      <c r="M670" s="13">
        <f t="shared" si="66"/>
        <v>0</v>
      </c>
      <c r="N670" s="13">
        <f t="shared" si="67"/>
        <v>0</v>
      </c>
      <c r="O670" s="13"/>
      <c r="P670" s="13">
        <f t="shared" si="68"/>
        <v>1.0000000000000001E-5</v>
      </c>
      <c r="T670" t="str">
        <f t="shared" si="63"/>
        <v/>
      </c>
    </row>
    <row r="671" spans="1:20" x14ac:dyDescent="0.25">
      <c r="A671">
        <f t="shared" si="65"/>
        <v>664</v>
      </c>
      <c r="B671" s="88" t="str">
        <f>IF(OR(B670="Total",B670=""),"",IF(VLOOKUP(A671,Journal!$C$7:$E$84,3)=0,"Total",VLOOKUP(A671,Journal!$C$7:$D$84,2)))</f>
        <v/>
      </c>
      <c r="C671" s="86" t="str">
        <f>IF(B671="","",VLOOKUP(A671,Journal!$C$7:$E$84,3))</f>
        <v/>
      </c>
      <c r="D671" s="84" t="str">
        <f>IF(B671="","",VLOOKUP(A671,Journal!$C$7:$J$84,8))</f>
        <v/>
      </c>
      <c r="E671" s="84" t="str">
        <f>IF(B671="","",VLOOKUP(A671,Journal!$C$7:$L$84,10))</f>
        <v/>
      </c>
      <c r="F671" s="84" t="str">
        <f>IF(B671="","",VLOOKUP(A671,Journal!$C$7:$M$84,11))</f>
        <v/>
      </c>
      <c r="G671" s="102">
        <f>IF(B671="Total",SUM(G$8:G670)+0.0001,IF(OR(B671="",M671=0),0,VLOOKUP(A671,Journal!$C$7:M$84,7)))</f>
        <v>0</v>
      </c>
      <c r="H671" s="102">
        <f>IF(B671="Total",SUM(H$8:H670)+0.0001,IF(OR(B671="",N671=0),0,VLOOKUP(A671,Journal!$C$7:M$84,7)))</f>
        <v>0</v>
      </c>
      <c r="I671" s="87">
        <f t="shared" si="64"/>
        <v>0</v>
      </c>
      <c r="K671" s="13">
        <f>VLOOKUP(A671,Journal!$C$7:$M$84,4)</f>
        <v>0</v>
      </c>
      <c r="L671" s="13">
        <f>VLOOKUP(A671,Journal!$C$7:$M$84,5)</f>
        <v>0</v>
      </c>
      <c r="M671" s="13">
        <f t="shared" si="66"/>
        <v>0</v>
      </c>
      <c r="N671" s="13">
        <f t="shared" si="67"/>
        <v>0</v>
      </c>
      <c r="O671" s="13"/>
      <c r="P671" s="13">
        <f t="shared" si="68"/>
        <v>1.0000000000000001E-5</v>
      </c>
      <c r="T671" t="str">
        <f t="shared" si="63"/>
        <v/>
      </c>
    </row>
    <row r="672" spans="1:20" x14ac:dyDescent="0.25">
      <c r="A672">
        <f t="shared" si="65"/>
        <v>665</v>
      </c>
      <c r="B672" s="88" t="str">
        <f>IF(OR(B671="Total",B671=""),"",IF(VLOOKUP(A672,Journal!$C$7:$E$84,3)=0,"Total",VLOOKUP(A672,Journal!$C$7:$D$84,2)))</f>
        <v/>
      </c>
      <c r="C672" s="86" t="str">
        <f>IF(B672="","",VLOOKUP(A672,Journal!$C$7:$E$84,3))</f>
        <v/>
      </c>
      <c r="D672" s="84" t="str">
        <f>IF(B672="","",VLOOKUP(A672,Journal!$C$7:$J$84,8))</f>
        <v/>
      </c>
      <c r="E672" s="84" t="str">
        <f>IF(B672="","",VLOOKUP(A672,Journal!$C$7:$L$84,10))</f>
        <v/>
      </c>
      <c r="F672" s="84" t="str">
        <f>IF(B672="","",VLOOKUP(A672,Journal!$C$7:$M$84,11))</f>
        <v/>
      </c>
      <c r="G672" s="102">
        <f>IF(B672="Total",SUM(G$8:G671)+0.0001,IF(OR(B672="",M672=0),0,VLOOKUP(A672,Journal!$C$7:M$84,7)))</f>
        <v>0</v>
      </c>
      <c r="H672" s="102">
        <f>IF(B672="Total",SUM(H$8:H671)+0.0001,IF(OR(B672="",N672=0),0,VLOOKUP(A672,Journal!$C$7:M$84,7)))</f>
        <v>0</v>
      </c>
      <c r="I672" s="87">
        <f t="shared" si="64"/>
        <v>0</v>
      </c>
      <c r="K672" s="13">
        <f>VLOOKUP(A672,Journal!$C$7:$M$84,4)</f>
        <v>0</v>
      </c>
      <c r="L672" s="13">
        <f>VLOOKUP(A672,Journal!$C$7:$M$84,5)</f>
        <v>0</v>
      </c>
      <c r="M672" s="13">
        <f t="shared" si="66"/>
        <v>0</v>
      </c>
      <c r="N672" s="13">
        <f t="shared" si="67"/>
        <v>0</v>
      </c>
      <c r="O672" s="13"/>
      <c r="P672" s="13">
        <f t="shared" si="68"/>
        <v>1.0000000000000001E-5</v>
      </c>
      <c r="T672" t="str">
        <f t="shared" si="63"/>
        <v/>
      </c>
    </row>
    <row r="673" spans="1:20" x14ac:dyDescent="0.25">
      <c r="A673">
        <f t="shared" si="65"/>
        <v>666</v>
      </c>
      <c r="B673" s="88" t="str">
        <f>IF(OR(B672="Total",B672=""),"",IF(VLOOKUP(A673,Journal!$C$7:$E$84,3)=0,"Total",VLOOKUP(A673,Journal!$C$7:$D$84,2)))</f>
        <v/>
      </c>
      <c r="C673" s="86" t="str">
        <f>IF(B673="","",VLOOKUP(A673,Journal!$C$7:$E$84,3))</f>
        <v/>
      </c>
      <c r="D673" s="84" t="str">
        <f>IF(B673="","",VLOOKUP(A673,Journal!$C$7:$J$84,8))</f>
        <v/>
      </c>
      <c r="E673" s="84" t="str">
        <f>IF(B673="","",VLOOKUP(A673,Journal!$C$7:$L$84,10))</f>
        <v/>
      </c>
      <c r="F673" s="84" t="str">
        <f>IF(B673="","",VLOOKUP(A673,Journal!$C$7:$M$84,11))</f>
        <v/>
      </c>
      <c r="G673" s="102">
        <f>IF(B673="Total",SUM(G$8:G672)+0.0001,IF(OR(B673="",M673=0),0,VLOOKUP(A673,Journal!$C$7:M$84,7)))</f>
        <v>0</v>
      </c>
      <c r="H673" s="102">
        <f>IF(B673="Total",SUM(H$8:H672)+0.0001,IF(OR(B673="",N673=0),0,VLOOKUP(A673,Journal!$C$7:M$84,7)))</f>
        <v>0</v>
      </c>
      <c r="I673" s="87">
        <f t="shared" si="64"/>
        <v>0</v>
      </c>
      <c r="K673" s="13">
        <f>VLOOKUP(A673,Journal!$C$7:$M$84,4)</f>
        <v>0</v>
      </c>
      <c r="L673" s="13">
        <f>VLOOKUP(A673,Journal!$C$7:$M$84,5)</f>
        <v>0</v>
      </c>
      <c r="M673" s="13">
        <f t="shared" si="66"/>
        <v>0</v>
      </c>
      <c r="N673" s="13">
        <f t="shared" si="67"/>
        <v>0</v>
      </c>
      <c r="O673" s="13"/>
      <c r="P673" s="13">
        <f t="shared" si="68"/>
        <v>1.0000000000000001E-5</v>
      </c>
      <c r="T673" t="str">
        <f t="shared" si="63"/>
        <v/>
      </c>
    </row>
    <row r="674" spans="1:20" x14ac:dyDescent="0.25">
      <c r="A674">
        <f t="shared" si="65"/>
        <v>667</v>
      </c>
      <c r="B674" s="88" t="str">
        <f>IF(OR(B673="Total",B673=""),"",IF(VLOOKUP(A674,Journal!$C$7:$E$84,3)=0,"Total",VLOOKUP(A674,Journal!$C$7:$D$84,2)))</f>
        <v/>
      </c>
      <c r="C674" s="86" t="str">
        <f>IF(B674="","",VLOOKUP(A674,Journal!$C$7:$E$84,3))</f>
        <v/>
      </c>
      <c r="D674" s="84" t="str">
        <f>IF(B674="","",VLOOKUP(A674,Journal!$C$7:$J$84,8))</f>
        <v/>
      </c>
      <c r="E674" s="84" t="str">
        <f>IF(B674="","",VLOOKUP(A674,Journal!$C$7:$L$84,10))</f>
        <v/>
      </c>
      <c r="F674" s="84" t="str">
        <f>IF(B674="","",VLOOKUP(A674,Journal!$C$7:$M$84,11))</f>
        <v/>
      </c>
      <c r="G674" s="102">
        <f>IF(B674="Total",SUM(G$8:G673)+0.0001,IF(OR(B674="",M674=0),0,VLOOKUP(A674,Journal!$C$7:M$84,7)))</f>
        <v>0</v>
      </c>
      <c r="H674" s="102">
        <f>IF(B674="Total",SUM(H$8:H673)+0.0001,IF(OR(B674="",N674=0),0,VLOOKUP(A674,Journal!$C$7:M$84,7)))</f>
        <v>0</v>
      </c>
      <c r="I674" s="87">
        <f t="shared" si="64"/>
        <v>0</v>
      </c>
      <c r="K674" s="13">
        <f>VLOOKUP(A674,Journal!$C$7:$M$84,4)</f>
        <v>0</v>
      </c>
      <c r="L674" s="13">
        <f>VLOOKUP(A674,Journal!$C$7:$M$84,5)</f>
        <v>0</v>
      </c>
      <c r="M674" s="13">
        <f t="shared" si="66"/>
        <v>0</v>
      </c>
      <c r="N674" s="13">
        <f t="shared" si="67"/>
        <v>0</v>
      </c>
      <c r="O674" s="13"/>
      <c r="P674" s="13">
        <f t="shared" si="68"/>
        <v>1.0000000000000001E-5</v>
      </c>
      <c r="T674" t="str">
        <f t="shared" si="63"/>
        <v/>
      </c>
    </row>
    <row r="675" spans="1:20" x14ac:dyDescent="0.25">
      <c r="A675">
        <f t="shared" si="65"/>
        <v>668</v>
      </c>
      <c r="B675" s="88" t="str">
        <f>IF(OR(B674="Total",B674=""),"",IF(VLOOKUP(A675,Journal!$C$7:$E$84,3)=0,"Total",VLOOKUP(A675,Journal!$C$7:$D$84,2)))</f>
        <v/>
      </c>
      <c r="C675" s="86" t="str">
        <f>IF(B675="","",VLOOKUP(A675,Journal!$C$7:$E$84,3))</f>
        <v/>
      </c>
      <c r="D675" s="84" t="str">
        <f>IF(B675="","",VLOOKUP(A675,Journal!$C$7:$J$84,8))</f>
        <v/>
      </c>
      <c r="E675" s="84" t="str">
        <f>IF(B675="","",VLOOKUP(A675,Journal!$C$7:$L$84,10))</f>
        <v/>
      </c>
      <c r="F675" s="84" t="str">
        <f>IF(B675="","",VLOOKUP(A675,Journal!$C$7:$M$84,11))</f>
        <v/>
      </c>
      <c r="G675" s="102">
        <f>IF(B675="Total",SUM(G$8:G674)+0.0001,IF(OR(B675="",M675=0),0,VLOOKUP(A675,Journal!$C$7:M$84,7)))</f>
        <v>0</v>
      </c>
      <c r="H675" s="102">
        <f>IF(B675="Total",SUM(H$8:H674)+0.0001,IF(OR(B675="",N675=0),0,VLOOKUP(A675,Journal!$C$7:M$84,7)))</f>
        <v>0</v>
      </c>
      <c r="I675" s="87">
        <f t="shared" si="64"/>
        <v>0</v>
      </c>
      <c r="K675" s="13">
        <f>VLOOKUP(A675,Journal!$C$7:$M$84,4)</f>
        <v>0</v>
      </c>
      <c r="L675" s="13">
        <f>VLOOKUP(A675,Journal!$C$7:$M$84,5)</f>
        <v>0</v>
      </c>
      <c r="M675" s="13">
        <f t="shared" si="66"/>
        <v>0</v>
      </c>
      <c r="N675" s="13">
        <f t="shared" si="67"/>
        <v>0</v>
      </c>
      <c r="O675" s="13"/>
      <c r="P675" s="13">
        <f t="shared" si="68"/>
        <v>1.0000000000000001E-5</v>
      </c>
      <c r="T675" t="str">
        <f t="shared" si="63"/>
        <v/>
      </c>
    </row>
    <row r="676" spans="1:20" x14ac:dyDescent="0.25">
      <c r="A676">
        <f t="shared" si="65"/>
        <v>669</v>
      </c>
      <c r="B676" s="88" t="str">
        <f>IF(OR(B675="Total",B675=""),"",IF(VLOOKUP(A676,Journal!$C$7:$E$84,3)=0,"Total",VLOOKUP(A676,Journal!$C$7:$D$84,2)))</f>
        <v/>
      </c>
      <c r="C676" s="86" t="str">
        <f>IF(B676="","",VLOOKUP(A676,Journal!$C$7:$E$84,3))</f>
        <v/>
      </c>
      <c r="D676" s="84" t="str">
        <f>IF(B676="","",VLOOKUP(A676,Journal!$C$7:$J$84,8))</f>
        <v/>
      </c>
      <c r="E676" s="84" t="str">
        <f>IF(B676="","",VLOOKUP(A676,Journal!$C$7:$L$84,10))</f>
        <v/>
      </c>
      <c r="F676" s="84" t="str">
        <f>IF(B676="","",VLOOKUP(A676,Journal!$C$7:$M$84,11))</f>
        <v/>
      </c>
      <c r="G676" s="102">
        <f>IF(B676="Total",SUM(G$8:G675)+0.0001,IF(OR(B676="",M676=0),0,VLOOKUP(A676,Journal!$C$7:M$84,7)))</f>
        <v>0</v>
      </c>
      <c r="H676" s="102">
        <f>IF(B676="Total",SUM(H$8:H675)+0.0001,IF(OR(B676="",N676=0),0,VLOOKUP(A676,Journal!$C$7:M$84,7)))</f>
        <v>0</v>
      </c>
      <c r="I676" s="87">
        <f t="shared" si="64"/>
        <v>0</v>
      </c>
      <c r="K676" s="13">
        <f>VLOOKUP(A676,Journal!$C$7:$M$84,4)</f>
        <v>0</v>
      </c>
      <c r="L676" s="13">
        <f>VLOOKUP(A676,Journal!$C$7:$M$84,5)</f>
        <v>0</v>
      </c>
      <c r="M676" s="13">
        <f t="shared" si="66"/>
        <v>0</v>
      </c>
      <c r="N676" s="13">
        <f t="shared" si="67"/>
        <v>0</v>
      </c>
      <c r="O676" s="13"/>
      <c r="P676" s="13">
        <f t="shared" si="68"/>
        <v>1.0000000000000001E-5</v>
      </c>
      <c r="T676" t="str">
        <f t="shared" si="63"/>
        <v/>
      </c>
    </row>
    <row r="677" spans="1:20" x14ac:dyDescent="0.25">
      <c r="A677">
        <f t="shared" si="65"/>
        <v>670</v>
      </c>
      <c r="B677" s="88" t="str">
        <f>IF(OR(B676="Total",B676=""),"",IF(VLOOKUP(A677,Journal!$C$7:$E$84,3)=0,"Total",VLOOKUP(A677,Journal!$C$7:$D$84,2)))</f>
        <v/>
      </c>
      <c r="C677" s="86" t="str">
        <f>IF(B677="","",VLOOKUP(A677,Journal!$C$7:$E$84,3))</f>
        <v/>
      </c>
      <c r="D677" s="84" t="str">
        <f>IF(B677="","",VLOOKUP(A677,Journal!$C$7:$J$84,8))</f>
        <v/>
      </c>
      <c r="E677" s="84" t="str">
        <f>IF(B677="","",VLOOKUP(A677,Journal!$C$7:$L$84,10))</f>
        <v/>
      </c>
      <c r="F677" s="84" t="str">
        <f>IF(B677="","",VLOOKUP(A677,Journal!$C$7:$M$84,11))</f>
        <v/>
      </c>
      <c r="G677" s="102">
        <f>IF(B677="Total",SUM(G$8:G676)+0.0001,IF(OR(B677="",M677=0),0,VLOOKUP(A677,Journal!$C$7:M$84,7)))</f>
        <v>0</v>
      </c>
      <c r="H677" s="102">
        <f>IF(B677="Total",SUM(H$8:H676)+0.0001,IF(OR(B677="",N677=0),0,VLOOKUP(A677,Journal!$C$7:M$84,7)))</f>
        <v>0</v>
      </c>
      <c r="I677" s="87">
        <f t="shared" si="64"/>
        <v>0</v>
      </c>
      <c r="K677" s="13">
        <f>VLOOKUP(A677,Journal!$C$7:$M$84,4)</f>
        <v>0</v>
      </c>
      <c r="L677" s="13">
        <f>VLOOKUP(A677,Journal!$C$7:$M$84,5)</f>
        <v>0</v>
      </c>
      <c r="M677" s="13">
        <f t="shared" si="66"/>
        <v>0</v>
      </c>
      <c r="N677" s="13">
        <f t="shared" si="67"/>
        <v>0</v>
      </c>
      <c r="O677" s="13"/>
      <c r="P677" s="13">
        <f t="shared" si="68"/>
        <v>1.0000000000000001E-5</v>
      </c>
      <c r="T677" t="str">
        <f t="shared" si="63"/>
        <v/>
      </c>
    </row>
    <row r="678" spans="1:20" x14ac:dyDescent="0.25">
      <c r="A678">
        <f t="shared" si="65"/>
        <v>671</v>
      </c>
      <c r="B678" s="88" t="str">
        <f>IF(OR(B677="Total",B677=""),"",IF(VLOOKUP(A678,Journal!$C$7:$E$84,3)=0,"Total",VLOOKUP(A678,Journal!$C$7:$D$84,2)))</f>
        <v/>
      </c>
      <c r="C678" s="86" t="str">
        <f>IF(B678="","",VLOOKUP(A678,Journal!$C$7:$E$84,3))</f>
        <v/>
      </c>
      <c r="D678" s="84" t="str">
        <f>IF(B678="","",VLOOKUP(A678,Journal!$C$7:$J$84,8))</f>
        <v/>
      </c>
      <c r="E678" s="84" t="str">
        <f>IF(B678="","",VLOOKUP(A678,Journal!$C$7:$L$84,10))</f>
        <v/>
      </c>
      <c r="F678" s="84" t="str">
        <f>IF(B678="","",VLOOKUP(A678,Journal!$C$7:$M$84,11))</f>
        <v/>
      </c>
      <c r="G678" s="102">
        <f>IF(B678="Total",SUM(G$8:G677)+0.0001,IF(OR(B678="",M678=0),0,VLOOKUP(A678,Journal!$C$7:M$84,7)))</f>
        <v>0</v>
      </c>
      <c r="H678" s="102">
        <f>IF(B678="Total",SUM(H$8:H677)+0.0001,IF(OR(B678="",N678=0),0,VLOOKUP(A678,Journal!$C$7:M$84,7)))</f>
        <v>0</v>
      </c>
      <c r="I678" s="87">
        <f t="shared" si="64"/>
        <v>0</v>
      </c>
      <c r="K678" s="13">
        <f>VLOOKUP(A678,Journal!$C$7:$M$84,4)</f>
        <v>0</v>
      </c>
      <c r="L678" s="13">
        <f>VLOOKUP(A678,Journal!$C$7:$M$84,5)</f>
        <v>0</v>
      </c>
      <c r="M678" s="13">
        <f t="shared" si="66"/>
        <v>0</v>
      </c>
      <c r="N678" s="13">
        <f t="shared" si="67"/>
        <v>0</v>
      </c>
      <c r="O678" s="13"/>
      <c r="P678" s="13">
        <f t="shared" si="68"/>
        <v>1.0000000000000001E-5</v>
      </c>
      <c r="T678" t="str">
        <f t="shared" si="63"/>
        <v/>
      </c>
    </row>
    <row r="679" spans="1:20" x14ac:dyDescent="0.25">
      <c r="A679">
        <f t="shared" si="65"/>
        <v>672</v>
      </c>
      <c r="B679" s="88" t="str">
        <f>IF(OR(B678="Total",B678=""),"",IF(VLOOKUP(A679,Journal!$C$7:$E$84,3)=0,"Total",VLOOKUP(A679,Journal!$C$7:$D$84,2)))</f>
        <v/>
      </c>
      <c r="C679" s="86" t="str">
        <f>IF(B679="","",VLOOKUP(A679,Journal!$C$7:$E$84,3))</f>
        <v/>
      </c>
      <c r="D679" s="84" t="str">
        <f>IF(B679="","",VLOOKUP(A679,Journal!$C$7:$J$84,8))</f>
        <v/>
      </c>
      <c r="E679" s="84" t="str">
        <f>IF(B679="","",VLOOKUP(A679,Journal!$C$7:$L$84,10))</f>
        <v/>
      </c>
      <c r="F679" s="84" t="str">
        <f>IF(B679="","",VLOOKUP(A679,Journal!$C$7:$M$84,11))</f>
        <v/>
      </c>
      <c r="G679" s="102">
        <f>IF(B679="Total",SUM(G$8:G678)+0.0001,IF(OR(B679="",M679=0),0,VLOOKUP(A679,Journal!$C$7:M$84,7)))</f>
        <v>0</v>
      </c>
      <c r="H679" s="102">
        <f>IF(B679="Total",SUM(H$8:H678)+0.0001,IF(OR(B679="",N679=0),0,VLOOKUP(A679,Journal!$C$7:M$84,7)))</f>
        <v>0</v>
      </c>
      <c r="I679" s="87">
        <f t="shared" si="64"/>
        <v>0</v>
      </c>
      <c r="K679" s="13">
        <f>VLOOKUP(A679,Journal!$C$7:$M$84,4)</f>
        <v>0</v>
      </c>
      <c r="L679" s="13">
        <f>VLOOKUP(A679,Journal!$C$7:$M$84,5)</f>
        <v>0</v>
      </c>
      <c r="M679" s="13">
        <f t="shared" si="66"/>
        <v>0</v>
      </c>
      <c r="N679" s="13">
        <f t="shared" si="67"/>
        <v>0</v>
      </c>
      <c r="O679" s="13"/>
      <c r="P679" s="13">
        <f t="shared" si="68"/>
        <v>1.0000000000000001E-5</v>
      </c>
      <c r="T679" t="str">
        <f t="shared" si="63"/>
        <v/>
      </c>
    </row>
    <row r="680" spans="1:20" x14ac:dyDescent="0.25">
      <c r="A680">
        <f t="shared" si="65"/>
        <v>673</v>
      </c>
      <c r="B680" s="88" t="str">
        <f>IF(OR(B679="Total",B679=""),"",IF(VLOOKUP(A680,Journal!$C$7:$E$84,3)=0,"Total",VLOOKUP(A680,Journal!$C$7:$D$84,2)))</f>
        <v/>
      </c>
      <c r="C680" s="86" t="str">
        <f>IF(B680="","",VLOOKUP(A680,Journal!$C$7:$E$84,3))</f>
        <v/>
      </c>
      <c r="D680" s="84" t="str">
        <f>IF(B680="","",VLOOKUP(A680,Journal!$C$7:$J$84,8))</f>
        <v/>
      </c>
      <c r="E680" s="84" t="str">
        <f>IF(B680="","",VLOOKUP(A680,Journal!$C$7:$L$84,10))</f>
        <v/>
      </c>
      <c r="F680" s="84" t="str">
        <f>IF(B680="","",VLOOKUP(A680,Journal!$C$7:$M$84,11))</f>
        <v/>
      </c>
      <c r="G680" s="102">
        <f>IF(B680="Total",SUM(G$8:G679)+0.0001,IF(OR(B680="",M680=0),0,VLOOKUP(A680,Journal!$C$7:M$84,7)))</f>
        <v>0</v>
      </c>
      <c r="H680" s="102">
        <f>IF(B680="Total",SUM(H$8:H679)+0.0001,IF(OR(B680="",N680=0),0,VLOOKUP(A680,Journal!$C$7:M$84,7)))</f>
        <v>0</v>
      </c>
      <c r="I680" s="87">
        <f t="shared" si="64"/>
        <v>0</v>
      </c>
      <c r="K680" s="13">
        <f>VLOOKUP(A680,Journal!$C$7:$M$84,4)</f>
        <v>0</v>
      </c>
      <c r="L680" s="13">
        <f>VLOOKUP(A680,Journal!$C$7:$M$84,5)</f>
        <v>0</v>
      </c>
      <c r="M680" s="13">
        <f t="shared" si="66"/>
        <v>0</v>
      </c>
      <c r="N680" s="13">
        <f t="shared" si="67"/>
        <v>0</v>
      </c>
      <c r="O680" s="13"/>
      <c r="P680" s="13">
        <f t="shared" si="68"/>
        <v>1.0000000000000001E-5</v>
      </c>
      <c r="T680" t="str">
        <f t="shared" si="63"/>
        <v/>
      </c>
    </row>
    <row r="681" spans="1:20" x14ac:dyDescent="0.25">
      <c r="A681">
        <f t="shared" si="65"/>
        <v>674</v>
      </c>
      <c r="B681" s="88" t="str">
        <f>IF(OR(B680="Total",B680=""),"",IF(VLOOKUP(A681,Journal!$C$7:$E$84,3)=0,"Total",VLOOKUP(A681,Journal!$C$7:$D$84,2)))</f>
        <v/>
      </c>
      <c r="C681" s="86" t="str">
        <f>IF(B681="","",VLOOKUP(A681,Journal!$C$7:$E$84,3))</f>
        <v/>
      </c>
      <c r="D681" s="84" t="str">
        <f>IF(B681="","",VLOOKUP(A681,Journal!$C$7:$J$84,8))</f>
        <v/>
      </c>
      <c r="E681" s="84" t="str">
        <f>IF(B681="","",VLOOKUP(A681,Journal!$C$7:$L$84,10))</f>
        <v/>
      </c>
      <c r="F681" s="84" t="str">
        <f>IF(B681="","",VLOOKUP(A681,Journal!$C$7:$M$84,11))</f>
        <v/>
      </c>
      <c r="G681" s="102">
        <f>IF(B681="Total",SUM(G$8:G680)+0.0001,IF(OR(B681="",M681=0),0,VLOOKUP(A681,Journal!$C$7:M$84,7)))</f>
        <v>0</v>
      </c>
      <c r="H681" s="102">
        <f>IF(B681="Total",SUM(H$8:H680)+0.0001,IF(OR(B681="",N681=0),0,VLOOKUP(A681,Journal!$C$7:M$84,7)))</f>
        <v>0</v>
      </c>
      <c r="I681" s="87">
        <f t="shared" si="64"/>
        <v>0</v>
      </c>
      <c r="K681" s="13">
        <f>VLOOKUP(A681,Journal!$C$7:$M$84,4)</f>
        <v>0</v>
      </c>
      <c r="L681" s="13">
        <f>VLOOKUP(A681,Journal!$C$7:$M$84,5)</f>
        <v>0</v>
      </c>
      <c r="M681" s="13">
        <f t="shared" si="66"/>
        <v>0</v>
      </c>
      <c r="N681" s="13">
        <f t="shared" si="67"/>
        <v>0</v>
      </c>
      <c r="O681" s="13"/>
      <c r="P681" s="13">
        <f t="shared" si="68"/>
        <v>1.0000000000000001E-5</v>
      </c>
      <c r="T681" t="str">
        <f t="shared" si="63"/>
        <v/>
      </c>
    </row>
    <row r="682" spans="1:20" x14ac:dyDescent="0.25">
      <c r="A682">
        <f t="shared" si="65"/>
        <v>675</v>
      </c>
      <c r="B682" s="88" t="str">
        <f>IF(OR(B681="Total",B681=""),"",IF(VLOOKUP(A682,Journal!$C$7:$E$84,3)=0,"Total",VLOOKUP(A682,Journal!$C$7:$D$84,2)))</f>
        <v/>
      </c>
      <c r="C682" s="86" t="str">
        <f>IF(B682="","",VLOOKUP(A682,Journal!$C$7:$E$84,3))</f>
        <v/>
      </c>
      <c r="D682" s="84" t="str">
        <f>IF(B682="","",VLOOKUP(A682,Journal!$C$7:$J$84,8))</f>
        <v/>
      </c>
      <c r="E682" s="84" t="str">
        <f>IF(B682="","",VLOOKUP(A682,Journal!$C$7:$L$84,10))</f>
        <v/>
      </c>
      <c r="F682" s="84" t="str">
        <f>IF(B682="","",VLOOKUP(A682,Journal!$C$7:$M$84,11))</f>
        <v/>
      </c>
      <c r="G682" s="102">
        <f>IF(B682="Total",SUM(G$8:G681)+0.0001,IF(OR(B682="",M682=0),0,VLOOKUP(A682,Journal!$C$7:M$84,7)))</f>
        <v>0</v>
      </c>
      <c r="H682" s="102">
        <f>IF(B682="Total",SUM(H$8:H681)+0.0001,IF(OR(B682="",N682=0),0,VLOOKUP(A682,Journal!$C$7:M$84,7)))</f>
        <v>0</v>
      </c>
      <c r="I682" s="87">
        <f t="shared" si="64"/>
        <v>0</v>
      </c>
      <c r="K682" s="13">
        <f>VLOOKUP(A682,Journal!$C$7:$M$84,4)</f>
        <v>0</v>
      </c>
      <c r="L682" s="13">
        <f>VLOOKUP(A682,Journal!$C$7:$M$84,5)</f>
        <v>0</v>
      </c>
      <c r="M682" s="13">
        <f t="shared" si="66"/>
        <v>0</v>
      </c>
      <c r="N682" s="13">
        <f t="shared" si="67"/>
        <v>0</v>
      </c>
      <c r="O682" s="13"/>
      <c r="P682" s="13">
        <f t="shared" si="68"/>
        <v>1.0000000000000001E-5</v>
      </c>
      <c r="T682" t="str">
        <f t="shared" si="63"/>
        <v/>
      </c>
    </row>
    <row r="683" spans="1:20" x14ac:dyDescent="0.25">
      <c r="A683">
        <f t="shared" si="65"/>
        <v>676</v>
      </c>
      <c r="B683" s="88" t="str">
        <f>IF(OR(B682="Total",B682=""),"",IF(VLOOKUP(A683,Journal!$C$7:$E$84,3)=0,"Total",VLOOKUP(A683,Journal!$C$7:$D$84,2)))</f>
        <v/>
      </c>
      <c r="C683" s="86" t="str">
        <f>IF(B683="","",VLOOKUP(A683,Journal!$C$7:$E$84,3))</f>
        <v/>
      </c>
      <c r="D683" s="84" t="str">
        <f>IF(B683="","",VLOOKUP(A683,Journal!$C$7:$J$84,8))</f>
        <v/>
      </c>
      <c r="E683" s="84" t="str">
        <f>IF(B683="","",VLOOKUP(A683,Journal!$C$7:$L$84,10))</f>
        <v/>
      </c>
      <c r="F683" s="84" t="str">
        <f>IF(B683="","",VLOOKUP(A683,Journal!$C$7:$M$84,11))</f>
        <v/>
      </c>
      <c r="G683" s="102">
        <f>IF(B683="Total",SUM(G$8:G682)+0.0001,IF(OR(B683="",M683=0),0,VLOOKUP(A683,Journal!$C$7:M$84,7)))</f>
        <v>0</v>
      </c>
      <c r="H683" s="102">
        <f>IF(B683="Total",SUM(H$8:H682)+0.0001,IF(OR(B683="",N683=0),0,VLOOKUP(A683,Journal!$C$7:M$84,7)))</f>
        <v>0</v>
      </c>
      <c r="I683" s="87">
        <f t="shared" si="64"/>
        <v>0</v>
      </c>
      <c r="K683" s="13">
        <f>VLOOKUP(A683,Journal!$C$7:$M$84,4)</f>
        <v>0</v>
      </c>
      <c r="L683" s="13">
        <f>VLOOKUP(A683,Journal!$C$7:$M$84,5)</f>
        <v>0</v>
      </c>
      <c r="M683" s="13">
        <f t="shared" si="66"/>
        <v>0</v>
      </c>
      <c r="N683" s="13">
        <f t="shared" si="67"/>
        <v>0</v>
      </c>
      <c r="O683" s="13"/>
      <c r="P683" s="13">
        <f t="shared" si="68"/>
        <v>1.0000000000000001E-5</v>
      </c>
      <c r="T683" t="str">
        <f t="shared" si="63"/>
        <v/>
      </c>
    </row>
    <row r="684" spans="1:20" x14ac:dyDescent="0.25">
      <c r="A684">
        <f t="shared" si="65"/>
        <v>677</v>
      </c>
      <c r="B684" s="88" t="str">
        <f>IF(OR(B683="Total",B683=""),"",IF(VLOOKUP(A684,Journal!$C$7:$E$84,3)=0,"Total",VLOOKUP(A684,Journal!$C$7:$D$84,2)))</f>
        <v/>
      </c>
      <c r="C684" s="86" t="str">
        <f>IF(B684="","",VLOOKUP(A684,Journal!$C$7:$E$84,3))</f>
        <v/>
      </c>
      <c r="D684" s="84" t="str">
        <f>IF(B684="","",VLOOKUP(A684,Journal!$C$7:$J$84,8))</f>
        <v/>
      </c>
      <c r="E684" s="84" t="str">
        <f>IF(B684="","",VLOOKUP(A684,Journal!$C$7:$L$84,10))</f>
        <v/>
      </c>
      <c r="F684" s="84" t="str">
        <f>IF(B684="","",VLOOKUP(A684,Journal!$C$7:$M$84,11))</f>
        <v/>
      </c>
      <c r="G684" s="102">
        <f>IF(B684="Total",SUM(G$8:G683)+0.0001,IF(OR(B684="",M684=0),0,VLOOKUP(A684,Journal!$C$7:M$84,7)))</f>
        <v>0</v>
      </c>
      <c r="H684" s="102">
        <f>IF(B684="Total",SUM(H$8:H683)+0.0001,IF(OR(B684="",N684=0),0,VLOOKUP(A684,Journal!$C$7:M$84,7)))</f>
        <v>0</v>
      </c>
      <c r="I684" s="87">
        <f t="shared" si="64"/>
        <v>0</v>
      </c>
      <c r="K684" s="13">
        <f>VLOOKUP(A684,Journal!$C$7:$M$84,4)</f>
        <v>0</v>
      </c>
      <c r="L684" s="13">
        <f>VLOOKUP(A684,Journal!$C$7:$M$84,5)</f>
        <v>0</v>
      </c>
      <c r="M684" s="13">
        <f t="shared" si="66"/>
        <v>0</v>
      </c>
      <c r="N684" s="13">
        <f t="shared" si="67"/>
        <v>0</v>
      </c>
      <c r="O684" s="13"/>
      <c r="P684" s="13">
        <f t="shared" si="68"/>
        <v>1.0000000000000001E-5</v>
      </c>
      <c r="T684" t="str">
        <f t="shared" si="63"/>
        <v/>
      </c>
    </row>
    <row r="685" spans="1:20" x14ac:dyDescent="0.25">
      <c r="A685">
        <f t="shared" si="65"/>
        <v>678</v>
      </c>
      <c r="B685" s="88" t="str">
        <f>IF(OR(B684="Total",B684=""),"",IF(VLOOKUP(A685,Journal!$C$7:$E$84,3)=0,"Total",VLOOKUP(A685,Journal!$C$7:$D$84,2)))</f>
        <v/>
      </c>
      <c r="C685" s="86" t="str">
        <f>IF(B685="","",VLOOKUP(A685,Journal!$C$7:$E$84,3))</f>
        <v/>
      </c>
      <c r="D685" s="84" t="str">
        <f>IF(B685="","",VLOOKUP(A685,Journal!$C$7:$J$84,8))</f>
        <v/>
      </c>
      <c r="E685" s="84" t="str">
        <f>IF(B685="","",VLOOKUP(A685,Journal!$C$7:$L$84,10))</f>
        <v/>
      </c>
      <c r="F685" s="84" t="str">
        <f>IF(B685="","",VLOOKUP(A685,Journal!$C$7:$M$84,11))</f>
        <v/>
      </c>
      <c r="G685" s="102">
        <f>IF(B685="Total",SUM(G$8:G684)+0.0001,IF(OR(B685="",M685=0),0,VLOOKUP(A685,Journal!$C$7:M$84,7)))</f>
        <v>0</v>
      </c>
      <c r="H685" s="102">
        <f>IF(B685="Total",SUM(H$8:H684)+0.0001,IF(OR(B685="",N685=0),0,VLOOKUP(A685,Journal!$C$7:M$84,7)))</f>
        <v>0</v>
      </c>
      <c r="I685" s="87">
        <f t="shared" si="64"/>
        <v>0</v>
      </c>
      <c r="K685" s="13">
        <f>VLOOKUP(A685,Journal!$C$7:$M$84,4)</f>
        <v>0</v>
      </c>
      <c r="L685" s="13">
        <f>VLOOKUP(A685,Journal!$C$7:$M$84,5)</f>
        <v>0</v>
      </c>
      <c r="M685" s="13">
        <f t="shared" si="66"/>
        <v>0</v>
      </c>
      <c r="N685" s="13">
        <f t="shared" si="67"/>
        <v>0</v>
      </c>
      <c r="O685" s="13"/>
      <c r="P685" s="13">
        <f t="shared" si="68"/>
        <v>1.0000000000000001E-5</v>
      </c>
      <c r="T685" t="str">
        <f t="shared" si="63"/>
        <v/>
      </c>
    </row>
    <row r="686" spans="1:20" x14ac:dyDescent="0.25">
      <c r="A686">
        <f t="shared" si="65"/>
        <v>679</v>
      </c>
      <c r="B686" s="88" t="str">
        <f>IF(OR(B685="Total",B685=""),"",IF(VLOOKUP(A686,Journal!$C$7:$E$84,3)=0,"Total",VLOOKUP(A686,Journal!$C$7:$D$84,2)))</f>
        <v/>
      </c>
      <c r="C686" s="86" t="str">
        <f>IF(B686="","",VLOOKUP(A686,Journal!$C$7:$E$84,3))</f>
        <v/>
      </c>
      <c r="D686" s="84" t="str">
        <f>IF(B686="","",VLOOKUP(A686,Journal!$C$7:$J$84,8))</f>
        <v/>
      </c>
      <c r="E686" s="84" t="str">
        <f>IF(B686="","",VLOOKUP(A686,Journal!$C$7:$L$84,10))</f>
        <v/>
      </c>
      <c r="F686" s="84" t="str">
        <f>IF(B686="","",VLOOKUP(A686,Journal!$C$7:$M$84,11))</f>
        <v/>
      </c>
      <c r="G686" s="102">
        <f>IF(B686="Total",SUM(G$8:G685)+0.0001,IF(OR(B686="",M686=0),0,VLOOKUP(A686,Journal!$C$7:M$84,7)))</f>
        <v>0</v>
      </c>
      <c r="H686" s="102">
        <f>IF(B686="Total",SUM(H$8:H685)+0.0001,IF(OR(B686="",N686=0),0,VLOOKUP(A686,Journal!$C$7:M$84,7)))</f>
        <v>0</v>
      </c>
      <c r="I686" s="87">
        <f t="shared" si="64"/>
        <v>0</v>
      </c>
      <c r="K686" s="13">
        <f>VLOOKUP(A686,Journal!$C$7:$M$84,4)</f>
        <v>0</v>
      </c>
      <c r="L686" s="13">
        <f>VLOOKUP(A686,Journal!$C$7:$M$84,5)</f>
        <v>0</v>
      </c>
      <c r="M686" s="13">
        <f t="shared" si="66"/>
        <v>0</v>
      </c>
      <c r="N686" s="13">
        <f t="shared" si="67"/>
        <v>0</v>
      </c>
      <c r="O686" s="13"/>
      <c r="P686" s="13">
        <f t="shared" si="68"/>
        <v>1.0000000000000001E-5</v>
      </c>
      <c r="T686" t="str">
        <f t="shared" si="63"/>
        <v/>
      </c>
    </row>
    <row r="687" spans="1:20" x14ac:dyDescent="0.25">
      <c r="A687">
        <f t="shared" si="65"/>
        <v>680</v>
      </c>
      <c r="B687" s="88" t="str">
        <f>IF(OR(B686="Total",B686=""),"",IF(VLOOKUP(A687,Journal!$C$7:$E$84,3)=0,"Total",VLOOKUP(A687,Journal!$C$7:$D$84,2)))</f>
        <v/>
      </c>
      <c r="C687" s="86" t="str">
        <f>IF(B687="","",VLOOKUP(A687,Journal!$C$7:$E$84,3))</f>
        <v/>
      </c>
      <c r="D687" s="84" t="str">
        <f>IF(B687="","",VLOOKUP(A687,Journal!$C$7:$J$84,8))</f>
        <v/>
      </c>
      <c r="E687" s="84" t="str">
        <f>IF(B687="","",VLOOKUP(A687,Journal!$C$7:$L$84,10))</f>
        <v/>
      </c>
      <c r="F687" s="84" t="str">
        <f>IF(B687="","",VLOOKUP(A687,Journal!$C$7:$M$84,11))</f>
        <v/>
      </c>
      <c r="G687" s="102">
        <f>IF(B687="Total",SUM(G$8:G686)+0.0001,IF(OR(B687="",M687=0),0,VLOOKUP(A687,Journal!$C$7:M$84,7)))</f>
        <v>0</v>
      </c>
      <c r="H687" s="102">
        <f>IF(B687="Total",SUM(H$8:H686)+0.0001,IF(OR(B687="",N687=0),0,VLOOKUP(A687,Journal!$C$7:M$84,7)))</f>
        <v>0</v>
      </c>
      <c r="I687" s="87">
        <f t="shared" si="64"/>
        <v>0</v>
      </c>
      <c r="K687" s="13">
        <f>VLOOKUP(A687,Journal!$C$7:$M$84,4)</f>
        <v>0</v>
      </c>
      <c r="L687" s="13">
        <f>VLOOKUP(A687,Journal!$C$7:$M$84,5)</f>
        <v>0</v>
      </c>
      <c r="M687" s="13">
        <f t="shared" si="66"/>
        <v>0</v>
      </c>
      <c r="N687" s="13">
        <f t="shared" si="67"/>
        <v>0</v>
      </c>
      <c r="O687" s="13"/>
      <c r="P687" s="13">
        <f t="shared" si="68"/>
        <v>1.0000000000000001E-5</v>
      </c>
      <c r="T687" t="str">
        <f t="shared" si="63"/>
        <v/>
      </c>
    </row>
    <row r="688" spans="1:20" x14ac:dyDescent="0.25">
      <c r="A688">
        <f t="shared" si="65"/>
        <v>681</v>
      </c>
      <c r="B688" s="88" t="str">
        <f>IF(OR(B687="Total",B687=""),"",IF(VLOOKUP(A688,Journal!$C$7:$E$84,3)=0,"Total",VLOOKUP(A688,Journal!$C$7:$D$84,2)))</f>
        <v/>
      </c>
      <c r="C688" s="86" t="str">
        <f>IF(B688="","",VLOOKUP(A688,Journal!$C$7:$E$84,3))</f>
        <v/>
      </c>
      <c r="D688" s="84" t="str">
        <f>IF(B688="","",VLOOKUP(A688,Journal!$C$7:$J$84,8))</f>
        <v/>
      </c>
      <c r="E688" s="84" t="str">
        <f>IF(B688="","",VLOOKUP(A688,Journal!$C$7:$L$84,10))</f>
        <v/>
      </c>
      <c r="F688" s="84" t="str">
        <f>IF(B688="","",VLOOKUP(A688,Journal!$C$7:$M$84,11))</f>
        <v/>
      </c>
      <c r="G688" s="102">
        <f>IF(B688="Total",SUM(G$8:G687)+0.0001,IF(OR(B688="",M688=0),0,VLOOKUP(A688,Journal!$C$7:M$84,7)))</f>
        <v>0</v>
      </c>
      <c r="H688" s="102">
        <f>IF(B688="Total",SUM(H$8:H687)+0.0001,IF(OR(B688="",N688=0),0,VLOOKUP(A688,Journal!$C$7:M$84,7)))</f>
        <v>0</v>
      </c>
      <c r="I688" s="87">
        <f t="shared" si="64"/>
        <v>0</v>
      </c>
      <c r="K688" s="13">
        <f>VLOOKUP(A688,Journal!$C$7:$M$84,4)</f>
        <v>0</v>
      </c>
      <c r="L688" s="13">
        <f>VLOOKUP(A688,Journal!$C$7:$M$84,5)</f>
        <v>0</v>
      </c>
      <c r="M688" s="13">
        <f t="shared" si="66"/>
        <v>0</v>
      </c>
      <c r="N688" s="13">
        <f t="shared" si="67"/>
        <v>0</v>
      </c>
      <c r="O688" s="13"/>
      <c r="P688" s="13">
        <f t="shared" si="68"/>
        <v>1.0000000000000001E-5</v>
      </c>
      <c r="T688" t="str">
        <f t="shared" si="63"/>
        <v/>
      </c>
    </row>
    <row r="689" spans="1:20" x14ac:dyDescent="0.25">
      <c r="A689">
        <f t="shared" si="65"/>
        <v>682</v>
      </c>
      <c r="B689" s="88" t="str">
        <f>IF(OR(B688="Total",B688=""),"",IF(VLOOKUP(A689,Journal!$C$7:$E$84,3)=0,"Total",VLOOKUP(A689,Journal!$C$7:$D$84,2)))</f>
        <v/>
      </c>
      <c r="C689" s="86" t="str">
        <f>IF(B689="","",VLOOKUP(A689,Journal!$C$7:$E$84,3))</f>
        <v/>
      </c>
      <c r="D689" s="84" t="str">
        <f>IF(B689="","",VLOOKUP(A689,Journal!$C$7:$J$84,8))</f>
        <v/>
      </c>
      <c r="E689" s="84" t="str">
        <f>IF(B689="","",VLOOKUP(A689,Journal!$C$7:$L$84,10))</f>
        <v/>
      </c>
      <c r="F689" s="84" t="str">
        <f>IF(B689="","",VLOOKUP(A689,Journal!$C$7:$M$84,11))</f>
        <v/>
      </c>
      <c r="G689" s="102">
        <f>IF(B689="Total",SUM(G$8:G688)+0.0001,IF(OR(B689="",M689=0),0,VLOOKUP(A689,Journal!$C$7:M$84,7)))</f>
        <v>0</v>
      </c>
      <c r="H689" s="102">
        <f>IF(B689="Total",SUM(H$8:H688)+0.0001,IF(OR(B689="",N689=0),0,VLOOKUP(A689,Journal!$C$7:M$84,7)))</f>
        <v>0</v>
      </c>
      <c r="I689" s="87">
        <f t="shared" si="64"/>
        <v>0</v>
      </c>
      <c r="K689" s="13">
        <f>VLOOKUP(A689,Journal!$C$7:$M$84,4)</f>
        <v>0</v>
      </c>
      <c r="L689" s="13">
        <f>VLOOKUP(A689,Journal!$C$7:$M$84,5)</f>
        <v>0</v>
      </c>
      <c r="M689" s="13">
        <f t="shared" si="66"/>
        <v>0</v>
      </c>
      <c r="N689" s="13">
        <f t="shared" si="67"/>
        <v>0</v>
      </c>
      <c r="O689" s="13"/>
      <c r="P689" s="13">
        <f t="shared" si="68"/>
        <v>1.0000000000000001E-5</v>
      </c>
      <c r="T689" t="str">
        <f t="shared" si="63"/>
        <v/>
      </c>
    </row>
    <row r="690" spans="1:20" x14ac:dyDescent="0.25">
      <c r="A690">
        <f t="shared" si="65"/>
        <v>683</v>
      </c>
      <c r="B690" s="88" t="str">
        <f>IF(OR(B689="Total",B689=""),"",IF(VLOOKUP(A690,Journal!$C$7:$E$84,3)=0,"Total",VLOOKUP(A690,Journal!$C$7:$D$84,2)))</f>
        <v/>
      </c>
      <c r="C690" s="86" t="str">
        <f>IF(B690="","",VLOOKUP(A690,Journal!$C$7:$E$84,3))</f>
        <v/>
      </c>
      <c r="D690" s="84" t="str">
        <f>IF(B690="","",VLOOKUP(A690,Journal!$C$7:$J$84,8))</f>
        <v/>
      </c>
      <c r="E690" s="84" t="str">
        <f>IF(B690="","",VLOOKUP(A690,Journal!$C$7:$L$84,10))</f>
        <v/>
      </c>
      <c r="F690" s="84" t="str">
        <f>IF(B690="","",VLOOKUP(A690,Journal!$C$7:$M$84,11))</f>
        <v/>
      </c>
      <c r="G690" s="102">
        <f>IF(B690="Total",SUM(G$8:G689)+0.0001,IF(OR(B690="",M690=0),0,VLOOKUP(A690,Journal!$C$7:M$84,7)))</f>
        <v>0</v>
      </c>
      <c r="H690" s="102">
        <f>IF(B690="Total",SUM(H$8:H689)+0.0001,IF(OR(B690="",N690=0),0,VLOOKUP(A690,Journal!$C$7:M$84,7)))</f>
        <v>0</v>
      </c>
      <c r="I690" s="87">
        <f t="shared" si="64"/>
        <v>0</v>
      </c>
      <c r="K690" s="13">
        <f>VLOOKUP(A690,Journal!$C$7:$M$84,4)</f>
        <v>0</v>
      </c>
      <c r="L690" s="13">
        <f>VLOOKUP(A690,Journal!$C$7:$M$84,5)</f>
        <v>0</v>
      </c>
      <c r="M690" s="13">
        <f t="shared" si="66"/>
        <v>0</v>
      </c>
      <c r="N690" s="13">
        <f t="shared" si="67"/>
        <v>0</v>
      </c>
      <c r="O690" s="13"/>
      <c r="P690" s="13">
        <f t="shared" si="68"/>
        <v>1.0000000000000001E-5</v>
      </c>
      <c r="T690" t="str">
        <f t="shared" si="63"/>
        <v/>
      </c>
    </row>
    <row r="691" spans="1:20" x14ac:dyDescent="0.25">
      <c r="A691">
        <f t="shared" si="65"/>
        <v>684</v>
      </c>
      <c r="B691" s="88" t="str">
        <f>IF(OR(B690="Total",B690=""),"",IF(VLOOKUP(A691,Journal!$C$7:$E$84,3)=0,"Total",VLOOKUP(A691,Journal!$C$7:$D$84,2)))</f>
        <v/>
      </c>
      <c r="C691" s="86" t="str">
        <f>IF(B691="","",VLOOKUP(A691,Journal!$C$7:$E$84,3))</f>
        <v/>
      </c>
      <c r="D691" s="84" t="str">
        <f>IF(B691="","",VLOOKUP(A691,Journal!$C$7:$J$84,8))</f>
        <v/>
      </c>
      <c r="E691" s="84" t="str">
        <f>IF(B691="","",VLOOKUP(A691,Journal!$C$7:$L$84,10))</f>
        <v/>
      </c>
      <c r="F691" s="84" t="str">
        <f>IF(B691="","",VLOOKUP(A691,Journal!$C$7:$M$84,11))</f>
        <v/>
      </c>
      <c r="G691" s="102">
        <f>IF(B691="Total",SUM(G$8:G690)+0.0001,IF(OR(B691="",M691=0),0,VLOOKUP(A691,Journal!$C$7:M$84,7)))</f>
        <v>0</v>
      </c>
      <c r="H691" s="102">
        <f>IF(B691="Total",SUM(H$8:H690)+0.0001,IF(OR(B691="",N691=0),0,VLOOKUP(A691,Journal!$C$7:M$84,7)))</f>
        <v>0</v>
      </c>
      <c r="I691" s="87">
        <f t="shared" si="64"/>
        <v>0</v>
      </c>
      <c r="K691" s="13">
        <f>VLOOKUP(A691,Journal!$C$7:$M$84,4)</f>
        <v>0</v>
      </c>
      <c r="L691" s="13">
        <f>VLOOKUP(A691,Journal!$C$7:$M$84,5)</f>
        <v>0</v>
      </c>
      <c r="M691" s="13">
        <f t="shared" si="66"/>
        <v>0</v>
      </c>
      <c r="N691" s="13">
        <f t="shared" si="67"/>
        <v>0</v>
      </c>
      <c r="O691" s="13"/>
      <c r="P691" s="13">
        <f t="shared" si="68"/>
        <v>1.0000000000000001E-5</v>
      </c>
      <c r="T691" t="str">
        <f t="shared" si="63"/>
        <v/>
      </c>
    </row>
    <row r="692" spans="1:20" x14ac:dyDescent="0.25">
      <c r="A692">
        <f t="shared" si="65"/>
        <v>685</v>
      </c>
      <c r="B692" s="88" t="str">
        <f>IF(OR(B691="Total",B691=""),"",IF(VLOOKUP(A692,Journal!$C$7:$E$84,3)=0,"Total",VLOOKUP(A692,Journal!$C$7:$D$84,2)))</f>
        <v/>
      </c>
      <c r="C692" s="86" t="str">
        <f>IF(B692="","",VLOOKUP(A692,Journal!$C$7:$E$84,3))</f>
        <v/>
      </c>
      <c r="D692" s="84" t="str">
        <f>IF(B692="","",VLOOKUP(A692,Journal!$C$7:$J$84,8))</f>
        <v/>
      </c>
      <c r="E692" s="84" t="str">
        <f>IF(B692="","",VLOOKUP(A692,Journal!$C$7:$L$84,10))</f>
        <v/>
      </c>
      <c r="F692" s="84" t="str">
        <f>IF(B692="","",VLOOKUP(A692,Journal!$C$7:$M$84,11))</f>
        <v/>
      </c>
      <c r="G692" s="102">
        <f>IF(B692="Total",SUM(G$8:G691)+0.0001,IF(OR(B692="",M692=0),0,VLOOKUP(A692,Journal!$C$7:M$84,7)))</f>
        <v>0</v>
      </c>
      <c r="H692" s="102">
        <f>IF(B692="Total",SUM(H$8:H691)+0.0001,IF(OR(B692="",N692=0),0,VLOOKUP(A692,Journal!$C$7:M$84,7)))</f>
        <v>0</v>
      </c>
      <c r="I692" s="87">
        <f t="shared" si="64"/>
        <v>0</v>
      </c>
      <c r="K692" s="13">
        <f>VLOOKUP(A692,Journal!$C$7:$M$84,4)</f>
        <v>0</v>
      </c>
      <c r="L692" s="13">
        <f>VLOOKUP(A692,Journal!$C$7:$M$84,5)</f>
        <v>0</v>
      </c>
      <c r="M692" s="13">
        <f t="shared" si="66"/>
        <v>0</v>
      </c>
      <c r="N692" s="13">
        <f t="shared" si="67"/>
        <v>0</v>
      </c>
      <c r="O692" s="13"/>
      <c r="P692" s="13">
        <f t="shared" si="68"/>
        <v>1.0000000000000001E-5</v>
      </c>
      <c r="T692" t="str">
        <f t="shared" si="63"/>
        <v/>
      </c>
    </row>
    <row r="693" spans="1:20" x14ac:dyDescent="0.25">
      <c r="A693">
        <f t="shared" si="65"/>
        <v>686</v>
      </c>
      <c r="B693" s="88" t="str">
        <f>IF(OR(B692="Total",B692=""),"",IF(VLOOKUP(A693,Journal!$C$7:$E$84,3)=0,"Total",VLOOKUP(A693,Journal!$C$7:$D$84,2)))</f>
        <v/>
      </c>
      <c r="C693" s="86" t="str">
        <f>IF(B693="","",VLOOKUP(A693,Journal!$C$7:$E$84,3))</f>
        <v/>
      </c>
      <c r="D693" s="84" t="str">
        <f>IF(B693="","",VLOOKUP(A693,Journal!$C$7:$J$84,8))</f>
        <v/>
      </c>
      <c r="E693" s="84" t="str">
        <f>IF(B693="","",VLOOKUP(A693,Journal!$C$7:$L$84,10))</f>
        <v/>
      </c>
      <c r="F693" s="84" t="str">
        <f>IF(B693="","",VLOOKUP(A693,Journal!$C$7:$M$84,11))</f>
        <v/>
      </c>
      <c r="G693" s="102">
        <f>IF(B693="Total",SUM(G$8:G692)+0.0001,IF(OR(B693="",M693=0),0,VLOOKUP(A693,Journal!$C$7:M$84,7)))</f>
        <v>0</v>
      </c>
      <c r="H693" s="102">
        <f>IF(B693="Total",SUM(H$8:H692)+0.0001,IF(OR(B693="",N693=0),0,VLOOKUP(A693,Journal!$C$7:M$84,7)))</f>
        <v>0</v>
      </c>
      <c r="I693" s="87">
        <f t="shared" si="64"/>
        <v>0</v>
      </c>
      <c r="K693" s="13">
        <f>VLOOKUP(A693,Journal!$C$7:$M$84,4)</f>
        <v>0</v>
      </c>
      <c r="L693" s="13">
        <f>VLOOKUP(A693,Journal!$C$7:$M$84,5)</f>
        <v>0</v>
      </c>
      <c r="M693" s="13">
        <f t="shared" si="66"/>
        <v>0</v>
      </c>
      <c r="N693" s="13">
        <f t="shared" si="67"/>
        <v>0</v>
      </c>
      <c r="O693" s="13"/>
      <c r="P693" s="13">
        <f t="shared" si="68"/>
        <v>1.0000000000000001E-5</v>
      </c>
      <c r="T693" t="str">
        <f t="shared" si="63"/>
        <v/>
      </c>
    </row>
    <row r="694" spans="1:20" x14ac:dyDescent="0.25">
      <c r="A694">
        <f t="shared" si="65"/>
        <v>687</v>
      </c>
      <c r="B694" s="88" t="str">
        <f>IF(OR(B693="Total",B693=""),"",IF(VLOOKUP(A694,Journal!$C$7:$E$84,3)=0,"Total",VLOOKUP(A694,Journal!$C$7:$D$84,2)))</f>
        <v/>
      </c>
      <c r="C694" s="86" t="str">
        <f>IF(B694="","",VLOOKUP(A694,Journal!$C$7:$E$84,3))</f>
        <v/>
      </c>
      <c r="D694" s="84" t="str">
        <f>IF(B694="","",VLOOKUP(A694,Journal!$C$7:$J$84,8))</f>
        <v/>
      </c>
      <c r="E694" s="84" t="str">
        <f>IF(B694="","",VLOOKUP(A694,Journal!$C$7:$L$84,10))</f>
        <v/>
      </c>
      <c r="F694" s="84" t="str">
        <f>IF(B694="","",VLOOKUP(A694,Journal!$C$7:$M$84,11))</f>
        <v/>
      </c>
      <c r="G694" s="102">
        <f>IF(B694="Total",SUM(G$8:G693)+0.0001,IF(OR(B694="",M694=0),0,VLOOKUP(A694,Journal!$C$7:M$84,7)))</f>
        <v>0</v>
      </c>
      <c r="H694" s="102">
        <f>IF(B694="Total",SUM(H$8:H693)+0.0001,IF(OR(B694="",N694=0),0,VLOOKUP(A694,Journal!$C$7:M$84,7)))</f>
        <v>0</v>
      </c>
      <c r="I694" s="87">
        <f t="shared" si="64"/>
        <v>0</v>
      </c>
      <c r="K694" s="13">
        <f>VLOOKUP(A694,Journal!$C$7:$M$84,4)</f>
        <v>0</v>
      </c>
      <c r="L694" s="13">
        <f>VLOOKUP(A694,Journal!$C$7:$M$84,5)</f>
        <v>0</v>
      </c>
      <c r="M694" s="13">
        <f t="shared" si="66"/>
        <v>0</v>
      </c>
      <c r="N694" s="13">
        <f t="shared" si="67"/>
        <v>0</v>
      </c>
      <c r="O694" s="13"/>
      <c r="P694" s="13">
        <f t="shared" si="68"/>
        <v>1.0000000000000001E-5</v>
      </c>
      <c r="T694" t="str">
        <f t="shared" si="63"/>
        <v/>
      </c>
    </row>
    <row r="695" spans="1:20" x14ac:dyDescent="0.25">
      <c r="A695">
        <f t="shared" si="65"/>
        <v>688</v>
      </c>
      <c r="B695" s="88" t="str">
        <f>IF(OR(B694="Total",B694=""),"",IF(VLOOKUP(A695,Journal!$C$7:$E$84,3)=0,"Total",VLOOKUP(A695,Journal!$C$7:$D$84,2)))</f>
        <v/>
      </c>
      <c r="C695" s="86" t="str">
        <f>IF(B695="","",VLOOKUP(A695,Journal!$C$7:$E$84,3))</f>
        <v/>
      </c>
      <c r="D695" s="84" t="str">
        <f>IF(B695="","",VLOOKUP(A695,Journal!$C$7:$J$84,8))</f>
        <v/>
      </c>
      <c r="E695" s="84" t="str">
        <f>IF(B695="","",VLOOKUP(A695,Journal!$C$7:$L$84,10))</f>
        <v/>
      </c>
      <c r="F695" s="84" t="str">
        <f>IF(B695="","",VLOOKUP(A695,Journal!$C$7:$M$84,11))</f>
        <v/>
      </c>
      <c r="G695" s="102">
        <f>IF(B695="Total",SUM(G$8:G694)+0.0001,IF(OR(B695="",M695=0),0,VLOOKUP(A695,Journal!$C$7:M$84,7)))</f>
        <v>0</v>
      </c>
      <c r="H695" s="102">
        <f>IF(B695="Total",SUM(H$8:H694)+0.0001,IF(OR(B695="",N695=0),0,VLOOKUP(A695,Journal!$C$7:M$84,7)))</f>
        <v>0</v>
      </c>
      <c r="I695" s="87">
        <f t="shared" si="64"/>
        <v>0</v>
      </c>
      <c r="K695" s="13">
        <f>VLOOKUP(A695,Journal!$C$7:$M$84,4)</f>
        <v>0</v>
      </c>
      <c r="L695" s="13">
        <f>VLOOKUP(A695,Journal!$C$7:$M$84,5)</f>
        <v>0</v>
      </c>
      <c r="M695" s="13">
        <f t="shared" si="66"/>
        <v>0</v>
      </c>
      <c r="N695" s="13">
        <f t="shared" si="67"/>
        <v>0</v>
      </c>
      <c r="O695" s="13"/>
      <c r="P695" s="13">
        <f t="shared" si="68"/>
        <v>1.0000000000000001E-5</v>
      </c>
      <c r="T695" t="str">
        <f t="shared" si="63"/>
        <v/>
      </c>
    </row>
    <row r="696" spans="1:20" x14ac:dyDescent="0.25">
      <c r="A696">
        <f t="shared" si="65"/>
        <v>689</v>
      </c>
      <c r="B696" s="88" t="str">
        <f>IF(OR(B695="Total",B695=""),"",IF(VLOOKUP(A696,Journal!$C$7:$E$84,3)=0,"Total",VLOOKUP(A696,Journal!$C$7:$D$84,2)))</f>
        <v/>
      </c>
      <c r="C696" s="86" t="str">
        <f>IF(B696="","",VLOOKUP(A696,Journal!$C$7:$E$84,3))</f>
        <v/>
      </c>
      <c r="D696" s="84" t="str">
        <f>IF(B696="","",VLOOKUP(A696,Journal!$C$7:$J$84,8))</f>
        <v/>
      </c>
      <c r="E696" s="84" t="str">
        <f>IF(B696="","",VLOOKUP(A696,Journal!$C$7:$L$84,10))</f>
        <v/>
      </c>
      <c r="F696" s="84" t="str">
        <f>IF(B696="","",VLOOKUP(A696,Journal!$C$7:$M$84,11))</f>
        <v/>
      </c>
      <c r="G696" s="102">
        <f>IF(B696="Total",SUM(G$8:G695)+0.0001,IF(OR(B696="",M696=0),0,VLOOKUP(A696,Journal!$C$7:M$84,7)))</f>
        <v>0</v>
      </c>
      <c r="H696" s="102">
        <f>IF(B696="Total",SUM(H$8:H695)+0.0001,IF(OR(B696="",N696=0),0,VLOOKUP(A696,Journal!$C$7:M$84,7)))</f>
        <v>0</v>
      </c>
      <c r="I696" s="87">
        <f t="shared" si="64"/>
        <v>0</v>
      </c>
      <c r="K696" s="13">
        <f>VLOOKUP(A696,Journal!$C$7:$M$84,4)</f>
        <v>0</v>
      </c>
      <c r="L696" s="13">
        <f>VLOOKUP(A696,Journal!$C$7:$M$84,5)</f>
        <v>0</v>
      </c>
      <c r="M696" s="13">
        <f t="shared" si="66"/>
        <v>0</v>
      </c>
      <c r="N696" s="13">
        <f t="shared" si="67"/>
        <v>0</v>
      </c>
      <c r="O696" s="13"/>
      <c r="P696" s="13">
        <f t="shared" si="68"/>
        <v>1.0000000000000001E-5</v>
      </c>
      <c r="T696" t="str">
        <f t="shared" si="63"/>
        <v/>
      </c>
    </row>
    <row r="697" spans="1:20" x14ac:dyDescent="0.25">
      <c r="A697">
        <f t="shared" si="65"/>
        <v>690</v>
      </c>
      <c r="B697" s="88" t="str">
        <f>IF(OR(B696="Total",B696=""),"",IF(VLOOKUP(A697,Journal!$C$7:$E$84,3)=0,"Total",VLOOKUP(A697,Journal!$C$7:$D$84,2)))</f>
        <v/>
      </c>
      <c r="C697" s="86" t="str">
        <f>IF(B697="","",VLOOKUP(A697,Journal!$C$7:$E$84,3))</f>
        <v/>
      </c>
      <c r="D697" s="84" t="str">
        <f>IF(B697="","",VLOOKUP(A697,Journal!$C$7:$J$84,8))</f>
        <v/>
      </c>
      <c r="E697" s="84" t="str">
        <f>IF(B697="","",VLOOKUP(A697,Journal!$C$7:$L$84,10))</f>
        <v/>
      </c>
      <c r="F697" s="84" t="str">
        <f>IF(B697="","",VLOOKUP(A697,Journal!$C$7:$M$84,11))</f>
        <v/>
      </c>
      <c r="G697" s="102">
        <f>IF(B697="Total",SUM(G$8:G696)+0.0001,IF(OR(B697="",M697=0),0,VLOOKUP(A697,Journal!$C$7:M$84,7)))</f>
        <v>0</v>
      </c>
      <c r="H697" s="102">
        <f>IF(B697="Total",SUM(H$8:H696)+0.0001,IF(OR(B697="",N697=0),0,VLOOKUP(A697,Journal!$C$7:M$84,7)))</f>
        <v>0</v>
      </c>
      <c r="I697" s="87">
        <f t="shared" si="64"/>
        <v>0</v>
      </c>
      <c r="K697" s="13">
        <f>VLOOKUP(A697,Journal!$C$7:$M$84,4)</f>
        <v>0</v>
      </c>
      <c r="L697" s="13">
        <f>VLOOKUP(A697,Journal!$C$7:$M$84,5)</f>
        <v>0</v>
      </c>
      <c r="M697" s="13">
        <f t="shared" si="66"/>
        <v>0</v>
      </c>
      <c r="N697" s="13">
        <f t="shared" si="67"/>
        <v>0</v>
      </c>
      <c r="O697" s="13"/>
      <c r="P697" s="13">
        <f t="shared" si="68"/>
        <v>1.0000000000000001E-5</v>
      </c>
      <c r="T697" t="str">
        <f t="shared" si="63"/>
        <v/>
      </c>
    </row>
    <row r="698" spans="1:20" x14ac:dyDescent="0.25">
      <c r="A698">
        <f t="shared" si="65"/>
        <v>691</v>
      </c>
      <c r="B698" s="88" t="str">
        <f>IF(OR(B697="Total",B697=""),"",IF(VLOOKUP(A698,Journal!$C$7:$E$84,3)=0,"Total",VLOOKUP(A698,Journal!$C$7:$D$84,2)))</f>
        <v/>
      </c>
      <c r="C698" s="86" t="str">
        <f>IF(B698="","",VLOOKUP(A698,Journal!$C$7:$E$84,3))</f>
        <v/>
      </c>
      <c r="D698" s="84" t="str">
        <f>IF(B698="","",VLOOKUP(A698,Journal!$C$7:$J$84,8))</f>
        <v/>
      </c>
      <c r="E698" s="84" t="str">
        <f>IF(B698="","",VLOOKUP(A698,Journal!$C$7:$L$84,10))</f>
        <v/>
      </c>
      <c r="F698" s="84" t="str">
        <f>IF(B698="","",VLOOKUP(A698,Journal!$C$7:$M$84,11))</f>
        <v/>
      </c>
      <c r="G698" s="102">
        <f>IF(B698="Total",SUM(G$8:G697)+0.0001,IF(OR(B698="",M698=0),0,VLOOKUP(A698,Journal!$C$7:M$84,7)))</f>
        <v>0</v>
      </c>
      <c r="H698" s="102">
        <f>IF(B698="Total",SUM(H$8:H697)+0.0001,IF(OR(B698="",N698=0),0,VLOOKUP(A698,Journal!$C$7:M$84,7)))</f>
        <v>0</v>
      </c>
      <c r="I698" s="87">
        <f t="shared" si="64"/>
        <v>0</v>
      </c>
      <c r="K698" s="13">
        <f>VLOOKUP(A698,Journal!$C$7:$M$84,4)</f>
        <v>0</v>
      </c>
      <c r="L698" s="13">
        <f>VLOOKUP(A698,Journal!$C$7:$M$84,5)</f>
        <v>0</v>
      </c>
      <c r="M698" s="13">
        <f t="shared" si="66"/>
        <v>0</v>
      </c>
      <c r="N698" s="13">
        <f t="shared" si="67"/>
        <v>0</v>
      </c>
      <c r="O698" s="13"/>
      <c r="P698" s="13">
        <f t="shared" si="68"/>
        <v>1.0000000000000001E-5</v>
      </c>
      <c r="T698" t="str">
        <f t="shared" si="63"/>
        <v/>
      </c>
    </row>
    <row r="699" spans="1:20" x14ac:dyDescent="0.25">
      <c r="A699">
        <f t="shared" si="65"/>
        <v>692</v>
      </c>
      <c r="B699" s="88" t="str">
        <f>IF(OR(B698="Total",B698=""),"",IF(VLOOKUP(A699,Journal!$C$7:$E$84,3)=0,"Total",VLOOKUP(A699,Journal!$C$7:$D$84,2)))</f>
        <v/>
      </c>
      <c r="C699" s="86" t="str">
        <f>IF(B699="","",VLOOKUP(A699,Journal!$C$7:$E$84,3))</f>
        <v/>
      </c>
      <c r="D699" s="84" t="str">
        <f>IF(B699="","",VLOOKUP(A699,Journal!$C$7:$J$84,8))</f>
        <v/>
      </c>
      <c r="E699" s="84" t="str">
        <f>IF(B699="","",VLOOKUP(A699,Journal!$C$7:$L$84,10))</f>
        <v/>
      </c>
      <c r="F699" s="84" t="str">
        <f>IF(B699="","",VLOOKUP(A699,Journal!$C$7:$M$84,11))</f>
        <v/>
      </c>
      <c r="G699" s="102">
        <f>IF(B699="Total",SUM(G$8:G698)+0.0001,IF(OR(B699="",M699=0),0,VLOOKUP(A699,Journal!$C$7:M$84,7)))</f>
        <v>0</v>
      </c>
      <c r="H699" s="102">
        <f>IF(B699="Total",SUM(H$8:H698)+0.0001,IF(OR(B699="",N699=0),0,VLOOKUP(A699,Journal!$C$7:M$84,7)))</f>
        <v>0</v>
      </c>
      <c r="I699" s="87">
        <f t="shared" si="64"/>
        <v>0</v>
      </c>
      <c r="K699" s="13">
        <f>VLOOKUP(A699,Journal!$C$7:$M$84,4)</f>
        <v>0</v>
      </c>
      <c r="L699" s="13">
        <f>VLOOKUP(A699,Journal!$C$7:$M$84,5)</f>
        <v>0</v>
      </c>
      <c r="M699" s="13">
        <f t="shared" si="66"/>
        <v>0</v>
      </c>
      <c r="N699" s="13">
        <f t="shared" si="67"/>
        <v>0</v>
      </c>
      <c r="O699" s="13"/>
      <c r="P699" s="13">
        <f t="shared" si="68"/>
        <v>1.0000000000000001E-5</v>
      </c>
      <c r="T699" t="str">
        <f t="shared" si="63"/>
        <v/>
      </c>
    </row>
    <row r="700" spans="1:20" x14ac:dyDescent="0.25">
      <c r="A700">
        <f t="shared" si="65"/>
        <v>693</v>
      </c>
      <c r="B700" s="88" t="str">
        <f>IF(OR(B699="Total",B699=""),"",IF(VLOOKUP(A700,Journal!$C$7:$E$84,3)=0,"Total",VLOOKUP(A700,Journal!$C$7:$D$84,2)))</f>
        <v/>
      </c>
      <c r="C700" s="86" t="str">
        <f>IF(B700="","",VLOOKUP(A700,Journal!$C$7:$E$84,3))</f>
        <v/>
      </c>
      <c r="D700" s="84" t="str">
        <f>IF(B700="","",VLOOKUP(A700,Journal!$C$7:$J$84,8))</f>
        <v/>
      </c>
      <c r="E700" s="84" t="str">
        <f>IF(B700="","",VLOOKUP(A700,Journal!$C$7:$L$84,10))</f>
        <v/>
      </c>
      <c r="F700" s="84" t="str">
        <f>IF(B700="","",VLOOKUP(A700,Journal!$C$7:$M$84,11))</f>
        <v/>
      </c>
      <c r="G700" s="102">
        <f>IF(B700="Total",SUM(G$8:G699)+0.0001,IF(OR(B700="",M700=0),0,VLOOKUP(A700,Journal!$C$7:M$84,7)))</f>
        <v>0</v>
      </c>
      <c r="H700" s="102">
        <f>IF(B700="Total",SUM(H$8:H699)+0.0001,IF(OR(B700="",N700=0),0,VLOOKUP(A700,Journal!$C$7:M$84,7)))</f>
        <v>0</v>
      </c>
      <c r="I700" s="87">
        <f t="shared" si="64"/>
        <v>0</v>
      </c>
      <c r="K700" s="13">
        <f>VLOOKUP(A700,Journal!$C$7:$M$84,4)</f>
        <v>0</v>
      </c>
      <c r="L700" s="13">
        <f>VLOOKUP(A700,Journal!$C$7:$M$84,5)</f>
        <v>0</v>
      </c>
      <c r="M700" s="13">
        <f t="shared" si="66"/>
        <v>0</v>
      </c>
      <c r="N700" s="13">
        <f t="shared" si="67"/>
        <v>0</v>
      </c>
      <c r="O700" s="13"/>
      <c r="P700" s="13">
        <f t="shared" si="68"/>
        <v>1.0000000000000001E-5</v>
      </c>
      <c r="T700" t="str">
        <f t="shared" si="63"/>
        <v/>
      </c>
    </row>
    <row r="701" spans="1:20" x14ac:dyDescent="0.25">
      <c r="A701">
        <f t="shared" si="65"/>
        <v>694</v>
      </c>
      <c r="B701" s="88" t="str">
        <f>IF(OR(B700="Total",B700=""),"",IF(VLOOKUP(A701,Journal!$C$7:$E$84,3)=0,"Total",VLOOKUP(A701,Journal!$C$7:$D$84,2)))</f>
        <v/>
      </c>
      <c r="C701" s="86" t="str">
        <f>IF(B701="","",VLOOKUP(A701,Journal!$C$7:$E$84,3))</f>
        <v/>
      </c>
      <c r="D701" s="84" t="str">
        <f>IF(B701="","",VLOOKUP(A701,Journal!$C$7:$J$84,8))</f>
        <v/>
      </c>
      <c r="E701" s="84" t="str">
        <f>IF(B701="","",VLOOKUP(A701,Journal!$C$7:$L$84,10))</f>
        <v/>
      </c>
      <c r="F701" s="84" t="str">
        <f>IF(B701="","",VLOOKUP(A701,Journal!$C$7:$M$84,11))</f>
        <v/>
      </c>
      <c r="G701" s="102">
        <f>IF(B701="Total",SUM(G$8:G700)+0.0001,IF(OR(B701="",M701=0),0,VLOOKUP(A701,Journal!$C$7:M$84,7)))</f>
        <v>0</v>
      </c>
      <c r="H701" s="102">
        <f>IF(B701="Total",SUM(H$8:H700)+0.0001,IF(OR(B701="",N701=0),0,VLOOKUP(A701,Journal!$C$7:M$84,7)))</f>
        <v>0</v>
      </c>
      <c r="I701" s="87">
        <f t="shared" si="64"/>
        <v>0</v>
      </c>
      <c r="K701" s="13">
        <f>VLOOKUP(A701,Journal!$C$7:$M$84,4)</f>
        <v>0</v>
      </c>
      <c r="L701" s="13">
        <f>VLOOKUP(A701,Journal!$C$7:$M$84,5)</f>
        <v>0</v>
      </c>
      <c r="M701" s="13">
        <f t="shared" si="66"/>
        <v>0</v>
      </c>
      <c r="N701" s="13">
        <f t="shared" si="67"/>
        <v>0</v>
      </c>
      <c r="O701" s="13"/>
      <c r="P701" s="13">
        <f t="shared" si="68"/>
        <v>1.0000000000000001E-5</v>
      </c>
      <c r="T701" t="str">
        <f t="shared" si="63"/>
        <v/>
      </c>
    </row>
    <row r="702" spans="1:20" x14ac:dyDescent="0.25">
      <c r="A702">
        <f t="shared" si="65"/>
        <v>695</v>
      </c>
      <c r="B702" s="88" t="str">
        <f>IF(OR(B701="Total",B701=""),"",IF(VLOOKUP(A702,Journal!$C$7:$E$84,3)=0,"Total",VLOOKUP(A702,Journal!$C$7:$D$84,2)))</f>
        <v/>
      </c>
      <c r="C702" s="86" t="str">
        <f>IF(B702="","",VLOOKUP(A702,Journal!$C$7:$E$84,3))</f>
        <v/>
      </c>
      <c r="D702" s="84" t="str">
        <f>IF(B702="","",VLOOKUP(A702,Journal!$C$7:$J$84,8))</f>
        <v/>
      </c>
      <c r="E702" s="84" t="str">
        <f>IF(B702="","",VLOOKUP(A702,Journal!$C$7:$L$84,10))</f>
        <v/>
      </c>
      <c r="F702" s="84" t="str">
        <f>IF(B702="","",VLOOKUP(A702,Journal!$C$7:$M$84,11))</f>
        <v/>
      </c>
      <c r="G702" s="102">
        <f>IF(B702="Total",SUM(G$8:G701)+0.0001,IF(OR(B702="",M702=0),0,VLOOKUP(A702,Journal!$C$7:M$84,7)))</f>
        <v>0</v>
      </c>
      <c r="H702" s="102">
        <f>IF(B702="Total",SUM(H$8:H701)+0.0001,IF(OR(B702="",N702=0),0,VLOOKUP(A702,Journal!$C$7:M$84,7)))</f>
        <v>0</v>
      </c>
      <c r="I702" s="87">
        <f t="shared" si="64"/>
        <v>0</v>
      </c>
      <c r="K702" s="13">
        <f>VLOOKUP(A702,Journal!$C$7:$M$84,4)</f>
        <v>0</v>
      </c>
      <c r="L702" s="13">
        <f>VLOOKUP(A702,Journal!$C$7:$M$84,5)</f>
        <v>0</v>
      </c>
      <c r="M702" s="13">
        <f t="shared" si="66"/>
        <v>0</v>
      </c>
      <c r="N702" s="13">
        <f t="shared" si="67"/>
        <v>0</v>
      </c>
      <c r="O702" s="13"/>
      <c r="P702" s="13">
        <f t="shared" si="68"/>
        <v>1.0000000000000001E-5</v>
      </c>
      <c r="T702" t="str">
        <f t="shared" si="63"/>
        <v/>
      </c>
    </row>
    <row r="703" spans="1:20" x14ac:dyDescent="0.25">
      <c r="A703">
        <f t="shared" si="65"/>
        <v>696</v>
      </c>
      <c r="B703" s="88" t="str">
        <f>IF(OR(B702="Total",B702=""),"",IF(VLOOKUP(A703,Journal!$C$7:$E$84,3)=0,"Total",VLOOKUP(A703,Journal!$C$7:$D$84,2)))</f>
        <v/>
      </c>
      <c r="C703" s="86" t="str">
        <f>IF(B703="","",VLOOKUP(A703,Journal!$C$7:$E$84,3))</f>
        <v/>
      </c>
      <c r="D703" s="84" t="str">
        <f>IF(B703="","",VLOOKUP(A703,Journal!$C$7:$J$84,8))</f>
        <v/>
      </c>
      <c r="E703" s="84" t="str">
        <f>IF(B703="","",VLOOKUP(A703,Journal!$C$7:$L$84,10))</f>
        <v/>
      </c>
      <c r="F703" s="84" t="str">
        <f>IF(B703="","",VLOOKUP(A703,Journal!$C$7:$M$84,11))</f>
        <v/>
      </c>
      <c r="G703" s="102">
        <f>IF(B703="Total",SUM(G$8:G702)+0.0001,IF(OR(B703="",M703=0),0,VLOOKUP(A703,Journal!$C$7:M$84,7)))</f>
        <v>0</v>
      </c>
      <c r="H703" s="102">
        <f>IF(B703="Total",SUM(H$8:H702)+0.0001,IF(OR(B703="",N703=0),0,VLOOKUP(A703,Journal!$C$7:M$84,7)))</f>
        <v>0</v>
      </c>
      <c r="I703" s="87">
        <f t="shared" si="64"/>
        <v>0</v>
      </c>
      <c r="K703" s="13">
        <f>VLOOKUP(A703,Journal!$C$7:$M$84,4)</f>
        <v>0</v>
      </c>
      <c r="L703" s="13">
        <f>VLOOKUP(A703,Journal!$C$7:$M$84,5)</f>
        <v>0</v>
      </c>
      <c r="M703" s="13">
        <f t="shared" si="66"/>
        <v>0</v>
      </c>
      <c r="N703" s="13">
        <f t="shared" si="67"/>
        <v>0</v>
      </c>
      <c r="O703" s="13"/>
      <c r="P703" s="13">
        <f t="shared" si="68"/>
        <v>1.0000000000000001E-5</v>
      </c>
      <c r="T703" t="str">
        <f t="shared" si="63"/>
        <v/>
      </c>
    </row>
    <row r="704" spans="1:20" x14ac:dyDescent="0.25">
      <c r="A704">
        <f t="shared" si="65"/>
        <v>697</v>
      </c>
      <c r="B704" s="88" t="str">
        <f>IF(OR(B703="Total",B703=""),"",IF(VLOOKUP(A704,Journal!$C$7:$E$84,3)=0,"Total",VLOOKUP(A704,Journal!$C$7:$D$84,2)))</f>
        <v/>
      </c>
      <c r="C704" s="86" t="str">
        <f>IF(B704="","",VLOOKUP(A704,Journal!$C$7:$E$84,3))</f>
        <v/>
      </c>
      <c r="D704" s="84" t="str">
        <f>IF(B704="","",VLOOKUP(A704,Journal!$C$7:$J$84,8))</f>
        <v/>
      </c>
      <c r="E704" s="84" t="str">
        <f>IF(B704="","",VLOOKUP(A704,Journal!$C$7:$L$84,10))</f>
        <v/>
      </c>
      <c r="F704" s="84" t="str">
        <f>IF(B704="","",VLOOKUP(A704,Journal!$C$7:$M$84,11))</f>
        <v/>
      </c>
      <c r="G704" s="102">
        <f>IF(B704="Total",SUM(G$8:G703)+0.0001,IF(OR(B704="",M704=0),0,VLOOKUP(A704,Journal!$C$7:M$84,7)))</f>
        <v>0</v>
      </c>
      <c r="H704" s="102">
        <f>IF(B704="Total",SUM(H$8:H703)+0.0001,IF(OR(B704="",N704=0),0,VLOOKUP(A704,Journal!$C$7:M$84,7)))</f>
        <v>0</v>
      </c>
      <c r="I704" s="87">
        <f t="shared" si="64"/>
        <v>0</v>
      </c>
      <c r="K704" s="13">
        <f>VLOOKUP(A704,Journal!$C$7:$M$84,4)</f>
        <v>0</v>
      </c>
      <c r="L704" s="13">
        <f>VLOOKUP(A704,Journal!$C$7:$M$84,5)</f>
        <v>0</v>
      </c>
      <c r="M704" s="13">
        <f t="shared" si="66"/>
        <v>0</v>
      </c>
      <c r="N704" s="13">
        <f t="shared" si="67"/>
        <v>0</v>
      </c>
      <c r="O704" s="13"/>
      <c r="P704" s="13">
        <f t="shared" si="68"/>
        <v>1.0000000000000001E-5</v>
      </c>
      <c r="T704" t="str">
        <f t="shared" si="63"/>
        <v/>
      </c>
    </row>
    <row r="705" spans="1:20" x14ac:dyDescent="0.25">
      <c r="A705">
        <f t="shared" si="65"/>
        <v>698</v>
      </c>
      <c r="B705" s="88" t="str">
        <f>IF(OR(B704="Total",B704=""),"",IF(VLOOKUP(A705,Journal!$C$7:$E$84,3)=0,"Total",VLOOKUP(A705,Journal!$C$7:$D$84,2)))</f>
        <v/>
      </c>
      <c r="C705" s="86" t="str">
        <f>IF(B705="","",VLOOKUP(A705,Journal!$C$7:$E$84,3))</f>
        <v/>
      </c>
      <c r="D705" s="84" t="str">
        <f>IF(B705="","",VLOOKUP(A705,Journal!$C$7:$J$84,8))</f>
        <v/>
      </c>
      <c r="E705" s="84" t="str">
        <f>IF(B705="","",VLOOKUP(A705,Journal!$C$7:$L$84,10))</f>
        <v/>
      </c>
      <c r="F705" s="84" t="str">
        <f>IF(B705="","",VLOOKUP(A705,Journal!$C$7:$M$84,11))</f>
        <v/>
      </c>
      <c r="G705" s="102">
        <f>IF(B705="Total",SUM(G$8:G704)+0.0001,IF(OR(B705="",M705=0),0,VLOOKUP(A705,Journal!$C$7:M$84,7)))</f>
        <v>0</v>
      </c>
      <c r="H705" s="102">
        <f>IF(B705="Total",SUM(H$8:H704)+0.0001,IF(OR(B705="",N705=0),0,VLOOKUP(A705,Journal!$C$7:M$84,7)))</f>
        <v>0</v>
      </c>
      <c r="I705" s="87">
        <f t="shared" si="64"/>
        <v>0</v>
      </c>
      <c r="K705" s="13">
        <f>VLOOKUP(A705,Journal!$C$7:$M$84,4)</f>
        <v>0</v>
      </c>
      <c r="L705" s="13">
        <f>VLOOKUP(A705,Journal!$C$7:$M$84,5)</f>
        <v>0</v>
      </c>
      <c r="M705" s="13">
        <f t="shared" si="66"/>
        <v>0</v>
      </c>
      <c r="N705" s="13">
        <f t="shared" si="67"/>
        <v>0</v>
      </c>
      <c r="O705" s="13"/>
      <c r="P705" s="13">
        <f t="shared" si="68"/>
        <v>1.0000000000000001E-5</v>
      </c>
      <c r="T705" t="str">
        <f t="shared" si="63"/>
        <v/>
      </c>
    </row>
    <row r="706" spans="1:20" x14ac:dyDescent="0.25">
      <c r="A706">
        <f t="shared" si="65"/>
        <v>699</v>
      </c>
      <c r="B706" s="88" t="str">
        <f>IF(OR(B705="Total",B705=""),"",IF(VLOOKUP(A706,Journal!$C$7:$E$84,3)=0,"Total",VLOOKUP(A706,Journal!$C$7:$D$84,2)))</f>
        <v/>
      </c>
      <c r="C706" s="86" t="str">
        <f>IF(B706="","",VLOOKUP(A706,Journal!$C$7:$E$84,3))</f>
        <v/>
      </c>
      <c r="D706" s="84" t="str">
        <f>IF(B706="","",VLOOKUP(A706,Journal!$C$7:$J$84,8))</f>
        <v/>
      </c>
      <c r="E706" s="84" t="str">
        <f>IF(B706="","",VLOOKUP(A706,Journal!$C$7:$L$84,10))</f>
        <v/>
      </c>
      <c r="F706" s="84" t="str">
        <f>IF(B706="","",VLOOKUP(A706,Journal!$C$7:$M$84,11))</f>
        <v/>
      </c>
      <c r="G706" s="102">
        <f>IF(B706="Total",SUM(G$8:G705)+0.0001,IF(OR(B706="",M706=0),0,VLOOKUP(A706,Journal!$C$7:M$84,7)))</f>
        <v>0</v>
      </c>
      <c r="H706" s="102">
        <f>IF(B706="Total",SUM(H$8:H705)+0.0001,IF(OR(B706="",N706=0),0,VLOOKUP(A706,Journal!$C$7:M$84,7)))</f>
        <v>0</v>
      </c>
      <c r="I706" s="87">
        <f t="shared" si="64"/>
        <v>0</v>
      </c>
      <c r="K706" s="13">
        <f>VLOOKUP(A706,Journal!$C$7:$M$84,4)</f>
        <v>0</v>
      </c>
      <c r="L706" s="13">
        <f>VLOOKUP(A706,Journal!$C$7:$M$84,5)</f>
        <v>0</v>
      </c>
      <c r="M706" s="13">
        <f t="shared" si="66"/>
        <v>0</v>
      </c>
      <c r="N706" s="13">
        <f t="shared" si="67"/>
        <v>0</v>
      </c>
      <c r="O706" s="13"/>
      <c r="P706" s="13">
        <f t="shared" si="68"/>
        <v>1.0000000000000001E-5</v>
      </c>
      <c r="T706" t="str">
        <f t="shared" si="63"/>
        <v/>
      </c>
    </row>
    <row r="707" spans="1:20" x14ac:dyDescent="0.25">
      <c r="A707">
        <f t="shared" si="65"/>
        <v>700</v>
      </c>
      <c r="B707" s="88" t="str">
        <f>IF(OR(B706="Total",B706=""),"",IF(VLOOKUP(A707,Journal!$C$7:$E$84,3)=0,"Total",VLOOKUP(A707,Journal!$C$7:$D$84,2)))</f>
        <v/>
      </c>
      <c r="C707" s="86" t="str">
        <f>IF(B707="","",VLOOKUP(A707,Journal!$C$7:$E$84,3))</f>
        <v/>
      </c>
      <c r="D707" s="84" t="str">
        <f>IF(B707="","",VLOOKUP(A707,Journal!$C$7:$J$84,8))</f>
        <v/>
      </c>
      <c r="E707" s="84" t="str">
        <f>IF(B707="","",VLOOKUP(A707,Journal!$C$7:$L$84,10))</f>
        <v/>
      </c>
      <c r="F707" s="84" t="str">
        <f>IF(B707="","",VLOOKUP(A707,Journal!$C$7:$M$84,11))</f>
        <v/>
      </c>
      <c r="G707" s="102">
        <f>IF(B707="Total",SUM(G$8:G706)+0.0001,IF(OR(B707="",M707=0),0,VLOOKUP(A707,Journal!$C$7:M$84,7)))</f>
        <v>0</v>
      </c>
      <c r="H707" s="102">
        <f>IF(B707="Total",SUM(H$8:H706)+0.0001,IF(OR(B707="",N707=0),0,VLOOKUP(A707,Journal!$C$7:M$84,7)))</f>
        <v>0</v>
      </c>
      <c r="I707" s="87">
        <f t="shared" si="64"/>
        <v>0</v>
      </c>
      <c r="K707" s="13">
        <f>VLOOKUP(A707,Journal!$C$7:$M$84,4)</f>
        <v>0</v>
      </c>
      <c r="L707" s="13">
        <f>VLOOKUP(A707,Journal!$C$7:$M$84,5)</f>
        <v>0</v>
      </c>
      <c r="M707" s="13">
        <f t="shared" si="66"/>
        <v>0</v>
      </c>
      <c r="N707" s="13">
        <f t="shared" si="67"/>
        <v>0</v>
      </c>
      <c r="O707" s="13"/>
      <c r="P707" s="13">
        <f t="shared" si="68"/>
        <v>1.0000000000000001E-5</v>
      </c>
      <c r="T707" t="str">
        <f t="shared" si="63"/>
        <v/>
      </c>
    </row>
    <row r="708" spans="1:20" x14ac:dyDescent="0.25">
      <c r="A708">
        <f t="shared" si="65"/>
        <v>701</v>
      </c>
      <c r="B708" s="88" t="str">
        <f>IF(OR(B707="Total",B707=""),"",IF(VLOOKUP(A708,Journal!$C$7:$E$84,3)=0,"Total",VLOOKUP(A708,Journal!$C$7:$D$84,2)))</f>
        <v/>
      </c>
      <c r="C708" s="86" t="str">
        <f>IF(B708="","",VLOOKUP(A708,Journal!$C$7:$E$84,3))</f>
        <v/>
      </c>
      <c r="D708" s="84" t="str">
        <f>IF(B708="","",VLOOKUP(A708,Journal!$C$7:$J$84,8))</f>
        <v/>
      </c>
      <c r="E708" s="84" t="str">
        <f>IF(B708="","",VLOOKUP(A708,Journal!$C$7:$L$84,10))</f>
        <v/>
      </c>
      <c r="F708" s="84" t="str">
        <f>IF(B708="","",VLOOKUP(A708,Journal!$C$7:$M$84,11))</f>
        <v/>
      </c>
      <c r="G708" s="102">
        <f>IF(B708="Total",SUM(G$8:G707)+0.0001,IF(OR(B708="",M708=0),0,VLOOKUP(A708,Journal!$C$7:M$84,7)))</f>
        <v>0</v>
      </c>
      <c r="H708" s="102">
        <f>IF(B708="Total",SUM(H$8:H707)+0.0001,IF(OR(B708="",N708=0),0,VLOOKUP(A708,Journal!$C$7:M$84,7)))</f>
        <v>0</v>
      </c>
      <c r="I708" s="87">
        <f t="shared" si="64"/>
        <v>0</v>
      </c>
      <c r="K708" s="13">
        <f>VLOOKUP(A708,Journal!$C$7:$M$84,4)</f>
        <v>0</v>
      </c>
      <c r="L708" s="13">
        <f>VLOOKUP(A708,Journal!$C$7:$M$84,5)</f>
        <v>0</v>
      </c>
      <c r="M708" s="13">
        <f t="shared" si="66"/>
        <v>0</v>
      </c>
      <c r="N708" s="13">
        <f t="shared" si="67"/>
        <v>0</v>
      </c>
      <c r="O708" s="13"/>
      <c r="P708" s="13">
        <f t="shared" si="68"/>
        <v>1.0000000000000001E-5</v>
      </c>
      <c r="T708" t="str">
        <f t="shared" si="63"/>
        <v/>
      </c>
    </row>
    <row r="709" spans="1:20" x14ac:dyDescent="0.25">
      <c r="A709">
        <f t="shared" si="65"/>
        <v>702</v>
      </c>
      <c r="B709" s="88" t="str">
        <f>IF(OR(B708="Total",B708=""),"",IF(VLOOKUP(A709,Journal!$C$7:$E$84,3)=0,"Total",VLOOKUP(A709,Journal!$C$7:$D$84,2)))</f>
        <v/>
      </c>
      <c r="C709" s="86" t="str">
        <f>IF(B709="","",VLOOKUP(A709,Journal!$C$7:$E$84,3))</f>
        <v/>
      </c>
      <c r="D709" s="84" t="str">
        <f>IF(B709="","",VLOOKUP(A709,Journal!$C$7:$J$84,8))</f>
        <v/>
      </c>
      <c r="E709" s="84" t="str">
        <f>IF(B709="","",VLOOKUP(A709,Journal!$C$7:$L$84,10))</f>
        <v/>
      </c>
      <c r="F709" s="84" t="str">
        <f>IF(B709="","",VLOOKUP(A709,Journal!$C$7:$M$84,11))</f>
        <v/>
      </c>
      <c r="G709" s="102">
        <f>IF(B709="Total",SUM(G$8:G708)+0.0001,IF(OR(B709="",M709=0),0,VLOOKUP(A709,Journal!$C$7:M$84,7)))</f>
        <v>0</v>
      </c>
      <c r="H709" s="102">
        <f>IF(B709="Total",SUM(H$8:H708)+0.0001,IF(OR(B709="",N709=0),0,VLOOKUP(A709,Journal!$C$7:M$84,7)))</f>
        <v>0</v>
      </c>
      <c r="I709" s="87">
        <f t="shared" si="64"/>
        <v>0</v>
      </c>
      <c r="K709" s="13">
        <f>VLOOKUP(A709,Journal!$C$7:$M$84,4)</f>
        <v>0</v>
      </c>
      <c r="L709" s="13">
        <f>VLOOKUP(A709,Journal!$C$7:$M$84,5)</f>
        <v>0</v>
      </c>
      <c r="M709" s="13">
        <f t="shared" si="66"/>
        <v>0</v>
      </c>
      <c r="N709" s="13">
        <f t="shared" si="67"/>
        <v>0</v>
      </c>
      <c r="O709" s="13"/>
      <c r="P709" s="13">
        <f t="shared" si="68"/>
        <v>1.0000000000000001E-5</v>
      </c>
      <c r="T709" t="str">
        <f t="shared" si="63"/>
        <v/>
      </c>
    </row>
    <row r="710" spans="1:20" x14ac:dyDescent="0.25">
      <c r="A710">
        <f t="shared" si="65"/>
        <v>703</v>
      </c>
      <c r="B710" s="88" t="str">
        <f>IF(OR(B709="Total",B709=""),"",IF(VLOOKUP(A710,Journal!$C$7:$E$84,3)=0,"Total",VLOOKUP(A710,Journal!$C$7:$D$84,2)))</f>
        <v/>
      </c>
      <c r="C710" s="86" t="str">
        <f>IF(B710="","",VLOOKUP(A710,Journal!$C$7:$E$84,3))</f>
        <v/>
      </c>
      <c r="D710" s="84" t="str">
        <f>IF(B710="","",VLOOKUP(A710,Journal!$C$7:$J$84,8))</f>
        <v/>
      </c>
      <c r="E710" s="84" t="str">
        <f>IF(B710="","",VLOOKUP(A710,Journal!$C$7:$L$84,10))</f>
        <v/>
      </c>
      <c r="F710" s="84" t="str">
        <f>IF(B710="","",VLOOKUP(A710,Journal!$C$7:$M$84,11))</f>
        <v/>
      </c>
      <c r="G710" s="102">
        <f>IF(B710="Total",SUM(G$8:G709)+0.0001,IF(OR(B710="",M710=0),0,VLOOKUP(A710,Journal!$C$7:M$84,7)))</f>
        <v>0</v>
      </c>
      <c r="H710" s="102">
        <f>IF(B710="Total",SUM(H$8:H709)+0.0001,IF(OR(B710="",N710=0),0,VLOOKUP(A710,Journal!$C$7:M$84,7)))</f>
        <v>0</v>
      </c>
      <c r="I710" s="87">
        <f t="shared" si="64"/>
        <v>0</v>
      </c>
      <c r="K710" s="13">
        <f>VLOOKUP(A710,Journal!$C$7:$M$84,4)</f>
        <v>0</v>
      </c>
      <c r="L710" s="13">
        <f>VLOOKUP(A710,Journal!$C$7:$M$84,5)</f>
        <v>0</v>
      </c>
      <c r="M710" s="13">
        <f t="shared" si="66"/>
        <v>0</v>
      </c>
      <c r="N710" s="13">
        <f t="shared" si="67"/>
        <v>0</v>
      </c>
      <c r="O710" s="13"/>
      <c r="P710" s="13">
        <f t="shared" si="68"/>
        <v>1.0000000000000001E-5</v>
      </c>
      <c r="T710" t="str">
        <f t="shared" si="63"/>
        <v/>
      </c>
    </row>
    <row r="711" spans="1:20" x14ac:dyDescent="0.25">
      <c r="A711">
        <f t="shared" si="65"/>
        <v>704</v>
      </c>
      <c r="B711" s="88" t="str">
        <f>IF(OR(B710="Total",B710=""),"",IF(VLOOKUP(A711,Journal!$C$7:$E$84,3)=0,"Total",VLOOKUP(A711,Journal!$C$7:$D$84,2)))</f>
        <v/>
      </c>
      <c r="C711" s="86" t="str">
        <f>IF(B711="","",VLOOKUP(A711,Journal!$C$7:$E$84,3))</f>
        <v/>
      </c>
      <c r="D711" s="84" t="str">
        <f>IF(B711="","",VLOOKUP(A711,Journal!$C$7:$J$84,8))</f>
        <v/>
      </c>
      <c r="E711" s="84" t="str">
        <f>IF(B711="","",VLOOKUP(A711,Journal!$C$7:$L$84,10))</f>
        <v/>
      </c>
      <c r="F711" s="84" t="str">
        <f>IF(B711="","",VLOOKUP(A711,Journal!$C$7:$M$84,11))</f>
        <v/>
      </c>
      <c r="G711" s="102">
        <f>IF(B711="Total",SUM(G$8:G710)+0.0001,IF(OR(B711="",M711=0),0,VLOOKUP(A711,Journal!$C$7:M$84,7)))</f>
        <v>0</v>
      </c>
      <c r="H711" s="102">
        <f>IF(B711="Total",SUM(H$8:H710)+0.0001,IF(OR(B711="",N711=0),0,VLOOKUP(A711,Journal!$C$7:M$84,7)))</f>
        <v>0</v>
      </c>
      <c r="I711" s="87">
        <f t="shared" si="64"/>
        <v>0</v>
      </c>
      <c r="K711" s="13">
        <f>VLOOKUP(A711,Journal!$C$7:$M$84,4)</f>
        <v>0</v>
      </c>
      <c r="L711" s="13">
        <f>VLOOKUP(A711,Journal!$C$7:$M$84,5)</f>
        <v>0</v>
      </c>
      <c r="M711" s="13">
        <f t="shared" si="66"/>
        <v>0</v>
      </c>
      <c r="N711" s="13">
        <f t="shared" si="67"/>
        <v>0</v>
      </c>
      <c r="O711" s="13"/>
      <c r="P711" s="13">
        <f t="shared" si="68"/>
        <v>1.0000000000000001E-5</v>
      </c>
      <c r="T711" t="str">
        <f t="shared" si="63"/>
        <v/>
      </c>
    </row>
    <row r="712" spans="1:20" x14ac:dyDescent="0.25">
      <c r="A712">
        <f t="shared" si="65"/>
        <v>705</v>
      </c>
      <c r="B712" s="88" t="str">
        <f>IF(OR(B711="Total",B711=""),"",IF(VLOOKUP(A712,Journal!$C$7:$E$84,3)=0,"Total",VLOOKUP(A712,Journal!$C$7:$D$84,2)))</f>
        <v/>
      </c>
      <c r="C712" s="86" t="str">
        <f>IF(B712="","",VLOOKUP(A712,Journal!$C$7:$E$84,3))</f>
        <v/>
      </c>
      <c r="D712" s="84" t="str">
        <f>IF(B712="","",VLOOKUP(A712,Journal!$C$7:$J$84,8))</f>
        <v/>
      </c>
      <c r="E712" s="84" t="str">
        <f>IF(B712="","",VLOOKUP(A712,Journal!$C$7:$L$84,10))</f>
        <v/>
      </c>
      <c r="F712" s="84" t="str">
        <f>IF(B712="","",VLOOKUP(A712,Journal!$C$7:$M$84,11))</f>
        <v/>
      </c>
      <c r="G712" s="102">
        <f>IF(B712="Total",SUM(G$8:G711)+0.0001,IF(OR(B712="",M712=0),0,VLOOKUP(A712,Journal!$C$7:M$84,7)))</f>
        <v>0</v>
      </c>
      <c r="H712" s="102">
        <f>IF(B712="Total",SUM(H$8:H711)+0.0001,IF(OR(B712="",N712=0),0,VLOOKUP(A712,Journal!$C$7:M$84,7)))</f>
        <v>0</v>
      </c>
      <c r="I712" s="87">
        <f t="shared" si="64"/>
        <v>0</v>
      </c>
      <c r="K712" s="13">
        <f>VLOOKUP(A712,Journal!$C$7:$M$84,4)</f>
        <v>0</v>
      </c>
      <c r="L712" s="13">
        <f>VLOOKUP(A712,Journal!$C$7:$M$84,5)</f>
        <v>0</v>
      </c>
      <c r="M712" s="13">
        <f t="shared" si="66"/>
        <v>0</v>
      </c>
      <c r="N712" s="13">
        <f t="shared" si="67"/>
        <v>0</v>
      </c>
      <c r="O712" s="13"/>
      <c r="P712" s="13">
        <f t="shared" si="68"/>
        <v>1.0000000000000001E-5</v>
      </c>
      <c r="T712" t="str">
        <f t="shared" si="63"/>
        <v/>
      </c>
    </row>
    <row r="713" spans="1:20" x14ac:dyDescent="0.25">
      <c r="A713">
        <f t="shared" si="65"/>
        <v>706</v>
      </c>
      <c r="B713" s="88" t="str">
        <f>IF(OR(B712="Total",B712=""),"",IF(VLOOKUP(A713,Journal!$C$7:$E$84,3)=0,"Total",VLOOKUP(A713,Journal!$C$7:$D$84,2)))</f>
        <v/>
      </c>
      <c r="C713" s="86" t="str">
        <f>IF(B713="","",VLOOKUP(A713,Journal!$C$7:$E$84,3))</f>
        <v/>
      </c>
      <c r="D713" s="84" t="str">
        <f>IF(B713="","",VLOOKUP(A713,Journal!$C$7:$J$84,8))</f>
        <v/>
      </c>
      <c r="E713" s="84" t="str">
        <f>IF(B713="","",VLOOKUP(A713,Journal!$C$7:$L$84,10))</f>
        <v/>
      </c>
      <c r="F713" s="84" t="str">
        <f>IF(B713="","",VLOOKUP(A713,Journal!$C$7:$M$84,11))</f>
        <v/>
      </c>
      <c r="G713" s="102">
        <f>IF(B713="Total",SUM(G$8:G712)+0.0001,IF(OR(B713="",M713=0),0,VLOOKUP(A713,Journal!$C$7:M$84,7)))</f>
        <v>0</v>
      </c>
      <c r="H713" s="102">
        <f>IF(B713="Total",SUM(H$8:H712)+0.0001,IF(OR(B713="",N713=0),0,VLOOKUP(A713,Journal!$C$7:M$84,7)))</f>
        <v>0</v>
      </c>
      <c r="I713" s="87">
        <f t="shared" si="64"/>
        <v>0</v>
      </c>
      <c r="K713" s="13">
        <f>VLOOKUP(A713,Journal!$C$7:$M$84,4)</f>
        <v>0</v>
      </c>
      <c r="L713" s="13">
        <f>VLOOKUP(A713,Journal!$C$7:$M$84,5)</f>
        <v>0</v>
      </c>
      <c r="M713" s="13">
        <f t="shared" si="66"/>
        <v>0</v>
      </c>
      <c r="N713" s="13">
        <f t="shared" si="67"/>
        <v>0</v>
      </c>
      <c r="O713" s="13"/>
      <c r="P713" s="13">
        <f t="shared" si="68"/>
        <v>1.0000000000000001E-5</v>
      </c>
      <c r="T713" t="str">
        <f t="shared" ref="T713:T776" si="69">IF(AND(G713&lt;&gt;0,B713&lt;&gt;"Total",G713=H713),"Beide Konten sind Erfolgskonten, weshalb Saldo gleich bleibt","")</f>
        <v/>
      </c>
    </row>
    <row r="714" spans="1:20" x14ac:dyDescent="0.25">
      <c r="A714">
        <f t="shared" si="65"/>
        <v>707</v>
      </c>
      <c r="B714" s="88" t="str">
        <f>IF(OR(B713="Total",B713=""),"",IF(VLOOKUP(A714,Journal!$C$7:$E$84,3)=0,"Total",VLOOKUP(A714,Journal!$C$7:$D$84,2)))</f>
        <v/>
      </c>
      <c r="C714" s="86" t="str">
        <f>IF(B714="","",VLOOKUP(A714,Journal!$C$7:$E$84,3))</f>
        <v/>
      </c>
      <c r="D714" s="84" t="str">
        <f>IF(B714="","",VLOOKUP(A714,Journal!$C$7:$J$84,8))</f>
        <v/>
      </c>
      <c r="E714" s="84" t="str">
        <f>IF(B714="","",VLOOKUP(A714,Journal!$C$7:$L$84,10))</f>
        <v/>
      </c>
      <c r="F714" s="84" t="str">
        <f>IF(B714="","",VLOOKUP(A714,Journal!$C$7:$M$84,11))</f>
        <v/>
      </c>
      <c r="G714" s="102">
        <f>IF(B714="Total",SUM(G$8:G713)+0.0001,IF(OR(B714="",M714=0),0,VLOOKUP(A714,Journal!$C$7:M$84,7)))</f>
        <v>0</v>
      </c>
      <c r="H714" s="102">
        <f>IF(B714="Total",SUM(H$8:H713)+0.0001,IF(OR(B714="",N714=0),0,VLOOKUP(A714,Journal!$C$7:M$84,7)))</f>
        <v>0</v>
      </c>
      <c r="I714" s="87">
        <f t="shared" ref="I714:I777" si="70">IF(B714="Total",I713,IF(B714="",0,I713+G714-H714))</f>
        <v>0</v>
      </c>
      <c r="K714" s="13">
        <f>VLOOKUP(A714,Journal!$C$7:$M$84,4)</f>
        <v>0</v>
      </c>
      <c r="L714" s="13">
        <f>VLOOKUP(A714,Journal!$C$7:$M$84,5)</f>
        <v>0</v>
      </c>
      <c r="M714" s="13">
        <f t="shared" si="66"/>
        <v>0</v>
      </c>
      <c r="N714" s="13">
        <f t="shared" si="67"/>
        <v>0</v>
      </c>
      <c r="O714" s="13"/>
      <c r="P714" s="13">
        <f t="shared" si="68"/>
        <v>1.0000000000000001E-5</v>
      </c>
      <c r="T714" t="str">
        <f t="shared" si="69"/>
        <v/>
      </c>
    </row>
    <row r="715" spans="1:20" x14ac:dyDescent="0.25">
      <c r="A715">
        <f t="shared" ref="A715:A778" si="71">A714+1</f>
        <v>708</v>
      </c>
      <c r="B715" s="88" t="str">
        <f>IF(OR(B714="Total",B714=""),"",IF(VLOOKUP(A715,Journal!$C$7:$E$84,3)=0,"Total",VLOOKUP(A715,Journal!$C$7:$D$84,2)))</f>
        <v/>
      </c>
      <c r="C715" s="86" t="str">
        <f>IF(B715="","",VLOOKUP(A715,Journal!$C$7:$E$84,3))</f>
        <v/>
      </c>
      <c r="D715" s="84" t="str">
        <f>IF(B715="","",VLOOKUP(A715,Journal!$C$7:$J$84,8))</f>
        <v/>
      </c>
      <c r="E715" s="84" t="str">
        <f>IF(B715="","",VLOOKUP(A715,Journal!$C$7:$L$84,10))</f>
        <v/>
      </c>
      <c r="F715" s="84" t="str">
        <f>IF(B715="","",VLOOKUP(A715,Journal!$C$7:$M$84,11))</f>
        <v/>
      </c>
      <c r="G715" s="102">
        <f>IF(B715="Total",SUM(G$8:G714)+0.0001,IF(OR(B715="",M715=0),0,VLOOKUP(A715,Journal!$C$7:M$84,7)))</f>
        <v>0</v>
      </c>
      <c r="H715" s="102">
        <f>IF(B715="Total",SUM(H$8:H714)+0.0001,IF(OR(B715="",N715=0),0,VLOOKUP(A715,Journal!$C$7:M$84,7)))</f>
        <v>0</v>
      </c>
      <c r="I715" s="87">
        <f t="shared" si="70"/>
        <v>0</v>
      </c>
      <c r="K715" s="13">
        <f>VLOOKUP(A715,Journal!$C$7:$M$84,4)</f>
        <v>0</v>
      </c>
      <c r="L715" s="13">
        <f>VLOOKUP(A715,Journal!$C$7:$M$84,5)</f>
        <v>0</v>
      </c>
      <c r="M715" s="13">
        <f t="shared" si="66"/>
        <v>0</v>
      </c>
      <c r="N715" s="13">
        <f t="shared" si="67"/>
        <v>0</v>
      </c>
      <c r="O715" s="13"/>
      <c r="P715" s="13">
        <f t="shared" si="68"/>
        <v>1.0000000000000001E-5</v>
      </c>
      <c r="T715" t="str">
        <f t="shared" si="69"/>
        <v/>
      </c>
    </row>
    <row r="716" spans="1:20" x14ac:dyDescent="0.25">
      <c r="A716">
        <f t="shared" si="71"/>
        <v>709</v>
      </c>
      <c r="B716" s="88" t="str">
        <f>IF(OR(B715="Total",B715=""),"",IF(VLOOKUP(A716,Journal!$C$7:$E$84,3)=0,"Total",VLOOKUP(A716,Journal!$C$7:$D$84,2)))</f>
        <v/>
      </c>
      <c r="C716" s="86" t="str">
        <f>IF(B716="","",VLOOKUP(A716,Journal!$C$7:$E$84,3))</f>
        <v/>
      </c>
      <c r="D716" s="84" t="str">
        <f>IF(B716="","",VLOOKUP(A716,Journal!$C$7:$J$84,8))</f>
        <v/>
      </c>
      <c r="E716" s="84" t="str">
        <f>IF(B716="","",VLOOKUP(A716,Journal!$C$7:$L$84,10))</f>
        <v/>
      </c>
      <c r="F716" s="84" t="str">
        <f>IF(B716="","",VLOOKUP(A716,Journal!$C$7:$M$84,11))</f>
        <v/>
      </c>
      <c r="G716" s="102">
        <f>IF(B716="Total",SUM(G$8:G715)+0.0001,IF(OR(B716="",M716=0),0,VLOOKUP(A716,Journal!$C$7:M$84,7)))</f>
        <v>0</v>
      </c>
      <c r="H716" s="102">
        <f>IF(B716="Total",SUM(H$8:H715)+0.0001,IF(OR(B716="",N716=0),0,VLOOKUP(A716,Journal!$C$7:M$84,7)))</f>
        <v>0</v>
      </c>
      <c r="I716" s="87">
        <f t="shared" si="70"/>
        <v>0</v>
      </c>
      <c r="K716" s="13">
        <f>VLOOKUP(A716,Journal!$C$7:$M$84,4)</f>
        <v>0</v>
      </c>
      <c r="L716" s="13">
        <f>VLOOKUP(A716,Journal!$C$7:$M$84,5)</f>
        <v>0</v>
      </c>
      <c r="M716" s="13">
        <f t="shared" si="66"/>
        <v>0</v>
      </c>
      <c r="N716" s="13">
        <f t="shared" si="67"/>
        <v>0</v>
      </c>
      <c r="O716" s="13"/>
      <c r="P716" s="13">
        <f t="shared" si="68"/>
        <v>1.0000000000000001E-5</v>
      </c>
      <c r="T716" t="str">
        <f t="shared" si="69"/>
        <v/>
      </c>
    </row>
    <row r="717" spans="1:20" x14ac:dyDescent="0.25">
      <c r="A717">
        <f t="shared" si="71"/>
        <v>710</v>
      </c>
      <c r="B717" s="88" t="str">
        <f>IF(OR(B716="Total",B716=""),"",IF(VLOOKUP(A717,Journal!$C$7:$E$84,3)=0,"Total",VLOOKUP(A717,Journal!$C$7:$D$84,2)))</f>
        <v/>
      </c>
      <c r="C717" s="86" t="str">
        <f>IF(B717="","",VLOOKUP(A717,Journal!$C$7:$E$84,3))</f>
        <v/>
      </c>
      <c r="D717" s="84" t="str">
        <f>IF(B717="","",VLOOKUP(A717,Journal!$C$7:$J$84,8))</f>
        <v/>
      </c>
      <c r="E717" s="84" t="str">
        <f>IF(B717="","",VLOOKUP(A717,Journal!$C$7:$L$84,10))</f>
        <v/>
      </c>
      <c r="F717" s="84" t="str">
        <f>IF(B717="","",VLOOKUP(A717,Journal!$C$7:$M$84,11))</f>
        <v/>
      </c>
      <c r="G717" s="102">
        <f>IF(B717="Total",SUM(G$8:G716)+0.0001,IF(OR(B717="",M717=0),0,VLOOKUP(A717,Journal!$C$7:M$84,7)))</f>
        <v>0</v>
      </c>
      <c r="H717" s="102">
        <f>IF(B717="Total",SUM(H$8:H716)+0.0001,IF(OR(B717="",N717=0),0,VLOOKUP(A717,Journal!$C$7:M$84,7)))</f>
        <v>0</v>
      </c>
      <c r="I717" s="87">
        <f t="shared" si="70"/>
        <v>0</v>
      </c>
      <c r="K717" s="13">
        <f>VLOOKUP(A717,Journal!$C$7:$M$84,4)</f>
        <v>0</v>
      </c>
      <c r="L717" s="13">
        <f>VLOOKUP(A717,Journal!$C$7:$M$84,5)</f>
        <v>0</v>
      </c>
      <c r="M717" s="13">
        <f t="shared" si="66"/>
        <v>0</v>
      </c>
      <c r="N717" s="13">
        <f t="shared" si="67"/>
        <v>0</v>
      </c>
      <c r="O717" s="13"/>
      <c r="P717" s="13">
        <f t="shared" si="68"/>
        <v>1.0000000000000001E-5</v>
      </c>
      <c r="T717" t="str">
        <f t="shared" si="69"/>
        <v/>
      </c>
    </row>
    <row r="718" spans="1:20" x14ac:dyDescent="0.25">
      <c r="A718">
        <f t="shared" si="71"/>
        <v>711</v>
      </c>
      <c r="B718" s="88" t="str">
        <f>IF(OR(B717="Total",B717=""),"",IF(VLOOKUP(A718,Journal!$C$7:$E$84,3)=0,"Total",VLOOKUP(A718,Journal!$C$7:$D$84,2)))</f>
        <v/>
      </c>
      <c r="C718" s="86" t="str">
        <f>IF(B718="","",VLOOKUP(A718,Journal!$C$7:$E$84,3))</f>
        <v/>
      </c>
      <c r="D718" s="84" t="str">
        <f>IF(B718="","",VLOOKUP(A718,Journal!$C$7:$J$84,8))</f>
        <v/>
      </c>
      <c r="E718" s="84" t="str">
        <f>IF(B718="","",VLOOKUP(A718,Journal!$C$7:$L$84,10))</f>
        <v/>
      </c>
      <c r="F718" s="84" t="str">
        <f>IF(B718="","",VLOOKUP(A718,Journal!$C$7:$M$84,11))</f>
        <v/>
      </c>
      <c r="G718" s="102">
        <f>IF(B718="Total",SUM(G$8:G717)+0.0001,IF(OR(B718="",M718=0),0,VLOOKUP(A718,Journal!$C$7:M$84,7)))</f>
        <v>0</v>
      </c>
      <c r="H718" s="102">
        <f>IF(B718="Total",SUM(H$8:H717)+0.0001,IF(OR(B718="",N718=0),0,VLOOKUP(A718,Journal!$C$7:M$84,7)))</f>
        <v>0</v>
      </c>
      <c r="I718" s="87">
        <f t="shared" si="70"/>
        <v>0</v>
      </c>
      <c r="K718" s="13">
        <f>VLOOKUP(A718,Journal!$C$7:$M$84,4)</f>
        <v>0</v>
      </c>
      <c r="L718" s="13">
        <f>VLOOKUP(A718,Journal!$C$7:$M$84,5)</f>
        <v>0</v>
      </c>
      <c r="M718" s="13">
        <f t="shared" si="66"/>
        <v>0</v>
      </c>
      <c r="N718" s="13">
        <f t="shared" si="67"/>
        <v>0</v>
      </c>
      <c r="O718" s="13"/>
      <c r="P718" s="13">
        <f t="shared" si="68"/>
        <v>1.0000000000000001E-5</v>
      </c>
      <c r="T718" t="str">
        <f t="shared" si="69"/>
        <v/>
      </c>
    </row>
    <row r="719" spans="1:20" x14ac:dyDescent="0.25">
      <c r="A719">
        <f t="shared" si="71"/>
        <v>712</v>
      </c>
      <c r="B719" s="88" t="str">
        <f>IF(OR(B718="Total",B718=""),"",IF(VLOOKUP(A719,Journal!$C$7:$E$84,3)=0,"Total",VLOOKUP(A719,Journal!$C$7:$D$84,2)))</f>
        <v/>
      </c>
      <c r="C719" s="86" t="str">
        <f>IF(B719="","",VLOOKUP(A719,Journal!$C$7:$E$84,3))</f>
        <v/>
      </c>
      <c r="D719" s="84" t="str">
        <f>IF(B719="","",VLOOKUP(A719,Journal!$C$7:$J$84,8))</f>
        <v/>
      </c>
      <c r="E719" s="84" t="str">
        <f>IF(B719="","",VLOOKUP(A719,Journal!$C$7:$L$84,10))</f>
        <v/>
      </c>
      <c r="F719" s="84" t="str">
        <f>IF(B719="","",VLOOKUP(A719,Journal!$C$7:$M$84,11))</f>
        <v/>
      </c>
      <c r="G719" s="102">
        <f>IF(B719="Total",SUM(G$8:G718)+0.0001,IF(OR(B719="",M719=0),0,VLOOKUP(A719,Journal!$C$7:M$84,7)))</f>
        <v>0</v>
      </c>
      <c r="H719" s="102">
        <f>IF(B719="Total",SUM(H$8:H718)+0.0001,IF(OR(B719="",N719=0),0,VLOOKUP(A719,Journal!$C$7:M$84,7)))</f>
        <v>0</v>
      </c>
      <c r="I719" s="87">
        <f t="shared" si="70"/>
        <v>0</v>
      </c>
      <c r="K719" s="13">
        <f>VLOOKUP(A719,Journal!$C$7:$M$84,4)</f>
        <v>0</v>
      </c>
      <c r="L719" s="13">
        <f>VLOOKUP(A719,Journal!$C$7:$M$84,5)</f>
        <v>0</v>
      </c>
      <c r="M719" s="13">
        <f t="shared" si="66"/>
        <v>0</v>
      </c>
      <c r="N719" s="13">
        <f t="shared" si="67"/>
        <v>0</v>
      </c>
      <c r="O719" s="13"/>
      <c r="P719" s="13">
        <f t="shared" si="68"/>
        <v>1.0000000000000001E-5</v>
      </c>
      <c r="T719" t="str">
        <f t="shared" si="69"/>
        <v/>
      </c>
    </row>
    <row r="720" spans="1:20" x14ac:dyDescent="0.25">
      <c r="A720">
        <f t="shared" si="71"/>
        <v>713</v>
      </c>
      <c r="B720" s="88" t="str">
        <f>IF(OR(B719="Total",B719=""),"",IF(VLOOKUP(A720,Journal!$C$7:$E$84,3)=0,"Total",VLOOKUP(A720,Journal!$C$7:$D$84,2)))</f>
        <v/>
      </c>
      <c r="C720" s="86" t="str">
        <f>IF(B720="","",VLOOKUP(A720,Journal!$C$7:$E$84,3))</f>
        <v/>
      </c>
      <c r="D720" s="84" t="str">
        <f>IF(B720="","",VLOOKUP(A720,Journal!$C$7:$J$84,8))</f>
        <v/>
      </c>
      <c r="E720" s="84" t="str">
        <f>IF(B720="","",VLOOKUP(A720,Journal!$C$7:$L$84,10))</f>
        <v/>
      </c>
      <c r="F720" s="84" t="str">
        <f>IF(B720="","",VLOOKUP(A720,Journal!$C$7:$M$84,11))</f>
        <v/>
      </c>
      <c r="G720" s="102">
        <f>IF(B720="Total",SUM(G$8:G719)+0.0001,IF(OR(B720="",M720=0),0,VLOOKUP(A720,Journal!$C$7:M$84,7)))</f>
        <v>0</v>
      </c>
      <c r="H720" s="102">
        <f>IF(B720="Total",SUM(H$8:H719)+0.0001,IF(OR(B720="",N720=0),0,VLOOKUP(A720,Journal!$C$7:M$84,7)))</f>
        <v>0</v>
      </c>
      <c r="I720" s="87">
        <f t="shared" si="70"/>
        <v>0</v>
      </c>
      <c r="K720" s="13">
        <f>VLOOKUP(A720,Journal!$C$7:$M$84,4)</f>
        <v>0</v>
      </c>
      <c r="L720" s="13">
        <f>VLOOKUP(A720,Journal!$C$7:$M$84,5)</f>
        <v>0</v>
      </c>
      <c r="M720" s="13">
        <f t="shared" si="66"/>
        <v>0</v>
      </c>
      <c r="N720" s="13">
        <f t="shared" si="67"/>
        <v>0</v>
      </c>
      <c r="O720" s="13"/>
      <c r="P720" s="13">
        <f t="shared" si="68"/>
        <v>1.0000000000000001E-5</v>
      </c>
      <c r="T720" t="str">
        <f t="shared" si="69"/>
        <v/>
      </c>
    </row>
    <row r="721" spans="1:20" x14ac:dyDescent="0.25">
      <c r="A721">
        <f t="shared" si="71"/>
        <v>714</v>
      </c>
      <c r="B721" s="88" t="str">
        <f>IF(OR(B720="Total",B720=""),"",IF(VLOOKUP(A721,Journal!$C$7:$E$84,3)=0,"Total",VLOOKUP(A721,Journal!$C$7:$D$84,2)))</f>
        <v/>
      </c>
      <c r="C721" s="86" t="str">
        <f>IF(B721="","",VLOOKUP(A721,Journal!$C$7:$E$84,3))</f>
        <v/>
      </c>
      <c r="D721" s="84" t="str">
        <f>IF(B721="","",VLOOKUP(A721,Journal!$C$7:$J$84,8))</f>
        <v/>
      </c>
      <c r="E721" s="84" t="str">
        <f>IF(B721="","",VLOOKUP(A721,Journal!$C$7:$L$84,10))</f>
        <v/>
      </c>
      <c r="F721" s="84" t="str">
        <f>IF(B721="","",VLOOKUP(A721,Journal!$C$7:$M$84,11))</f>
        <v/>
      </c>
      <c r="G721" s="102">
        <f>IF(B721="Total",SUM(G$8:G720)+0.0001,IF(OR(B721="",M721=0),0,VLOOKUP(A721,Journal!$C$7:M$84,7)))</f>
        <v>0</v>
      </c>
      <c r="H721" s="102">
        <f>IF(B721="Total",SUM(H$8:H720)+0.0001,IF(OR(B721="",N721=0),0,VLOOKUP(A721,Journal!$C$7:M$84,7)))</f>
        <v>0</v>
      </c>
      <c r="I721" s="87">
        <f t="shared" si="70"/>
        <v>0</v>
      </c>
      <c r="K721" s="13">
        <f>VLOOKUP(A721,Journal!$C$7:$M$84,4)</f>
        <v>0</v>
      </c>
      <c r="L721" s="13">
        <f>VLOOKUP(A721,Journal!$C$7:$M$84,5)</f>
        <v>0</v>
      </c>
      <c r="M721" s="13">
        <f t="shared" si="66"/>
        <v>0</v>
      </c>
      <c r="N721" s="13">
        <f t="shared" si="67"/>
        <v>0</v>
      </c>
      <c r="O721" s="13"/>
      <c r="P721" s="13">
        <f t="shared" si="68"/>
        <v>1.0000000000000001E-5</v>
      </c>
      <c r="T721" t="str">
        <f t="shared" si="69"/>
        <v/>
      </c>
    </row>
    <row r="722" spans="1:20" x14ac:dyDescent="0.25">
      <c r="A722">
        <f t="shared" si="71"/>
        <v>715</v>
      </c>
      <c r="B722" s="88" t="str">
        <f>IF(OR(B721="Total",B721=""),"",IF(VLOOKUP(A722,Journal!$C$7:$E$84,3)=0,"Total",VLOOKUP(A722,Journal!$C$7:$D$84,2)))</f>
        <v/>
      </c>
      <c r="C722" s="86" t="str">
        <f>IF(B722="","",VLOOKUP(A722,Journal!$C$7:$E$84,3))</f>
        <v/>
      </c>
      <c r="D722" s="84" t="str">
        <f>IF(B722="","",VLOOKUP(A722,Journal!$C$7:$J$84,8))</f>
        <v/>
      </c>
      <c r="E722" s="84" t="str">
        <f>IF(B722="","",VLOOKUP(A722,Journal!$C$7:$L$84,10))</f>
        <v/>
      </c>
      <c r="F722" s="84" t="str">
        <f>IF(B722="","",VLOOKUP(A722,Journal!$C$7:$M$84,11))</f>
        <v/>
      </c>
      <c r="G722" s="102">
        <f>IF(B722="Total",SUM(G$8:G721)+0.0001,IF(OR(B722="",M722=0),0,VLOOKUP(A722,Journal!$C$7:M$84,7)))</f>
        <v>0</v>
      </c>
      <c r="H722" s="102">
        <f>IF(B722="Total",SUM(H$8:H721)+0.0001,IF(OR(B722="",N722=0),0,VLOOKUP(A722,Journal!$C$7:M$84,7)))</f>
        <v>0</v>
      </c>
      <c r="I722" s="87">
        <f t="shared" si="70"/>
        <v>0</v>
      </c>
      <c r="K722" s="13">
        <f>VLOOKUP(A722,Journal!$C$7:$M$84,4)</f>
        <v>0</v>
      </c>
      <c r="L722" s="13">
        <f>VLOOKUP(A722,Journal!$C$7:$M$84,5)</f>
        <v>0</v>
      </c>
      <c r="M722" s="13">
        <f t="shared" si="66"/>
        <v>0</v>
      </c>
      <c r="N722" s="13">
        <f t="shared" si="67"/>
        <v>0</v>
      </c>
      <c r="O722" s="13"/>
      <c r="P722" s="13">
        <f t="shared" si="68"/>
        <v>1.0000000000000001E-5</v>
      </c>
      <c r="T722" t="str">
        <f t="shared" si="69"/>
        <v/>
      </c>
    </row>
    <row r="723" spans="1:20" x14ac:dyDescent="0.25">
      <c r="A723">
        <f t="shared" si="71"/>
        <v>716</v>
      </c>
      <c r="B723" s="88" t="str">
        <f>IF(OR(B722="Total",B722=""),"",IF(VLOOKUP(A723,Journal!$C$7:$E$84,3)=0,"Total",VLOOKUP(A723,Journal!$C$7:$D$84,2)))</f>
        <v/>
      </c>
      <c r="C723" s="86" t="str">
        <f>IF(B723="","",VLOOKUP(A723,Journal!$C$7:$E$84,3))</f>
        <v/>
      </c>
      <c r="D723" s="84" t="str">
        <f>IF(B723="","",VLOOKUP(A723,Journal!$C$7:$J$84,8))</f>
        <v/>
      </c>
      <c r="E723" s="84" t="str">
        <f>IF(B723="","",VLOOKUP(A723,Journal!$C$7:$L$84,10))</f>
        <v/>
      </c>
      <c r="F723" s="84" t="str">
        <f>IF(B723="","",VLOOKUP(A723,Journal!$C$7:$M$84,11))</f>
        <v/>
      </c>
      <c r="G723" s="102">
        <f>IF(B723="Total",SUM(G$8:G722)+0.0001,IF(OR(B723="",M723=0),0,VLOOKUP(A723,Journal!$C$7:M$84,7)))</f>
        <v>0</v>
      </c>
      <c r="H723" s="102">
        <f>IF(B723="Total",SUM(H$8:H722)+0.0001,IF(OR(B723="",N723=0),0,VLOOKUP(A723,Journal!$C$7:M$84,7)))</f>
        <v>0</v>
      </c>
      <c r="I723" s="87">
        <f t="shared" si="70"/>
        <v>0</v>
      </c>
      <c r="K723" s="13">
        <f>VLOOKUP(A723,Journal!$C$7:$M$84,4)</f>
        <v>0</v>
      </c>
      <c r="L723" s="13">
        <f>VLOOKUP(A723,Journal!$C$7:$M$84,5)</f>
        <v>0</v>
      </c>
      <c r="M723" s="13">
        <f t="shared" si="66"/>
        <v>0</v>
      </c>
      <c r="N723" s="13">
        <f t="shared" si="67"/>
        <v>0</v>
      </c>
      <c r="O723" s="13"/>
      <c r="P723" s="13">
        <f t="shared" si="68"/>
        <v>1.0000000000000001E-5</v>
      </c>
      <c r="T723" t="str">
        <f t="shared" si="69"/>
        <v/>
      </c>
    </row>
    <row r="724" spans="1:20" x14ac:dyDescent="0.25">
      <c r="A724">
        <f t="shared" si="71"/>
        <v>717</v>
      </c>
      <c r="B724" s="88" t="str">
        <f>IF(OR(B723="Total",B723=""),"",IF(VLOOKUP(A724,Journal!$C$7:$E$84,3)=0,"Total",VLOOKUP(A724,Journal!$C$7:$D$84,2)))</f>
        <v/>
      </c>
      <c r="C724" s="86" t="str">
        <f>IF(B724="","",VLOOKUP(A724,Journal!$C$7:$E$84,3))</f>
        <v/>
      </c>
      <c r="D724" s="84" t="str">
        <f>IF(B724="","",VLOOKUP(A724,Journal!$C$7:$J$84,8))</f>
        <v/>
      </c>
      <c r="E724" s="84" t="str">
        <f>IF(B724="","",VLOOKUP(A724,Journal!$C$7:$L$84,10))</f>
        <v/>
      </c>
      <c r="F724" s="84" t="str">
        <f>IF(B724="","",VLOOKUP(A724,Journal!$C$7:$M$84,11))</f>
        <v/>
      </c>
      <c r="G724" s="102">
        <f>IF(B724="Total",SUM(G$8:G723)+0.0001,IF(OR(B724="",M724=0),0,VLOOKUP(A724,Journal!$C$7:M$84,7)))</f>
        <v>0</v>
      </c>
      <c r="H724" s="102">
        <f>IF(B724="Total",SUM(H$8:H723)+0.0001,IF(OR(B724="",N724=0),0,VLOOKUP(A724,Journal!$C$7:M$84,7)))</f>
        <v>0</v>
      </c>
      <c r="I724" s="87">
        <f t="shared" si="70"/>
        <v>0</v>
      </c>
      <c r="K724" s="13">
        <f>VLOOKUP(A724,Journal!$C$7:$M$84,4)</f>
        <v>0</v>
      </c>
      <c r="L724" s="13">
        <f>VLOOKUP(A724,Journal!$C$7:$M$84,5)</f>
        <v>0</v>
      </c>
      <c r="M724" s="13">
        <f t="shared" si="66"/>
        <v>0</v>
      </c>
      <c r="N724" s="13">
        <f t="shared" si="67"/>
        <v>0</v>
      </c>
      <c r="O724" s="13"/>
      <c r="P724" s="13">
        <f t="shared" si="68"/>
        <v>1.0000000000000001E-5</v>
      </c>
      <c r="T724" t="str">
        <f t="shared" si="69"/>
        <v/>
      </c>
    </row>
    <row r="725" spans="1:20" x14ac:dyDescent="0.25">
      <c r="A725">
        <f t="shared" si="71"/>
        <v>718</v>
      </c>
      <c r="B725" s="88" t="str">
        <f>IF(OR(B724="Total",B724=""),"",IF(VLOOKUP(A725,Journal!$C$7:$E$84,3)=0,"Total",VLOOKUP(A725,Journal!$C$7:$D$84,2)))</f>
        <v/>
      </c>
      <c r="C725" s="86" t="str">
        <f>IF(B725="","",VLOOKUP(A725,Journal!$C$7:$E$84,3))</f>
        <v/>
      </c>
      <c r="D725" s="84" t="str">
        <f>IF(B725="","",VLOOKUP(A725,Journal!$C$7:$J$84,8))</f>
        <v/>
      </c>
      <c r="E725" s="84" t="str">
        <f>IF(B725="","",VLOOKUP(A725,Journal!$C$7:$L$84,10))</f>
        <v/>
      </c>
      <c r="F725" s="84" t="str">
        <f>IF(B725="","",VLOOKUP(A725,Journal!$C$7:$M$84,11))</f>
        <v/>
      </c>
      <c r="G725" s="102">
        <f>IF(B725="Total",SUM(G$8:G724)+0.0001,IF(OR(B725="",M725=0),0,VLOOKUP(A725,Journal!$C$7:M$84,7)))</f>
        <v>0</v>
      </c>
      <c r="H725" s="102">
        <f>IF(B725="Total",SUM(H$8:H724)+0.0001,IF(OR(B725="",N725=0),0,VLOOKUP(A725,Journal!$C$7:M$84,7)))</f>
        <v>0</v>
      </c>
      <c r="I725" s="87">
        <f t="shared" si="70"/>
        <v>0</v>
      </c>
      <c r="K725" s="13">
        <f>VLOOKUP(A725,Journal!$C$7:$M$84,4)</f>
        <v>0</v>
      </c>
      <c r="L725" s="13">
        <f>VLOOKUP(A725,Journal!$C$7:$M$84,5)</f>
        <v>0</v>
      </c>
      <c r="M725" s="13">
        <f t="shared" si="66"/>
        <v>0</v>
      </c>
      <c r="N725" s="13">
        <f t="shared" si="67"/>
        <v>0</v>
      </c>
      <c r="O725" s="13"/>
      <c r="P725" s="13">
        <f t="shared" si="68"/>
        <v>1.0000000000000001E-5</v>
      </c>
      <c r="T725" t="str">
        <f t="shared" si="69"/>
        <v/>
      </c>
    </row>
    <row r="726" spans="1:20" x14ac:dyDescent="0.25">
      <c r="A726">
        <f t="shared" si="71"/>
        <v>719</v>
      </c>
      <c r="B726" s="88" t="str">
        <f>IF(OR(B725="Total",B725=""),"",IF(VLOOKUP(A726,Journal!$C$7:$E$84,3)=0,"Total",VLOOKUP(A726,Journal!$C$7:$D$84,2)))</f>
        <v/>
      </c>
      <c r="C726" s="86" t="str">
        <f>IF(B726="","",VLOOKUP(A726,Journal!$C$7:$E$84,3))</f>
        <v/>
      </c>
      <c r="D726" s="84" t="str">
        <f>IF(B726="","",VLOOKUP(A726,Journal!$C$7:$J$84,8))</f>
        <v/>
      </c>
      <c r="E726" s="84" t="str">
        <f>IF(B726="","",VLOOKUP(A726,Journal!$C$7:$L$84,10))</f>
        <v/>
      </c>
      <c r="F726" s="84" t="str">
        <f>IF(B726="","",VLOOKUP(A726,Journal!$C$7:$M$84,11))</f>
        <v/>
      </c>
      <c r="G726" s="102">
        <f>IF(B726="Total",SUM(G$8:G725)+0.0001,IF(OR(B726="",M726=0),0,VLOOKUP(A726,Journal!$C$7:M$84,7)))</f>
        <v>0</v>
      </c>
      <c r="H726" s="102">
        <f>IF(B726="Total",SUM(H$8:H725)+0.0001,IF(OR(B726="",N726=0),0,VLOOKUP(A726,Journal!$C$7:M$84,7)))</f>
        <v>0</v>
      </c>
      <c r="I726" s="87">
        <f t="shared" si="70"/>
        <v>0</v>
      </c>
      <c r="K726" s="13">
        <f>VLOOKUP(A726,Journal!$C$7:$M$84,4)</f>
        <v>0</v>
      </c>
      <c r="L726" s="13">
        <f>VLOOKUP(A726,Journal!$C$7:$M$84,5)</f>
        <v>0</v>
      </c>
      <c r="M726" s="13">
        <f t="shared" si="66"/>
        <v>0</v>
      </c>
      <c r="N726" s="13">
        <f t="shared" si="67"/>
        <v>0</v>
      </c>
      <c r="O726" s="13"/>
      <c r="P726" s="13">
        <f t="shared" si="68"/>
        <v>1.0000000000000001E-5</v>
      </c>
      <c r="T726" t="str">
        <f t="shared" si="69"/>
        <v/>
      </c>
    </row>
    <row r="727" spans="1:20" x14ac:dyDescent="0.25">
      <c r="A727">
        <f t="shared" si="71"/>
        <v>720</v>
      </c>
      <c r="B727" s="88" t="str">
        <f>IF(OR(B726="Total",B726=""),"",IF(VLOOKUP(A727,Journal!$C$7:$E$84,3)=0,"Total",VLOOKUP(A727,Journal!$C$7:$D$84,2)))</f>
        <v/>
      </c>
      <c r="C727" s="86" t="str">
        <f>IF(B727="","",VLOOKUP(A727,Journal!$C$7:$E$84,3))</f>
        <v/>
      </c>
      <c r="D727" s="84" t="str">
        <f>IF(B727="","",VLOOKUP(A727,Journal!$C$7:$J$84,8))</f>
        <v/>
      </c>
      <c r="E727" s="84" t="str">
        <f>IF(B727="","",VLOOKUP(A727,Journal!$C$7:$L$84,10))</f>
        <v/>
      </c>
      <c r="F727" s="84" t="str">
        <f>IF(B727="","",VLOOKUP(A727,Journal!$C$7:$M$84,11))</f>
        <v/>
      </c>
      <c r="G727" s="102">
        <f>IF(B727="Total",SUM(G$8:G726)+0.0001,IF(OR(B727="",M727=0),0,VLOOKUP(A727,Journal!$C$7:M$84,7)))</f>
        <v>0</v>
      </c>
      <c r="H727" s="102">
        <f>IF(B727="Total",SUM(H$8:H726)+0.0001,IF(OR(B727="",N727=0),0,VLOOKUP(A727,Journal!$C$7:M$84,7)))</f>
        <v>0</v>
      </c>
      <c r="I727" s="87">
        <f t="shared" si="70"/>
        <v>0</v>
      </c>
      <c r="K727" s="13">
        <f>VLOOKUP(A727,Journal!$C$7:$M$84,4)</f>
        <v>0</v>
      </c>
      <c r="L727" s="13">
        <f>VLOOKUP(A727,Journal!$C$7:$M$84,5)</f>
        <v>0</v>
      </c>
      <c r="M727" s="13">
        <f t="shared" si="66"/>
        <v>0</v>
      </c>
      <c r="N727" s="13">
        <f t="shared" si="67"/>
        <v>0</v>
      </c>
      <c r="O727" s="13"/>
      <c r="P727" s="13">
        <f t="shared" si="68"/>
        <v>1.0000000000000001E-5</v>
      </c>
      <c r="T727" t="str">
        <f t="shared" si="69"/>
        <v/>
      </c>
    </row>
    <row r="728" spans="1:20" x14ac:dyDescent="0.25">
      <c r="A728">
        <f t="shared" si="71"/>
        <v>721</v>
      </c>
      <c r="B728" s="88" t="str">
        <f>IF(OR(B727="Total",B727=""),"",IF(VLOOKUP(A728,Journal!$C$7:$E$84,3)=0,"Total",VLOOKUP(A728,Journal!$C$7:$D$84,2)))</f>
        <v/>
      </c>
      <c r="C728" s="86" t="str">
        <f>IF(B728="","",VLOOKUP(A728,Journal!$C$7:$E$84,3))</f>
        <v/>
      </c>
      <c r="D728" s="84" t="str">
        <f>IF(B728="","",VLOOKUP(A728,Journal!$C$7:$J$84,8))</f>
        <v/>
      </c>
      <c r="E728" s="84" t="str">
        <f>IF(B728="","",VLOOKUP(A728,Journal!$C$7:$L$84,10))</f>
        <v/>
      </c>
      <c r="F728" s="84" t="str">
        <f>IF(B728="","",VLOOKUP(A728,Journal!$C$7:$M$84,11))</f>
        <v/>
      </c>
      <c r="G728" s="102">
        <f>IF(B728="Total",SUM(G$8:G727)+0.0001,IF(OR(B728="",M728=0),0,VLOOKUP(A728,Journal!$C$7:M$84,7)))</f>
        <v>0</v>
      </c>
      <c r="H728" s="102">
        <f>IF(B728="Total",SUM(H$8:H727)+0.0001,IF(OR(B728="",N728=0),0,VLOOKUP(A728,Journal!$C$7:M$84,7)))</f>
        <v>0</v>
      </c>
      <c r="I728" s="87">
        <f t="shared" si="70"/>
        <v>0</v>
      </c>
      <c r="K728" s="13">
        <f>VLOOKUP(A728,Journal!$C$7:$M$84,4)</f>
        <v>0</v>
      </c>
      <c r="L728" s="13">
        <f>VLOOKUP(A728,Journal!$C$7:$M$84,5)</f>
        <v>0</v>
      </c>
      <c r="M728" s="13">
        <f t="shared" si="66"/>
        <v>0</v>
      </c>
      <c r="N728" s="13">
        <f t="shared" si="67"/>
        <v>0</v>
      </c>
      <c r="O728" s="13"/>
      <c r="P728" s="13">
        <f t="shared" si="68"/>
        <v>1.0000000000000001E-5</v>
      </c>
      <c r="T728" t="str">
        <f t="shared" si="69"/>
        <v/>
      </c>
    </row>
    <row r="729" spans="1:20" x14ac:dyDescent="0.25">
      <c r="A729">
        <f t="shared" si="71"/>
        <v>722</v>
      </c>
      <c r="B729" s="88" t="str">
        <f>IF(OR(B728="Total",B728=""),"",IF(VLOOKUP(A729,Journal!$C$7:$E$84,3)=0,"Total",VLOOKUP(A729,Journal!$C$7:$D$84,2)))</f>
        <v/>
      </c>
      <c r="C729" s="86" t="str">
        <f>IF(B729="","",VLOOKUP(A729,Journal!$C$7:$E$84,3))</f>
        <v/>
      </c>
      <c r="D729" s="84" t="str">
        <f>IF(B729="","",VLOOKUP(A729,Journal!$C$7:$J$84,8))</f>
        <v/>
      </c>
      <c r="E729" s="84" t="str">
        <f>IF(B729="","",VLOOKUP(A729,Journal!$C$7:$L$84,10))</f>
        <v/>
      </c>
      <c r="F729" s="84" t="str">
        <f>IF(B729="","",VLOOKUP(A729,Journal!$C$7:$M$84,11))</f>
        <v/>
      </c>
      <c r="G729" s="102">
        <f>IF(B729="Total",SUM(G$8:G728)+0.0001,IF(OR(B729="",M729=0),0,VLOOKUP(A729,Journal!$C$7:M$84,7)))</f>
        <v>0</v>
      </c>
      <c r="H729" s="102">
        <f>IF(B729="Total",SUM(H$8:H728)+0.0001,IF(OR(B729="",N729=0),0,VLOOKUP(A729,Journal!$C$7:M$84,7)))</f>
        <v>0</v>
      </c>
      <c r="I729" s="87">
        <f t="shared" si="70"/>
        <v>0</v>
      </c>
      <c r="K729" s="13">
        <f>VLOOKUP(A729,Journal!$C$7:$M$84,4)</f>
        <v>0</v>
      </c>
      <c r="L729" s="13">
        <f>VLOOKUP(A729,Journal!$C$7:$M$84,5)</f>
        <v>0</v>
      </c>
      <c r="M729" s="13">
        <f t="shared" ref="M729:M792" si="72">IF(AND(L729&gt;=$F$1,L729&lt;9999),1,0)</f>
        <v>0</v>
      </c>
      <c r="N729" s="13">
        <f t="shared" ref="N729:N792" si="73">IF(AND(K729&gt;=$F$1,K729&lt;9999),1,0)</f>
        <v>0</v>
      </c>
      <c r="O729" s="13"/>
      <c r="P729" s="13">
        <f t="shared" ref="P729:P792" si="74">IF(I728=I729,I728+0.00001,I729)</f>
        <v>1.0000000000000001E-5</v>
      </c>
      <c r="T729" t="str">
        <f t="shared" si="69"/>
        <v/>
      </c>
    </row>
    <row r="730" spans="1:20" x14ac:dyDescent="0.25">
      <c r="A730">
        <f t="shared" si="71"/>
        <v>723</v>
      </c>
      <c r="B730" s="88" t="str">
        <f>IF(OR(B729="Total",B729=""),"",IF(VLOOKUP(A730,Journal!$C$7:$E$84,3)=0,"Total",VLOOKUP(A730,Journal!$C$7:$D$84,2)))</f>
        <v/>
      </c>
      <c r="C730" s="86" t="str">
        <f>IF(B730="","",VLOOKUP(A730,Journal!$C$7:$E$84,3))</f>
        <v/>
      </c>
      <c r="D730" s="84" t="str">
        <f>IF(B730="","",VLOOKUP(A730,Journal!$C$7:$J$84,8))</f>
        <v/>
      </c>
      <c r="E730" s="84" t="str">
        <f>IF(B730="","",VLOOKUP(A730,Journal!$C$7:$L$84,10))</f>
        <v/>
      </c>
      <c r="F730" s="84" t="str">
        <f>IF(B730="","",VLOOKUP(A730,Journal!$C$7:$M$84,11))</f>
        <v/>
      </c>
      <c r="G730" s="102">
        <f>IF(B730="Total",SUM(G$8:G729)+0.0001,IF(OR(B730="",M730=0),0,VLOOKUP(A730,Journal!$C$7:M$84,7)))</f>
        <v>0</v>
      </c>
      <c r="H730" s="102">
        <f>IF(B730="Total",SUM(H$8:H729)+0.0001,IF(OR(B730="",N730=0),0,VLOOKUP(A730,Journal!$C$7:M$84,7)))</f>
        <v>0</v>
      </c>
      <c r="I730" s="87">
        <f t="shared" si="70"/>
        <v>0</v>
      </c>
      <c r="K730" s="13">
        <f>VLOOKUP(A730,Journal!$C$7:$M$84,4)</f>
        <v>0</v>
      </c>
      <c r="L730" s="13">
        <f>VLOOKUP(A730,Journal!$C$7:$M$84,5)</f>
        <v>0</v>
      </c>
      <c r="M730" s="13">
        <f t="shared" si="72"/>
        <v>0</v>
      </c>
      <c r="N730" s="13">
        <f t="shared" si="73"/>
        <v>0</v>
      </c>
      <c r="O730" s="13"/>
      <c r="P730" s="13">
        <f t="shared" si="74"/>
        <v>1.0000000000000001E-5</v>
      </c>
      <c r="T730" t="str">
        <f t="shared" si="69"/>
        <v/>
      </c>
    </row>
    <row r="731" spans="1:20" x14ac:dyDescent="0.25">
      <c r="A731">
        <f t="shared" si="71"/>
        <v>724</v>
      </c>
      <c r="B731" s="88" t="str">
        <f>IF(OR(B730="Total",B730=""),"",IF(VLOOKUP(A731,Journal!$C$7:$E$84,3)=0,"Total",VLOOKUP(A731,Journal!$C$7:$D$84,2)))</f>
        <v/>
      </c>
      <c r="C731" s="86" t="str">
        <f>IF(B731="","",VLOOKUP(A731,Journal!$C$7:$E$84,3))</f>
        <v/>
      </c>
      <c r="D731" s="84" t="str">
        <f>IF(B731="","",VLOOKUP(A731,Journal!$C$7:$J$84,8))</f>
        <v/>
      </c>
      <c r="E731" s="84" t="str">
        <f>IF(B731="","",VLOOKUP(A731,Journal!$C$7:$L$84,10))</f>
        <v/>
      </c>
      <c r="F731" s="84" t="str">
        <f>IF(B731="","",VLOOKUP(A731,Journal!$C$7:$M$84,11))</f>
        <v/>
      </c>
      <c r="G731" s="102">
        <f>IF(B731="Total",SUM(G$8:G730)+0.0001,IF(OR(B731="",M731=0),0,VLOOKUP(A731,Journal!$C$7:M$84,7)))</f>
        <v>0</v>
      </c>
      <c r="H731" s="102">
        <f>IF(B731="Total",SUM(H$8:H730)+0.0001,IF(OR(B731="",N731=0),0,VLOOKUP(A731,Journal!$C$7:M$84,7)))</f>
        <v>0</v>
      </c>
      <c r="I731" s="87">
        <f t="shared" si="70"/>
        <v>0</v>
      </c>
      <c r="K731" s="13">
        <f>VLOOKUP(A731,Journal!$C$7:$M$84,4)</f>
        <v>0</v>
      </c>
      <c r="L731" s="13">
        <f>VLOOKUP(A731,Journal!$C$7:$M$84,5)</f>
        <v>0</v>
      </c>
      <c r="M731" s="13">
        <f t="shared" si="72"/>
        <v>0</v>
      </c>
      <c r="N731" s="13">
        <f t="shared" si="73"/>
        <v>0</v>
      </c>
      <c r="O731" s="13"/>
      <c r="P731" s="13">
        <f t="shared" si="74"/>
        <v>1.0000000000000001E-5</v>
      </c>
      <c r="T731" t="str">
        <f t="shared" si="69"/>
        <v/>
      </c>
    </row>
    <row r="732" spans="1:20" x14ac:dyDescent="0.25">
      <c r="A732">
        <f t="shared" si="71"/>
        <v>725</v>
      </c>
      <c r="B732" s="88" t="str">
        <f>IF(OR(B731="Total",B731=""),"",IF(VLOOKUP(A732,Journal!$C$7:$E$84,3)=0,"Total",VLOOKUP(A732,Journal!$C$7:$D$84,2)))</f>
        <v/>
      </c>
      <c r="C732" s="86" t="str">
        <f>IF(B732="","",VLOOKUP(A732,Journal!$C$7:$E$84,3))</f>
        <v/>
      </c>
      <c r="D732" s="84" t="str">
        <f>IF(B732="","",VLOOKUP(A732,Journal!$C$7:$J$84,8))</f>
        <v/>
      </c>
      <c r="E732" s="84" t="str">
        <f>IF(B732="","",VLOOKUP(A732,Journal!$C$7:$L$84,10))</f>
        <v/>
      </c>
      <c r="F732" s="84" t="str">
        <f>IF(B732="","",VLOOKUP(A732,Journal!$C$7:$M$84,11))</f>
        <v/>
      </c>
      <c r="G732" s="102">
        <f>IF(B732="Total",SUM(G$8:G731)+0.0001,IF(OR(B732="",M732=0),0,VLOOKUP(A732,Journal!$C$7:M$84,7)))</f>
        <v>0</v>
      </c>
      <c r="H732" s="102">
        <f>IF(B732="Total",SUM(H$8:H731)+0.0001,IF(OR(B732="",N732=0),0,VLOOKUP(A732,Journal!$C$7:M$84,7)))</f>
        <v>0</v>
      </c>
      <c r="I732" s="87">
        <f t="shared" si="70"/>
        <v>0</v>
      </c>
      <c r="K732" s="13">
        <f>VLOOKUP(A732,Journal!$C$7:$M$84,4)</f>
        <v>0</v>
      </c>
      <c r="L732" s="13">
        <f>VLOOKUP(A732,Journal!$C$7:$M$84,5)</f>
        <v>0</v>
      </c>
      <c r="M732" s="13">
        <f t="shared" si="72"/>
        <v>0</v>
      </c>
      <c r="N732" s="13">
        <f t="shared" si="73"/>
        <v>0</v>
      </c>
      <c r="O732" s="13"/>
      <c r="P732" s="13">
        <f t="shared" si="74"/>
        <v>1.0000000000000001E-5</v>
      </c>
      <c r="T732" t="str">
        <f t="shared" si="69"/>
        <v/>
      </c>
    </row>
    <row r="733" spans="1:20" x14ac:dyDescent="0.25">
      <c r="A733">
        <f t="shared" si="71"/>
        <v>726</v>
      </c>
      <c r="B733" s="88" t="str">
        <f>IF(OR(B732="Total",B732=""),"",IF(VLOOKUP(A733,Journal!$C$7:$E$84,3)=0,"Total",VLOOKUP(A733,Journal!$C$7:$D$84,2)))</f>
        <v/>
      </c>
      <c r="C733" s="86" t="str">
        <f>IF(B733="","",VLOOKUP(A733,Journal!$C$7:$E$84,3))</f>
        <v/>
      </c>
      <c r="D733" s="84" t="str">
        <f>IF(B733="","",VLOOKUP(A733,Journal!$C$7:$J$84,8))</f>
        <v/>
      </c>
      <c r="E733" s="84" t="str">
        <f>IF(B733="","",VLOOKUP(A733,Journal!$C$7:$L$84,10))</f>
        <v/>
      </c>
      <c r="F733" s="84" t="str">
        <f>IF(B733="","",VLOOKUP(A733,Journal!$C$7:$M$84,11))</f>
        <v/>
      </c>
      <c r="G733" s="102">
        <f>IF(B733="Total",SUM(G$8:G732)+0.0001,IF(OR(B733="",M733=0),0,VLOOKUP(A733,Journal!$C$7:M$84,7)))</f>
        <v>0</v>
      </c>
      <c r="H733" s="102">
        <f>IF(B733="Total",SUM(H$8:H732)+0.0001,IF(OR(B733="",N733=0),0,VLOOKUP(A733,Journal!$C$7:M$84,7)))</f>
        <v>0</v>
      </c>
      <c r="I733" s="87">
        <f t="shared" si="70"/>
        <v>0</v>
      </c>
      <c r="K733" s="13">
        <f>VLOOKUP(A733,Journal!$C$7:$M$84,4)</f>
        <v>0</v>
      </c>
      <c r="L733" s="13">
        <f>VLOOKUP(A733,Journal!$C$7:$M$84,5)</f>
        <v>0</v>
      </c>
      <c r="M733" s="13">
        <f t="shared" si="72"/>
        <v>0</v>
      </c>
      <c r="N733" s="13">
        <f t="shared" si="73"/>
        <v>0</v>
      </c>
      <c r="O733" s="13"/>
      <c r="P733" s="13">
        <f t="shared" si="74"/>
        <v>1.0000000000000001E-5</v>
      </c>
      <c r="T733" t="str">
        <f t="shared" si="69"/>
        <v/>
      </c>
    </row>
    <row r="734" spans="1:20" x14ac:dyDescent="0.25">
      <c r="A734">
        <f t="shared" si="71"/>
        <v>727</v>
      </c>
      <c r="B734" s="88" t="str">
        <f>IF(OR(B733="Total",B733=""),"",IF(VLOOKUP(A734,Journal!$C$7:$E$84,3)=0,"Total",VLOOKUP(A734,Journal!$C$7:$D$84,2)))</f>
        <v/>
      </c>
      <c r="C734" s="86" t="str">
        <f>IF(B734="","",VLOOKUP(A734,Journal!$C$7:$E$84,3))</f>
        <v/>
      </c>
      <c r="D734" s="84" t="str">
        <f>IF(B734="","",VLOOKUP(A734,Journal!$C$7:$J$84,8))</f>
        <v/>
      </c>
      <c r="E734" s="84" t="str">
        <f>IF(B734="","",VLOOKUP(A734,Journal!$C$7:$L$84,10))</f>
        <v/>
      </c>
      <c r="F734" s="84" t="str">
        <f>IF(B734="","",VLOOKUP(A734,Journal!$C$7:$M$84,11))</f>
        <v/>
      </c>
      <c r="G734" s="102">
        <f>IF(B734="Total",SUM(G$8:G733)+0.0001,IF(OR(B734="",M734=0),0,VLOOKUP(A734,Journal!$C$7:M$84,7)))</f>
        <v>0</v>
      </c>
      <c r="H734" s="102">
        <f>IF(B734="Total",SUM(H$8:H733)+0.0001,IF(OR(B734="",N734=0),0,VLOOKUP(A734,Journal!$C$7:M$84,7)))</f>
        <v>0</v>
      </c>
      <c r="I734" s="87">
        <f t="shared" si="70"/>
        <v>0</v>
      </c>
      <c r="K734" s="13">
        <f>VLOOKUP(A734,Journal!$C$7:$M$84,4)</f>
        <v>0</v>
      </c>
      <c r="L734" s="13">
        <f>VLOOKUP(A734,Journal!$C$7:$M$84,5)</f>
        <v>0</v>
      </c>
      <c r="M734" s="13">
        <f t="shared" si="72"/>
        <v>0</v>
      </c>
      <c r="N734" s="13">
        <f t="shared" si="73"/>
        <v>0</v>
      </c>
      <c r="O734" s="13"/>
      <c r="P734" s="13">
        <f t="shared" si="74"/>
        <v>1.0000000000000001E-5</v>
      </c>
      <c r="T734" t="str">
        <f t="shared" si="69"/>
        <v/>
      </c>
    </row>
    <row r="735" spans="1:20" x14ac:dyDescent="0.25">
      <c r="A735">
        <f t="shared" si="71"/>
        <v>728</v>
      </c>
      <c r="B735" s="88" t="str">
        <f>IF(OR(B734="Total",B734=""),"",IF(VLOOKUP(A735,Journal!$C$7:$E$84,3)=0,"Total",VLOOKUP(A735,Journal!$C$7:$D$84,2)))</f>
        <v/>
      </c>
      <c r="C735" s="86" t="str">
        <f>IF(B735="","",VLOOKUP(A735,Journal!$C$7:$E$84,3))</f>
        <v/>
      </c>
      <c r="D735" s="84" t="str">
        <f>IF(B735="","",VLOOKUP(A735,Journal!$C$7:$J$84,8))</f>
        <v/>
      </c>
      <c r="E735" s="84" t="str">
        <f>IF(B735="","",VLOOKUP(A735,Journal!$C$7:$L$84,10))</f>
        <v/>
      </c>
      <c r="F735" s="84" t="str">
        <f>IF(B735="","",VLOOKUP(A735,Journal!$C$7:$M$84,11))</f>
        <v/>
      </c>
      <c r="G735" s="102">
        <f>IF(B735="Total",SUM(G$8:G734)+0.0001,IF(OR(B735="",M735=0),0,VLOOKUP(A735,Journal!$C$7:M$84,7)))</f>
        <v>0</v>
      </c>
      <c r="H735" s="102">
        <f>IF(B735="Total",SUM(H$8:H734)+0.0001,IF(OR(B735="",N735=0),0,VLOOKUP(A735,Journal!$C$7:M$84,7)))</f>
        <v>0</v>
      </c>
      <c r="I735" s="87">
        <f t="shared" si="70"/>
        <v>0</v>
      </c>
      <c r="K735" s="13">
        <f>VLOOKUP(A735,Journal!$C$7:$M$84,4)</f>
        <v>0</v>
      </c>
      <c r="L735" s="13">
        <f>VLOOKUP(A735,Journal!$C$7:$M$84,5)</f>
        <v>0</v>
      </c>
      <c r="M735" s="13">
        <f t="shared" si="72"/>
        <v>0</v>
      </c>
      <c r="N735" s="13">
        <f t="shared" si="73"/>
        <v>0</v>
      </c>
      <c r="O735" s="13"/>
      <c r="P735" s="13">
        <f t="shared" si="74"/>
        <v>1.0000000000000001E-5</v>
      </c>
      <c r="T735" t="str">
        <f t="shared" si="69"/>
        <v/>
      </c>
    </row>
    <row r="736" spans="1:20" x14ac:dyDescent="0.25">
      <c r="A736">
        <f t="shared" si="71"/>
        <v>729</v>
      </c>
      <c r="B736" s="88" t="str">
        <f>IF(OR(B735="Total",B735=""),"",IF(VLOOKUP(A736,Journal!$C$7:$E$84,3)=0,"Total",VLOOKUP(A736,Journal!$C$7:$D$84,2)))</f>
        <v/>
      </c>
      <c r="C736" s="86" t="str">
        <f>IF(B736="","",VLOOKUP(A736,Journal!$C$7:$E$84,3))</f>
        <v/>
      </c>
      <c r="D736" s="84" t="str">
        <f>IF(B736="","",VLOOKUP(A736,Journal!$C$7:$J$84,8))</f>
        <v/>
      </c>
      <c r="E736" s="84" t="str">
        <f>IF(B736="","",VLOOKUP(A736,Journal!$C$7:$L$84,10))</f>
        <v/>
      </c>
      <c r="F736" s="84" t="str">
        <f>IF(B736="","",VLOOKUP(A736,Journal!$C$7:$M$84,11))</f>
        <v/>
      </c>
      <c r="G736" s="102">
        <f>IF(B736="Total",SUM(G$8:G735)+0.0001,IF(OR(B736="",M736=0),0,VLOOKUP(A736,Journal!$C$7:M$84,7)))</f>
        <v>0</v>
      </c>
      <c r="H736" s="102">
        <f>IF(B736="Total",SUM(H$8:H735)+0.0001,IF(OR(B736="",N736=0),0,VLOOKUP(A736,Journal!$C$7:M$84,7)))</f>
        <v>0</v>
      </c>
      <c r="I736" s="87">
        <f t="shared" si="70"/>
        <v>0</v>
      </c>
      <c r="K736" s="13">
        <f>VLOOKUP(A736,Journal!$C$7:$M$84,4)</f>
        <v>0</v>
      </c>
      <c r="L736" s="13">
        <f>VLOOKUP(A736,Journal!$C$7:$M$84,5)</f>
        <v>0</v>
      </c>
      <c r="M736" s="13">
        <f t="shared" si="72"/>
        <v>0</v>
      </c>
      <c r="N736" s="13">
        <f t="shared" si="73"/>
        <v>0</v>
      </c>
      <c r="O736" s="13"/>
      <c r="P736" s="13">
        <f t="shared" si="74"/>
        <v>1.0000000000000001E-5</v>
      </c>
      <c r="T736" t="str">
        <f t="shared" si="69"/>
        <v/>
      </c>
    </row>
    <row r="737" spans="1:20" x14ac:dyDescent="0.25">
      <c r="A737">
        <f t="shared" si="71"/>
        <v>730</v>
      </c>
      <c r="B737" s="88" t="str">
        <f>IF(OR(B736="Total",B736=""),"",IF(VLOOKUP(A737,Journal!$C$7:$E$84,3)=0,"Total",VLOOKUP(A737,Journal!$C$7:$D$84,2)))</f>
        <v/>
      </c>
      <c r="C737" s="86" t="str">
        <f>IF(B737="","",VLOOKUP(A737,Journal!$C$7:$E$84,3))</f>
        <v/>
      </c>
      <c r="D737" s="84" t="str">
        <f>IF(B737="","",VLOOKUP(A737,Journal!$C$7:$J$84,8))</f>
        <v/>
      </c>
      <c r="E737" s="84" t="str">
        <f>IF(B737="","",VLOOKUP(A737,Journal!$C$7:$L$84,10))</f>
        <v/>
      </c>
      <c r="F737" s="84" t="str">
        <f>IF(B737="","",VLOOKUP(A737,Journal!$C$7:$M$84,11))</f>
        <v/>
      </c>
      <c r="G737" s="102">
        <f>IF(B737="Total",SUM(G$8:G736)+0.0001,IF(OR(B737="",M737=0),0,VLOOKUP(A737,Journal!$C$7:M$84,7)))</f>
        <v>0</v>
      </c>
      <c r="H737" s="102">
        <f>IF(B737="Total",SUM(H$8:H736)+0.0001,IF(OR(B737="",N737=0),0,VLOOKUP(A737,Journal!$C$7:M$84,7)))</f>
        <v>0</v>
      </c>
      <c r="I737" s="87">
        <f t="shared" si="70"/>
        <v>0</v>
      </c>
      <c r="K737" s="13">
        <f>VLOOKUP(A737,Journal!$C$7:$M$84,4)</f>
        <v>0</v>
      </c>
      <c r="L737" s="13">
        <f>VLOOKUP(A737,Journal!$C$7:$M$84,5)</f>
        <v>0</v>
      </c>
      <c r="M737" s="13">
        <f t="shared" si="72"/>
        <v>0</v>
      </c>
      <c r="N737" s="13">
        <f t="shared" si="73"/>
        <v>0</v>
      </c>
      <c r="O737" s="13"/>
      <c r="P737" s="13">
        <f t="shared" si="74"/>
        <v>1.0000000000000001E-5</v>
      </c>
      <c r="T737" t="str">
        <f t="shared" si="69"/>
        <v/>
      </c>
    </row>
    <row r="738" spans="1:20" x14ac:dyDescent="0.25">
      <c r="A738">
        <f t="shared" si="71"/>
        <v>731</v>
      </c>
      <c r="B738" s="88" t="str">
        <f>IF(OR(B737="Total",B737=""),"",IF(VLOOKUP(A738,Journal!$C$7:$E$84,3)=0,"Total",VLOOKUP(A738,Journal!$C$7:$D$84,2)))</f>
        <v/>
      </c>
      <c r="C738" s="86" t="str">
        <f>IF(B738="","",VLOOKUP(A738,Journal!$C$7:$E$84,3))</f>
        <v/>
      </c>
      <c r="D738" s="84" t="str">
        <f>IF(B738="","",VLOOKUP(A738,Journal!$C$7:$J$84,8))</f>
        <v/>
      </c>
      <c r="E738" s="84" t="str">
        <f>IF(B738="","",VLOOKUP(A738,Journal!$C$7:$L$84,10))</f>
        <v/>
      </c>
      <c r="F738" s="84" t="str">
        <f>IF(B738="","",VLOOKUP(A738,Journal!$C$7:$M$84,11))</f>
        <v/>
      </c>
      <c r="G738" s="102">
        <f>IF(B738="Total",SUM(G$8:G737)+0.0001,IF(OR(B738="",M738=0),0,VLOOKUP(A738,Journal!$C$7:M$84,7)))</f>
        <v>0</v>
      </c>
      <c r="H738" s="102">
        <f>IF(B738="Total",SUM(H$8:H737)+0.0001,IF(OR(B738="",N738=0),0,VLOOKUP(A738,Journal!$C$7:M$84,7)))</f>
        <v>0</v>
      </c>
      <c r="I738" s="87">
        <f t="shared" si="70"/>
        <v>0</v>
      </c>
      <c r="K738" s="13">
        <f>VLOOKUP(A738,Journal!$C$7:$M$84,4)</f>
        <v>0</v>
      </c>
      <c r="L738" s="13">
        <f>VLOOKUP(A738,Journal!$C$7:$M$84,5)</f>
        <v>0</v>
      </c>
      <c r="M738" s="13">
        <f t="shared" si="72"/>
        <v>0</v>
      </c>
      <c r="N738" s="13">
        <f t="shared" si="73"/>
        <v>0</v>
      </c>
      <c r="O738" s="13"/>
      <c r="P738" s="13">
        <f t="shared" si="74"/>
        <v>1.0000000000000001E-5</v>
      </c>
      <c r="T738" t="str">
        <f t="shared" si="69"/>
        <v/>
      </c>
    </row>
    <row r="739" spans="1:20" x14ac:dyDescent="0.25">
      <c r="A739">
        <f t="shared" si="71"/>
        <v>732</v>
      </c>
      <c r="B739" s="88" t="str">
        <f>IF(OR(B738="Total",B738=""),"",IF(VLOOKUP(A739,Journal!$C$7:$E$84,3)=0,"Total",VLOOKUP(A739,Journal!$C$7:$D$84,2)))</f>
        <v/>
      </c>
      <c r="C739" s="86" t="str">
        <f>IF(B739="","",VLOOKUP(A739,Journal!$C$7:$E$84,3))</f>
        <v/>
      </c>
      <c r="D739" s="84" t="str">
        <f>IF(B739="","",VLOOKUP(A739,Journal!$C$7:$J$84,8))</f>
        <v/>
      </c>
      <c r="E739" s="84" t="str">
        <f>IF(B739="","",VLOOKUP(A739,Journal!$C$7:$L$84,10))</f>
        <v/>
      </c>
      <c r="F739" s="84" t="str">
        <f>IF(B739="","",VLOOKUP(A739,Journal!$C$7:$M$84,11))</f>
        <v/>
      </c>
      <c r="G739" s="102">
        <f>IF(B739="Total",SUM(G$8:G738)+0.0001,IF(OR(B739="",M739=0),0,VLOOKUP(A739,Journal!$C$7:M$84,7)))</f>
        <v>0</v>
      </c>
      <c r="H739" s="102">
        <f>IF(B739="Total",SUM(H$8:H738)+0.0001,IF(OR(B739="",N739=0),0,VLOOKUP(A739,Journal!$C$7:M$84,7)))</f>
        <v>0</v>
      </c>
      <c r="I739" s="87">
        <f t="shared" si="70"/>
        <v>0</v>
      </c>
      <c r="K739" s="13">
        <f>VLOOKUP(A739,Journal!$C$7:$M$84,4)</f>
        <v>0</v>
      </c>
      <c r="L739" s="13">
        <f>VLOOKUP(A739,Journal!$C$7:$M$84,5)</f>
        <v>0</v>
      </c>
      <c r="M739" s="13">
        <f t="shared" si="72"/>
        <v>0</v>
      </c>
      <c r="N739" s="13">
        <f t="shared" si="73"/>
        <v>0</v>
      </c>
      <c r="O739" s="13"/>
      <c r="P739" s="13">
        <f t="shared" si="74"/>
        <v>1.0000000000000001E-5</v>
      </c>
      <c r="T739" t="str">
        <f t="shared" si="69"/>
        <v/>
      </c>
    </row>
    <row r="740" spans="1:20" x14ac:dyDescent="0.25">
      <c r="A740">
        <f t="shared" si="71"/>
        <v>733</v>
      </c>
      <c r="B740" s="88" t="str">
        <f>IF(OR(B739="Total",B739=""),"",IF(VLOOKUP(A740,Journal!$C$7:$E$84,3)=0,"Total",VLOOKUP(A740,Journal!$C$7:$D$84,2)))</f>
        <v/>
      </c>
      <c r="C740" s="86" t="str">
        <f>IF(B740="","",VLOOKUP(A740,Journal!$C$7:$E$84,3))</f>
        <v/>
      </c>
      <c r="D740" s="84" t="str">
        <f>IF(B740="","",VLOOKUP(A740,Journal!$C$7:$J$84,8))</f>
        <v/>
      </c>
      <c r="E740" s="84" t="str">
        <f>IF(B740="","",VLOOKUP(A740,Journal!$C$7:$L$84,10))</f>
        <v/>
      </c>
      <c r="F740" s="84" t="str">
        <f>IF(B740="","",VLOOKUP(A740,Journal!$C$7:$M$84,11))</f>
        <v/>
      </c>
      <c r="G740" s="102">
        <f>IF(B740="Total",SUM(G$8:G739)+0.0001,IF(OR(B740="",M740=0),0,VLOOKUP(A740,Journal!$C$7:M$84,7)))</f>
        <v>0</v>
      </c>
      <c r="H740" s="102">
        <f>IF(B740="Total",SUM(H$8:H739)+0.0001,IF(OR(B740="",N740=0),0,VLOOKUP(A740,Journal!$C$7:M$84,7)))</f>
        <v>0</v>
      </c>
      <c r="I740" s="87">
        <f t="shared" si="70"/>
        <v>0</v>
      </c>
      <c r="K740" s="13">
        <f>VLOOKUP(A740,Journal!$C$7:$M$84,4)</f>
        <v>0</v>
      </c>
      <c r="L740" s="13">
        <f>VLOOKUP(A740,Journal!$C$7:$M$84,5)</f>
        <v>0</v>
      </c>
      <c r="M740" s="13">
        <f t="shared" si="72"/>
        <v>0</v>
      </c>
      <c r="N740" s="13">
        <f t="shared" si="73"/>
        <v>0</v>
      </c>
      <c r="O740" s="13"/>
      <c r="P740" s="13">
        <f t="shared" si="74"/>
        <v>1.0000000000000001E-5</v>
      </c>
      <c r="T740" t="str">
        <f t="shared" si="69"/>
        <v/>
      </c>
    </row>
    <row r="741" spans="1:20" x14ac:dyDescent="0.25">
      <c r="A741">
        <f t="shared" si="71"/>
        <v>734</v>
      </c>
      <c r="B741" s="88" t="str">
        <f>IF(OR(B740="Total",B740=""),"",IF(VLOOKUP(A741,Journal!$C$7:$E$84,3)=0,"Total",VLOOKUP(A741,Journal!$C$7:$D$84,2)))</f>
        <v/>
      </c>
      <c r="C741" s="86" t="str">
        <f>IF(B741="","",VLOOKUP(A741,Journal!$C$7:$E$84,3))</f>
        <v/>
      </c>
      <c r="D741" s="84" t="str">
        <f>IF(B741="","",VLOOKUP(A741,Journal!$C$7:$J$84,8))</f>
        <v/>
      </c>
      <c r="E741" s="84" t="str">
        <f>IF(B741="","",VLOOKUP(A741,Journal!$C$7:$L$84,10))</f>
        <v/>
      </c>
      <c r="F741" s="84" t="str">
        <f>IF(B741="","",VLOOKUP(A741,Journal!$C$7:$M$84,11))</f>
        <v/>
      </c>
      <c r="G741" s="102">
        <f>IF(B741="Total",SUM(G$8:G740)+0.0001,IF(OR(B741="",M741=0),0,VLOOKUP(A741,Journal!$C$7:M$84,7)))</f>
        <v>0</v>
      </c>
      <c r="H741" s="102">
        <f>IF(B741="Total",SUM(H$8:H740)+0.0001,IF(OR(B741="",N741=0),0,VLOOKUP(A741,Journal!$C$7:M$84,7)))</f>
        <v>0</v>
      </c>
      <c r="I741" s="87">
        <f t="shared" si="70"/>
        <v>0</v>
      </c>
      <c r="K741" s="13">
        <f>VLOOKUP(A741,Journal!$C$7:$M$84,4)</f>
        <v>0</v>
      </c>
      <c r="L741" s="13">
        <f>VLOOKUP(A741,Journal!$C$7:$M$84,5)</f>
        <v>0</v>
      </c>
      <c r="M741" s="13">
        <f t="shared" si="72"/>
        <v>0</v>
      </c>
      <c r="N741" s="13">
        <f t="shared" si="73"/>
        <v>0</v>
      </c>
      <c r="O741" s="13"/>
      <c r="P741" s="13">
        <f t="shared" si="74"/>
        <v>1.0000000000000001E-5</v>
      </c>
      <c r="T741" t="str">
        <f t="shared" si="69"/>
        <v/>
      </c>
    </row>
    <row r="742" spans="1:20" x14ac:dyDescent="0.25">
      <c r="A742">
        <f t="shared" si="71"/>
        <v>735</v>
      </c>
      <c r="B742" s="88" t="str">
        <f>IF(OR(B741="Total",B741=""),"",IF(VLOOKUP(A742,Journal!$C$7:$E$84,3)=0,"Total",VLOOKUP(A742,Journal!$C$7:$D$84,2)))</f>
        <v/>
      </c>
      <c r="C742" s="86" t="str">
        <f>IF(B742="","",VLOOKUP(A742,Journal!$C$7:$E$84,3))</f>
        <v/>
      </c>
      <c r="D742" s="84" t="str">
        <f>IF(B742="","",VLOOKUP(A742,Journal!$C$7:$J$84,8))</f>
        <v/>
      </c>
      <c r="E742" s="84" t="str">
        <f>IF(B742="","",VLOOKUP(A742,Journal!$C$7:$L$84,10))</f>
        <v/>
      </c>
      <c r="F742" s="84" t="str">
        <f>IF(B742="","",VLOOKUP(A742,Journal!$C$7:$M$84,11))</f>
        <v/>
      </c>
      <c r="G742" s="102">
        <f>IF(B742="Total",SUM(G$8:G741)+0.0001,IF(OR(B742="",M742=0),0,VLOOKUP(A742,Journal!$C$7:M$84,7)))</f>
        <v>0</v>
      </c>
      <c r="H742" s="102">
        <f>IF(B742="Total",SUM(H$8:H741)+0.0001,IF(OR(B742="",N742=0),0,VLOOKUP(A742,Journal!$C$7:M$84,7)))</f>
        <v>0</v>
      </c>
      <c r="I742" s="87">
        <f t="shared" si="70"/>
        <v>0</v>
      </c>
      <c r="K742" s="13">
        <f>VLOOKUP(A742,Journal!$C$7:$M$84,4)</f>
        <v>0</v>
      </c>
      <c r="L742" s="13">
        <f>VLOOKUP(A742,Journal!$C$7:$M$84,5)</f>
        <v>0</v>
      </c>
      <c r="M742" s="13">
        <f t="shared" si="72"/>
        <v>0</v>
      </c>
      <c r="N742" s="13">
        <f t="shared" si="73"/>
        <v>0</v>
      </c>
      <c r="O742" s="13"/>
      <c r="P742" s="13">
        <f t="shared" si="74"/>
        <v>1.0000000000000001E-5</v>
      </c>
      <c r="T742" t="str">
        <f t="shared" si="69"/>
        <v/>
      </c>
    </row>
    <row r="743" spans="1:20" x14ac:dyDescent="0.25">
      <c r="A743">
        <f t="shared" si="71"/>
        <v>736</v>
      </c>
      <c r="B743" s="88" t="str">
        <f>IF(OR(B742="Total",B742=""),"",IF(VLOOKUP(A743,Journal!$C$7:$E$84,3)=0,"Total",VLOOKUP(A743,Journal!$C$7:$D$84,2)))</f>
        <v/>
      </c>
      <c r="C743" s="86" t="str">
        <f>IF(B743="","",VLOOKUP(A743,Journal!$C$7:$E$84,3))</f>
        <v/>
      </c>
      <c r="D743" s="84" t="str">
        <f>IF(B743="","",VLOOKUP(A743,Journal!$C$7:$J$84,8))</f>
        <v/>
      </c>
      <c r="E743" s="84" t="str">
        <f>IF(B743="","",VLOOKUP(A743,Journal!$C$7:$L$84,10))</f>
        <v/>
      </c>
      <c r="F743" s="84" t="str">
        <f>IF(B743="","",VLOOKUP(A743,Journal!$C$7:$M$84,11))</f>
        <v/>
      </c>
      <c r="G743" s="102">
        <f>IF(B743="Total",SUM(G$8:G742)+0.0001,IF(OR(B743="",M743=0),0,VLOOKUP(A743,Journal!$C$7:M$84,7)))</f>
        <v>0</v>
      </c>
      <c r="H743" s="102">
        <f>IF(B743="Total",SUM(H$8:H742)+0.0001,IF(OR(B743="",N743=0),0,VLOOKUP(A743,Journal!$C$7:M$84,7)))</f>
        <v>0</v>
      </c>
      <c r="I743" s="87">
        <f t="shared" si="70"/>
        <v>0</v>
      </c>
      <c r="K743" s="13">
        <f>VLOOKUP(A743,Journal!$C$7:$M$84,4)</f>
        <v>0</v>
      </c>
      <c r="L743" s="13">
        <f>VLOOKUP(A743,Journal!$C$7:$M$84,5)</f>
        <v>0</v>
      </c>
      <c r="M743" s="13">
        <f t="shared" si="72"/>
        <v>0</v>
      </c>
      <c r="N743" s="13">
        <f t="shared" si="73"/>
        <v>0</v>
      </c>
      <c r="O743" s="13"/>
      <c r="P743" s="13">
        <f t="shared" si="74"/>
        <v>1.0000000000000001E-5</v>
      </c>
      <c r="T743" t="str">
        <f t="shared" si="69"/>
        <v/>
      </c>
    </row>
    <row r="744" spans="1:20" x14ac:dyDescent="0.25">
      <c r="A744">
        <f t="shared" si="71"/>
        <v>737</v>
      </c>
      <c r="B744" s="88" t="str">
        <f>IF(OR(B743="Total",B743=""),"",IF(VLOOKUP(A744,Journal!$C$7:$E$84,3)=0,"Total",VLOOKUP(A744,Journal!$C$7:$D$84,2)))</f>
        <v/>
      </c>
      <c r="C744" s="86" t="str">
        <f>IF(B744="","",VLOOKUP(A744,Journal!$C$7:$E$84,3))</f>
        <v/>
      </c>
      <c r="D744" s="84" t="str">
        <f>IF(B744="","",VLOOKUP(A744,Journal!$C$7:$J$84,8))</f>
        <v/>
      </c>
      <c r="E744" s="84" t="str">
        <f>IF(B744="","",VLOOKUP(A744,Journal!$C$7:$L$84,10))</f>
        <v/>
      </c>
      <c r="F744" s="84" t="str">
        <f>IF(B744="","",VLOOKUP(A744,Journal!$C$7:$M$84,11))</f>
        <v/>
      </c>
      <c r="G744" s="102">
        <f>IF(B744="Total",SUM(G$8:G743)+0.0001,IF(OR(B744="",M744=0),0,VLOOKUP(A744,Journal!$C$7:M$84,7)))</f>
        <v>0</v>
      </c>
      <c r="H744" s="102">
        <f>IF(B744="Total",SUM(H$8:H743)+0.0001,IF(OR(B744="",N744=0),0,VLOOKUP(A744,Journal!$C$7:M$84,7)))</f>
        <v>0</v>
      </c>
      <c r="I744" s="87">
        <f t="shared" si="70"/>
        <v>0</v>
      </c>
      <c r="K744" s="13">
        <f>VLOOKUP(A744,Journal!$C$7:$M$84,4)</f>
        <v>0</v>
      </c>
      <c r="L744" s="13">
        <f>VLOOKUP(A744,Journal!$C$7:$M$84,5)</f>
        <v>0</v>
      </c>
      <c r="M744" s="13">
        <f t="shared" si="72"/>
        <v>0</v>
      </c>
      <c r="N744" s="13">
        <f t="shared" si="73"/>
        <v>0</v>
      </c>
      <c r="O744" s="13"/>
      <c r="P744" s="13">
        <f t="shared" si="74"/>
        <v>1.0000000000000001E-5</v>
      </c>
      <c r="T744" t="str">
        <f t="shared" si="69"/>
        <v/>
      </c>
    </row>
    <row r="745" spans="1:20" x14ac:dyDescent="0.25">
      <c r="A745">
        <f t="shared" si="71"/>
        <v>738</v>
      </c>
      <c r="B745" s="88" t="str">
        <f>IF(OR(B744="Total",B744=""),"",IF(VLOOKUP(A745,Journal!$C$7:$E$84,3)=0,"Total",VLOOKUP(A745,Journal!$C$7:$D$84,2)))</f>
        <v/>
      </c>
      <c r="C745" s="86" t="str">
        <f>IF(B745="","",VLOOKUP(A745,Journal!$C$7:$E$84,3))</f>
        <v/>
      </c>
      <c r="D745" s="84" t="str">
        <f>IF(B745="","",VLOOKUP(A745,Journal!$C$7:$J$84,8))</f>
        <v/>
      </c>
      <c r="E745" s="84" t="str">
        <f>IF(B745="","",VLOOKUP(A745,Journal!$C$7:$L$84,10))</f>
        <v/>
      </c>
      <c r="F745" s="84" t="str">
        <f>IF(B745="","",VLOOKUP(A745,Journal!$C$7:$M$84,11))</f>
        <v/>
      </c>
      <c r="G745" s="102">
        <f>IF(B745="Total",SUM(G$8:G744)+0.0001,IF(OR(B745="",M745=0),0,VLOOKUP(A745,Journal!$C$7:M$84,7)))</f>
        <v>0</v>
      </c>
      <c r="H745" s="102">
        <f>IF(B745="Total",SUM(H$8:H744)+0.0001,IF(OR(B745="",N745=0),0,VLOOKUP(A745,Journal!$C$7:M$84,7)))</f>
        <v>0</v>
      </c>
      <c r="I745" s="87">
        <f t="shared" si="70"/>
        <v>0</v>
      </c>
      <c r="K745" s="13">
        <f>VLOOKUP(A745,Journal!$C$7:$M$84,4)</f>
        <v>0</v>
      </c>
      <c r="L745" s="13">
        <f>VLOOKUP(A745,Journal!$C$7:$M$84,5)</f>
        <v>0</v>
      </c>
      <c r="M745" s="13">
        <f t="shared" si="72"/>
        <v>0</v>
      </c>
      <c r="N745" s="13">
        <f t="shared" si="73"/>
        <v>0</v>
      </c>
      <c r="O745" s="13"/>
      <c r="P745" s="13">
        <f t="shared" si="74"/>
        <v>1.0000000000000001E-5</v>
      </c>
      <c r="T745" t="str">
        <f t="shared" si="69"/>
        <v/>
      </c>
    </row>
    <row r="746" spans="1:20" x14ac:dyDescent="0.25">
      <c r="A746">
        <f t="shared" si="71"/>
        <v>739</v>
      </c>
      <c r="B746" s="88" t="str">
        <f>IF(OR(B745="Total",B745=""),"",IF(VLOOKUP(A746,Journal!$C$7:$E$84,3)=0,"Total",VLOOKUP(A746,Journal!$C$7:$D$84,2)))</f>
        <v/>
      </c>
      <c r="C746" s="86" t="str">
        <f>IF(B746="","",VLOOKUP(A746,Journal!$C$7:$E$84,3))</f>
        <v/>
      </c>
      <c r="D746" s="84" t="str">
        <f>IF(B746="","",VLOOKUP(A746,Journal!$C$7:$J$84,8))</f>
        <v/>
      </c>
      <c r="E746" s="84" t="str">
        <f>IF(B746="","",VLOOKUP(A746,Journal!$C$7:$L$84,10))</f>
        <v/>
      </c>
      <c r="F746" s="84" t="str">
        <f>IF(B746="","",VLOOKUP(A746,Journal!$C$7:$M$84,11))</f>
        <v/>
      </c>
      <c r="G746" s="102">
        <f>IF(B746="Total",SUM(G$8:G745)+0.0001,IF(OR(B746="",M746=0),0,VLOOKUP(A746,Journal!$C$7:M$84,7)))</f>
        <v>0</v>
      </c>
      <c r="H746" s="102">
        <f>IF(B746="Total",SUM(H$8:H745)+0.0001,IF(OR(B746="",N746=0),0,VLOOKUP(A746,Journal!$C$7:M$84,7)))</f>
        <v>0</v>
      </c>
      <c r="I746" s="87">
        <f t="shared" si="70"/>
        <v>0</v>
      </c>
      <c r="K746" s="13">
        <f>VLOOKUP(A746,Journal!$C$7:$M$84,4)</f>
        <v>0</v>
      </c>
      <c r="L746" s="13">
        <f>VLOOKUP(A746,Journal!$C$7:$M$84,5)</f>
        <v>0</v>
      </c>
      <c r="M746" s="13">
        <f t="shared" si="72"/>
        <v>0</v>
      </c>
      <c r="N746" s="13">
        <f t="shared" si="73"/>
        <v>0</v>
      </c>
      <c r="O746" s="13"/>
      <c r="P746" s="13">
        <f t="shared" si="74"/>
        <v>1.0000000000000001E-5</v>
      </c>
      <c r="T746" t="str">
        <f t="shared" si="69"/>
        <v/>
      </c>
    </row>
    <row r="747" spans="1:20" x14ac:dyDescent="0.25">
      <c r="A747">
        <f t="shared" si="71"/>
        <v>740</v>
      </c>
      <c r="B747" s="88" t="str">
        <f>IF(OR(B746="Total",B746=""),"",IF(VLOOKUP(A747,Journal!$C$7:$E$84,3)=0,"Total",VLOOKUP(A747,Journal!$C$7:$D$84,2)))</f>
        <v/>
      </c>
      <c r="C747" s="86" t="str">
        <f>IF(B747="","",VLOOKUP(A747,Journal!$C$7:$E$84,3))</f>
        <v/>
      </c>
      <c r="D747" s="84" t="str">
        <f>IF(B747="","",VLOOKUP(A747,Journal!$C$7:$J$84,8))</f>
        <v/>
      </c>
      <c r="E747" s="84" t="str">
        <f>IF(B747="","",VLOOKUP(A747,Journal!$C$7:$L$84,10))</f>
        <v/>
      </c>
      <c r="F747" s="84" t="str">
        <f>IF(B747="","",VLOOKUP(A747,Journal!$C$7:$M$84,11))</f>
        <v/>
      </c>
      <c r="G747" s="102">
        <f>IF(B747="Total",SUM(G$8:G746)+0.0001,IF(OR(B747="",M747=0),0,VLOOKUP(A747,Journal!$C$7:M$84,7)))</f>
        <v>0</v>
      </c>
      <c r="H747" s="102">
        <f>IF(B747="Total",SUM(H$8:H746)+0.0001,IF(OR(B747="",N747=0),0,VLOOKUP(A747,Journal!$C$7:M$84,7)))</f>
        <v>0</v>
      </c>
      <c r="I747" s="87">
        <f t="shared" si="70"/>
        <v>0</v>
      </c>
      <c r="K747" s="13">
        <f>VLOOKUP(A747,Journal!$C$7:$M$84,4)</f>
        <v>0</v>
      </c>
      <c r="L747" s="13">
        <f>VLOOKUP(A747,Journal!$C$7:$M$84,5)</f>
        <v>0</v>
      </c>
      <c r="M747" s="13">
        <f t="shared" si="72"/>
        <v>0</v>
      </c>
      <c r="N747" s="13">
        <f t="shared" si="73"/>
        <v>0</v>
      </c>
      <c r="O747" s="13"/>
      <c r="P747" s="13">
        <f t="shared" si="74"/>
        <v>1.0000000000000001E-5</v>
      </c>
      <c r="T747" t="str">
        <f t="shared" si="69"/>
        <v/>
      </c>
    </row>
    <row r="748" spans="1:20" x14ac:dyDescent="0.25">
      <c r="A748">
        <f t="shared" si="71"/>
        <v>741</v>
      </c>
      <c r="B748" s="88" t="str">
        <f>IF(OR(B747="Total",B747=""),"",IF(VLOOKUP(A748,Journal!$C$7:$E$84,3)=0,"Total",VLOOKUP(A748,Journal!$C$7:$D$84,2)))</f>
        <v/>
      </c>
      <c r="C748" s="86" t="str">
        <f>IF(B748="","",VLOOKUP(A748,Journal!$C$7:$E$84,3))</f>
        <v/>
      </c>
      <c r="D748" s="84" t="str">
        <f>IF(B748="","",VLOOKUP(A748,Journal!$C$7:$J$84,8))</f>
        <v/>
      </c>
      <c r="E748" s="84" t="str">
        <f>IF(B748="","",VLOOKUP(A748,Journal!$C$7:$L$84,10))</f>
        <v/>
      </c>
      <c r="F748" s="84" t="str">
        <f>IF(B748="","",VLOOKUP(A748,Journal!$C$7:$M$84,11))</f>
        <v/>
      </c>
      <c r="G748" s="102">
        <f>IF(B748="Total",SUM(G$8:G747)+0.0001,IF(OR(B748="",M748=0),0,VLOOKUP(A748,Journal!$C$7:M$84,7)))</f>
        <v>0</v>
      </c>
      <c r="H748" s="102">
        <f>IF(B748="Total",SUM(H$8:H747)+0.0001,IF(OR(B748="",N748=0),0,VLOOKUP(A748,Journal!$C$7:M$84,7)))</f>
        <v>0</v>
      </c>
      <c r="I748" s="87">
        <f t="shared" si="70"/>
        <v>0</v>
      </c>
      <c r="K748" s="13">
        <f>VLOOKUP(A748,Journal!$C$7:$M$84,4)</f>
        <v>0</v>
      </c>
      <c r="L748" s="13">
        <f>VLOOKUP(A748,Journal!$C$7:$M$84,5)</f>
        <v>0</v>
      </c>
      <c r="M748" s="13">
        <f t="shared" si="72"/>
        <v>0</v>
      </c>
      <c r="N748" s="13">
        <f t="shared" si="73"/>
        <v>0</v>
      </c>
      <c r="O748" s="13"/>
      <c r="P748" s="13">
        <f t="shared" si="74"/>
        <v>1.0000000000000001E-5</v>
      </c>
      <c r="T748" t="str">
        <f t="shared" si="69"/>
        <v/>
      </c>
    </row>
    <row r="749" spans="1:20" x14ac:dyDescent="0.25">
      <c r="A749">
        <f t="shared" si="71"/>
        <v>742</v>
      </c>
      <c r="B749" s="88" t="str">
        <f>IF(OR(B748="Total",B748=""),"",IF(VLOOKUP(A749,Journal!$C$7:$E$84,3)=0,"Total",VLOOKUP(A749,Journal!$C$7:$D$84,2)))</f>
        <v/>
      </c>
      <c r="C749" s="86" t="str">
        <f>IF(B749="","",VLOOKUP(A749,Journal!$C$7:$E$84,3))</f>
        <v/>
      </c>
      <c r="D749" s="84" t="str">
        <f>IF(B749="","",VLOOKUP(A749,Journal!$C$7:$J$84,8))</f>
        <v/>
      </c>
      <c r="E749" s="84" t="str">
        <f>IF(B749="","",VLOOKUP(A749,Journal!$C$7:$L$84,10))</f>
        <v/>
      </c>
      <c r="F749" s="84" t="str">
        <f>IF(B749="","",VLOOKUP(A749,Journal!$C$7:$M$84,11))</f>
        <v/>
      </c>
      <c r="G749" s="102">
        <f>IF(B749="Total",SUM(G$8:G748)+0.0001,IF(OR(B749="",M749=0),0,VLOOKUP(A749,Journal!$C$7:M$84,7)))</f>
        <v>0</v>
      </c>
      <c r="H749" s="102">
        <f>IF(B749="Total",SUM(H$8:H748)+0.0001,IF(OR(B749="",N749=0),0,VLOOKUP(A749,Journal!$C$7:M$84,7)))</f>
        <v>0</v>
      </c>
      <c r="I749" s="87">
        <f t="shared" si="70"/>
        <v>0</v>
      </c>
      <c r="K749" s="13">
        <f>VLOOKUP(A749,Journal!$C$7:$M$84,4)</f>
        <v>0</v>
      </c>
      <c r="L749" s="13">
        <f>VLOOKUP(A749,Journal!$C$7:$M$84,5)</f>
        <v>0</v>
      </c>
      <c r="M749" s="13">
        <f t="shared" si="72"/>
        <v>0</v>
      </c>
      <c r="N749" s="13">
        <f t="shared" si="73"/>
        <v>0</v>
      </c>
      <c r="O749" s="13"/>
      <c r="P749" s="13">
        <f t="shared" si="74"/>
        <v>1.0000000000000001E-5</v>
      </c>
      <c r="T749" t="str">
        <f t="shared" si="69"/>
        <v/>
      </c>
    </row>
    <row r="750" spans="1:20" x14ac:dyDescent="0.25">
      <c r="A750">
        <f t="shared" si="71"/>
        <v>743</v>
      </c>
      <c r="B750" s="88" t="str">
        <f>IF(OR(B749="Total",B749=""),"",IF(VLOOKUP(A750,Journal!$C$7:$E$84,3)=0,"Total",VLOOKUP(A750,Journal!$C$7:$D$84,2)))</f>
        <v/>
      </c>
      <c r="C750" s="86" t="str">
        <f>IF(B750="","",VLOOKUP(A750,Journal!$C$7:$E$84,3))</f>
        <v/>
      </c>
      <c r="D750" s="84" t="str">
        <f>IF(B750="","",VLOOKUP(A750,Journal!$C$7:$J$84,8))</f>
        <v/>
      </c>
      <c r="E750" s="84" t="str">
        <f>IF(B750="","",VLOOKUP(A750,Journal!$C$7:$L$84,10))</f>
        <v/>
      </c>
      <c r="F750" s="84" t="str">
        <f>IF(B750="","",VLOOKUP(A750,Journal!$C$7:$M$84,11))</f>
        <v/>
      </c>
      <c r="G750" s="102">
        <f>IF(B750="Total",SUM(G$8:G749)+0.0001,IF(OR(B750="",M750=0),0,VLOOKUP(A750,Journal!$C$7:M$84,7)))</f>
        <v>0</v>
      </c>
      <c r="H750" s="102">
        <f>IF(B750="Total",SUM(H$8:H749)+0.0001,IF(OR(B750="",N750=0),0,VLOOKUP(A750,Journal!$C$7:M$84,7)))</f>
        <v>0</v>
      </c>
      <c r="I750" s="87">
        <f t="shared" si="70"/>
        <v>0</v>
      </c>
      <c r="K750" s="13">
        <f>VLOOKUP(A750,Journal!$C$7:$M$84,4)</f>
        <v>0</v>
      </c>
      <c r="L750" s="13">
        <f>VLOOKUP(A750,Journal!$C$7:$M$84,5)</f>
        <v>0</v>
      </c>
      <c r="M750" s="13">
        <f t="shared" si="72"/>
        <v>0</v>
      </c>
      <c r="N750" s="13">
        <f t="shared" si="73"/>
        <v>0</v>
      </c>
      <c r="O750" s="13"/>
      <c r="P750" s="13">
        <f t="shared" si="74"/>
        <v>1.0000000000000001E-5</v>
      </c>
      <c r="T750" t="str">
        <f t="shared" si="69"/>
        <v/>
      </c>
    </row>
    <row r="751" spans="1:20" x14ac:dyDescent="0.25">
      <c r="A751">
        <f t="shared" si="71"/>
        <v>744</v>
      </c>
      <c r="B751" s="88" t="str">
        <f>IF(OR(B750="Total",B750=""),"",IF(VLOOKUP(A751,Journal!$C$7:$E$84,3)=0,"Total",VLOOKUP(A751,Journal!$C$7:$D$84,2)))</f>
        <v/>
      </c>
      <c r="C751" s="86" t="str">
        <f>IF(B751="","",VLOOKUP(A751,Journal!$C$7:$E$84,3))</f>
        <v/>
      </c>
      <c r="D751" s="84" t="str">
        <f>IF(B751="","",VLOOKUP(A751,Journal!$C$7:$J$84,8))</f>
        <v/>
      </c>
      <c r="E751" s="84" t="str">
        <f>IF(B751="","",VLOOKUP(A751,Journal!$C$7:$L$84,10))</f>
        <v/>
      </c>
      <c r="F751" s="84" t="str">
        <f>IF(B751="","",VLOOKUP(A751,Journal!$C$7:$M$84,11))</f>
        <v/>
      </c>
      <c r="G751" s="102">
        <f>IF(B751="Total",SUM(G$8:G750)+0.0001,IF(OR(B751="",M751=0),0,VLOOKUP(A751,Journal!$C$7:M$84,7)))</f>
        <v>0</v>
      </c>
      <c r="H751" s="102">
        <f>IF(B751="Total",SUM(H$8:H750)+0.0001,IF(OR(B751="",N751=0),0,VLOOKUP(A751,Journal!$C$7:M$84,7)))</f>
        <v>0</v>
      </c>
      <c r="I751" s="87">
        <f t="shared" si="70"/>
        <v>0</v>
      </c>
      <c r="K751" s="13">
        <f>VLOOKUP(A751,Journal!$C$7:$M$84,4)</f>
        <v>0</v>
      </c>
      <c r="L751" s="13">
        <f>VLOOKUP(A751,Journal!$C$7:$M$84,5)</f>
        <v>0</v>
      </c>
      <c r="M751" s="13">
        <f t="shared" si="72"/>
        <v>0</v>
      </c>
      <c r="N751" s="13">
        <f t="shared" si="73"/>
        <v>0</v>
      </c>
      <c r="O751" s="13"/>
      <c r="P751" s="13">
        <f t="shared" si="74"/>
        <v>1.0000000000000001E-5</v>
      </c>
      <c r="T751" t="str">
        <f t="shared" si="69"/>
        <v/>
      </c>
    </row>
    <row r="752" spans="1:20" x14ac:dyDescent="0.25">
      <c r="A752">
        <f t="shared" si="71"/>
        <v>745</v>
      </c>
      <c r="B752" s="88" t="str">
        <f>IF(OR(B751="Total",B751=""),"",IF(VLOOKUP(A752,Journal!$C$7:$E$84,3)=0,"Total",VLOOKUP(A752,Journal!$C$7:$D$84,2)))</f>
        <v/>
      </c>
      <c r="C752" s="86" t="str">
        <f>IF(B752="","",VLOOKUP(A752,Journal!$C$7:$E$84,3))</f>
        <v/>
      </c>
      <c r="D752" s="84" t="str">
        <f>IF(B752="","",VLOOKUP(A752,Journal!$C$7:$J$84,8))</f>
        <v/>
      </c>
      <c r="E752" s="84" t="str">
        <f>IF(B752="","",VLOOKUP(A752,Journal!$C$7:$L$84,10))</f>
        <v/>
      </c>
      <c r="F752" s="84" t="str">
        <f>IF(B752="","",VLOOKUP(A752,Journal!$C$7:$M$84,11))</f>
        <v/>
      </c>
      <c r="G752" s="102">
        <f>IF(B752="Total",SUM(G$8:G751)+0.0001,IF(OR(B752="",M752=0),0,VLOOKUP(A752,Journal!$C$7:M$84,7)))</f>
        <v>0</v>
      </c>
      <c r="H752" s="102">
        <f>IF(B752="Total",SUM(H$8:H751)+0.0001,IF(OR(B752="",N752=0),0,VLOOKUP(A752,Journal!$C$7:M$84,7)))</f>
        <v>0</v>
      </c>
      <c r="I752" s="87">
        <f t="shared" si="70"/>
        <v>0</v>
      </c>
      <c r="K752" s="13">
        <f>VLOOKUP(A752,Journal!$C$7:$M$84,4)</f>
        <v>0</v>
      </c>
      <c r="L752" s="13">
        <f>VLOOKUP(A752,Journal!$C$7:$M$84,5)</f>
        <v>0</v>
      </c>
      <c r="M752" s="13">
        <f t="shared" si="72"/>
        <v>0</v>
      </c>
      <c r="N752" s="13">
        <f t="shared" si="73"/>
        <v>0</v>
      </c>
      <c r="O752" s="13"/>
      <c r="P752" s="13">
        <f t="shared" si="74"/>
        <v>1.0000000000000001E-5</v>
      </c>
      <c r="T752" t="str">
        <f t="shared" si="69"/>
        <v/>
      </c>
    </row>
    <row r="753" spans="1:20" x14ac:dyDescent="0.25">
      <c r="A753">
        <f t="shared" si="71"/>
        <v>746</v>
      </c>
      <c r="B753" s="88" t="str">
        <f>IF(OR(B752="Total",B752=""),"",IF(VLOOKUP(A753,Journal!$C$7:$E$84,3)=0,"Total",VLOOKUP(A753,Journal!$C$7:$D$84,2)))</f>
        <v/>
      </c>
      <c r="C753" s="86" t="str">
        <f>IF(B753="","",VLOOKUP(A753,Journal!$C$7:$E$84,3))</f>
        <v/>
      </c>
      <c r="D753" s="84" t="str">
        <f>IF(B753="","",VLOOKUP(A753,Journal!$C$7:$J$84,8))</f>
        <v/>
      </c>
      <c r="E753" s="84" t="str">
        <f>IF(B753="","",VLOOKUP(A753,Journal!$C$7:$L$84,10))</f>
        <v/>
      </c>
      <c r="F753" s="84" t="str">
        <f>IF(B753="","",VLOOKUP(A753,Journal!$C$7:$M$84,11))</f>
        <v/>
      </c>
      <c r="G753" s="102">
        <f>IF(B753="Total",SUM(G$8:G752)+0.0001,IF(OR(B753="",M753=0),0,VLOOKUP(A753,Journal!$C$7:M$84,7)))</f>
        <v>0</v>
      </c>
      <c r="H753" s="102">
        <f>IF(B753="Total",SUM(H$8:H752)+0.0001,IF(OR(B753="",N753=0),0,VLOOKUP(A753,Journal!$C$7:M$84,7)))</f>
        <v>0</v>
      </c>
      <c r="I753" s="87">
        <f t="shared" si="70"/>
        <v>0</v>
      </c>
      <c r="K753" s="13">
        <f>VLOOKUP(A753,Journal!$C$7:$M$84,4)</f>
        <v>0</v>
      </c>
      <c r="L753" s="13">
        <f>VLOOKUP(A753,Journal!$C$7:$M$84,5)</f>
        <v>0</v>
      </c>
      <c r="M753" s="13">
        <f t="shared" si="72"/>
        <v>0</v>
      </c>
      <c r="N753" s="13">
        <f t="shared" si="73"/>
        <v>0</v>
      </c>
      <c r="O753" s="13"/>
      <c r="P753" s="13">
        <f t="shared" si="74"/>
        <v>1.0000000000000001E-5</v>
      </c>
      <c r="T753" t="str">
        <f t="shared" si="69"/>
        <v/>
      </c>
    </row>
    <row r="754" spans="1:20" x14ac:dyDescent="0.25">
      <c r="A754">
        <f t="shared" si="71"/>
        <v>747</v>
      </c>
      <c r="B754" s="88" t="str">
        <f>IF(OR(B753="Total",B753=""),"",IF(VLOOKUP(A754,Journal!$C$7:$E$84,3)=0,"Total",VLOOKUP(A754,Journal!$C$7:$D$84,2)))</f>
        <v/>
      </c>
      <c r="C754" s="86" t="str">
        <f>IF(B754="","",VLOOKUP(A754,Journal!$C$7:$E$84,3))</f>
        <v/>
      </c>
      <c r="D754" s="84" t="str">
        <f>IF(B754="","",VLOOKUP(A754,Journal!$C$7:$J$84,8))</f>
        <v/>
      </c>
      <c r="E754" s="84" t="str">
        <f>IF(B754="","",VLOOKUP(A754,Journal!$C$7:$L$84,10))</f>
        <v/>
      </c>
      <c r="F754" s="84" t="str">
        <f>IF(B754="","",VLOOKUP(A754,Journal!$C$7:$M$84,11))</f>
        <v/>
      </c>
      <c r="G754" s="102">
        <f>IF(B754="Total",SUM(G$8:G753)+0.0001,IF(OR(B754="",M754=0),0,VLOOKUP(A754,Journal!$C$7:M$84,7)))</f>
        <v>0</v>
      </c>
      <c r="H754" s="102">
        <f>IF(B754="Total",SUM(H$8:H753)+0.0001,IF(OR(B754="",N754=0),0,VLOOKUP(A754,Journal!$C$7:M$84,7)))</f>
        <v>0</v>
      </c>
      <c r="I754" s="87">
        <f t="shared" si="70"/>
        <v>0</v>
      </c>
      <c r="K754" s="13">
        <f>VLOOKUP(A754,Journal!$C$7:$M$84,4)</f>
        <v>0</v>
      </c>
      <c r="L754" s="13">
        <f>VLOOKUP(A754,Journal!$C$7:$M$84,5)</f>
        <v>0</v>
      </c>
      <c r="M754" s="13">
        <f t="shared" si="72"/>
        <v>0</v>
      </c>
      <c r="N754" s="13">
        <f t="shared" si="73"/>
        <v>0</v>
      </c>
      <c r="O754" s="13"/>
      <c r="P754" s="13">
        <f t="shared" si="74"/>
        <v>1.0000000000000001E-5</v>
      </c>
      <c r="T754" t="str">
        <f t="shared" si="69"/>
        <v/>
      </c>
    </row>
    <row r="755" spans="1:20" x14ac:dyDescent="0.25">
      <c r="A755">
        <f t="shared" si="71"/>
        <v>748</v>
      </c>
      <c r="B755" s="88" t="str">
        <f>IF(OR(B754="Total",B754=""),"",IF(VLOOKUP(A755,Journal!$C$7:$E$84,3)=0,"Total",VLOOKUP(A755,Journal!$C$7:$D$84,2)))</f>
        <v/>
      </c>
      <c r="C755" s="86" t="str">
        <f>IF(B755="","",VLOOKUP(A755,Journal!$C$7:$E$84,3))</f>
        <v/>
      </c>
      <c r="D755" s="84" t="str">
        <f>IF(B755="","",VLOOKUP(A755,Journal!$C$7:$J$84,8))</f>
        <v/>
      </c>
      <c r="E755" s="84" t="str">
        <f>IF(B755="","",VLOOKUP(A755,Journal!$C$7:$L$84,10))</f>
        <v/>
      </c>
      <c r="F755" s="84" t="str">
        <f>IF(B755="","",VLOOKUP(A755,Journal!$C$7:$M$84,11))</f>
        <v/>
      </c>
      <c r="G755" s="102">
        <f>IF(B755="Total",SUM(G$8:G754)+0.0001,IF(OR(B755="",M755=0),0,VLOOKUP(A755,Journal!$C$7:M$84,7)))</f>
        <v>0</v>
      </c>
      <c r="H755" s="102">
        <f>IF(B755="Total",SUM(H$8:H754)+0.0001,IF(OR(B755="",N755=0),0,VLOOKUP(A755,Journal!$C$7:M$84,7)))</f>
        <v>0</v>
      </c>
      <c r="I755" s="87">
        <f t="shared" si="70"/>
        <v>0</v>
      </c>
      <c r="K755" s="13">
        <f>VLOOKUP(A755,Journal!$C$7:$M$84,4)</f>
        <v>0</v>
      </c>
      <c r="L755" s="13">
        <f>VLOOKUP(A755,Journal!$C$7:$M$84,5)</f>
        <v>0</v>
      </c>
      <c r="M755" s="13">
        <f t="shared" si="72"/>
        <v>0</v>
      </c>
      <c r="N755" s="13">
        <f t="shared" si="73"/>
        <v>0</v>
      </c>
      <c r="O755" s="13"/>
      <c r="P755" s="13">
        <f t="shared" si="74"/>
        <v>1.0000000000000001E-5</v>
      </c>
      <c r="T755" t="str">
        <f t="shared" si="69"/>
        <v/>
      </c>
    </row>
    <row r="756" spans="1:20" x14ac:dyDescent="0.25">
      <c r="A756">
        <f t="shared" si="71"/>
        <v>749</v>
      </c>
      <c r="B756" s="88" t="str">
        <f>IF(OR(B755="Total",B755=""),"",IF(VLOOKUP(A756,Journal!$C$7:$E$84,3)=0,"Total",VLOOKUP(A756,Journal!$C$7:$D$84,2)))</f>
        <v/>
      </c>
      <c r="C756" s="86" t="str">
        <f>IF(B756="","",VLOOKUP(A756,Journal!$C$7:$E$84,3))</f>
        <v/>
      </c>
      <c r="D756" s="84" t="str">
        <f>IF(B756="","",VLOOKUP(A756,Journal!$C$7:$J$84,8))</f>
        <v/>
      </c>
      <c r="E756" s="84" t="str">
        <f>IF(B756="","",VLOOKUP(A756,Journal!$C$7:$L$84,10))</f>
        <v/>
      </c>
      <c r="F756" s="84" t="str">
        <f>IF(B756="","",VLOOKUP(A756,Journal!$C$7:$M$84,11))</f>
        <v/>
      </c>
      <c r="G756" s="102">
        <f>IF(B756="Total",SUM(G$8:G755)+0.0001,IF(OR(B756="",M756=0),0,VLOOKUP(A756,Journal!$C$7:M$84,7)))</f>
        <v>0</v>
      </c>
      <c r="H756" s="102">
        <f>IF(B756="Total",SUM(H$8:H755)+0.0001,IF(OR(B756="",N756=0),0,VLOOKUP(A756,Journal!$C$7:M$84,7)))</f>
        <v>0</v>
      </c>
      <c r="I756" s="87">
        <f t="shared" si="70"/>
        <v>0</v>
      </c>
      <c r="K756" s="13">
        <f>VLOOKUP(A756,Journal!$C$7:$M$84,4)</f>
        <v>0</v>
      </c>
      <c r="L756" s="13">
        <f>VLOOKUP(A756,Journal!$C$7:$M$84,5)</f>
        <v>0</v>
      </c>
      <c r="M756" s="13">
        <f t="shared" si="72"/>
        <v>0</v>
      </c>
      <c r="N756" s="13">
        <f t="shared" si="73"/>
        <v>0</v>
      </c>
      <c r="O756" s="13"/>
      <c r="P756" s="13">
        <f t="shared" si="74"/>
        <v>1.0000000000000001E-5</v>
      </c>
      <c r="T756" t="str">
        <f t="shared" si="69"/>
        <v/>
      </c>
    </row>
    <row r="757" spans="1:20" x14ac:dyDescent="0.25">
      <c r="A757">
        <f t="shared" si="71"/>
        <v>750</v>
      </c>
      <c r="B757" s="88" t="str">
        <f>IF(OR(B756="Total",B756=""),"",IF(VLOOKUP(A757,Journal!$C$7:$E$84,3)=0,"Total",VLOOKUP(A757,Journal!$C$7:$D$84,2)))</f>
        <v/>
      </c>
      <c r="C757" s="86" t="str">
        <f>IF(B757="","",VLOOKUP(A757,Journal!$C$7:$E$84,3))</f>
        <v/>
      </c>
      <c r="D757" s="84" t="str">
        <f>IF(B757="","",VLOOKUP(A757,Journal!$C$7:$J$84,8))</f>
        <v/>
      </c>
      <c r="E757" s="84" t="str">
        <f>IF(B757="","",VLOOKUP(A757,Journal!$C$7:$L$84,10))</f>
        <v/>
      </c>
      <c r="F757" s="84" t="str">
        <f>IF(B757="","",VLOOKUP(A757,Journal!$C$7:$M$84,11))</f>
        <v/>
      </c>
      <c r="G757" s="102">
        <f>IF(B757="Total",SUM(G$8:G756)+0.0001,IF(OR(B757="",M757=0),0,VLOOKUP(A757,Journal!$C$7:M$84,7)))</f>
        <v>0</v>
      </c>
      <c r="H757" s="102">
        <f>IF(B757="Total",SUM(H$8:H756)+0.0001,IF(OR(B757="",N757=0),0,VLOOKUP(A757,Journal!$C$7:M$84,7)))</f>
        <v>0</v>
      </c>
      <c r="I757" s="87">
        <f t="shared" si="70"/>
        <v>0</v>
      </c>
      <c r="K757" s="13">
        <f>VLOOKUP(A757,Journal!$C$7:$M$84,4)</f>
        <v>0</v>
      </c>
      <c r="L757" s="13">
        <f>VLOOKUP(A757,Journal!$C$7:$M$84,5)</f>
        <v>0</v>
      </c>
      <c r="M757" s="13">
        <f t="shared" si="72"/>
        <v>0</v>
      </c>
      <c r="N757" s="13">
        <f t="shared" si="73"/>
        <v>0</v>
      </c>
      <c r="O757" s="13"/>
      <c r="P757" s="13">
        <f t="shared" si="74"/>
        <v>1.0000000000000001E-5</v>
      </c>
      <c r="T757" t="str">
        <f t="shared" si="69"/>
        <v/>
      </c>
    </row>
    <row r="758" spans="1:20" x14ac:dyDescent="0.25">
      <c r="A758">
        <f t="shared" si="71"/>
        <v>751</v>
      </c>
      <c r="B758" s="88" t="str">
        <f>IF(OR(B757="Total",B757=""),"",IF(VLOOKUP(A758,Journal!$C$7:$E$84,3)=0,"Total",VLOOKUP(A758,Journal!$C$7:$D$84,2)))</f>
        <v/>
      </c>
      <c r="C758" s="86" t="str">
        <f>IF(B758="","",VLOOKUP(A758,Journal!$C$7:$E$84,3))</f>
        <v/>
      </c>
      <c r="D758" s="84" t="str">
        <f>IF(B758="","",VLOOKUP(A758,Journal!$C$7:$J$84,8))</f>
        <v/>
      </c>
      <c r="E758" s="84" t="str">
        <f>IF(B758="","",VLOOKUP(A758,Journal!$C$7:$L$84,10))</f>
        <v/>
      </c>
      <c r="F758" s="84" t="str">
        <f>IF(B758="","",VLOOKUP(A758,Journal!$C$7:$M$84,11))</f>
        <v/>
      </c>
      <c r="G758" s="102">
        <f>IF(B758="Total",SUM(G$8:G757)+0.0001,IF(OR(B758="",M758=0),0,VLOOKUP(A758,Journal!$C$7:M$84,7)))</f>
        <v>0</v>
      </c>
      <c r="H758" s="102">
        <f>IF(B758="Total",SUM(H$8:H757)+0.0001,IF(OR(B758="",N758=0),0,VLOOKUP(A758,Journal!$C$7:M$84,7)))</f>
        <v>0</v>
      </c>
      <c r="I758" s="87">
        <f t="shared" si="70"/>
        <v>0</v>
      </c>
      <c r="K758" s="13">
        <f>VLOOKUP(A758,Journal!$C$7:$M$84,4)</f>
        <v>0</v>
      </c>
      <c r="L758" s="13">
        <f>VLOOKUP(A758,Journal!$C$7:$M$84,5)</f>
        <v>0</v>
      </c>
      <c r="M758" s="13">
        <f t="shared" si="72"/>
        <v>0</v>
      </c>
      <c r="N758" s="13">
        <f t="shared" si="73"/>
        <v>0</v>
      </c>
      <c r="O758" s="13"/>
      <c r="P758" s="13">
        <f t="shared" si="74"/>
        <v>1.0000000000000001E-5</v>
      </c>
      <c r="T758" t="str">
        <f t="shared" si="69"/>
        <v/>
      </c>
    </row>
    <row r="759" spans="1:20" x14ac:dyDescent="0.25">
      <c r="A759">
        <f t="shared" si="71"/>
        <v>752</v>
      </c>
      <c r="B759" s="88" t="str">
        <f>IF(OR(B758="Total",B758=""),"",IF(VLOOKUP(A759,Journal!$C$7:$E$84,3)=0,"Total",VLOOKUP(A759,Journal!$C$7:$D$84,2)))</f>
        <v/>
      </c>
      <c r="C759" s="86" t="str">
        <f>IF(B759="","",VLOOKUP(A759,Journal!$C$7:$E$84,3))</f>
        <v/>
      </c>
      <c r="D759" s="84" t="str">
        <f>IF(B759="","",VLOOKUP(A759,Journal!$C$7:$J$84,8))</f>
        <v/>
      </c>
      <c r="E759" s="84" t="str">
        <f>IF(B759="","",VLOOKUP(A759,Journal!$C$7:$L$84,10))</f>
        <v/>
      </c>
      <c r="F759" s="84" t="str">
        <f>IF(B759="","",VLOOKUP(A759,Journal!$C$7:$M$84,11))</f>
        <v/>
      </c>
      <c r="G759" s="102">
        <f>IF(B759="Total",SUM(G$8:G758)+0.0001,IF(OR(B759="",M759=0),0,VLOOKUP(A759,Journal!$C$7:M$84,7)))</f>
        <v>0</v>
      </c>
      <c r="H759" s="102">
        <f>IF(B759="Total",SUM(H$8:H758)+0.0001,IF(OR(B759="",N759=0),0,VLOOKUP(A759,Journal!$C$7:M$84,7)))</f>
        <v>0</v>
      </c>
      <c r="I759" s="87">
        <f t="shared" si="70"/>
        <v>0</v>
      </c>
      <c r="K759" s="13">
        <f>VLOOKUP(A759,Journal!$C$7:$M$84,4)</f>
        <v>0</v>
      </c>
      <c r="L759" s="13">
        <f>VLOOKUP(A759,Journal!$C$7:$M$84,5)</f>
        <v>0</v>
      </c>
      <c r="M759" s="13">
        <f t="shared" si="72"/>
        <v>0</v>
      </c>
      <c r="N759" s="13">
        <f t="shared" si="73"/>
        <v>0</v>
      </c>
      <c r="O759" s="13"/>
      <c r="P759" s="13">
        <f t="shared" si="74"/>
        <v>1.0000000000000001E-5</v>
      </c>
      <c r="T759" t="str">
        <f t="shared" si="69"/>
        <v/>
      </c>
    </row>
    <row r="760" spans="1:20" x14ac:dyDescent="0.25">
      <c r="A760">
        <f t="shared" si="71"/>
        <v>753</v>
      </c>
      <c r="B760" s="88" t="str">
        <f>IF(OR(B759="Total",B759=""),"",IF(VLOOKUP(A760,Journal!$C$7:$E$84,3)=0,"Total",VLOOKUP(A760,Journal!$C$7:$D$84,2)))</f>
        <v/>
      </c>
      <c r="C760" s="86" t="str">
        <f>IF(B760="","",VLOOKUP(A760,Journal!$C$7:$E$84,3))</f>
        <v/>
      </c>
      <c r="D760" s="84" t="str">
        <f>IF(B760="","",VLOOKUP(A760,Journal!$C$7:$J$84,8))</f>
        <v/>
      </c>
      <c r="E760" s="84" t="str">
        <f>IF(B760="","",VLOOKUP(A760,Journal!$C$7:$L$84,10))</f>
        <v/>
      </c>
      <c r="F760" s="84" t="str">
        <f>IF(B760="","",VLOOKUP(A760,Journal!$C$7:$M$84,11))</f>
        <v/>
      </c>
      <c r="G760" s="102">
        <f>IF(B760="Total",SUM(G$8:G759)+0.0001,IF(OR(B760="",M760=0),0,VLOOKUP(A760,Journal!$C$7:M$84,7)))</f>
        <v>0</v>
      </c>
      <c r="H760" s="102">
        <f>IF(B760="Total",SUM(H$8:H759)+0.0001,IF(OR(B760="",N760=0),0,VLOOKUP(A760,Journal!$C$7:M$84,7)))</f>
        <v>0</v>
      </c>
      <c r="I760" s="87">
        <f t="shared" si="70"/>
        <v>0</v>
      </c>
      <c r="K760" s="13">
        <f>VLOOKUP(A760,Journal!$C$7:$M$84,4)</f>
        <v>0</v>
      </c>
      <c r="L760" s="13">
        <f>VLOOKUP(A760,Journal!$C$7:$M$84,5)</f>
        <v>0</v>
      </c>
      <c r="M760" s="13">
        <f t="shared" si="72"/>
        <v>0</v>
      </c>
      <c r="N760" s="13">
        <f t="shared" si="73"/>
        <v>0</v>
      </c>
      <c r="O760" s="13"/>
      <c r="P760" s="13">
        <f t="shared" si="74"/>
        <v>1.0000000000000001E-5</v>
      </c>
      <c r="T760" t="str">
        <f t="shared" si="69"/>
        <v/>
      </c>
    </row>
    <row r="761" spans="1:20" x14ac:dyDescent="0.25">
      <c r="A761">
        <f t="shared" si="71"/>
        <v>754</v>
      </c>
      <c r="B761" s="88" t="str">
        <f>IF(OR(B760="Total",B760=""),"",IF(VLOOKUP(A761,Journal!$C$7:$E$84,3)=0,"Total",VLOOKUP(A761,Journal!$C$7:$D$84,2)))</f>
        <v/>
      </c>
      <c r="C761" s="86" t="str">
        <f>IF(B761="","",VLOOKUP(A761,Journal!$C$7:$E$84,3))</f>
        <v/>
      </c>
      <c r="D761" s="84" t="str">
        <f>IF(B761="","",VLOOKUP(A761,Journal!$C$7:$J$84,8))</f>
        <v/>
      </c>
      <c r="E761" s="84" t="str">
        <f>IF(B761="","",VLOOKUP(A761,Journal!$C$7:$L$84,10))</f>
        <v/>
      </c>
      <c r="F761" s="84" t="str">
        <f>IF(B761="","",VLOOKUP(A761,Journal!$C$7:$M$84,11))</f>
        <v/>
      </c>
      <c r="G761" s="102">
        <f>IF(B761="Total",SUM(G$8:G760)+0.0001,IF(OR(B761="",M761=0),0,VLOOKUP(A761,Journal!$C$7:M$84,7)))</f>
        <v>0</v>
      </c>
      <c r="H761" s="102">
        <f>IF(B761="Total",SUM(H$8:H760)+0.0001,IF(OR(B761="",N761=0),0,VLOOKUP(A761,Journal!$C$7:M$84,7)))</f>
        <v>0</v>
      </c>
      <c r="I761" s="87">
        <f t="shared" si="70"/>
        <v>0</v>
      </c>
      <c r="K761" s="13">
        <f>VLOOKUP(A761,Journal!$C$7:$M$84,4)</f>
        <v>0</v>
      </c>
      <c r="L761" s="13">
        <f>VLOOKUP(A761,Journal!$C$7:$M$84,5)</f>
        <v>0</v>
      </c>
      <c r="M761" s="13">
        <f t="shared" si="72"/>
        <v>0</v>
      </c>
      <c r="N761" s="13">
        <f t="shared" si="73"/>
        <v>0</v>
      </c>
      <c r="O761" s="13"/>
      <c r="P761" s="13">
        <f t="shared" si="74"/>
        <v>1.0000000000000001E-5</v>
      </c>
      <c r="T761" t="str">
        <f t="shared" si="69"/>
        <v/>
      </c>
    </row>
    <row r="762" spans="1:20" x14ac:dyDescent="0.25">
      <c r="A762">
        <f t="shared" si="71"/>
        <v>755</v>
      </c>
      <c r="B762" s="88" t="str">
        <f>IF(OR(B761="Total",B761=""),"",IF(VLOOKUP(A762,Journal!$C$7:$E$84,3)=0,"Total",VLOOKUP(A762,Journal!$C$7:$D$84,2)))</f>
        <v/>
      </c>
      <c r="C762" s="86" t="str">
        <f>IF(B762="","",VLOOKUP(A762,Journal!$C$7:$E$84,3))</f>
        <v/>
      </c>
      <c r="D762" s="84" t="str">
        <f>IF(B762="","",VLOOKUP(A762,Journal!$C$7:$J$84,8))</f>
        <v/>
      </c>
      <c r="E762" s="84" t="str">
        <f>IF(B762="","",VLOOKUP(A762,Journal!$C$7:$L$84,10))</f>
        <v/>
      </c>
      <c r="F762" s="84" t="str">
        <f>IF(B762="","",VLOOKUP(A762,Journal!$C$7:$M$84,11))</f>
        <v/>
      </c>
      <c r="G762" s="102">
        <f>IF(B762="Total",SUM(G$8:G761)+0.0001,IF(OR(B762="",M762=0),0,VLOOKUP(A762,Journal!$C$7:M$84,7)))</f>
        <v>0</v>
      </c>
      <c r="H762" s="102">
        <f>IF(B762="Total",SUM(H$8:H761)+0.0001,IF(OR(B762="",N762=0),0,VLOOKUP(A762,Journal!$C$7:M$84,7)))</f>
        <v>0</v>
      </c>
      <c r="I762" s="87">
        <f t="shared" si="70"/>
        <v>0</v>
      </c>
      <c r="K762" s="13">
        <f>VLOOKUP(A762,Journal!$C$7:$M$84,4)</f>
        <v>0</v>
      </c>
      <c r="L762" s="13">
        <f>VLOOKUP(A762,Journal!$C$7:$M$84,5)</f>
        <v>0</v>
      </c>
      <c r="M762" s="13">
        <f t="shared" si="72"/>
        <v>0</v>
      </c>
      <c r="N762" s="13">
        <f t="shared" si="73"/>
        <v>0</v>
      </c>
      <c r="O762" s="13"/>
      <c r="P762" s="13">
        <f t="shared" si="74"/>
        <v>1.0000000000000001E-5</v>
      </c>
      <c r="T762" t="str">
        <f t="shared" si="69"/>
        <v/>
      </c>
    </row>
    <row r="763" spans="1:20" x14ac:dyDescent="0.25">
      <c r="A763">
        <f t="shared" si="71"/>
        <v>756</v>
      </c>
      <c r="B763" s="88" t="str">
        <f>IF(OR(B762="Total",B762=""),"",IF(VLOOKUP(A763,Journal!$C$7:$E$84,3)=0,"Total",VLOOKUP(A763,Journal!$C$7:$D$84,2)))</f>
        <v/>
      </c>
      <c r="C763" s="86" t="str">
        <f>IF(B763="","",VLOOKUP(A763,Journal!$C$7:$E$84,3))</f>
        <v/>
      </c>
      <c r="D763" s="84" t="str">
        <f>IF(B763="","",VLOOKUP(A763,Journal!$C$7:$J$84,8))</f>
        <v/>
      </c>
      <c r="E763" s="84" t="str">
        <f>IF(B763="","",VLOOKUP(A763,Journal!$C$7:$L$84,10))</f>
        <v/>
      </c>
      <c r="F763" s="84" t="str">
        <f>IF(B763="","",VLOOKUP(A763,Journal!$C$7:$M$84,11))</f>
        <v/>
      </c>
      <c r="G763" s="102">
        <f>IF(B763="Total",SUM(G$8:G762)+0.0001,IF(OR(B763="",M763=0),0,VLOOKUP(A763,Journal!$C$7:M$84,7)))</f>
        <v>0</v>
      </c>
      <c r="H763" s="102">
        <f>IF(B763="Total",SUM(H$8:H762)+0.0001,IF(OR(B763="",N763=0),0,VLOOKUP(A763,Journal!$C$7:M$84,7)))</f>
        <v>0</v>
      </c>
      <c r="I763" s="87">
        <f t="shared" si="70"/>
        <v>0</v>
      </c>
      <c r="K763" s="13">
        <f>VLOOKUP(A763,Journal!$C$7:$M$84,4)</f>
        <v>0</v>
      </c>
      <c r="L763" s="13">
        <f>VLOOKUP(A763,Journal!$C$7:$M$84,5)</f>
        <v>0</v>
      </c>
      <c r="M763" s="13">
        <f t="shared" si="72"/>
        <v>0</v>
      </c>
      <c r="N763" s="13">
        <f t="shared" si="73"/>
        <v>0</v>
      </c>
      <c r="O763" s="13"/>
      <c r="P763" s="13">
        <f t="shared" si="74"/>
        <v>1.0000000000000001E-5</v>
      </c>
      <c r="T763" t="str">
        <f t="shared" si="69"/>
        <v/>
      </c>
    </row>
    <row r="764" spans="1:20" x14ac:dyDescent="0.25">
      <c r="A764">
        <f t="shared" si="71"/>
        <v>757</v>
      </c>
      <c r="B764" s="88" t="str">
        <f>IF(OR(B763="Total",B763=""),"",IF(VLOOKUP(A764,Journal!$C$7:$E$84,3)=0,"Total",VLOOKUP(A764,Journal!$C$7:$D$84,2)))</f>
        <v/>
      </c>
      <c r="C764" s="86" t="str">
        <f>IF(B764="","",VLOOKUP(A764,Journal!$C$7:$E$84,3))</f>
        <v/>
      </c>
      <c r="D764" s="84" t="str">
        <f>IF(B764="","",VLOOKUP(A764,Journal!$C$7:$J$84,8))</f>
        <v/>
      </c>
      <c r="E764" s="84" t="str">
        <f>IF(B764="","",VLOOKUP(A764,Journal!$C$7:$L$84,10))</f>
        <v/>
      </c>
      <c r="F764" s="84" t="str">
        <f>IF(B764="","",VLOOKUP(A764,Journal!$C$7:$M$84,11))</f>
        <v/>
      </c>
      <c r="G764" s="102">
        <f>IF(B764="Total",SUM(G$8:G763)+0.0001,IF(OR(B764="",M764=0),0,VLOOKUP(A764,Journal!$C$7:M$84,7)))</f>
        <v>0</v>
      </c>
      <c r="H764" s="102">
        <f>IF(B764="Total",SUM(H$8:H763)+0.0001,IF(OR(B764="",N764=0),0,VLOOKUP(A764,Journal!$C$7:M$84,7)))</f>
        <v>0</v>
      </c>
      <c r="I764" s="87">
        <f t="shared" si="70"/>
        <v>0</v>
      </c>
      <c r="K764" s="13">
        <f>VLOOKUP(A764,Journal!$C$7:$M$84,4)</f>
        <v>0</v>
      </c>
      <c r="L764" s="13">
        <f>VLOOKUP(A764,Journal!$C$7:$M$84,5)</f>
        <v>0</v>
      </c>
      <c r="M764" s="13">
        <f t="shared" si="72"/>
        <v>0</v>
      </c>
      <c r="N764" s="13">
        <f t="shared" si="73"/>
        <v>0</v>
      </c>
      <c r="O764" s="13"/>
      <c r="P764" s="13">
        <f t="shared" si="74"/>
        <v>1.0000000000000001E-5</v>
      </c>
      <c r="T764" t="str">
        <f t="shared" si="69"/>
        <v/>
      </c>
    </row>
    <row r="765" spans="1:20" x14ac:dyDescent="0.25">
      <c r="A765">
        <f t="shared" si="71"/>
        <v>758</v>
      </c>
      <c r="B765" s="88" t="str">
        <f>IF(OR(B764="Total",B764=""),"",IF(VLOOKUP(A765,Journal!$C$7:$E$84,3)=0,"Total",VLOOKUP(A765,Journal!$C$7:$D$84,2)))</f>
        <v/>
      </c>
      <c r="C765" s="86" t="str">
        <f>IF(B765="","",VLOOKUP(A765,Journal!$C$7:$E$84,3))</f>
        <v/>
      </c>
      <c r="D765" s="84" t="str">
        <f>IF(B765="","",VLOOKUP(A765,Journal!$C$7:$J$84,8))</f>
        <v/>
      </c>
      <c r="E765" s="84" t="str">
        <f>IF(B765="","",VLOOKUP(A765,Journal!$C$7:$L$84,10))</f>
        <v/>
      </c>
      <c r="F765" s="84" t="str">
        <f>IF(B765="","",VLOOKUP(A765,Journal!$C$7:$M$84,11))</f>
        <v/>
      </c>
      <c r="G765" s="102">
        <f>IF(B765="Total",SUM(G$8:G764)+0.0001,IF(OR(B765="",M765=0),0,VLOOKUP(A765,Journal!$C$7:M$84,7)))</f>
        <v>0</v>
      </c>
      <c r="H765" s="102">
        <f>IF(B765="Total",SUM(H$8:H764)+0.0001,IF(OR(B765="",N765=0),0,VLOOKUP(A765,Journal!$C$7:M$84,7)))</f>
        <v>0</v>
      </c>
      <c r="I765" s="87">
        <f t="shared" si="70"/>
        <v>0</v>
      </c>
      <c r="K765" s="13">
        <f>VLOOKUP(A765,Journal!$C$7:$M$84,4)</f>
        <v>0</v>
      </c>
      <c r="L765" s="13">
        <f>VLOOKUP(A765,Journal!$C$7:$M$84,5)</f>
        <v>0</v>
      </c>
      <c r="M765" s="13">
        <f t="shared" si="72"/>
        <v>0</v>
      </c>
      <c r="N765" s="13">
        <f t="shared" si="73"/>
        <v>0</v>
      </c>
      <c r="O765" s="13"/>
      <c r="P765" s="13">
        <f t="shared" si="74"/>
        <v>1.0000000000000001E-5</v>
      </c>
      <c r="T765" t="str">
        <f t="shared" si="69"/>
        <v/>
      </c>
    </row>
    <row r="766" spans="1:20" x14ac:dyDescent="0.25">
      <c r="A766">
        <f t="shared" si="71"/>
        <v>759</v>
      </c>
      <c r="B766" s="88" t="str">
        <f>IF(OR(B765="Total",B765=""),"",IF(VLOOKUP(A766,Journal!$C$7:$E$84,3)=0,"Total",VLOOKUP(A766,Journal!$C$7:$D$84,2)))</f>
        <v/>
      </c>
      <c r="C766" s="86" t="str">
        <f>IF(B766="","",VLOOKUP(A766,Journal!$C$7:$E$84,3))</f>
        <v/>
      </c>
      <c r="D766" s="84" t="str">
        <f>IF(B766="","",VLOOKUP(A766,Journal!$C$7:$J$84,8))</f>
        <v/>
      </c>
      <c r="E766" s="84" t="str">
        <f>IF(B766="","",VLOOKUP(A766,Journal!$C$7:$L$84,10))</f>
        <v/>
      </c>
      <c r="F766" s="84" t="str">
        <f>IF(B766="","",VLOOKUP(A766,Journal!$C$7:$M$84,11))</f>
        <v/>
      </c>
      <c r="G766" s="102">
        <f>IF(B766="Total",SUM(G$8:G765)+0.0001,IF(OR(B766="",M766=0),0,VLOOKUP(A766,Journal!$C$7:M$84,7)))</f>
        <v>0</v>
      </c>
      <c r="H766" s="102">
        <f>IF(B766="Total",SUM(H$8:H765)+0.0001,IF(OR(B766="",N766=0),0,VLOOKUP(A766,Journal!$C$7:M$84,7)))</f>
        <v>0</v>
      </c>
      <c r="I766" s="87">
        <f t="shared" si="70"/>
        <v>0</v>
      </c>
      <c r="K766" s="13">
        <f>VLOOKUP(A766,Journal!$C$7:$M$84,4)</f>
        <v>0</v>
      </c>
      <c r="L766" s="13">
        <f>VLOOKUP(A766,Journal!$C$7:$M$84,5)</f>
        <v>0</v>
      </c>
      <c r="M766" s="13">
        <f t="shared" si="72"/>
        <v>0</v>
      </c>
      <c r="N766" s="13">
        <f t="shared" si="73"/>
        <v>0</v>
      </c>
      <c r="O766" s="13"/>
      <c r="P766" s="13">
        <f t="shared" si="74"/>
        <v>1.0000000000000001E-5</v>
      </c>
      <c r="T766" t="str">
        <f t="shared" si="69"/>
        <v/>
      </c>
    </row>
    <row r="767" spans="1:20" x14ac:dyDescent="0.25">
      <c r="A767">
        <f t="shared" si="71"/>
        <v>760</v>
      </c>
      <c r="B767" s="88" t="str">
        <f>IF(OR(B766="Total",B766=""),"",IF(VLOOKUP(A767,Journal!$C$7:$E$84,3)=0,"Total",VLOOKUP(A767,Journal!$C$7:$D$84,2)))</f>
        <v/>
      </c>
      <c r="C767" s="86" t="str">
        <f>IF(B767="","",VLOOKUP(A767,Journal!$C$7:$E$84,3))</f>
        <v/>
      </c>
      <c r="D767" s="84" t="str">
        <f>IF(B767="","",VLOOKUP(A767,Journal!$C$7:$J$84,8))</f>
        <v/>
      </c>
      <c r="E767" s="84" t="str">
        <f>IF(B767="","",VLOOKUP(A767,Journal!$C$7:$L$84,10))</f>
        <v/>
      </c>
      <c r="F767" s="84" t="str">
        <f>IF(B767="","",VLOOKUP(A767,Journal!$C$7:$M$84,11))</f>
        <v/>
      </c>
      <c r="G767" s="102">
        <f>IF(B767="Total",SUM(G$8:G766)+0.0001,IF(OR(B767="",M767=0),0,VLOOKUP(A767,Journal!$C$7:M$84,7)))</f>
        <v>0</v>
      </c>
      <c r="H767" s="102">
        <f>IF(B767="Total",SUM(H$8:H766)+0.0001,IF(OR(B767="",N767=0),0,VLOOKUP(A767,Journal!$C$7:M$84,7)))</f>
        <v>0</v>
      </c>
      <c r="I767" s="87">
        <f t="shared" si="70"/>
        <v>0</v>
      </c>
      <c r="K767" s="13">
        <f>VLOOKUP(A767,Journal!$C$7:$M$84,4)</f>
        <v>0</v>
      </c>
      <c r="L767" s="13">
        <f>VLOOKUP(A767,Journal!$C$7:$M$84,5)</f>
        <v>0</v>
      </c>
      <c r="M767" s="13">
        <f t="shared" si="72"/>
        <v>0</v>
      </c>
      <c r="N767" s="13">
        <f t="shared" si="73"/>
        <v>0</v>
      </c>
      <c r="O767" s="13"/>
      <c r="P767" s="13">
        <f t="shared" si="74"/>
        <v>1.0000000000000001E-5</v>
      </c>
      <c r="T767" t="str">
        <f t="shared" si="69"/>
        <v/>
      </c>
    </row>
    <row r="768" spans="1:20" x14ac:dyDescent="0.25">
      <c r="A768">
        <f t="shared" si="71"/>
        <v>761</v>
      </c>
      <c r="B768" s="88" t="str">
        <f>IF(OR(B767="Total",B767=""),"",IF(VLOOKUP(A768,Journal!$C$7:$E$84,3)=0,"Total",VLOOKUP(A768,Journal!$C$7:$D$84,2)))</f>
        <v/>
      </c>
      <c r="C768" s="86" t="str">
        <f>IF(B768="","",VLOOKUP(A768,Journal!$C$7:$E$84,3))</f>
        <v/>
      </c>
      <c r="D768" s="84" t="str">
        <f>IF(B768="","",VLOOKUP(A768,Journal!$C$7:$J$84,8))</f>
        <v/>
      </c>
      <c r="E768" s="84" t="str">
        <f>IF(B768="","",VLOOKUP(A768,Journal!$C$7:$L$84,10))</f>
        <v/>
      </c>
      <c r="F768" s="84" t="str">
        <f>IF(B768="","",VLOOKUP(A768,Journal!$C$7:$M$84,11))</f>
        <v/>
      </c>
      <c r="G768" s="102">
        <f>IF(B768="Total",SUM(G$8:G767)+0.0001,IF(OR(B768="",M768=0),0,VLOOKUP(A768,Journal!$C$7:M$84,7)))</f>
        <v>0</v>
      </c>
      <c r="H768" s="102">
        <f>IF(B768="Total",SUM(H$8:H767)+0.0001,IF(OR(B768="",N768=0),0,VLOOKUP(A768,Journal!$C$7:M$84,7)))</f>
        <v>0</v>
      </c>
      <c r="I768" s="87">
        <f t="shared" si="70"/>
        <v>0</v>
      </c>
      <c r="K768" s="13">
        <f>VLOOKUP(A768,Journal!$C$7:$M$84,4)</f>
        <v>0</v>
      </c>
      <c r="L768" s="13">
        <f>VLOOKUP(A768,Journal!$C$7:$M$84,5)</f>
        <v>0</v>
      </c>
      <c r="M768" s="13">
        <f t="shared" si="72"/>
        <v>0</v>
      </c>
      <c r="N768" s="13">
        <f t="shared" si="73"/>
        <v>0</v>
      </c>
      <c r="O768" s="13"/>
      <c r="P768" s="13">
        <f t="shared" si="74"/>
        <v>1.0000000000000001E-5</v>
      </c>
      <c r="T768" t="str">
        <f t="shared" si="69"/>
        <v/>
      </c>
    </row>
    <row r="769" spans="1:20" x14ac:dyDescent="0.25">
      <c r="A769">
        <f t="shared" si="71"/>
        <v>762</v>
      </c>
      <c r="B769" s="88" t="str">
        <f>IF(OR(B768="Total",B768=""),"",IF(VLOOKUP(A769,Journal!$C$7:$E$84,3)=0,"Total",VLOOKUP(A769,Journal!$C$7:$D$84,2)))</f>
        <v/>
      </c>
      <c r="C769" s="86" t="str">
        <f>IF(B769="","",VLOOKUP(A769,Journal!$C$7:$E$84,3))</f>
        <v/>
      </c>
      <c r="D769" s="84" t="str">
        <f>IF(B769="","",VLOOKUP(A769,Journal!$C$7:$J$84,8))</f>
        <v/>
      </c>
      <c r="E769" s="84" t="str">
        <f>IF(B769="","",VLOOKUP(A769,Journal!$C$7:$L$84,10))</f>
        <v/>
      </c>
      <c r="F769" s="84" t="str">
        <f>IF(B769="","",VLOOKUP(A769,Journal!$C$7:$M$84,11))</f>
        <v/>
      </c>
      <c r="G769" s="102">
        <f>IF(B769="Total",SUM(G$8:G768)+0.0001,IF(OR(B769="",M769=0),0,VLOOKUP(A769,Journal!$C$7:M$84,7)))</f>
        <v>0</v>
      </c>
      <c r="H769" s="102">
        <f>IF(B769="Total",SUM(H$8:H768)+0.0001,IF(OR(B769="",N769=0),0,VLOOKUP(A769,Journal!$C$7:M$84,7)))</f>
        <v>0</v>
      </c>
      <c r="I769" s="87">
        <f t="shared" si="70"/>
        <v>0</v>
      </c>
      <c r="K769" s="13">
        <f>VLOOKUP(A769,Journal!$C$7:$M$84,4)</f>
        <v>0</v>
      </c>
      <c r="L769" s="13">
        <f>VLOOKUP(A769,Journal!$C$7:$M$84,5)</f>
        <v>0</v>
      </c>
      <c r="M769" s="13">
        <f t="shared" si="72"/>
        <v>0</v>
      </c>
      <c r="N769" s="13">
        <f t="shared" si="73"/>
        <v>0</v>
      </c>
      <c r="O769" s="13"/>
      <c r="P769" s="13">
        <f t="shared" si="74"/>
        <v>1.0000000000000001E-5</v>
      </c>
      <c r="T769" t="str">
        <f t="shared" si="69"/>
        <v/>
      </c>
    </row>
    <row r="770" spans="1:20" x14ac:dyDescent="0.25">
      <c r="A770">
        <f t="shared" si="71"/>
        <v>763</v>
      </c>
      <c r="B770" s="88" t="str">
        <f>IF(OR(B769="Total",B769=""),"",IF(VLOOKUP(A770,Journal!$C$7:$E$84,3)=0,"Total",VLOOKUP(A770,Journal!$C$7:$D$84,2)))</f>
        <v/>
      </c>
      <c r="C770" s="86" t="str">
        <f>IF(B770="","",VLOOKUP(A770,Journal!$C$7:$E$84,3))</f>
        <v/>
      </c>
      <c r="D770" s="84" t="str">
        <f>IF(B770="","",VLOOKUP(A770,Journal!$C$7:$J$84,8))</f>
        <v/>
      </c>
      <c r="E770" s="84" t="str">
        <f>IF(B770="","",VLOOKUP(A770,Journal!$C$7:$L$84,10))</f>
        <v/>
      </c>
      <c r="F770" s="84" t="str">
        <f>IF(B770="","",VLOOKUP(A770,Journal!$C$7:$M$84,11))</f>
        <v/>
      </c>
      <c r="G770" s="102">
        <f>IF(B770="Total",SUM(G$8:G769)+0.0001,IF(OR(B770="",M770=0),0,VLOOKUP(A770,Journal!$C$7:M$84,7)))</f>
        <v>0</v>
      </c>
      <c r="H770" s="102">
        <f>IF(B770="Total",SUM(H$8:H769)+0.0001,IF(OR(B770="",N770=0),0,VLOOKUP(A770,Journal!$C$7:M$84,7)))</f>
        <v>0</v>
      </c>
      <c r="I770" s="87">
        <f t="shared" si="70"/>
        <v>0</v>
      </c>
      <c r="K770" s="13">
        <f>VLOOKUP(A770,Journal!$C$7:$M$84,4)</f>
        <v>0</v>
      </c>
      <c r="L770" s="13">
        <f>VLOOKUP(A770,Journal!$C$7:$M$84,5)</f>
        <v>0</v>
      </c>
      <c r="M770" s="13">
        <f t="shared" si="72"/>
        <v>0</v>
      </c>
      <c r="N770" s="13">
        <f t="shared" si="73"/>
        <v>0</v>
      </c>
      <c r="O770" s="13"/>
      <c r="P770" s="13">
        <f t="shared" si="74"/>
        <v>1.0000000000000001E-5</v>
      </c>
      <c r="T770" t="str">
        <f t="shared" si="69"/>
        <v/>
      </c>
    </row>
    <row r="771" spans="1:20" x14ac:dyDescent="0.25">
      <c r="A771">
        <f t="shared" si="71"/>
        <v>764</v>
      </c>
      <c r="B771" s="88" t="str">
        <f>IF(OR(B770="Total",B770=""),"",IF(VLOOKUP(A771,Journal!$C$7:$E$84,3)=0,"Total",VLOOKUP(A771,Journal!$C$7:$D$84,2)))</f>
        <v/>
      </c>
      <c r="C771" s="86" t="str">
        <f>IF(B771="","",VLOOKUP(A771,Journal!$C$7:$E$84,3))</f>
        <v/>
      </c>
      <c r="D771" s="84" t="str">
        <f>IF(B771="","",VLOOKUP(A771,Journal!$C$7:$J$84,8))</f>
        <v/>
      </c>
      <c r="E771" s="84" t="str">
        <f>IF(B771="","",VLOOKUP(A771,Journal!$C$7:$L$84,10))</f>
        <v/>
      </c>
      <c r="F771" s="84" t="str">
        <f>IF(B771="","",VLOOKUP(A771,Journal!$C$7:$M$84,11))</f>
        <v/>
      </c>
      <c r="G771" s="102">
        <f>IF(B771="Total",SUM(G$8:G770)+0.0001,IF(OR(B771="",M771=0),0,VLOOKUP(A771,Journal!$C$7:M$84,7)))</f>
        <v>0</v>
      </c>
      <c r="H771" s="102">
        <f>IF(B771="Total",SUM(H$8:H770)+0.0001,IF(OR(B771="",N771=0),0,VLOOKUP(A771,Journal!$C$7:M$84,7)))</f>
        <v>0</v>
      </c>
      <c r="I771" s="87">
        <f t="shared" si="70"/>
        <v>0</v>
      </c>
      <c r="K771" s="13">
        <f>VLOOKUP(A771,Journal!$C$7:$M$84,4)</f>
        <v>0</v>
      </c>
      <c r="L771" s="13">
        <f>VLOOKUP(A771,Journal!$C$7:$M$84,5)</f>
        <v>0</v>
      </c>
      <c r="M771" s="13">
        <f t="shared" si="72"/>
        <v>0</v>
      </c>
      <c r="N771" s="13">
        <f t="shared" si="73"/>
        <v>0</v>
      </c>
      <c r="O771" s="13"/>
      <c r="P771" s="13">
        <f t="shared" si="74"/>
        <v>1.0000000000000001E-5</v>
      </c>
      <c r="T771" t="str">
        <f t="shared" si="69"/>
        <v/>
      </c>
    </row>
    <row r="772" spans="1:20" x14ac:dyDescent="0.25">
      <c r="A772">
        <f t="shared" si="71"/>
        <v>765</v>
      </c>
      <c r="B772" s="88" t="str">
        <f>IF(OR(B771="Total",B771=""),"",IF(VLOOKUP(A772,Journal!$C$7:$E$84,3)=0,"Total",VLOOKUP(A772,Journal!$C$7:$D$84,2)))</f>
        <v/>
      </c>
      <c r="C772" s="86" t="str">
        <f>IF(B772="","",VLOOKUP(A772,Journal!$C$7:$E$84,3))</f>
        <v/>
      </c>
      <c r="D772" s="84" t="str">
        <f>IF(B772="","",VLOOKUP(A772,Journal!$C$7:$J$84,8))</f>
        <v/>
      </c>
      <c r="E772" s="84" t="str">
        <f>IF(B772="","",VLOOKUP(A772,Journal!$C$7:$L$84,10))</f>
        <v/>
      </c>
      <c r="F772" s="84" t="str">
        <f>IF(B772="","",VLOOKUP(A772,Journal!$C$7:$M$84,11))</f>
        <v/>
      </c>
      <c r="G772" s="102">
        <f>IF(B772="Total",SUM(G$8:G771)+0.0001,IF(OR(B772="",M772=0),0,VLOOKUP(A772,Journal!$C$7:M$84,7)))</f>
        <v>0</v>
      </c>
      <c r="H772" s="102">
        <f>IF(B772="Total",SUM(H$8:H771)+0.0001,IF(OR(B772="",N772=0),0,VLOOKUP(A772,Journal!$C$7:M$84,7)))</f>
        <v>0</v>
      </c>
      <c r="I772" s="87">
        <f t="shared" si="70"/>
        <v>0</v>
      </c>
      <c r="K772" s="13">
        <f>VLOOKUP(A772,Journal!$C$7:$M$84,4)</f>
        <v>0</v>
      </c>
      <c r="L772" s="13">
        <f>VLOOKUP(A772,Journal!$C$7:$M$84,5)</f>
        <v>0</v>
      </c>
      <c r="M772" s="13">
        <f t="shared" si="72"/>
        <v>0</v>
      </c>
      <c r="N772" s="13">
        <f t="shared" si="73"/>
        <v>0</v>
      </c>
      <c r="O772" s="13"/>
      <c r="P772" s="13">
        <f t="shared" si="74"/>
        <v>1.0000000000000001E-5</v>
      </c>
      <c r="T772" t="str">
        <f t="shared" si="69"/>
        <v/>
      </c>
    </row>
    <row r="773" spans="1:20" x14ac:dyDescent="0.25">
      <c r="A773">
        <f t="shared" si="71"/>
        <v>766</v>
      </c>
      <c r="B773" s="88" t="str">
        <f>IF(OR(B772="Total",B772=""),"",IF(VLOOKUP(A773,Journal!$C$7:$E$84,3)=0,"Total",VLOOKUP(A773,Journal!$C$7:$D$84,2)))</f>
        <v/>
      </c>
      <c r="C773" s="86" t="str">
        <f>IF(B773="","",VLOOKUP(A773,Journal!$C$7:$E$84,3))</f>
        <v/>
      </c>
      <c r="D773" s="84" t="str">
        <f>IF(B773="","",VLOOKUP(A773,Journal!$C$7:$J$84,8))</f>
        <v/>
      </c>
      <c r="E773" s="84" t="str">
        <f>IF(B773="","",VLOOKUP(A773,Journal!$C$7:$L$84,10))</f>
        <v/>
      </c>
      <c r="F773" s="84" t="str">
        <f>IF(B773="","",VLOOKUP(A773,Journal!$C$7:$M$84,11))</f>
        <v/>
      </c>
      <c r="G773" s="102">
        <f>IF(B773="Total",SUM(G$8:G772)+0.0001,IF(OR(B773="",M773=0),0,VLOOKUP(A773,Journal!$C$7:M$84,7)))</f>
        <v>0</v>
      </c>
      <c r="H773" s="102">
        <f>IF(B773="Total",SUM(H$8:H772)+0.0001,IF(OR(B773="",N773=0),0,VLOOKUP(A773,Journal!$C$7:M$84,7)))</f>
        <v>0</v>
      </c>
      <c r="I773" s="87">
        <f t="shared" si="70"/>
        <v>0</v>
      </c>
      <c r="K773" s="13">
        <f>VLOOKUP(A773,Journal!$C$7:$M$84,4)</f>
        <v>0</v>
      </c>
      <c r="L773" s="13">
        <f>VLOOKUP(A773,Journal!$C$7:$M$84,5)</f>
        <v>0</v>
      </c>
      <c r="M773" s="13">
        <f t="shared" si="72"/>
        <v>0</v>
      </c>
      <c r="N773" s="13">
        <f t="shared" si="73"/>
        <v>0</v>
      </c>
      <c r="O773" s="13"/>
      <c r="P773" s="13">
        <f t="shared" si="74"/>
        <v>1.0000000000000001E-5</v>
      </c>
      <c r="T773" t="str">
        <f t="shared" si="69"/>
        <v/>
      </c>
    </row>
    <row r="774" spans="1:20" x14ac:dyDescent="0.25">
      <c r="A774">
        <f t="shared" si="71"/>
        <v>767</v>
      </c>
      <c r="B774" s="88" t="str">
        <f>IF(OR(B773="Total",B773=""),"",IF(VLOOKUP(A774,Journal!$C$7:$E$84,3)=0,"Total",VLOOKUP(A774,Journal!$C$7:$D$84,2)))</f>
        <v/>
      </c>
      <c r="C774" s="86" t="str">
        <f>IF(B774="","",VLOOKUP(A774,Journal!$C$7:$E$84,3))</f>
        <v/>
      </c>
      <c r="D774" s="84" t="str">
        <f>IF(B774="","",VLOOKUP(A774,Journal!$C$7:$J$84,8))</f>
        <v/>
      </c>
      <c r="E774" s="84" t="str">
        <f>IF(B774="","",VLOOKUP(A774,Journal!$C$7:$L$84,10))</f>
        <v/>
      </c>
      <c r="F774" s="84" t="str">
        <f>IF(B774="","",VLOOKUP(A774,Journal!$C$7:$M$84,11))</f>
        <v/>
      </c>
      <c r="G774" s="102">
        <f>IF(B774="Total",SUM(G$8:G773)+0.0001,IF(OR(B774="",M774=0),0,VLOOKUP(A774,Journal!$C$7:M$84,7)))</f>
        <v>0</v>
      </c>
      <c r="H774" s="102">
        <f>IF(B774="Total",SUM(H$8:H773)+0.0001,IF(OR(B774="",N774=0),0,VLOOKUP(A774,Journal!$C$7:M$84,7)))</f>
        <v>0</v>
      </c>
      <c r="I774" s="87">
        <f t="shared" si="70"/>
        <v>0</v>
      </c>
      <c r="K774" s="13">
        <f>VLOOKUP(A774,Journal!$C$7:$M$84,4)</f>
        <v>0</v>
      </c>
      <c r="L774" s="13">
        <f>VLOOKUP(A774,Journal!$C$7:$M$84,5)</f>
        <v>0</v>
      </c>
      <c r="M774" s="13">
        <f t="shared" si="72"/>
        <v>0</v>
      </c>
      <c r="N774" s="13">
        <f t="shared" si="73"/>
        <v>0</v>
      </c>
      <c r="O774" s="13"/>
      <c r="P774" s="13">
        <f t="shared" si="74"/>
        <v>1.0000000000000001E-5</v>
      </c>
      <c r="T774" t="str">
        <f t="shared" si="69"/>
        <v/>
      </c>
    </row>
    <row r="775" spans="1:20" x14ac:dyDescent="0.25">
      <c r="A775">
        <f t="shared" si="71"/>
        <v>768</v>
      </c>
      <c r="B775" s="88" t="str">
        <f>IF(OR(B774="Total",B774=""),"",IF(VLOOKUP(A775,Journal!$C$7:$E$84,3)=0,"Total",VLOOKUP(A775,Journal!$C$7:$D$84,2)))</f>
        <v/>
      </c>
      <c r="C775" s="86" t="str">
        <f>IF(B775="","",VLOOKUP(A775,Journal!$C$7:$E$84,3))</f>
        <v/>
      </c>
      <c r="D775" s="84" t="str">
        <f>IF(B775="","",VLOOKUP(A775,Journal!$C$7:$J$84,8))</f>
        <v/>
      </c>
      <c r="E775" s="84" t="str">
        <f>IF(B775="","",VLOOKUP(A775,Journal!$C$7:$L$84,10))</f>
        <v/>
      </c>
      <c r="F775" s="84" t="str">
        <f>IF(B775="","",VLOOKUP(A775,Journal!$C$7:$M$84,11))</f>
        <v/>
      </c>
      <c r="G775" s="102">
        <f>IF(B775="Total",SUM(G$8:G774)+0.0001,IF(OR(B775="",M775=0),0,VLOOKUP(A775,Journal!$C$7:M$84,7)))</f>
        <v>0</v>
      </c>
      <c r="H775" s="102">
        <f>IF(B775="Total",SUM(H$8:H774)+0.0001,IF(OR(B775="",N775=0),0,VLOOKUP(A775,Journal!$C$7:M$84,7)))</f>
        <v>0</v>
      </c>
      <c r="I775" s="87">
        <f t="shared" si="70"/>
        <v>0</v>
      </c>
      <c r="K775" s="13">
        <f>VLOOKUP(A775,Journal!$C$7:$M$84,4)</f>
        <v>0</v>
      </c>
      <c r="L775" s="13">
        <f>VLOOKUP(A775,Journal!$C$7:$M$84,5)</f>
        <v>0</v>
      </c>
      <c r="M775" s="13">
        <f t="shared" si="72"/>
        <v>0</v>
      </c>
      <c r="N775" s="13">
        <f t="shared" si="73"/>
        <v>0</v>
      </c>
      <c r="O775" s="13"/>
      <c r="P775" s="13">
        <f t="shared" si="74"/>
        <v>1.0000000000000001E-5</v>
      </c>
      <c r="T775" t="str">
        <f t="shared" si="69"/>
        <v/>
      </c>
    </row>
    <row r="776" spans="1:20" x14ac:dyDescent="0.25">
      <c r="A776">
        <f t="shared" si="71"/>
        <v>769</v>
      </c>
      <c r="B776" s="88" t="str">
        <f>IF(OR(B775="Total",B775=""),"",IF(VLOOKUP(A776,Journal!$C$7:$E$84,3)=0,"Total",VLOOKUP(A776,Journal!$C$7:$D$84,2)))</f>
        <v/>
      </c>
      <c r="C776" s="86" t="str">
        <f>IF(B776="","",VLOOKUP(A776,Journal!$C$7:$E$84,3))</f>
        <v/>
      </c>
      <c r="D776" s="84" t="str">
        <f>IF(B776="","",VLOOKUP(A776,Journal!$C$7:$J$84,8))</f>
        <v/>
      </c>
      <c r="E776" s="84" t="str">
        <f>IF(B776="","",VLOOKUP(A776,Journal!$C$7:$L$84,10))</f>
        <v/>
      </c>
      <c r="F776" s="84" t="str">
        <f>IF(B776="","",VLOOKUP(A776,Journal!$C$7:$M$84,11))</f>
        <v/>
      </c>
      <c r="G776" s="102">
        <f>IF(B776="Total",SUM(G$8:G775)+0.0001,IF(OR(B776="",M776=0),0,VLOOKUP(A776,Journal!$C$7:M$84,7)))</f>
        <v>0</v>
      </c>
      <c r="H776" s="102">
        <f>IF(B776="Total",SUM(H$8:H775)+0.0001,IF(OR(B776="",N776=0),0,VLOOKUP(A776,Journal!$C$7:M$84,7)))</f>
        <v>0</v>
      </c>
      <c r="I776" s="87">
        <f t="shared" si="70"/>
        <v>0</v>
      </c>
      <c r="K776" s="13">
        <f>VLOOKUP(A776,Journal!$C$7:$M$84,4)</f>
        <v>0</v>
      </c>
      <c r="L776" s="13">
        <f>VLOOKUP(A776,Journal!$C$7:$M$84,5)</f>
        <v>0</v>
      </c>
      <c r="M776" s="13">
        <f t="shared" si="72"/>
        <v>0</v>
      </c>
      <c r="N776" s="13">
        <f t="shared" si="73"/>
        <v>0</v>
      </c>
      <c r="O776" s="13"/>
      <c r="P776" s="13">
        <f t="shared" si="74"/>
        <v>1.0000000000000001E-5</v>
      </c>
      <c r="T776" t="str">
        <f t="shared" si="69"/>
        <v/>
      </c>
    </row>
    <row r="777" spans="1:20" x14ac:dyDescent="0.25">
      <c r="A777">
        <f t="shared" si="71"/>
        <v>770</v>
      </c>
      <c r="B777" s="88" t="str">
        <f>IF(OR(B776="Total",B776=""),"",IF(VLOOKUP(A777,Journal!$C$7:$E$84,3)=0,"Total",VLOOKUP(A777,Journal!$C$7:$D$84,2)))</f>
        <v/>
      </c>
      <c r="C777" s="86" t="str">
        <f>IF(B777="","",VLOOKUP(A777,Journal!$C$7:$E$84,3))</f>
        <v/>
      </c>
      <c r="D777" s="84" t="str">
        <f>IF(B777="","",VLOOKUP(A777,Journal!$C$7:$J$84,8))</f>
        <v/>
      </c>
      <c r="E777" s="84" t="str">
        <f>IF(B777="","",VLOOKUP(A777,Journal!$C$7:$L$84,10))</f>
        <v/>
      </c>
      <c r="F777" s="84" t="str">
        <f>IF(B777="","",VLOOKUP(A777,Journal!$C$7:$M$84,11))</f>
        <v/>
      </c>
      <c r="G777" s="102">
        <f>IF(B777="Total",SUM(G$8:G776)+0.0001,IF(OR(B777="",M777=0),0,VLOOKUP(A777,Journal!$C$7:M$84,7)))</f>
        <v>0</v>
      </c>
      <c r="H777" s="102">
        <f>IF(B777="Total",SUM(H$8:H776)+0.0001,IF(OR(B777="",N777=0),0,VLOOKUP(A777,Journal!$C$7:M$84,7)))</f>
        <v>0</v>
      </c>
      <c r="I777" s="87">
        <f t="shared" si="70"/>
        <v>0</v>
      </c>
      <c r="K777" s="13">
        <f>VLOOKUP(A777,Journal!$C$7:$M$84,4)</f>
        <v>0</v>
      </c>
      <c r="L777" s="13">
        <f>VLOOKUP(A777,Journal!$C$7:$M$84,5)</f>
        <v>0</v>
      </c>
      <c r="M777" s="13">
        <f t="shared" si="72"/>
        <v>0</v>
      </c>
      <c r="N777" s="13">
        <f t="shared" si="73"/>
        <v>0</v>
      </c>
      <c r="O777" s="13"/>
      <c r="P777" s="13">
        <f t="shared" si="74"/>
        <v>1.0000000000000001E-5</v>
      </c>
      <c r="T777" t="str">
        <f t="shared" ref="T777:T840" si="75">IF(AND(G777&lt;&gt;0,B777&lt;&gt;"Total",G777=H777),"Beide Konten sind Erfolgskonten, weshalb Saldo gleich bleibt","")</f>
        <v/>
      </c>
    </row>
    <row r="778" spans="1:20" x14ac:dyDescent="0.25">
      <c r="A778">
        <f t="shared" si="71"/>
        <v>771</v>
      </c>
      <c r="B778" s="88" t="str">
        <f>IF(OR(B777="Total",B777=""),"",IF(VLOOKUP(A778,Journal!$C$7:$E$84,3)=0,"Total",VLOOKUP(A778,Journal!$C$7:$D$84,2)))</f>
        <v/>
      </c>
      <c r="C778" s="86" t="str">
        <f>IF(B778="","",VLOOKUP(A778,Journal!$C$7:$E$84,3))</f>
        <v/>
      </c>
      <c r="D778" s="84" t="str">
        <f>IF(B778="","",VLOOKUP(A778,Journal!$C$7:$J$84,8))</f>
        <v/>
      </c>
      <c r="E778" s="84" t="str">
        <f>IF(B778="","",VLOOKUP(A778,Journal!$C$7:$L$84,10))</f>
        <v/>
      </c>
      <c r="F778" s="84" t="str">
        <f>IF(B778="","",VLOOKUP(A778,Journal!$C$7:$M$84,11))</f>
        <v/>
      </c>
      <c r="G778" s="102">
        <f>IF(B778="Total",SUM(G$8:G777)+0.0001,IF(OR(B778="",M778=0),0,VLOOKUP(A778,Journal!$C$7:M$84,7)))</f>
        <v>0</v>
      </c>
      <c r="H778" s="102">
        <f>IF(B778="Total",SUM(H$8:H777)+0.0001,IF(OR(B778="",N778=0),0,VLOOKUP(A778,Journal!$C$7:M$84,7)))</f>
        <v>0</v>
      </c>
      <c r="I778" s="87">
        <f t="shared" ref="I778:I841" si="76">IF(B778="Total",I777,IF(B778="",0,I777+G778-H778))</f>
        <v>0</v>
      </c>
      <c r="K778" s="13">
        <f>VLOOKUP(A778,Journal!$C$7:$M$84,4)</f>
        <v>0</v>
      </c>
      <c r="L778" s="13">
        <f>VLOOKUP(A778,Journal!$C$7:$M$84,5)</f>
        <v>0</v>
      </c>
      <c r="M778" s="13">
        <f t="shared" si="72"/>
        <v>0</v>
      </c>
      <c r="N778" s="13">
        <f t="shared" si="73"/>
        <v>0</v>
      </c>
      <c r="O778" s="13"/>
      <c r="P778" s="13">
        <f t="shared" si="74"/>
        <v>1.0000000000000001E-5</v>
      </c>
      <c r="T778" t="str">
        <f t="shared" si="75"/>
        <v/>
      </c>
    </row>
    <row r="779" spans="1:20" x14ac:dyDescent="0.25">
      <c r="A779">
        <f t="shared" ref="A779:A842" si="77">A778+1</f>
        <v>772</v>
      </c>
      <c r="B779" s="88" t="str">
        <f>IF(OR(B778="Total",B778=""),"",IF(VLOOKUP(A779,Journal!$C$7:$E$84,3)=0,"Total",VLOOKUP(A779,Journal!$C$7:$D$84,2)))</f>
        <v/>
      </c>
      <c r="C779" s="86" t="str">
        <f>IF(B779="","",VLOOKUP(A779,Journal!$C$7:$E$84,3))</f>
        <v/>
      </c>
      <c r="D779" s="84" t="str">
        <f>IF(B779="","",VLOOKUP(A779,Journal!$C$7:$J$84,8))</f>
        <v/>
      </c>
      <c r="E779" s="84" t="str">
        <f>IF(B779="","",VLOOKUP(A779,Journal!$C$7:$L$84,10))</f>
        <v/>
      </c>
      <c r="F779" s="84" t="str">
        <f>IF(B779="","",VLOOKUP(A779,Journal!$C$7:$M$84,11))</f>
        <v/>
      </c>
      <c r="G779" s="102">
        <f>IF(B779="Total",SUM(G$8:G778)+0.0001,IF(OR(B779="",M779=0),0,VLOOKUP(A779,Journal!$C$7:M$84,7)))</f>
        <v>0</v>
      </c>
      <c r="H779" s="102">
        <f>IF(B779="Total",SUM(H$8:H778)+0.0001,IF(OR(B779="",N779=0),0,VLOOKUP(A779,Journal!$C$7:M$84,7)))</f>
        <v>0</v>
      </c>
      <c r="I779" s="87">
        <f t="shared" si="76"/>
        <v>0</v>
      </c>
      <c r="K779" s="13">
        <f>VLOOKUP(A779,Journal!$C$7:$M$84,4)</f>
        <v>0</v>
      </c>
      <c r="L779" s="13">
        <f>VLOOKUP(A779,Journal!$C$7:$M$84,5)</f>
        <v>0</v>
      </c>
      <c r="M779" s="13">
        <f t="shared" si="72"/>
        <v>0</v>
      </c>
      <c r="N779" s="13">
        <f t="shared" si="73"/>
        <v>0</v>
      </c>
      <c r="O779" s="13"/>
      <c r="P779" s="13">
        <f t="shared" si="74"/>
        <v>1.0000000000000001E-5</v>
      </c>
      <c r="T779" t="str">
        <f t="shared" si="75"/>
        <v/>
      </c>
    </row>
    <row r="780" spans="1:20" x14ac:dyDescent="0.25">
      <c r="A780">
        <f t="shared" si="77"/>
        <v>773</v>
      </c>
      <c r="B780" s="88" t="str">
        <f>IF(OR(B779="Total",B779=""),"",IF(VLOOKUP(A780,Journal!$C$7:$E$84,3)=0,"Total",VLOOKUP(A780,Journal!$C$7:$D$84,2)))</f>
        <v/>
      </c>
      <c r="C780" s="86" t="str">
        <f>IF(B780="","",VLOOKUP(A780,Journal!$C$7:$E$84,3))</f>
        <v/>
      </c>
      <c r="D780" s="84" t="str">
        <f>IF(B780="","",VLOOKUP(A780,Journal!$C$7:$J$84,8))</f>
        <v/>
      </c>
      <c r="E780" s="84" t="str">
        <f>IF(B780="","",VLOOKUP(A780,Journal!$C$7:$L$84,10))</f>
        <v/>
      </c>
      <c r="F780" s="84" t="str">
        <f>IF(B780="","",VLOOKUP(A780,Journal!$C$7:$M$84,11))</f>
        <v/>
      </c>
      <c r="G780" s="102">
        <f>IF(B780="Total",SUM(G$8:G779)+0.0001,IF(OR(B780="",M780=0),0,VLOOKUP(A780,Journal!$C$7:M$84,7)))</f>
        <v>0</v>
      </c>
      <c r="H780" s="102">
        <f>IF(B780="Total",SUM(H$8:H779)+0.0001,IF(OR(B780="",N780=0),0,VLOOKUP(A780,Journal!$C$7:M$84,7)))</f>
        <v>0</v>
      </c>
      <c r="I780" s="87">
        <f t="shared" si="76"/>
        <v>0</v>
      </c>
      <c r="K780" s="13">
        <f>VLOOKUP(A780,Journal!$C$7:$M$84,4)</f>
        <v>0</v>
      </c>
      <c r="L780" s="13">
        <f>VLOOKUP(A780,Journal!$C$7:$M$84,5)</f>
        <v>0</v>
      </c>
      <c r="M780" s="13">
        <f t="shared" si="72"/>
        <v>0</v>
      </c>
      <c r="N780" s="13">
        <f t="shared" si="73"/>
        <v>0</v>
      </c>
      <c r="O780" s="13"/>
      <c r="P780" s="13">
        <f t="shared" si="74"/>
        <v>1.0000000000000001E-5</v>
      </c>
      <c r="T780" t="str">
        <f t="shared" si="75"/>
        <v/>
      </c>
    </row>
    <row r="781" spans="1:20" x14ac:dyDescent="0.25">
      <c r="A781">
        <f t="shared" si="77"/>
        <v>774</v>
      </c>
      <c r="B781" s="88" t="str">
        <f>IF(OR(B780="Total",B780=""),"",IF(VLOOKUP(A781,Journal!$C$7:$E$84,3)=0,"Total",VLOOKUP(A781,Journal!$C$7:$D$84,2)))</f>
        <v/>
      </c>
      <c r="C781" s="86" t="str">
        <f>IF(B781="","",VLOOKUP(A781,Journal!$C$7:$E$84,3))</f>
        <v/>
      </c>
      <c r="D781" s="84" t="str">
        <f>IF(B781="","",VLOOKUP(A781,Journal!$C$7:$J$84,8))</f>
        <v/>
      </c>
      <c r="E781" s="84" t="str">
        <f>IF(B781="","",VLOOKUP(A781,Journal!$C$7:$L$84,10))</f>
        <v/>
      </c>
      <c r="F781" s="84" t="str">
        <f>IF(B781="","",VLOOKUP(A781,Journal!$C$7:$M$84,11))</f>
        <v/>
      </c>
      <c r="G781" s="102">
        <f>IF(B781="Total",SUM(G$8:G780)+0.0001,IF(OR(B781="",M781=0),0,VLOOKUP(A781,Journal!$C$7:M$84,7)))</f>
        <v>0</v>
      </c>
      <c r="H781" s="102">
        <f>IF(B781="Total",SUM(H$8:H780)+0.0001,IF(OR(B781="",N781=0),0,VLOOKUP(A781,Journal!$C$7:M$84,7)))</f>
        <v>0</v>
      </c>
      <c r="I781" s="87">
        <f t="shared" si="76"/>
        <v>0</v>
      </c>
      <c r="K781" s="13">
        <f>VLOOKUP(A781,Journal!$C$7:$M$84,4)</f>
        <v>0</v>
      </c>
      <c r="L781" s="13">
        <f>VLOOKUP(A781,Journal!$C$7:$M$84,5)</f>
        <v>0</v>
      </c>
      <c r="M781" s="13">
        <f t="shared" si="72"/>
        <v>0</v>
      </c>
      <c r="N781" s="13">
        <f t="shared" si="73"/>
        <v>0</v>
      </c>
      <c r="O781" s="13"/>
      <c r="P781" s="13">
        <f t="shared" si="74"/>
        <v>1.0000000000000001E-5</v>
      </c>
      <c r="T781" t="str">
        <f t="shared" si="75"/>
        <v/>
      </c>
    </row>
    <row r="782" spans="1:20" x14ac:dyDescent="0.25">
      <c r="A782">
        <f t="shared" si="77"/>
        <v>775</v>
      </c>
      <c r="B782" s="88" t="str">
        <f>IF(OR(B781="Total",B781=""),"",IF(VLOOKUP(A782,Journal!$C$7:$E$84,3)=0,"Total",VLOOKUP(A782,Journal!$C$7:$D$84,2)))</f>
        <v/>
      </c>
      <c r="C782" s="86" t="str">
        <f>IF(B782="","",VLOOKUP(A782,Journal!$C$7:$E$84,3))</f>
        <v/>
      </c>
      <c r="D782" s="84" t="str">
        <f>IF(B782="","",VLOOKUP(A782,Journal!$C$7:$J$84,8))</f>
        <v/>
      </c>
      <c r="E782" s="84" t="str">
        <f>IF(B782="","",VLOOKUP(A782,Journal!$C$7:$L$84,10))</f>
        <v/>
      </c>
      <c r="F782" s="84" t="str">
        <f>IF(B782="","",VLOOKUP(A782,Journal!$C$7:$M$84,11))</f>
        <v/>
      </c>
      <c r="G782" s="102">
        <f>IF(B782="Total",SUM(G$8:G781)+0.0001,IF(OR(B782="",M782=0),0,VLOOKUP(A782,Journal!$C$7:M$84,7)))</f>
        <v>0</v>
      </c>
      <c r="H782" s="102">
        <f>IF(B782="Total",SUM(H$8:H781)+0.0001,IF(OR(B782="",N782=0),0,VLOOKUP(A782,Journal!$C$7:M$84,7)))</f>
        <v>0</v>
      </c>
      <c r="I782" s="87">
        <f t="shared" si="76"/>
        <v>0</v>
      </c>
      <c r="K782" s="13">
        <f>VLOOKUP(A782,Journal!$C$7:$M$84,4)</f>
        <v>0</v>
      </c>
      <c r="L782" s="13">
        <f>VLOOKUP(A782,Journal!$C$7:$M$84,5)</f>
        <v>0</v>
      </c>
      <c r="M782" s="13">
        <f t="shared" si="72"/>
        <v>0</v>
      </c>
      <c r="N782" s="13">
        <f t="shared" si="73"/>
        <v>0</v>
      </c>
      <c r="O782" s="13"/>
      <c r="P782" s="13">
        <f t="shared" si="74"/>
        <v>1.0000000000000001E-5</v>
      </c>
      <c r="T782" t="str">
        <f t="shared" si="75"/>
        <v/>
      </c>
    </row>
    <row r="783" spans="1:20" x14ac:dyDescent="0.25">
      <c r="A783">
        <f t="shared" si="77"/>
        <v>776</v>
      </c>
      <c r="B783" s="88" t="str">
        <f>IF(OR(B782="Total",B782=""),"",IF(VLOOKUP(A783,Journal!$C$7:$E$84,3)=0,"Total",VLOOKUP(A783,Journal!$C$7:$D$84,2)))</f>
        <v/>
      </c>
      <c r="C783" s="86" t="str">
        <f>IF(B783="","",VLOOKUP(A783,Journal!$C$7:$E$84,3))</f>
        <v/>
      </c>
      <c r="D783" s="84" t="str">
        <f>IF(B783="","",VLOOKUP(A783,Journal!$C$7:$J$84,8))</f>
        <v/>
      </c>
      <c r="E783" s="84" t="str">
        <f>IF(B783="","",VLOOKUP(A783,Journal!$C$7:$L$84,10))</f>
        <v/>
      </c>
      <c r="F783" s="84" t="str">
        <f>IF(B783="","",VLOOKUP(A783,Journal!$C$7:$M$84,11))</f>
        <v/>
      </c>
      <c r="G783" s="102">
        <f>IF(B783="Total",SUM(G$8:G782)+0.0001,IF(OR(B783="",M783=0),0,VLOOKUP(A783,Journal!$C$7:M$84,7)))</f>
        <v>0</v>
      </c>
      <c r="H783" s="102">
        <f>IF(B783="Total",SUM(H$8:H782)+0.0001,IF(OR(B783="",N783=0),0,VLOOKUP(A783,Journal!$C$7:M$84,7)))</f>
        <v>0</v>
      </c>
      <c r="I783" s="87">
        <f t="shared" si="76"/>
        <v>0</v>
      </c>
      <c r="K783" s="13">
        <f>VLOOKUP(A783,Journal!$C$7:$M$84,4)</f>
        <v>0</v>
      </c>
      <c r="L783" s="13">
        <f>VLOOKUP(A783,Journal!$C$7:$M$84,5)</f>
        <v>0</v>
      </c>
      <c r="M783" s="13">
        <f t="shared" si="72"/>
        <v>0</v>
      </c>
      <c r="N783" s="13">
        <f t="shared" si="73"/>
        <v>0</v>
      </c>
      <c r="O783" s="13"/>
      <c r="P783" s="13">
        <f t="shared" si="74"/>
        <v>1.0000000000000001E-5</v>
      </c>
      <c r="T783" t="str">
        <f t="shared" si="75"/>
        <v/>
      </c>
    </row>
    <row r="784" spans="1:20" x14ac:dyDescent="0.25">
      <c r="A784">
        <f t="shared" si="77"/>
        <v>777</v>
      </c>
      <c r="B784" s="88" t="str">
        <f>IF(OR(B783="Total",B783=""),"",IF(VLOOKUP(A784,Journal!$C$7:$E$84,3)=0,"Total",VLOOKUP(A784,Journal!$C$7:$D$84,2)))</f>
        <v/>
      </c>
      <c r="C784" s="86" t="str">
        <f>IF(B784="","",VLOOKUP(A784,Journal!$C$7:$E$84,3))</f>
        <v/>
      </c>
      <c r="D784" s="84" t="str">
        <f>IF(B784="","",VLOOKUP(A784,Journal!$C$7:$J$84,8))</f>
        <v/>
      </c>
      <c r="E784" s="84" t="str">
        <f>IF(B784="","",VLOOKUP(A784,Journal!$C$7:$L$84,10))</f>
        <v/>
      </c>
      <c r="F784" s="84" t="str">
        <f>IF(B784="","",VLOOKUP(A784,Journal!$C$7:$M$84,11))</f>
        <v/>
      </c>
      <c r="G784" s="102">
        <f>IF(B784="Total",SUM(G$8:G783)+0.0001,IF(OR(B784="",M784=0),0,VLOOKUP(A784,Journal!$C$7:M$84,7)))</f>
        <v>0</v>
      </c>
      <c r="H784" s="102">
        <f>IF(B784="Total",SUM(H$8:H783)+0.0001,IF(OR(B784="",N784=0),0,VLOOKUP(A784,Journal!$C$7:M$84,7)))</f>
        <v>0</v>
      </c>
      <c r="I784" s="87">
        <f t="shared" si="76"/>
        <v>0</v>
      </c>
      <c r="K784" s="13">
        <f>VLOOKUP(A784,Journal!$C$7:$M$84,4)</f>
        <v>0</v>
      </c>
      <c r="L784" s="13">
        <f>VLOOKUP(A784,Journal!$C$7:$M$84,5)</f>
        <v>0</v>
      </c>
      <c r="M784" s="13">
        <f t="shared" si="72"/>
        <v>0</v>
      </c>
      <c r="N784" s="13">
        <f t="shared" si="73"/>
        <v>0</v>
      </c>
      <c r="O784" s="13"/>
      <c r="P784" s="13">
        <f t="shared" si="74"/>
        <v>1.0000000000000001E-5</v>
      </c>
      <c r="T784" t="str">
        <f t="shared" si="75"/>
        <v/>
      </c>
    </row>
    <row r="785" spans="1:20" x14ac:dyDescent="0.25">
      <c r="A785">
        <f t="shared" si="77"/>
        <v>778</v>
      </c>
      <c r="B785" s="88" t="str">
        <f>IF(OR(B784="Total",B784=""),"",IF(VLOOKUP(A785,Journal!$C$7:$E$84,3)=0,"Total",VLOOKUP(A785,Journal!$C$7:$D$84,2)))</f>
        <v/>
      </c>
      <c r="C785" s="86" t="str">
        <f>IF(B785="","",VLOOKUP(A785,Journal!$C$7:$E$84,3))</f>
        <v/>
      </c>
      <c r="D785" s="84" t="str">
        <f>IF(B785="","",VLOOKUP(A785,Journal!$C$7:$J$84,8))</f>
        <v/>
      </c>
      <c r="E785" s="84" t="str">
        <f>IF(B785="","",VLOOKUP(A785,Journal!$C$7:$L$84,10))</f>
        <v/>
      </c>
      <c r="F785" s="84" t="str">
        <f>IF(B785="","",VLOOKUP(A785,Journal!$C$7:$M$84,11))</f>
        <v/>
      </c>
      <c r="G785" s="102">
        <f>IF(B785="Total",SUM(G$8:G784)+0.0001,IF(OR(B785="",M785=0),0,VLOOKUP(A785,Journal!$C$7:M$84,7)))</f>
        <v>0</v>
      </c>
      <c r="H785" s="102">
        <f>IF(B785="Total",SUM(H$8:H784)+0.0001,IF(OR(B785="",N785=0),0,VLOOKUP(A785,Journal!$C$7:M$84,7)))</f>
        <v>0</v>
      </c>
      <c r="I785" s="87">
        <f t="shared" si="76"/>
        <v>0</v>
      </c>
      <c r="K785" s="13">
        <f>VLOOKUP(A785,Journal!$C$7:$M$84,4)</f>
        <v>0</v>
      </c>
      <c r="L785" s="13">
        <f>VLOOKUP(A785,Journal!$C$7:$M$84,5)</f>
        <v>0</v>
      </c>
      <c r="M785" s="13">
        <f t="shared" si="72"/>
        <v>0</v>
      </c>
      <c r="N785" s="13">
        <f t="shared" si="73"/>
        <v>0</v>
      </c>
      <c r="O785" s="13"/>
      <c r="P785" s="13">
        <f t="shared" si="74"/>
        <v>1.0000000000000001E-5</v>
      </c>
      <c r="T785" t="str">
        <f t="shared" si="75"/>
        <v/>
      </c>
    </row>
    <row r="786" spans="1:20" x14ac:dyDescent="0.25">
      <c r="A786">
        <f t="shared" si="77"/>
        <v>779</v>
      </c>
      <c r="B786" s="88" t="str">
        <f>IF(OR(B785="Total",B785=""),"",IF(VLOOKUP(A786,Journal!$C$7:$E$84,3)=0,"Total",VLOOKUP(A786,Journal!$C$7:$D$84,2)))</f>
        <v/>
      </c>
      <c r="C786" s="86" t="str">
        <f>IF(B786="","",VLOOKUP(A786,Journal!$C$7:$E$84,3))</f>
        <v/>
      </c>
      <c r="D786" s="84" t="str">
        <f>IF(B786="","",VLOOKUP(A786,Journal!$C$7:$J$84,8))</f>
        <v/>
      </c>
      <c r="E786" s="84" t="str">
        <f>IF(B786="","",VLOOKUP(A786,Journal!$C$7:$L$84,10))</f>
        <v/>
      </c>
      <c r="F786" s="84" t="str">
        <f>IF(B786="","",VLOOKUP(A786,Journal!$C$7:$M$84,11))</f>
        <v/>
      </c>
      <c r="G786" s="102">
        <f>IF(B786="Total",SUM(G$8:G785)+0.0001,IF(OR(B786="",M786=0),0,VLOOKUP(A786,Journal!$C$7:M$84,7)))</f>
        <v>0</v>
      </c>
      <c r="H786" s="102">
        <f>IF(B786="Total",SUM(H$8:H785)+0.0001,IF(OR(B786="",N786=0),0,VLOOKUP(A786,Journal!$C$7:M$84,7)))</f>
        <v>0</v>
      </c>
      <c r="I786" s="87">
        <f t="shared" si="76"/>
        <v>0</v>
      </c>
      <c r="K786" s="13">
        <f>VLOOKUP(A786,Journal!$C$7:$M$84,4)</f>
        <v>0</v>
      </c>
      <c r="L786" s="13">
        <f>VLOOKUP(A786,Journal!$C$7:$M$84,5)</f>
        <v>0</v>
      </c>
      <c r="M786" s="13">
        <f t="shared" si="72"/>
        <v>0</v>
      </c>
      <c r="N786" s="13">
        <f t="shared" si="73"/>
        <v>0</v>
      </c>
      <c r="O786" s="13"/>
      <c r="P786" s="13">
        <f t="shared" si="74"/>
        <v>1.0000000000000001E-5</v>
      </c>
      <c r="T786" t="str">
        <f t="shared" si="75"/>
        <v/>
      </c>
    </row>
    <row r="787" spans="1:20" x14ac:dyDescent="0.25">
      <c r="A787">
        <f t="shared" si="77"/>
        <v>780</v>
      </c>
      <c r="B787" s="88" t="str">
        <f>IF(OR(B786="Total",B786=""),"",IF(VLOOKUP(A787,Journal!$C$7:$E$84,3)=0,"Total",VLOOKUP(A787,Journal!$C$7:$D$84,2)))</f>
        <v/>
      </c>
      <c r="C787" s="86" t="str">
        <f>IF(B787="","",VLOOKUP(A787,Journal!$C$7:$E$84,3))</f>
        <v/>
      </c>
      <c r="D787" s="84" t="str">
        <f>IF(B787="","",VLOOKUP(A787,Journal!$C$7:$J$84,8))</f>
        <v/>
      </c>
      <c r="E787" s="84" t="str">
        <f>IF(B787="","",VLOOKUP(A787,Journal!$C$7:$L$84,10))</f>
        <v/>
      </c>
      <c r="F787" s="84" t="str">
        <f>IF(B787="","",VLOOKUP(A787,Journal!$C$7:$M$84,11))</f>
        <v/>
      </c>
      <c r="G787" s="102">
        <f>IF(B787="Total",SUM(G$8:G786)+0.0001,IF(OR(B787="",M787=0),0,VLOOKUP(A787,Journal!$C$7:M$84,7)))</f>
        <v>0</v>
      </c>
      <c r="H787" s="102">
        <f>IF(B787="Total",SUM(H$8:H786)+0.0001,IF(OR(B787="",N787=0),0,VLOOKUP(A787,Journal!$C$7:M$84,7)))</f>
        <v>0</v>
      </c>
      <c r="I787" s="87">
        <f t="shared" si="76"/>
        <v>0</v>
      </c>
      <c r="K787" s="13">
        <f>VLOOKUP(A787,Journal!$C$7:$M$84,4)</f>
        <v>0</v>
      </c>
      <c r="L787" s="13">
        <f>VLOOKUP(A787,Journal!$C$7:$M$84,5)</f>
        <v>0</v>
      </c>
      <c r="M787" s="13">
        <f t="shared" si="72"/>
        <v>0</v>
      </c>
      <c r="N787" s="13">
        <f t="shared" si="73"/>
        <v>0</v>
      </c>
      <c r="O787" s="13"/>
      <c r="P787" s="13">
        <f t="shared" si="74"/>
        <v>1.0000000000000001E-5</v>
      </c>
      <c r="T787" t="str">
        <f t="shared" si="75"/>
        <v/>
      </c>
    </row>
    <row r="788" spans="1:20" x14ac:dyDescent="0.25">
      <c r="A788">
        <f t="shared" si="77"/>
        <v>781</v>
      </c>
      <c r="B788" s="88" t="str">
        <f>IF(OR(B787="Total",B787=""),"",IF(VLOOKUP(A788,Journal!$C$7:$E$84,3)=0,"Total",VLOOKUP(A788,Journal!$C$7:$D$84,2)))</f>
        <v/>
      </c>
      <c r="C788" s="86" t="str">
        <f>IF(B788="","",VLOOKUP(A788,Journal!$C$7:$E$84,3))</f>
        <v/>
      </c>
      <c r="D788" s="84" t="str">
        <f>IF(B788="","",VLOOKUP(A788,Journal!$C$7:$J$84,8))</f>
        <v/>
      </c>
      <c r="E788" s="84" t="str">
        <f>IF(B788="","",VLOOKUP(A788,Journal!$C$7:$L$84,10))</f>
        <v/>
      </c>
      <c r="F788" s="84" t="str">
        <f>IF(B788="","",VLOOKUP(A788,Journal!$C$7:$M$84,11))</f>
        <v/>
      </c>
      <c r="G788" s="102">
        <f>IF(B788="Total",SUM(G$8:G787)+0.0001,IF(OR(B788="",M788=0),0,VLOOKUP(A788,Journal!$C$7:M$84,7)))</f>
        <v>0</v>
      </c>
      <c r="H788" s="102">
        <f>IF(B788="Total",SUM(H$8:H787)+0.0001,IF(OR(B788="",N788=0),0,VLOOKUP(A788,Journal!$C$7:M$84,7)))</f>
        <v>0</v>
      </c>
      <c r="I788" s="87">
        <f t="shared" si="76"/>
        <v>0</v>
      </c>
      <c r="K788" s="13">
        <f>VLOOKUP(A788,Journal!$C$7:$M$84,4)</f>
        <v>0</v>
      </c>
      <c r="L788" s="13">
        <f>VLOOKUP(A788,Journal!$C$7:$M$84,5)</f>
        <v>0</v>
      </c>
      <c r="M788" s="13">
        <f t="shared" si="72"/>
        <v>0</v>
      </c>
      <c r="N788" s="13">
        <f t="shared" si="73"/>
        <v>0</v>
      </c>
      <c r="O788" s="13"/>
      <c r="P788" s="13">
        <f t="shared" si="74"/>
        <v>1.0000000000000001E-5</v>
      </c>
      <c r="T788" t="str">
        <f t="shared" si="75"/>
        <v/>
      </c>
    </row>
    <row r="789" spans="1:20" x14ac:dyDescent="0.25">
      <c r="A789">
        <f t="shared" si="77"/>
        <v>782</v>
      </c>
      <c r="B789" s="88" t="str">
        <f>IF(OR(B788="Total",B788=""),"",IF(VLOOKUP(A789,Journal!$C$7:$E$84,3)=0,"Total",VLOOKUP(A789,Journal!$C$7:$D$84,2)))</f>
        <v/>
      </c>
      <c r="C789" s="86" t="str">
        <f>IF(B789="","",VLOOKUP(A789,Journal!$C$7:$E$84,3))</f>
        <v/>
      </c>
      <c r="D789" s="84" t="str">
        <f>IF(B789="","",VLOOKUP(A789,Journal!$C$7:$J$84,8))</f>
        <v/>
      </c>
      <c r="E789" s="84" t="str">
        <f>IF(B789="","",VLOOKUP(A789,Journal!$C$7:$L$84,10))</f>
        <v/>
      </c>
      <c r="F789" s="84" t="str">
        <f>IF(B789="","",VLOOKUP(A789,Journal!$C$7:$M$84,11))</f>
        <v/>
      </c>
      <c r="G789" s="102">
        <f>IF(B789="Total",SUM(G$8:G788)+0.0001,IF(OR(B789="",M789=0),0,VLOOKUP(A789,Journal!$C$7:M$84,7)))</f>
        <v>0</v>
      </c>
      <c r="H789" s="102">
        <f>IF(B789="Total",SUM(H$8:H788)+0.0001,IF(OR(B789="",N789=0),0,VLOOKUP(A789,Journal!$C$7:M$84,7)))</f>
        <v>0</v>
      </c>
      <c r="I789" s="87">
        <f t="shared" si="76"/>
        <v>0</v>
      </c>
      <c r="K789" s="13">
        <f>VLOOKUP(A789,Journal!$C$7:$M$84,4)</f>
        <v>0</v>
      </c>
      <c r="L789" s="13">
        <f>VLOOKUP(A789,Journal!$C$7:$M$84,5)</f>
        <v>0</v>
      </c>
      <c r="M789" s="13">
        <f t="shared" si="72"/>
        <v>0</v>
      </c>
      <c r="N789" s="13">
        <f t="shared" si="73"/>
        <v>0</v>
      </c>
      <c r="O789" s="13"/>
      <c r="P789" s="13">
        <f t="shared" si="74"/>
        <v>1.0000000000000001E-5</v>
      </c>
      <c r="T789" t="str">
        <f t="shared" si="75"/>
        <v/>
      </c>
    </row>
    <row r="790" spans="1:20" x14ac:dyDescent="0.25">
      <c r="A790">
        <f t="shared" si="77"/>
        <v>783</v>
      </c>
      <c r="B790" s="88" t="str">
        <f>IF(OR(B789="Total",B789=""),"",IF(VLOOKUP(A790,Journal!$C$7:$E$84,3)=0,"Total",VLOOKUP(A790,Journal!$C$7:$D$84,2)))</f>
        <v/>
      </c>
      <c r="C790" s="86" t="str">
        <f>IF(B790="","",VLOOKUP(A790,Journal!$C$7:$E$84,3))</f>
        <v/>
      </c>
      <c r="D790" s="84" t="str">
        <f>IF(B790="","",VLOOKUP(A790,Journal!$C$7:$J$84,8))</f>
        <v/>
      </c>
      <c r="E790" s="84" t="str">
        <f>IF(B790="","",VLOOKUP(A790,Journal!$C$7:$L$84,10))</f>
        <v/>
      </c>
      <c r="F790" s="84" t="str">
        <f>IF(B790="","",VLOOKUP(A790,Journal!$C$7:$M$84,11))</f>
        <v/>
      </c>
      <c r="G790" s="102">
        <f>IF(B790="Total",SUM(G$8:G789)+0.0001,IF(OR(B790="",M790=0),0,VLOOKUP(A790,Journal!$C$7:M$84,7)))</f>
        <v>0</v>
      </c>
      <c r="H790" s="102">
        <f>IF(B790="Total",SUM(H$8:H789)+0.0001,IF(OR(B790="",N790=0),0,VLOOKUP(A790,Journal!$C$7:M$84,7)))</f>
        <v>0</v>
      </c>
      <c r="I790" s="87">
        <f t="shared" si="76"/>
        <v>0</v>
      </c>
      <c r="K790" s="13">
        <f>VLOOKUP(A790,Journal!$C$7:$M$84,4)</f>
        <v>0</v>
      </c>
      <c r="L790" s="13">
        <f>VLOOKUP(A790,Journal!$C$7:$M$84,5)</f>
        <v>0</v>
      </c>
      <c r="M790" s="13">
        <f t="shared" si="72"/>
        <v>0</v>
      </c>
      <c r="N790" s="13">
        <f t="shared" si="73"/>
        <v>0</v>
      </c>
      <c r="O790" s="13"/>
      <c r="P790" s="13">
        <f t="shared" si="74"/>
        <v>1.0000000000000001E-5</v>
      </c>
      <c r="T790" t="str">
        <f t="shared" si="75"/>
        <v/>
      </c>
    </row>
    <row r="791" spans="1:20" x14ac:dyDescent="0.25">
      <c r="A791">
        <f t="shared" si="77"/>
        <v>784</v>
      </c>
      <c r="B791" s="88" t="str">
        <f>IF(OR(B790="Total",B790=""),"",IF(VLOOKUP(A791,Journal!$C$7:$E$84,3)=0,"Total",VLOOKUP(A791,Journal!$C$7:$D$84,2)))</f>
        <v/>
      </c>
      <c r="C791" s="86" t="str">
        <f>IF(B791="","",VLOOKUP(A791,Journal!$C$7:$E$84,3))</f>
        <v/>
      </c>
      <c r="D791" s="84" t="str">
        <f>IF(B791="","",VLOOKUP(A791,Journal!$C$7:$J$84,8))</f>
        <v/>
      </c>
      <c r="E791" s="84" t="str">
        <f>IF(B791="","",VLOOKUP(A791,Journal!$C$7:$L$84,10))</f>
        <v/>
      </c>
      <c r="F791" s="84" t="str">
        <f>IF(B791="","",VLOOKUP(A791,Journal!$C$7:$M$84,11))</f>
        <v/>
      </c>
      <c r="G791" s="102">
        <f>IF(B791="Total",SUM(G$8:G790)+0.0001,IF(OR(B791="",M791=0),0,VLOOKUP(A791,Journal!$C$7:M$84,7)))</f>
        <v>0</v>
      </c>
      <c r="H791" s="102">
        <f>IF(B791="Total",SUM(H$8:H790)+0.0001,IF(OR(B791="",N791=0),0,VLOOKUP(A791,Journal!$C$7:M$84,7)))</f>
        <v>0</v>
      </c>
      <c r="I791" s="87">
        <f t="shared" si="76"/>
        <v>0</v>
      </c>
      <c r="K791" s="13">
        <f>VLOOKUP(A791,Journal!$C$7:$M$84,4)</f>
        <v>0</v>
      </c>
      <c r="L791" s="13">
        <f>VLOOKUP(A791,Journal!$C$7:$M$84,5)</f>
        <v>0</v>
      </c>
      <c r="M791" s="13">
        <f t="shared" si="72"/>
        <v>0</v>
      </c>
      <c r="N791" s="13">
        <f t="shared" si="73"/>
        <v>0</v>
      </c>
      <c r="O791" s="13"/>
      <c r="P791" s="13">
        <f t="shared" si="74"/>
        <v>1.0000000000000001E-5</v>
      </c>
      <c r="T791" t="str">
        <f t="shared" si="75"/>
        <v/>
      </c>
    </row>
    <row r="792" spans="1:20" x14ac:dyDescent="0.25">
      <c r="A792">
        <f t="shared" si="77"/>
        <v>785</v>
      </c>
      <c r="B792" s="88" t="str">
        <f>IF(OR(B791="Total",B791=""),"",IF(VLOOKUP(A792,Journal!$C$7:$E$84,3)=0,"Total",VLOOKUP(A792,Journal!$C$7:$D$84,2)))</f>
        <v/>
      </c>
      <c r="C792" s="86" t="str">
        <f>IF(B792="","",VLOOKUP(A792,Journal!$C$7:$E$84,3))</f>
        <v/>
      </c>
      <c r="D792" s="84" t="str">
        <f>IF(B792="","",VLOOKUP(A792,Journal!$C$7:$J$84,8))</f>
        <v/>
      </c>
      <c r="E792" s="84" t="str">
        <f>IF(B792="","",VLOOKUP(A792,Journal!$C$7:$L$84,10))</f>
        <v/>
      </c>
      <c r="F792" s="84" t="str">
        <f>IF(B792="","",VLOOKUP(A792,Journal!$C$7:$M$84,11))</f>
        <v/>
      </c>
      <c r="G792" s="102">
        <f>IF(B792="Total",SUM(G$8:G791)+0.0001,IF(OR(B792="",M792=0),0,VLOOKUP(A792,Journal!$C$7:M$84,7)))</f>
        <v>0</v>
      </c>
      <c r="H792" s="102">
        <f>IF(B792="Total",SUM(H$8:H791)+0.0001,IF(OR(B792="",N792=0),0,VLOOKUP(A792,Journal!$C$7:M$84,7)))</f>
        <v>0</v>
      </c>
      <c r="I792" s="87">
        <f t="shared" si="76"/>
        <v>0</v>
      </c>
      <c r="K792" s="13">
        <f>VLOOKUP(A792,Journal!$C$7:$M$84,4)</f>
        <v>0</v>
      </c>
      <c r="L792" s="13">
        <f>VLOOKUP(A792,Journal!$C$7:$M$84,5)</f>
        <v>0</v>
      </c>
      <c r="M792" s="13">
        <f t="shared" si="72"/>
        <v>0</v>
      </c>
      <c r="N792" s="13">
        <f t="shared" si="73"/>
        <v>0</v>
      </c>
      <c r="O792" s="13"/>
      <c r="P792" s="13">
        <f t="shared" si="74"/>
        <v>1.0000000000000001E-5</v>
      </c>
      <c r="T792" t="str">
        <f t="shared" si="75"/>
        <v/>
      </c>
    </row>
    <row r="793" spans="1:20" x14ac:dyDescent="0.25">
      <c r="A793">
        <f t="shared" si="77"/>
        <v>786</v>
      </c>
      <c r="B793" s="88" t="str">
        <f>IF(OR(B792="Total",B792=""),"",IF(VLOOKUP(A793,Journal!$C$7:$E$84,3)=0,"Total",VLOOKUP(A793,Journal!$C$7:$D$84,2)))</f>
        <v/>
      </c>
      <c r="C793" s="86" t="str">
        <f>IF(B793="","",VLOOKUP(A793,Journal!$C$7:$E$84,3))</f>
        <v/>
      </c>
      <c r="D793" s="84" t="str">
        <f>IF(B793="","",VLOOKUP(A793,Journal!$C$7:$J$84,8))</f>
        <v/>
      </c>
      <c r="E793" s="84" t="str">
        <f>IF(B793="","",VLOOKUP(A793,Journal!$C$7:$L$84,10))</f>
        <v/>
      </c>
      <c r="F793" s="84" t="str">
        <f>IF(B793="","",VLOOKUP(A793,Journal!$C$7:$M$84,11))</f>
        <v/>
      </c>
      <c r="G793" s="102">
        <f>IF(B793="Total",SUM(G$8:G792)+0.0001,IF(OR(B793="",M793=0),0,VLOOKUP(A793,Journal!$C$7:M$84,7)))</f>
        <v>0</v>
      </c>
      <c r="H793" s="102">
        <f>IF(B793="Total",SUM(H$8:H792)+0.0001,IF(OR(B793="",N793=0),0,VLOOKUP(A793,Journal!$C$7:M$84,7)))</f>
        <v>0</v>
      </c>
      <c r="I793" s="87">
        <f t="shared" si="76"/>
        <v>0</v>
      </c>
      <c r="K793" s="13">
        <f>VLOOKUP(A793,Journal!$C$7:$M$84,4)</f>
        <v>0</v>
      </c>
      <c r="L793" s="13">
        <f>VLOOKUP(A793,Journal!$C$7:$M$84,5)</f>
        <v>0</v>
      </c>
      <c r="M793" s="13">
        <f t="shared" ref="M793:M856" si="78">IF(AND(L793&gt;=$F$1,L793&lt;9999),1,0)</f>
        <v>0</v>
      </c>
      <c r="N793" s="13">
        <f t="shared" ref="N793:N856" si="79">IF(AND(K793&gt;=$F$1,K793&lt;9999),1,0)</f>
        <v>0</v>
      </c>
      <c r="O793" s="13"/>
      <c r="P793" s="13">
        <f t="shared" ref="P793:P856" si="80">IF(I792=I793,I792+0.00001,I793)</f>
        <v>1.0000000000000001E-5</v>
      </c>
      <c r="T793" t="str">
        <f t="shared" si="75"/>
        <v/>
      </c>
    </row>
    <row r="794" spans="1:20" x14ac:dyDescent="0.25">
      <c r="A794">
        <f t="shared" si="77"/>
        <v>787</v>
      </c>
      <c r="B794" s="88" t="str">
        <f>IF(OR(B793="Total",B793=""),"",IF(VLOOKUP(A794,Journal!$C$7:$E$84,3)=0,"Total",VLOOKUP(A794,Journal!$C$7:$D$84,2)))</f>
        <v/>
      </c>
      <c r="C794" s="86" t="str">
        <f>IF(B794="","",VLOOKUP(A794,Journal!$C$7:$E$84,3))</f>
        <v/>
      </c>
      <c r="D794" s="84" t="str">
        <f>IF(B794="","",VLOOKUP(A794,Journal!$C$7:$J$84,8))</f>
        <v/>
      </c>
      <c r="E794" s="84" t="str">
        <f>IF(B794="","",VLOOKUP(A794,Journal!$C$7:$L$84,10))</f>
        <v/>
      </c>
      <c r="F794" s="84" t="str">
        <f>IF(B794="","",VLOOKUP(A794,Journal!$C$7:$M$84,11))</f>
        <v/>
      </c>
      <c r="G794" s="102">
        <f>IF(B794="Total",SUM(G$8:G793)+0.0001,IF(OR(B794="",M794=0),0,VLOOKUP(A794,Journal!$C$7:M$84,7)))</f>
        <v>0</v>
      </c>
      <c r="H794" s="102">
        <f>IF(B794="Total",SUM(H$8:H793)+0.0001,IF(OR(B794="",N794=0),0,VLOOKUP(A794,Journal!$C$7:M$84,7)))</f>
        <v>0</v>
      </c>
      <c r="I794" s="87">
        <f t="shared" si="76"/>
        <v>0</v>
      </c>
      <c r="K794" s="13">
        <f>VLOOKUP(A794,Journal!$C$7:$M$84,4)</f>
        <v>0</v>
      </c>
      <c r="L794" s="13">
        <f>VLOOKUP(A794,Journal!$C$7:$M$84,5)</f>
        <v>0</v>
      </c>
      <c r="M794" s="13">
        <f t="shared" si="78"/>
        <v>0</v>
      </c>
      <c r="N794" s="13">
        <f t="shared" si="79"/>
        <v>0</v>
      </c>
      <c r="O794" s="13"/>
      <c r="P794" s="13">
        <f t="shared" si="80"/>
        <v>1.0000000000000001E-5</v>
      </c>
      <c r="T794" t="str">
        <f t="shared" si="75"/>
        <v/>
      </c>
    </row>
    <row r="795" spans="1:20" x14ac:dyDescent="0.25">
      <c r="A795">
        <f t="shared" si="77"/>
        <v>788</v>
      </c>
      <c r="B795" s="88" t="str">
        <f>IF(OR(B794="Total",B794=""),"",IF(VLOOKUP(A795,Journal!$C$7:$E$84,3)=0,"Total",VLOOKUP(A795,Journal!$C$7:$D$84,2)))</f>
        <v/>
      </c>
      <c r="C795" s="86" t="str">
        <f>IF(B795="","",VLOOKUP(A795,Journal!$C$7:$E$84,3))</f>
        <v/>
      </c>
      <c r="D795" s="84" t="str">
        <f>IF(B795="","",VLOOKUP(A795,Journal!$C$7:$J$84,8))</f>
        <v/>
      </c>
      <c r="E795" s="84" t="str">
        <f>IF(B795="","",VLOOKUP(A795,Journal!$C$7:$L$84,10))</f>
        <v/>
      </c>
      <c r="F795" s="84" t="str">
        <f>IF(B795="","",VLOOKUP(A795,Journal!$C$7:$M$84,11))</f>
        <v/>
      </c>
      <c r="G795" s="102">
        <f>IF(B795="Total",SUM(G$8:G794)+0.0001,IF(OR(B795="",M795=0),0,VLOOKUP(A795,Journal!$C$7:M$84,7)))</f>
        <v>0</v>
      </c>
      <c r="H795" s="102">
        <f>IF(B795="Total",SUM(H$8:H794)+0.0001,IF(OR(B795="",N795=0),0,VLOOKUP(A795,Journal!$C$7:M$84,7)))</f>
        <v>0</v>
      </c>
      <c r="I795" s="87">
        <f t="shared" si="76"/>
        <v>0</v>
      </c>
      <c r="K795" s="13">
        <f>VLOOKUP(A795,Journal!$C$7:$M$84,4)</f>
        <v>0</v>
      </c>
      <c r="L795" s="13">
        <f>VLOOKUP(A795,Journal!$C$7:$M$84,5)</f>
        <v>0</v>
      </c>
      <c r="M795" s="13">
        <f t="shared" si="78"/>
        <v>0</v>
      </c>
      <c r="N795" s="13">
        <f t="shared" si="79"/>
        <v>0</v>
      </c>
      <c r="O795" s="13"/>
      <c r="P795" s="13">
        <f t="shared" si="80"/>
        <v>1.0000000000000001E-5</v>
      </c>
      <c r="T795" t="str">
        <f t="shared" si="75"/>
        <v/>
      </c>
    </row>
    <row r="796" spans="1:20" x14ac:dyDescent="0.25">
      <c r="A796">
        <f t="shared" si="77"/>
        <v>789</v>
      </c>
      <c r="B796" s="88" t="str">
        <f>IF(OR(B795="Total",B795=""),"",IF(VLOOKUP(A796,Journal!$C$7:$E$84,3)=0,"Total",VLOOKUP(A796,Journal!$C$7:$D$84,2)))</f>
        <v/>
      </c>
      <c r="C796" s="86" t="str">
        <f>IF(B796="","",VLOOKUP(A796,Journal!$C$7:$E$84,3))</f>
        <v/>
      </c>
      <c r="D796" s="84" t="str">
        <f>IF(B796="","",VLOOKUP(A796,Journal!$C$7:$J$84,8))</f>
        <v/>
      </c>
      <c r="E796" s="84" t="str">
        <f>IF(B796="","",VLOOKUP(A796,Journal!$C$7:$L$84,10))</f>
        <v/>
      </c>
      <c r="F796" s="84" t="str">
        <f>IF(B796="","",VLOOKUP(A796,Journal!$C$7:$M$84,11))</f>
        <v/>
      </c>
      <c r="G796" s="102">
        <f>IF(B796="Total",SUM(G$8:G795)+0.0001,IF(OR(B796="",M796=0),0,VLOOKUP(A796,Journal!$C$7:M$84,7)))</f>
        <v>0</v>
      </c>
      <c r="H796" s="102">
        <f>IF(B796="Total",SUM(H$8:H795)+0.0001,IF(OR(B796="",N796=0),0,VLOOKUP(A796,Journal!$C$7:M$84,7)))</f>
        <v>0</v>
      </c>
      <c r="I796" s="87">
        <f t="shared" si="76"/>
        <v>0</v>
      </c>
      <c r="K796" s="13">
        <f>VLOOKUP(A796,Journal!$C$7:$M$84,4)</f>
        <v>0</v>
      </c>
      <c r="L796" s="13">
        <f>VLOOKUP(A796,Journal!$C$7:$M$84,5)</f>
        <v>0</v>
      </c>
      <c r="M796" s="13">
        <f t="shared" si="78"/>
        <v>0</v>
      </c>
      <c r="N796" s="13">
        <f t="shared" si="79"/>
        <v>0</v>
      </c>
      <c r="O796" s="13"/>
      <c r="P796" s="13">
        <f t="shared" si="80"/>
        <v>1.0000000000000001E-5</v>
      </c>
      <c r="T796" t="str">
        <f t="shared" si="75"/>
        <v/>
      </c>
    </row>
    <row r="797" spans="1:20" x14ac:dyDescent="0.25">
      <c r="A797">
        <f t="shared" si="77"/>
        <v>790</v>
      </c>
      <c r="B797" s="88" t="str">
        <f>IF(OR(B796="Total",B796=""),"",IF(VLOOKUP(A797,Journal!$C$7:$E$84,3)=0,"Total",VLOOKUP(A797,Journal!$C$7:$D$84,2)))</f>
        <v/>
      </c>
      <c r="C797" s="86" t="str">
        <f>IF(B797="","",VLOOKUP(A797,Journal!$C$7:$E$84,3))</f>
        <v/>
      </c>
      <c r="D797" s="84" t="str">
        <f>IF(B797="","",VLOOKUP(A797,Journal!$C$7:$J$84,8))</f>
        <v/>
      </c>
      <c r="E797" s="84" t="str">
        <f>IF(B797="","",VLOOKUP(A797,Journal!$C$7:$L$84,10))</f>
        <v/>
      </c>
      <c r="F797" s="84" t="str">
        <f>IF(B797="","",VLOOKUP(A797,Journal!$C$7:$M$84,11))</f>
        <v/>
      </c>
      <c r="G797" s="102">
        <f>IF(B797="Total",SUM(G$8:G796)+0.0001,IF(OR(B797="",M797=0),0,VLOOKUP(A797,Journal!$C$7:M$84,7)))</f>
        <v>0</v>
      </c>
      <c r="H797" s="102">
        <f>IF(B797="Total",SUM(H$8:H796)+0.0001,IF(OR(B797="",N797=0),0,VLOOKUP(A797,Journal!$C$7:M$84,7)))</f>
        <v>0</v>
      </c>
      <c r="I797" s="87">
        <f t="shared" si="76"/>
        <v>0</v>
      </c>
      <c r="K797" s="13">
        <f>VLOOKUP(A797,Journal!$C$7:$M$84,4)</f>
        <v>0</v>
      </c>
      <c r="L797" s="13">
        <f>VLOOKUP(A797,Journal!$C$7:$M$84,5)</f>
        <v>0</v>
      </c>
      <c r="M797" s="13">
        <f t="shared" si="78"/>
        <v>0</v>
      </c>
      <c r="N797" s="13">
        <f t="shared" si="79"/>
        <v>0</v>
      </c>
      <c r="O797" s="13"/>
      <c r="P797" s="13">
        <f t="shared" si="80"/>
        <v>1.0000000000000001E-5</v>
      </c>
      <c r="T797" t="str">
        <f t="shared" si="75"/>
        <v/>
      </c>
    </row>
    <row r="798" spans="1:20" x14ac:dyDescent="0.25">
      <c r="A798">
        <f t="shared" si="77"/>
        <v>791</v>
      </c>
      <c r="B798" s="88" t="str">
        <f>IF(OR(B797="Total",B797=""),"",IF(VLOOKUP(A798,Journal!$C$7:$E$84,3)=0,"Total",VLOOKUP(A798,Journal!$C$7:$D$84,2)))</f>
        <v/>
      </c>
      <c r="C798" s="86" t="str">
        <f>IF(B798="","",VLOOKUP(A798,Journal!$C$7:$E$84,3))</f>
        <v/>
      </c>
      <c r="D798" s="84" t="str">
        <f>IF(B798="","",VLOOKUP(A798,Journal!$C$7:$J$84,8))</f>
        <v/>
      </c>
      <c r="E798" s="84" t="str">
        <f>IF(B798="","",VLOOKUP(A798,Journal!$C$7:$L$84,10))</f>
        <v/>
      </c>
      <c r="F798" s="84" t="str">
        <f>IF(B798="","",VLOOKUP(A798,Journal!$C$7:$M$84,11))</f>
        <v/>
      </c>
      <c r="G798" s="102">
        <f>IF(B798="Total",SUM(G$8:G797)+0.0001,IF(OR(B798="",M798=0),0,VLOOKUP(A798,Journal!$C$7:M$84,7)))</f>
        <v>0</v>
      </c>
      <c r="H798" s="102">
        <f>IF(B798="Total",SUM(H$8:H797)+0.0001,IF(OR(B798="",N798=0),0,VLOOKUP(A798,Journal!$C$7:M$84,7)))</f>
        <v>0</v>
      </c>
      <c r="I798" s="87">
        <f t="shared" si="76"/>
        <v>0</v>
      </c>
      <c r="K798" s="13">
        <f>VLOOKUP(A798,Journal!$C$7:$M$84,4)</f>
        <v>0</v>
      </c>
      <c r="L798" s="13">
        <f>VLOOKUP(A798,Journal!$C$7:$M$84,5)</f>
        <v>0</v>
      </c>
      <c r="M798" s="13">
        <f t="shared" si="78"/>
        <v>0</v>
      </c>
      <c r="N798" s="13">
        <f t="shared" si="79"/>
        <v>0</v>
      </c>
      <c r="O798" s="13"/>
      <c r="P798" s="13">
        <f t="shared" si="80"/>
        <v>1.0000000000000001E-5</v>
      </c>
      <c r="T798" t="str">
        <f t="shared" si="75"/>
        <v/>
      </c>
    </row>
    <row r="799" spans="1:20" x14ac:dyDescent="0.25">
      <c r="A799">
        <f t="shared" si="77"/>
        <v>792</v>
      </c>
      <c r="B799" s="88" t="str">
        <f>IF(OR(B798="Total",B798=""),"",IF(VLOOKUP(A799,Journal!$C$7:$E$84,3)=0,"Total",VLOOKUP(A799,Journal!$C$7:$D$84,2)))</f>
        <v/>
      </c>
      <c r="C799" s="86" t="str">
        <f>IF(B799="","",VLOOKUP(A799,Journal!$C$7:$E$84,3))</f>
        <v/>
      </c>
      <c r="D799" s="84" t="str">
        <f>IF(B799="","",VLOOKUP(A799,Journal!$C$7:$J$84,8))</f>
        <v/>
      </c>
      <c r="E799" s="84" t="str">
        <f>IF(B799="","",VLOOKUP(A799,Journal!$C$7:$L$84,10))</f>
        <v/>
      </c>
      <c r="F799" s="84" t="str">
        <f>IF(B799="","",VLOOKUP(A799,Journal!$C$7:$M$84,11))</f>
        <v/>
      </c>
      <c r="G799" s="102">
        <f>IF(B799="Total",SUM(G$8:G798)+0.0001,IF(OR(B799="",M799=0),0,VLOOKUP(A799,Journal!$C$7:M$84,7)))</f>
        <v>0</v>
      </c>
      <c r="H799" s="102">
        <f>IF(B799="Total",SUM(H$8:H798)+0.0001,IF(OR(B799="",N799=0),0,VLOOKUP(A799,Journal!$C$7:M$84,7)))</f>
        <v>0</v>
      </c>
      <c r="I799" s="87">
        <f t="shared" si="76"/>
        <v>0</v>
      </c>
      <c r="K799" s="13">
        <f>VLOOKUP(A799,Journal!$C$7:$M$84,4)</f>
        <v>0</v>
      </c>
      <c r="L799" s="13">
        <f>VLOOKUP(A799,Journal!$C$7:$M$84,5)</f>
        <v>0</v>
      </c>
      <c r="M799" s="13">
        <f t="shared" si="78"/>
        <v>0</v>
      </c>
      <c r="N799" s="13">
        <f t="shared" si="79"/>
        <v>0</v>
      </c>
      <c r="O799" s="13"/>
      <c r="P799" s="13">
        <f t="shared" si="80"/>
        <v>1.0000000000000001E-5</v>
      </c>
      <c r="T799" t="str">
        <f t="shared" si="75"/>
        <v/>
      </c>
    </row>
    <row r="800" spans="1:20" x14ac:dyDescent="0.25">
      <c r="A800">
        <f t="shared" si="77"/>
        <v>793</v>
      </c>
      <c r="B800" s="88" t="str">
        <f>IF(OR(B799="Total",B799=""),"",IF(VLOOKUP(A800,Journal!$C$7:$E$84,3)=0,"Total",VLOOKUP(A800,Journal!$C$7:$D$84,2)))</f>
        <v/>
      </c>
      <c r="C800" s="86" t="str">
        <f>IF(B800="","",VLOOKUP(A800,Journal!$C$7:$E$84,3))</f>
        <v/>
      </c>
      <c r="D800" s="84" t="str">
        <f>IF(B800="","",VLOOKUP(A800,Journal!$C$7:$J$84,8))</f>
        <v/>
      </c>
      <c r="E800" s="84" t="str">
        <f>IF(B800="","",VLOOKUP(A800,Journal!$C$7:$L$84,10))</f>
        <v/>
      </c>
      <c r="F800" s="84" t="str">
        <f>IF(B800="","",VLOOKUP(A800,Journal!$C$7:$M$84,11))</f>
        <v/>
      </c>
      <c r="G800" s="102">
        <f>IF(B800="Total",SUM(G$8:G799)+0.0001,IF(OR(B800="",M800=0),0,VLOOKUP(A800,Journal!$C$7:M$84,7)))</f>
        <v>0</v>
      </c>
      <c r="H800" s="102">
        <f>IF(B800="Total",SUM(H$8:H799)+0.0001,IF(OR(B800="",N800=0),0,VLOOKUP(A800,Journal!$C$7:M$84,7)))</f>
        <v>0</v>
      </c>
      <c r="I800" s="87">
        <f t="shared" si="76"/>
        <v>0</v>
      </c>
      <c r="K800" s="13">
        <f>VLOOKUP(A800,Journal!$C$7:$M$84,4)</f>
        <v>0</v>
      </c>
      <c r="L800" s="13">
        <f>VLOOKUP(A800,Journal!$C$7:$M$84,5)</f>
        <v>0</v>
      </c>
      <c r="M800" s="13">
        <f t="shared" si="78"/>
        <v>0</v>
      </c>
      <c r="N800" s="13">
        <f t="shared" si="79"/>
        <v>0</v>
      </c>
      <c r="O800" s="13"/>
      <c r="P800" s="13">
        <f t="shared" si="80"/>
        <v>1.0000000000000001E-5</v>
      </c>
      <c r="T800" t="str">
        <f t="shared" si="75"/>
        <v/>
      </c>
    </row>
    <row r="801" spans="1:20" x14ac:dyDescent="0.25">
      <c r="A801">
        <f t="shared" si="77"/>
        <v>794</v>
      </c>
      <c r="B801" s="88" t="str">
        <f>IF(OR(B800="Total",B800=""),"",IF(VLOOKUP(A801,Journal!$C$7:$E$84,3)=0,"Total",VLOOKUP(A801,Journal!$C$7:$D$84,2)))</f>
        <v/>
      </c>
      <c r="C801" s="86" t="str">
        <f>IF(B801="","",VLOOKUP(A801,Journal!$C$7:$E$84,3))</f>
        <v/>
      </c>
      <c r="D801" s="84" t="str">
        <f>IF(B801="","",VLOOKUP(A801,Journal!$C$7:$J$84,8))</f>
        <v/>
      </c>
      <c r="E801" s="84" t="str">
        <f>IF(B801="","",VLOOKUP(A801,Journal!$C$7:$L$84,10))</f>
        <v/>
      </c>
      <c r="F801" s="84" t="str">
        <f>IF(B801="","",VLOOKUP(A801,Journal!$C$7:$M$84,11))</f>
        <v/>
      </c>
      <c r="G801" s="102">
        <f>IF(B801="Total",SUM(G$8:G800)+0.0001,IF(OR(B801="",M801=0),0,VLOOKUP(A801,Journal!$C$7:M$84,7)))</f>
        <v>0</v>
      </c>
      <c r="H801" s="102">
        <f>IF(B801="Total",SUM(H$8:H800)+0.0001,IF(OR(B801="",N801=0),0,VLOOKUP(A801,Journal!$C$7:M$84,7)))</f>
        <v>0</v>
      </c>
      <c r="I801" s="87">
        <f t="shared" si="76"/>
        <v>0</v>
      </c>
      <c r="K801" s="13">
        <f>VLOOKUP(A801,Journal!$C$7:$M$84,4)</f>
        <v>0</v>
      </c>
      <c r="L801" s="13">
        <f>VLOOKUP(A801,Journal!$C$7:$M$84,5)</f>
        <v>0</v>
      </c>
      <c r="M801" s="13">
        <f t="shared" si="78"/>
        <v>0</v>
      </c>
      <c r="N801" s="13">
        <f t="shared" si="79"/>
        <v>0</v>
      </c>
      <c r="O801" s="13"/>
      <c r="P801" s="13">
        <f t="shared" si="80"/>
        <v>1.0000000000000001E-5</v>
      </c>
      <c r="T801" t="str">
        <f t="shared" si="75"/>
        <v/>
      </c>
    </row>
    <row r="802" spans="1:20" x14ac:dyDescent="0.25">
      <c r="A802">
        <f t="shared" si="77"/>
        <v>795</v>
      </c>
      <c r="B802" s="88" t="str">
        <f>IF(OR(B801="Total",B801=""),"",IF(VLOOKUP(A802,Journal!$C$7:$E$84,3)=0,"Total",VLOOKUP(A802,Journal!$C$7:$D$84,2)))</f>
        <v/>
      </c>
      <c r="C802" s="86" t="str">
        <f>IF(B802="","",VLOOKUP(A802,Journal!$C$7:$E$84,3))</f>
        <v/>
      </c>
      <c r="D802" s="84" t="str">
        <f>IF(B802="","",VLOOKUP(A802,Journal!$C$7:$J$84,8))</f>
        <v/>
      </c>
      <c r="E802" s="84" t="str">
        <f>IF(B802="","",VLOOKUP(A802,Journal!$C$7:$L$84,10))</f>
        <v/>
      </c>
      <c r="F802" s="84" t="str">
        <f>IF(B802="","",VLOOKUP(A802,Journal!$C$7:$M$84,11))</f>
        <v/>
      </c>
      <c r="G802" s="102">
        <f>IF(B802="Total",SUM(G$8:G801)+0.0001,IF(OR(B802="",M802=0),0,VLOOKUP(A802,Journal!$C$7:M$84,7)))</f>
        <v>0</v>
      </c>
      <c r="H802" s="102">
        <f>IF(B802="Total",SUM(H$8:H801)+0.0001,IF(OR(B802="",N802=0),0,VLOOKUP(A802,Journal!$C$7:M$84,7)))</f>
        <v>0</v>
      </c>
      <c r="I802" s="87">
        <f t="shared" si="76"/>
        <v>0</v>
      </c>
      <c r="K802" s="13">
        <f>VLOOKUP(A802,Journal!$C$7:$M$84,4)</f>
        <v>0</v>
      </c>
      <c r="L802" s="13">
        <f>VLOOKUP(A802,Journal!$C$7:$M$84,5)</f>
        <v>0</v>
      </c>
      <c r="M802" s="13">
        <f t="shared" si="78"/>
        <v>0</v>
      </c>
      <c r="N802" s="13">
        <f t="shared" si="79"/>
        <v>0</v>
      </c>
      <c r="O802" s="13"/>
      <c r="P802" s="13">
        <f t="shared" si="80"/>
        <v>1.0000000000000001E-5</v>
      </c>
      <c r="T802" t="str">
        <f t="shared" si="75"/>
        <v/>
      </c>
    </row>
    <row r="803" spans="1:20" x14ac:dyDescent="0.25">
      <c r="A803">
        <f t="shared" si="77"/>
        <v>796</v>
      </c>
      <c r="B803" s="88" t="str">
        <f>IF(OR(B802="Total",B802=""),"",IF(VLOOKUP(A803,Journal!$C$7:$E$84,3)=0,"Total",VLOOKUP(A803,Journal!$C$7:$D$84,2)))</f>
        <v/>
      </c>
      <c r="C803" s="86" t="str">
        <f>IF(B803="","",VLOOKUP(A803,Journal!$C$7:$E$84,3))</f>
        <v/>
      </c>
      <c r="D803" s="84" t="str">
        <f>IF(B803="","",VLOOKUP(A803,Journal!$C$7:$J$84,8))</f>
        <v/>
      </c>
      <c r="E803" s="84" t="str">
        <f>IF(B803="","",VLOOKUP(A803,Journal!$C$7:$L$84,10))</f>
        <v/>
      </c>
      <c r="F803" s="84" t="str">
        <f>IF(B803="","",VLOOKUP(A803,Journal!$C$7:$M$84,11))</f>
        <v/>
      </c>
      <c r="G803" s="102">
        <f>IF(B803="Total",SUM(G$8:G802)+0.0001,IF(OR(B803="",M803=0),0,VLOOKUP(A803,Journal!$C$7:M$84,7)))</f>
        <v>0</v>
      </c>
      <c r="H803" s="102">
        <f>IF(B803="Total",SUM(H$8:H802)+0.0001,IF(OR(B803="",N803=0),0,VLOOKUP(A803,Journal!$C$7:M$84,7)))</f>
        <v>0</v>
      </c>
      <c r="I803" s="87">
        <f t="shared" si="76"/>
        <v>0</v>
      </c>
      <c r="K803" s="13">
        <f>VLOOKUP(A803,Journal!$C$7:$M$84,4)</f>
        <v>0</v>
      </c>
      <c r="L803" s="13">
        <f>VLOOKUP(A803,Journal!$C$7:$M$84,5)</f>
        <v>0</v>
      </c>
      <c r="M803" s="13">
        <f t="shared" si="78"/>
        <v>0</v>
      </c>
      <c r="N803" s="13">
        <f t="shared" si="79"/>
        <v>0</v>
      </c>
      <c r="O803" s="13"/>
      <c r="P803" s="13">
        <f t="shared" si="80"/>
        <v>1.0000000000000001E-5</v>
      </c>
      <c r="T803" t="str">
        <f t="shared" si="75"/>
        <v/>
      </c>
    </row>
    <row r="804" spans="1:20" x14ac:dyDescent="0.25">
      <c r="A804">
        <f t="shared" si="77"/>
        <v>797</v>
      </c>
      <c r="B804" s="88" t="str">
        <f>IF(OR(B803="Total",B803=""),"",IF(VLOOKUP(A804,Journal!$C$7:$E$84,3)=0,"Total",VLOOKUP(A804,Journal!$C$7:$D$84,2)))</f>
        <v/>
      </c>
      <c r="C804" s="86" t="str">
        <f>IF(B804="","",VLOOKUP(A804,Journal!$C$7:$E$84,3))</f>
        <v/>
      </c>
      <c r="D804" s="84" t="str">
        <f>IF(B804="","",VLOOKUP(A804,Journal!$C$7:$J$84,8))</f>
        <v/>
      </c>
      <c r="E804" s="84" t="str">
        <f>IF(B804="","",VLOOKUP(A804,Journal!$C$7:$L$84,10))</f>
        <v/>
      </c>
      <c r="F804" s="84" t="str">
        <f>IF(B804="","",VLOOKUP(A804,Journal!$C$7:$M$84,11))</f>
        <v/>
      </c>
      <c r="G804" s="102">
        <f>IF(B804="Total",SUM(G$8:G803)+0.0001,IF(OR(B804="",M804=0),0,VLOOKUP(A804,Journal!$C$7:M$84,7)))</f>
        <v>0</v>
      </c>
      <c r="H804" s="102">
        <f>IF(B804="Total",SUM(H$8:H803)+0.0001,IF(OR(B804="",N804=0),0,VLOOKUP(A804,Journal!$C$7:M$84,7)))</f>
        <v>0</v>
      </c>
      <c r="I804" s="87">
        <f t="shared" si="76"/>
        <v>0</v>
      </c>
      <c r="K804" s="13">
        <f>VLOOKUP(A804,Journal!$C$7:$M$84,4)</f>
        <v>0</v>
      </c>
      <c r="L804" s="13">
        <f>VLOOKUP(A804,Journal!$C$7:$M$84,5)</f>
        <v>0</v>
      </c>
      <c r="M804" s="13">
        <f t="shared" si="78"/>
        <v>0</v>
      </c>
      <c r="N804" s="13">
        <f t="shared" si="79"/>
        <v>0</v>
      </c>
      <c r="O804" s="13"/>
      <c r="P804" s="13">
        <f t="shared" si="80"/>
        <v>1.0000000000000001E-5</v>
      </c>
      <c r="T804" t="str">
        <f t="shared" si="75"/>
        <v/>
      </c>
    </row>
    <row r="805" spans="1:20" x14ac:dyDescent="0.25">
      <c r="A805">
        <f t="shared" si="77"/>
        <v>798</v>
      </c>
      <c r="B805" s="88" t="str">
        <f>IF(OR(B804="Total",B804=""),"",IF(VLOOKUP(A805,Journal!$C$7:$E$84,3)=0,"Total",VLOOKUP(A805,Journal!$C$7:$D$84,2)))</f>
        <v/>
      </c>
      <c r="C805" s="86" t="str">
        <f>IF(B805="","",VLOOKUP(A805,Journal!$C$7:$E$84,3))</f>
        <v/>
      </c>
      <c r="D805" s="84" t="str">
        <f>IF(B805="","",VLOOKUP(A805,Journal!$C$7:$J$84,8))</f>
        <v/>
      </c>
      <c r="E805" s="84" t="str">
        <f>IF(B805="","",VLOOKUP(A805,Journal!$C$7:$L$84,10))</f>
        <v/>
      </c>
      <c r="F805" s="84" t="str">
        <f>IF(B805="","",VLOOKUP(A805,Journal!$C$7:$M$84,11))</f>
        <v/>
      </c>
      <c r="G805" s="102">
        <f>IF(B805="Total",SUM(G$8:G804)+0.0001,IF(OR(B805="",M805=0),0,VLOOKUP(A805,Journal!$C$7:M$84,7)))</f>
        <v>0</v>
      </c>
      <c r="H805" s="102">
        <f>IF(B805="Total",SUM(H$8:H804)+0.0001,IF(OR(B805="",N805=0),0,VLOOKUP(A805,Journal!$C$7:M$84,7)))</f>
        <v>0</v>
      </c>
      <c r="I805" s="87">
        <f t="shared" si="76"/>
        <v>0</v>
      </c>
      <c r="K805" s="13">
        <f>VLOOKUP(A805,Journal!$C$7:$M$84,4)</f>
        <v>0</v>
      </c>
      <c r="L805" s="13">
        <f>VLOOKUP(A805,Journal!$C$7:$M$84,5)</f>
        <v>0</v>
      </c>
      <c r="M805" s="13">
        <f t="shared" si="78"/>
        <v>0</v>
      </c>
      <c r="N805" s="13">
        <f t="shared" si="79"/>
        <v>0</v>
      </c>
      <c r="O805" s="13"/>
      <c r="P805" s="13">
        <f t="shared" si="80"/>
        <v>1.0000000000000001E-5</v>
      </c>
      <c r="T805" t="str">
        <f t="shared" si="75"/>
        <v/>
      </c>
    </row>
    <row r="806" spans="1:20" x14ac:dyDescent="0.25">
      <c r="A806">
        <f t="shared" si="77"/>
        <v>799</v>
      </c>
      <c r="B806" s="88" t="str">
        <f>IF(OR(B805="Total",B805=""),"",IF(VLOOKUP(A806,Journal!$C$7:$E$84,3)=0,"Total",VLOOKUP(A806,Journal!$C$7:$D$84,2)))</f>
        <v/>
      </c>
      <c r="C806" s="86" t="str">
        <f>IF(B806="","",VLOOKUP(A806,Journal!$C$7:$E$84,3))</f>
        <v/>
      </c>
      <c r="D806" s="84" t="str">
        <f>IF(B806="","",VLOOKUP(A806,Journal!$C$7:$J$84,8))</f>
        <v/>
      </c>
      <c r="E806" s="84" t="str">
        <f>IF(B806="","",VLOOKUP(A806,Journal!$C$7:$L$84,10))</f>
        <v/>
      </c>
      <c r="F806" s="84" t="str">
        <f>IF(B806="","",VLOOKUP(A806,Journal!$C$7:$M$84,11))</f>
        <v/>
      </c>
      <c r="G806" s="102">
        <f>IF(B806="Total",SUM(G$8:G805)+0.0001,IF(OR(B806="",M806=0),0,VLOOKUP(A806,Journal!$C$7:M$84,7)))</f>
        <v>0</v>
      </c>
      <c r="H806" s="102">
        <f>IF(B806="Total",SUM(H$8:H805)+0.0001,IF(OR(B806="",N806=0),0,VLOOKUP(A806,Journal!$C$7:M$84,7)))</f>
        <v>0</v>
      </c>
      <c r="I806" s="87">
        <f t="shared" si="76"/>
        <v>0</v>
      </c>
      <c r="K806" s="13">
        <f>VLOOKUP(A806,Journal!$C$7:$M$84,4)</f>
        <v>0</v>
      </c>
      <c r="L806" s="13">
        <f>VLOOKUP(A806,Journal!$C$7:$M$84,5)</f>
        <v>0</v>
      </c>
      <c r="M806" s="13">
        <f t="shared" si="78"/>
        <v>0</v>
      </c>
      <c r="N806" s="13">
        <f t="shared" si="79"/>
        <v>0</v>
      </c>
      <c r="O806" s="13"/>
      <c r="P806" s="13">
        <f t="shared" si="80"/>
        <v>1.0000000000000001E-5</v>
      </c>
      <c r="T806" t="str">
        <f t="shared" si="75"/>
        <v/>
      </c>
    </row>
    <row r="807" spans="1:20" x14ac:dyDescent="0.25">
      <c r="A807">
        <f t="shared" si="77"/>
        <v>800</v>
      </c>
      <c r="B807" s="88" t="str">
        <f>IF(OR(B806="Total",B806=""),"",IF(VLOOKUP(A807,Journal!$C$7:$E$84,3)=0,"Total",VLOOKUP(A807,Journal!$C$7:$D$84,2)))</f>
        <v/>
      </c>
      <c r="C807" s="86" t="str">
        <f>IF(B807="","",VLOOKUP(A807,Journal!$C$7:$E$84,3))</f>
        <v/>
      </c>
      <c r="D807" s="84" t="str">
        <f>IF(B807="","",VLOOKUP(A807,Journal!$C$7:$J$84,8))</f>
        <v/>
      </c>
      <c r="E807" s="84" t="str">
        <f>IF(B807="","",VLOOKUP(A807,Journal!$C$7:$L$84,10))</f>
        <v/>
      </c>
      <c r="F807" s="84" t="str">
        <f>IF(B807="","",VLOOKUP(A807,Journal!$C$7:$M$84,11))</f>
        <v/>
      </c>
      <c r="G807" s="102">
        <f>IF(B807="Total",SUM(G$8:G806)+0.0001,IF(OR(B807="",M807=0),0,VLOOKUP(A807,Journal!$C$7:M$84,7)))</f>
        <v>0</v>
      </c>
      <c r="H807" s="102">
        <f>IF(B807="Total",SUM(H$8:H806)+0.0001,IF(OR(B807="",N807=0),0,VLOOKUP(A807,Journal!$C$7:M$84,7)))</f>
        <v>0</v>
      </c>
      <c r="I807" s="87">
        <f t="shared" si="76"/>
        <v>0</v>
      </c>
      <c r="K807" s="13">
        <f>VLOOKUP(A807,Journal!$C$7:$M$84,4)</f>
        <v>0</v>
      </c>
      <c r="L807" s="13">
        <f>VLOOKUP(A807,Journal!$C$7:$M$84,5)</f>
        <v>0</v>
      </c>
      <c r="M807" s="13">
        <f t="shared" si="78"/>
        <v>0</v>
      </c>
      <c r="N807" s="13">
        <f t="shared" si="79"/>
        <v>0</v>
      </c>
      <c r="O807" s="13"/>
      <c r="P807" s="13">
        <f t="shared" si="80"/>
        <v>1.0000000000000001E-5</v>
      </c>
      <c r="T807" t="str">
        <f t="shared" si="75"/>
        <v/>
      </c>
    </row>
    <row r="808" spans="1:20" x14ac:dyDescent="0.25">
      <c r="A808">
        <f t="shared" si="77"/>
        <v>801</v>
      </c>
      <c r="B808" s="88" t="str">
        <f>IF(OR(B807="Total",B807=""),"",IF(VLOOKUP(A808,Journal!$C$7:$E$84,3)=0,"Total",VLOOKUP(A808,Journal!$C$7:$D$84,2)))</f>
        <v/>
      </c>
      <c r="C808" s="86" t="str">
        <f>IF(B808="","",VLOOKUP(A808,Journal!$C$7:$E$84,3))</f>
        <v/>
      </c>
      <c r="D808" s="84" t="str">
        <f>IF(B808="","",VLOOKUP(A808,Journal!$C$7:$J$84,8))</f>
        <v/>
      </c>
      <c r="E808" s="84" t="str">
        <f>IF(B808="","",VLOOKUP(A808,Journal!$C$7:$L$84,10))</f>
        <v/>
      </c>
      <c r="F808" s="84" t="str">
        <f>IF(B808="","",VLOOKUP(A808,Journal!$C$7:$M$84,11))</f>
        <v/>
      </c>
      <c r="G808" s="102">
        <f>IF(B808="Total",SUM(G$8:G807)+0.0001,IF(OR(B808="",M808=0),0,VLOOKUP(A808,Journal!$C$7:M$84,7)))</f>
        <v>0</v>
      </c>
      <c r="H808" s="102">
        <f>IF(B808="Total",SUM(H$8:H807)+0.0001,IF(OR(B808="",N808=0),0,VLOOKUP(A808,Journal!$C$7:M$84,7)))</f>
        <v>0</v>
      </c>
      <c r="I808" s="87">
        <f t="shared" si="76"/>
        <v>0</v>
      </c>
      <c r="K808" s="13">
        <f>VLOOKUP(A808,Journal!$C$7:$M$84,4)</f>
        <v>0</v>
      </c>
      <c r="L808" s="13">
        <f>VLOOKUP(A808,Journal!$C$7:$M$84,5)</f>
        <v>0</v>
      </c>
      <c r="M808" s="13">
        <f t="shared" si="78"/>
        <v>0</v>
      </c>
      <c r="N808" s="13">
        <f t="shared" si="79"/>
        <v>0</v>
      </c>
      <c r="O808" s="13"/>
      <c r="P808" s="13">
        <f t="shared" si="80"/>
        <v>1.0000000000000001E-5</v>
      </c>
      <c r="T808" t="str">
        <f t="shared" si="75"/>
        <v/>
      </c>
    </row>
    <row r="809" spans="1:20" x14ac:dyDescent="0.25">
      <c r="A809">
        <f t="shared" si="77"/>
        <v>802</v>
      </c>
      <c r="B809" s="88" t="str">
        <f>IF(OR(B808="Total",B808=""),"",IF(VLOOKUP(A809,Journal!$C$7:$E$84,3)=0,"Total",VLOOKUP(A809,Journal!$C$7:$D$84,2)))</f>
        <v/>
      </c>
      <c r="C809" s="86" t="str">
        <f>IF(B809="","",VLOOKUP(A809,Journal!$C$7:$E$84,3))</f>
        <v/>
      </c>
      <c r="D809" s="84" t="str">
        <f>IF(B809="","",VLOOKUP(A809,Journal!$C$7:$J$84,8))</f>
        <v/>
      </c>
      <c r="E809" s="84" t="str">
        <f>IF(B809="","",VLOOKUP(A809,Journal!$C$7:$L$84,10))</f>
        <v/>
      </c>
      <c r="F809" s="84" t="str">
        <f>IF(B809="","",VLOOKUP(A809,Journal!$C$7:$M$84,11))</f>
        <v/>
      </c>
      <c r="G809" s="102">
        <f>IF(B809="Total",SUM(G$8:G808)+0.0001,IF(OR(B809="",M809=0),0,VLOOKUP(A809,Journal!$C$7:M$84,7)))</f>
        <v>0</v>
      </c>
      <c r="H809" s="102">
        <f>IF(B809="Total",SUM(H$8:H808)+0.0001,IF(OR(B809="",N809=0),0,VLOOKUP(A809,Journal!$C$7:M$84,7)))</f>
        <v>0</v>
      </c>
      <c r="I809" s="87">
        <f t="shared" si="76"/>
        <v>0</v>
      </c>
      <c r="K809" s="13">
        <f>VLOOKUP(A809,Journal!$C$7:$M$84,4)</f>
        <v>0</v>
      </c>
      <c r="L809" s="13">
        <f>VLOOKUP(A809,Journal!$C$7:$M$84,5)</f>
        <v>0</v>
      </c>
      <c r="M809" s="13">
        <f t="shared" si="78"/>
        <v>0</v>
      </c>
      <c r="N809" s="13">
        <f t="shared" si="79"/>
        <v>0</v>
      </c>
      <c r="O809" s="13"/>
      <c r="P809" s="13">
        <f t="shared" si="80"/>
        <v>1.0000000000000001E-5</v>
      </c>
      <c r="T809" t="str">
        <f t="shared" si="75"/>
        <v/>
      </c>
    </row>
    <row r="810" spans="1:20" x14ac:dyDescent="0.25">
      <c r="A810">
        <f t="shared" si="77"/>
        <v>803</v>
      </c>
      <c r="B810" s="88" t="str">
        <f>IF(OR(B809="Total",B809=""),"",IF(VLOOKUP(A810,Journal!$C$7:$E$84,3)=0,"Total",VLOOKUP(A810,Journal!$C$7:$D$84,2)))</f>
        <v/>
      </c>
      <c r="C810" s="86" t="str">
        <f>IF(B810="","",VLOOKUP(A810,Journal!$C$7:$E$84,3))</f>
        <v/>
      </c>
      <c r="D810" s="84" t="str">
        <f>IF(B810="","",VLOOKUP(A810,Journal!$C$7:$J$84,8))</f>
        <v/>
      </c>
      <c r="E810" s="84" t="str">
        <f>IF(B810="","",VLOOKUP(A810,Journal!$C$7:$L$84,10))</f>
        <v/>
      </c>
      <c r="F810" s="84" t="str">
        <f>IF(B810="","",VLOOKUP(A810,Journal!$C$7:$M$84,11))</f>
        <v/>
      </c>
      <c r="G810" s="102">
        <f>IF(B810="Total",SUM(G$8:G809)+0.0001,IF(OR(B810="",M810=0),0,VLOOKUP(A810,Journal!$C$7:M$84,7)))</f>
        <v>0</v>
      </c>
      <c r="H810" s="102">
        <f>IF(B810="Total",SUM(H$8:H809)+0.0001,IF(OR(B810="",N810=0),0,VLOOKUP(A810,Journal!$C$7:M$84,7)))</f>
        <v>0</v>
      </c>
      <c r="I810" s="87">
        <f t="shared" si="76"/>
        <v>0</v>
      </c>
      <c r="K810" s="13">
        <f>VLOOKUP(A810,Journal!$C$7:$M$84,4)</f>
        <v>0</v>
      </c>
      <c r="L810" s="13">
        <f>VLOOKUP(A810,Journal!$C$7:$M$84,5)</f>
        <v>0</v>
      </c>
      <c r="M810" s="13">
        <f t="shared" si="78"/>
        <v>0</v>
      </c>
      <c r="N810" s="13">
        <f t="shared" si="79"/>
        <v>0</v>
      </c>
      <c r="O810" s="13"/>
      <c r="P810" s="13">
        <f t="shared" si="80"/>
        <v>1.0000000000000001E-5</v>
      </c>
      <c r="T810" t="str">
        <f t="shared" si="75"/>
        <v/>
      </c>
    </row>
    <row r="811" spans="1:20" x14ac:dyDescent="0.25">
      <c r="A811">
        <f t="shared" si="77"/>
        <v>804</v>
      </c>
      <c r="B811" s="88" t="str">
        <f>IF(OR(B810="Total",B810=""),"",IF(VLOOKUP(A811,Journal!$C$7:$E$84,3)=0,"Total",VLOOKUP(A811,Journal!$C$7:$D$84,2)))</f>
        <v/>
      </c>
      <c r="C811" s="86" t="str">
        <f>IF(B811="","",VLOOKUP(A811,Journal!$C$7:$E$84,3))</f>
        <v/>
      </c>
      <c r="D811" s="84" t="str">
        <f>IF(B811="","",VLOOKUP(A811,Journal!$C$7:$J$84,8))</f>
        <v/>
      </c>
      <c r="E811" s="84" t="str">
        <f>IF(B811="","",VLOOKUP(A811,Journal!$C$7:$L$84,10))</f>
        <v/>
      </c>
      <c r="F811" s="84" t="str">
        <f>IF(B811="","",VLOOKUP(A811,Journal!$C$7:$M$84,11))</f>
        <v/>
      </c>
      <c r="G811" s="102">
        <f>IF(B811="Total",SUM(G$8:G810)+0.0001,IF(OR(B811="",M811=0),0,VLOOKUP(A811,Journal!$C$7:M$84,7)))</f>
        <v>0</v>
      </c>
      <c r="H811" s="102">
        <f>IF(B811="Total",SUM(H$8:H810)+0.0001,IF(OR(B811="",N811=0),0,VLOOKUP(A811,Journal!$C$7:M$84,7)))</f>
        <v>0</v>
      </c>
      <c r="I811" s="87">
        <f t="shared" si="76"/>
        <v>0</v>
      </c>
      <c r="K811" s="13">
        <f>VLOOKUP(A811,Journal!$C$7:$M$84,4)</f>
        <v>0</v>
      </c>
      <c r="L811" s="13">
        <f>VLOOKUP(A811,Journal!$C$7:$M$84,5)</f>
        <v>0</v>
      </c>
      <c r="M811" s="13">
        <f t="shared" si="78"/>
        <v>0</v>
      </c>
      <c r="N811" s="13">
        <f t="shared" si="79"/>
        <v>0</v>
      </c>
      <c r="O811" s="13"/>
      <c r="P811" s="13">
        <f t="shared" si="80"/>
        <v>1.0000000000000001E-5</v>
      </c>
      <c r="T811" t="str">
        <f t="shared" si="75"/>
        <v/>
      </c>
    </row>
    <row r="812" spans="1:20" x14ac:dyDescent="0.25">
      <c r="A812">
        <f t="shared" si="77"/>
        <v>805</v>
      </c>
      <c r="B812" s="88" t="str">
        <f>IF(OR(B811="Total",B811=""),"",IF(VLOOKUP(A812,Journal!$C$7:$E$84,3)=0,"Total",VLOOKUP(A812,Journal!$C$7:$D$84,2)))</f>
        <v/>
      </c>
      <c r="C812" s="86" t="str">
        <f>IF(B812="","",VLOOKUP(A812,Journal!$C$7:$E$84,3))</f>
        <v/>
      </c>
      <c r="D812" s="84" t="str">
        <f>IF(B812="","",VLOOKUP(A812,Journal!$C$7:$J$84,8))</f>
        <v/>
      </c>
      <c r="E812" s="84" t="str">
        <f>IF(B812="","",VLOOKUP(A812,Journal!$C$7:$L$84,10))</f>
        <v/>
      </c>
      <c r="F812" s="84" t="str">
        <f>IF(B812="","",VLOOKUP(A812,Journal!$C$7:$M$84,11))</f>
        <v/>
      </c>
      <c r="G812" s="102">
        <f>IF(B812="Total",SUM(G$8:G811)+0.0001,IF(OR(B812="",M812=0),0,VLOOKUP(A812,Journal!$C$7:M$84,7)))</f>
        <v>0</v>
      </c>
      <c r="H812" s="102">
        <f>IF(B812="Total",SUM(H$8:H811)+0.0001,IF(OR(B812="",N812=0),0,VLOOKUP(A812,Journal!$C$7:M$84,7)))</f>
        <v>0</v>
      </c>
      <c r="I812" s="87">
        <f t="shared" si="76"/>
        <v>0</v>
      </c>
      <c r="K812" s="13">
        <f>VLOOKUP(A812,Journal!$C$7:$M$84,4)</f>
        <v>0</v>
      </c>
      <c r="L812" s="13">
        <f>VLOOKUP(A812,Journal!$C$7:$M$84,5)</f>
        <v>0</v>
      </c>
      <c r="M812" s="13">
        <f t="shared" si="78"/>
        <v>0</v>
      </c>
      <c r="N812" s="13">
        <f t="shared" si="79"/>
        <v>0</v>
      </c>
      <c r="O812" s="13"/>
      <c r="P812" s="13">
        <f t="shared" si="80"/>
        <v>1.0000000000000001E-5</v>
      </c>
      <c r="T812" t="str">
        <f t="shared" si="75"/>
        <v/>
      </c>
    </row>
    <row r="813" spans="1:20" x14ac:dyDescent="0.25">
      <c r="A813">
        <f t="shared" si="77"/>
        <v>806</v>
      </c>
      <c r="B813" s="88" t="str">
        <f>IF(OR(B812="Total",B812=""),"",IF(VLOOKUP(A813,Journal!$C$7:$E$84,3)=0,"Total",VLOOKUP(A813,Journal!$C$7:$D$84,2)))</f>
        <v/>
      </c>
      <c r="C813" s="86" t="str">
        <f>IF(B813="","",VLOOKUP(A813,Journal!$C$7:$E$84,3))</f>
        <v/>
      </c>
      <c r="D813" s="84" t="str">
        <f>IF(B813="","",VLOOKUP(A813,Journal!$C$7:$J$84,8))</f>
        <v/>
      </c>
      <c r="E813" s="84" t="str">
        <f>IF(B813="","",VLOOKUP(A813,Journal!$C$7:$L$84,10))</f>
        <v/>
      </c>
      <c r="F813" s="84" t="str">
        <f>IF(B813="","",VLOOKUP(A813,Journal!$C$7:$M$84,11))</f>
        <v/>
      </c>
      <c r="G813" s="102">
        <f>IF(B813="Total",SUM(G$8:G812)+0.0001,IF(OR(B813="",M813=0),0,VLOOKUP(A813,Journal!$C$7:M$84,7)))</f>
        <v>0</v>
      </c>
      <c r="H813" s="102">
        <f>IF(B813="Total",SUM(H$8:H812)+0.0001,IF(OR(B813="",N813=0),0,VLOOKUP(A813,Journal!$C$7:M$84,7)))</f>
        <v>0</v>
      </c>
      <c r="I813" s="87">
        <f t="shared" si="76"/>
        <v>0</v>
      </c>
      <c r="K813" s="13">
        <f>VLOOKUP(A813,Journal!$C$7:$M$84,4)</f>
        <v>0</v>
      </c>
      <c r="L813" s="13">
        <f>VLOOKUP(A813,Journal!$C$7:$M$84,5)</f>
        <v>0</v>
      </c>
      <c r="M813" s="13">
        <f t="shared" si="78"/>
        <v>0</v>
      </c>
      <c r="N813" s="13">
        <f t="shared" si="79"/>
        <v>0</v>
      </c>
      <c r="O813" s="13"/>
      <c r="P813" s="13">
        <f t="shared" si="80"/>
        <v>1.0000000000000001E-5</v>
      </c>
      <c r="T813" t="str">
        <f t="shared" si="75"/>
        <v/>
      </c>
    </row>
    <row r="814" spans="1:20" x14ac:dyDescent="0.25">
      <c r="A814">
        <f t="shared" si="77"/>
        <v>807</v>
      </c>
      <c r="B814" s="88" t="str">
        <f>IF(OR(B813="Total",B813=""),"",IF(VLOOKUP(A814,Journal!$C$7:$E$84,3)=0,"Total",VLOOKUP(A814,Journal!$C$7:$D$84,2)))</f>
        <v/>
      </c>
      <c r="C814" s="86" t="str">
        <f>IF(B814="","",VLOOKUP(A814,Journal!$C$7:$E$84,3))</f>
        <v/>
      </c>
      <c r="D814" s="84" t="str">
        <f>IF(B814="","",VLOOKUP(A814,Journal!$C$7:$J$84,8))</f>
        <v/>
      </c>
      <c r="E814" s="84" t="str">
        <f>IF(B814="","",VLOOKUP(A814,Journal!$C$7:$L$84,10))</f>
        <v/>
      </c>
      <c r="F814" s="84" t="str">
        <f>IF(B814="","",VLOOKUP(A814,Journal!$C$7:$M$84,11))</f>
        <v/>
      </c>
      <c r="G814" s="102">
        <f>IF(B814="Total",SUM(G$8:G813)+0.0001,IF(OR(B814="",M814=0),0,VLOOKUP(A814,Journal!$C$7:M$84,7)))</f>
        <v>0</v>
      </c>
      <c r="H814" s="102">
        <f>IF(B814="Total",SUM(H$8:H813)+0.0001,IF(OR(B814="",N814=0),0,VLOOKUP(A814,Journal!$C$7:M$84,7)))</f>
        <v>0</v>
      </c>
      <c r="I814" s="87">
        <f t="shared" si="76"/>
        <v>0</v>
      </c>
      <c r="K814" s="13">
        <f>VLOOKUP(A814,Journal!$C$7:$M$84,4)</f>
        <v>0</v>
      </c>
      <c r="L814" s="13">
        <f>VLOOKUP(A814,Journal!$C$7:$M$84,5)</f>
        <v>0</v>
      </c>
      <c r="M814" s="13">
        <f t="shared" si="78"/>
        <v>0</v>
      </c>
      <c r="N814" s="13">
        <f t="shared" si="79"/>
        <v>0</v>
      </c>
      <c r="O814" s="13"/>
      <c r="P814" s="13">
        <f t="shared" si="80"/>
        <v>1.0000000000000001E-5</v>
      </c>
      <c r="T814" t="str">
        <f t="shared" si="75"/>
        <v/>
      </c>
    </row>
    <row r="815" spans="1:20" x14ac:dyDescent="0.25">
      <c r="A815">
        <f t="shared" si="77"/>
        <v>808</v>
      </c>
      <c r="B815" s="88" t="str">
        <f>IF(OR(B814="Total",B814=""),"",IF(VLOOKUP(A815,Journal!$C$7:$E$84,3)=0,"Total",VLOOKUP(A815,Journal!$C$7:$D$84,2)))</f>
        <v/>
      </c>
      <c r="C815" s="86" t="str">
        <f>IF(B815="","",VLOOKUP(A815,Journal!$C$7:$E$84,3))</f>
        <v/>
      </c>
      <c r="D815" s="84" t="str">
        <f>IF(B815="","",VLOOKUP(A815,Journal!$C$7:$J$84,8))</f>
        <v/>
      </c>
      <c r="E815" s="84" t="str">
        <f>IF(B815="","",VLOOKUP(A815,Journal!$C$7:$L$84,10))</f>
        <v/>
      </c>
      <c r="F815" s="84" t="str">
        <f>IF(B815="","",VLOOKUP(A815,Journal!$C$7:$M$84,11))</f>
        <v/>
      </c>
      <c r="G815" s="102">
        <f>IF(B815="Total",SUM(G$8:G814)+0.0001,IF(OR(B815="",M815=0),0,VLOOKUP(A815,Journal!$C$7:M$84,7)))</f>
        <v>0</v>
      </c>
      <c r="H815" s="102">
        <f>IF(B815="Total",SUM(H$8:H814)+0.0001,IF(OR(B815="",N815=0),0,VLOOKUP(A815,Journal!$C$7:M$84,7)))</f>
        <v>0</v>
      </c>
      <c r="I815" s="87">
        <f t="shared" si="76"/>
        <v>0</v>
      </c>
      <c r="K815" s="13">
        <f>VLOOKUP(A815,Journal!$C$7:$M$84,4)</f>
        <v>0</v>
      </c>
      <c r="L815" s="13">
        <f>VLOOKUP(A815,Journal!$C$7:$M$84,5)</f>
        <v>0</v>
      </c>
      <c r="M815" s="13">
        <f t="shared" si="78"/>
        <v>0</v>
      </c>
      <c r="N815" s="13">
        <f t="shared" si="79"/>
        <v>0</v>
      </c>
      <c r="O815" s="13"/>
      <c r="P815" s="13">
        <f t="shared" si="80"/>
        <v>1.0000000000000001E-5</v>
      </c>
      <c r="T815" t="str">
        <f t="shared" si="75"/>
        <v/>
      </c>
    </row>
    <row r="816" spans="1:20" x14ac:dyDescent="0.25">
      <c r="A816">
        <f t="shared" si="77"/>
        <v>809</v>
      </c>
      <c r="B816" s="88" t="str">
        <f>IF(OR(B815="Total",B815=""),"",IF(VLOOKUP(A816,Journal!$C$7:$E$84,3)=0,"Total",VLOOKUP(A816,Journal!$C$7:$D$84,2)))</f>
        <v/>
      </c>
      <c r="C816" s="86" t="str">
        <f>IF(B816="","",VLOOKUP(A816,Journal!$C$7:$E$84,3))</f>
        <v/>
      </c>
      <c r="D816" s="84" t="str">
        <f>IF(B816="","",VLOOKUP(A816,Journal!$C$7:$J$84,8))</f>
        <v/>
      </c>
      <c r="E816" s="84" t="str">
        <f>IF(B816="","",VLOOKUP(A816,Journal!$C$7:$L$84,10))</f>
        <v/>
      </c>
      <c r="F816" s="84" t="str">
        <f>IF(B816="","",VLOOKUP(A816,Journal!$C$7:$M$84,11))</f>
        <v/>
      </c>
      <c r="G816" s="102">
        <f>IF(B816="Total",SUM(G$8:G815)+0.0001,IF(OR(B816="",M816=0),0,VLOOKUP(A816,Journal!$C$7:M$84,7)))</f>
        <v>0</v>
      </c>
      <c r="H816" s="102">
        <f>IF(B816="Total",SUM(H$8:H815)+0.0001,IF(OR(B816="",N816=0),0,VLOOKUP(A816,Journal!$C$7:M$84,7)))</f>
        <v>0</v>
      </c>
      <c r="I816" s="87">
        <f t="shared" si="76"/>
        <v>0</v>
      </c>
      <c r="K816" s="13">
        <f>VLOOKUP(A816,Journal!$C$7:$M$84,4)</f>
        <v>0</v>
      </c>
      <c r="L816" s="13">
        <f>VLOOKUP(A816,Journal!$C$7:$M$84,5)</f>
        <v>0</v>
      </c>
      <c r="M816" s="13">
        <f t="shared" si="78"/>
        <v>0</v>
      </c>
      <c r="N816" s="13">
        <f t="shared" si="79"/>
        <v>0</v>
      </c>
      <c r="O816" s="13"/>
      <c r="P816" s="13">
        <f t="shared" si="80"/>
        <v>1.0000000000000001E-5</v>
      </c>
      <c r="T816" t="str">
        <f t="shared" si="75"/>
        <v/>
      </c>
    </row>
    <row r="817" spans="1:20" x14ac:dyDescent="0.25">
      <c r="A817">
        <f t="shared" si="77"/>
        <v>810</v>
      </c>
      <c r="B817" s="88" t="str">
        <f>IF(OR(B816="Total",B816=""),"",IF(VLOOKUP(A817,Journal!$C$7:$E$84,3)=0,"Total",VLOOKUP(A817,Journal!$C$7:$D$84,2)))</f>
        <v/>
      </c>
      <c r="C817" s="86" t="str">
        <f>IF(B817="","",VLOOKUP(A817,Journal!$C$7:$E$84,3))</f>
        <v/>
      </c>
      <c r="D817" s="84" t="str">
        <f>IF(B817="","",VLOOKUP(A817,Journal!$C$7:$J$84,8))</f>
        <v/>
      </c>
      <c r="E817" s="84" t="str">
        <f>IF(B817="","",VLOOKUP(A817,Journal!$C$7:$L$84,10))</f>
        <v/>
      </c>
      <c r="F817" s="84" t="str">
        <f>IF(B817="","",VLOOKUP(A817,Journal!$C$7:$M$84,11))</f>
        <v/>
      </c>
      <c r="G817" s="102">
        <f>IF(B817="Total",SUM(G$8:G816)+0.0001,IF(OR(B817="",M817=0),0,VLOOKUP(A817,Journal!$C$7:M$84,7)))</f>
        <v>0</v>
      </c>
      <c r="H817" s="102">
        <f>IF(B817="Total",SUM(H$8:H816)+0.0001,IF(OR(B817="",N817=0),0,VLOOKUP(A817,Journal!$C$7:M$84,7)))</f>
        <v>0</v>
      </c>
      <c r="I817" s="87">
        <f t="shared" si="76"/>
        <v>0</v>
      </c>
      <c r="K817" s="13">
        <f>VLOOKUP(A817,Journal!$C$7:$M$84,4)</f>
        <v>0</v>
      </c>
      <c r="L817" s="13">
        <f>VLOOKUP(A817,Journal!$C$7:$M$84,5)</f>
        <v>0</v>
      </c>
      <c r="M817" s="13">
        <f t="shared" si="78"/>
        <v>0</v>
      </c>
      <c r="N817" s="13">
        <f t="shared" si="79"/>
        <v>0</v>
      </c>
      <c r="O817" s="13"/>
      <c r="P817" s="13">
        <f t="shared" si="80"/>
        <v>1.0000000000000001E-5</v>
      </c>
      <c r="T817" t="str">
        <f t="shared" si="75"/>
        <v/>
      </c>
    </row>
    <row r="818" spans="1:20" x14ac:dyDescent="0.25">
      <c r="A818">
        <f t="shared" si="77"/>
        <v>811</v>
      </c>
      <c r="B818" s="88" t="str">
        <f>IF(OR(B817="Total",B817=""),"",IF(VLOOKUP(A818,Journal!$C$7:$E$84,3)=0,"Total",VLOOKUP(A818,Journal!$C$7:$D$84,2)))</f>
        <v/>
      </c>
      <c r="C818" s="86" t="str">
        <f>IF(B818="","",VLOOKUP(A818,Journal!$C$7:$E$84,3))</f>
        <v/>
      </c>
      <c r="D818" s="84" t="str">
        <f>IF(B818="","",VLOOKUP(A818,Journal!$C$7:$J$84,8))</f>
        <v/>
      </c>
      <c r="E818" s="84" t="str">
        <f>IF(B818="","",VLOOKUP(A818,Journal!$C$7:$L$84,10))</f>
        <v/>
      </c>
      <c r="F818" s="84" t="str">
        <f>IF(B818="","",VLOOKUP(A818,Journal!$C$7:$M$84,11))</f>
        <v/>
      </c>
      <c r="G818" s="102">
        <f>IF(B818="Total",SUM(G$8:G817)+0.0001,IF(OR(B818="",M818=0),0,VLOOKUP(A818,Journal!$C$7:M$84,7)))</f>
        <v>0</v>
      </c>
      <c r="H818" s="102">
        <f>IF(B818="Total",SUM(H$8:H817)+0.0001,IF(OR(B818="",N818=0),0,VLOOKUP(A818,Journal!$C$7:M$84,7)))</f>
        <v>0</v>
      </c>
      <c r="I818" s="87">
        <f t="shared" si="76"/>
        <v>0</v>
      </c>
      <c r="K818" s="13">
        <f>VLOOKUP(A818,Journal!$C$7:$M$84,4)</f>
        <v>0</v>
      </c>
      <c r="L818" s="13">
        <f>VLOOKUP(A818,Journal!$C$7:$M$84,5)</f>
        <v>0</v>
      </c>
      <c r="M818" s="13">
        <f t="shared" si="78"/>
        <v>0</v>
      </c>
      <c r="N818" s="13">
        <f t="shared" si="79"/>
        <v>0</v>
      </c>
      <c r="O818" s="13"/>
      <c r="P818" s="13">
        <f t="shared" si="80"/>
        <v>1.0000000000000001E-5</v>
      </c>
      <c r="T818" t="str">
        <f t="shared" si="75"/>
        <v/>
      </c>
    </row>
    <row r="819" spans="1:20" x14ac:dyDescent="0.25">
      <c r="A819">
        <f t="shared" si="77"/>
        <v>812</v>
      </c>
      <c r="B819" s="88" t="str">
        <f>IF(OR(B818="Total",B818=""),"",IF(VLOOKUP(A819,Journal!$C$7:$E$84,3)=0,"Total",VLOOKUP(A819,Journal!$C$7:$D$84,2)))</f>
        <v/>
      </c>
      <c r="C819" s="86" t="str">
        <f>IF(B819="","",VLOOKUP(A819,Journal!$C$7:$E$84,3))</f>
        <v/>
      </c>
      <c r="D819" s="84" t="str">
        <f>IF(B819="","",VLOOKUP(A819,Journal!$C$7:$J$84,8))</f>
        <v/>
      </c>
      <c r="E819" s="84" t="str">
        <f>IF(B819="","",VLOOKUP(A819,Journal!$C$7:$L$84,10))</f>
        <v/>
      </c>
      <c r="F819" s="84" t="str">
        <f>IF(B819="","",VLOOKUP(A819,Journal!$C$7:$M$84,11))</f>
        <v/>
      </c>
      <c r="G819" s="102">
        <f>IF(B819="Total",SUM(G$8:G818)+0.0001,IF(OR(B819="",M819=0),0,VLOOKUP(A819,Journal!$C$7:M$84,7)))</f>
        <v>0</v>
      </c>
      <c r="H819" s="102">
        <f>IF(B819="Total",SUM(H$8:H818)+0.0001,IF(OR(B819="",N819=0),0,VLOOKUP(A819,Journal!$C$7:M$84,7)))</f>
        <v>0</v>
      </c>
      <c r="I819" s="87">
        <f t="shared" si="76"/>
        <v>0</v>
      </c>
      <c r="K819" s="13">
        <f>VLOOKUP(A819,Journal!$C$7:$M$84,4)</f>
        <v>0</v>
      </c>
      <c r="L819" s="13">
        <f>VLOOKUP(A819,Journal!$C$7:$M$84,5)</f>
        <v>0</v>
      </c>
      <c r="M819" s="13">
        <f t="shared" si="78"/>
        <v>0</v>
      </c>
      <c r="N819" s="13">
        <f t="shared" si="79"/>
        <v>0</v>
      </c>
      <c r="O819" s="13"/>
      <c r="P819" s="13">
        <f t="shared" si="80"/>
        <v>1.0000000000000001E-5</v>
      </c>
      <c r="T819" t="str">
        <f t="shared" si="75"/>
        <v/>
      </c>
    </row>
    <row r="820" spans="1:20" x14ac:dyDescent="0.25">
      <c r="A820">
        <f t="shared" si="77"/>
        <v>813</v>
      </c>
      <c r="B820" s="88" t="str">
        <f>IF(OR(B819="Total",B819=""),"",IF(VLOOKUP(A820,Journal!$C$7:$E$84,3)=0,"Total",VLOOKUP(A820,Journal!$C$7:$D$84,2)))</f>
        <v/>
      </c>
      <c r="C820" s="86" t="str">
        <f>IF(B820="","",VLOOKUP(A820,Journal!$C$7:$E$84,3))</f>
        <v/>
      </c>
      <c r="D820" s="84" t="str">
        <f>IF(B820="","",VLOOKUP(A820,Journal!$C$7:$J$84,8))</f>
        <v/>
      </c>
      <c r="E820" s="84" t="str">
        <f>IF(B820="","",VLOOKUP(A820,Journal!$C$7:$L$84,10))</f>
        <v/>
      </c>
      <c r="F820" s="84" t="str">
        <f>IF(B820="","",VLOOKUP(A820,Journal!$C$7:$M$84,11))</f>
        <v/>
      </c>
      <c r="G820" s="102">
        <f>IF(B820="Total",SUM(G$8:G819)+0.0001,IF(OR(B820="",M820=0),0,VLOOKUP(A820,Journal!$C$7:M$84,7)))</f>
        <v>0</v>
      </c>
      <c r="H820" s="102">
        <f>IF(B820="Total",SUM(H$8:H819)+0.0001,IF(OR(B820="",N820=0),0,VLOOKUP(A820,Journal!$C$7:M$84,7)))</f>
        <v>0</v>
      </c>
      <c r="I820" s="87">
        <f t="shared" si="76"/>
        <v>0</v>
      </c>
      <c r="K820" s="13">
        <f>VLOOKUP(A820,Journal!$C$7:$M$84,4)</f>
        <v>0</v>
      </c>
      <c r="L820" s="13">
        <f>VLOOKUP(A820,Journal!$C$7:$M$84,5)</f>
        <v>0</v>
      </c>
      <c r="M820" s="13">
        <f t="shared" si="78"/>
        <v>0</v>
      </c>
      <c r="N820" s="13">
        <f t="shared" si="79"/>
        <v>0</v>
      </c>
      <c r="O820" s="13"/>
      <c r="P820" s="13">
        <f t="shared" si="80"/>
        <v>1.0000000000000001E-5</v>
      </c>
      <c r="T820" t="str">
        <f t="shared" si="75"/>
        <v/>
      </c>
    </row>
    <row r="821" spans="1:20" x14ac:dyDescent="0.25">
      <c r="A821">
        <f t="shared" si="77"/>
        <v>814</v>
      </c>
      <c r="B821" s="88" t="str">
        <f>IF(OR(B820="Total",B820=""),"",IF(VLOOKUP(A821,Journal!$C$7:$E$84,3)=0,"Total",VLOOKUP(A821,Journal!$C$7:$D$84,2)))</f>
        <v/>
      </c>
      <c r="C821" s="86" t="str">
        <f>IF(B821="","",VLOOKUP(A821,Journal!$C$7:$E$84,3))</f>
        <v/>
      </c>
      <c r="D821" s="84" t="str">
        <f>IF(B821="","",VLOOKUP(A821,Journal!$C$7:$J$84,8))</f>
        <v/>
      </c>
      <c r="E821" s="84" t="str">
        <f>IF(B821="","",VLOOKUP(A821,Journal!$C$7:$L$84,10))</f>
        <v/>
      </c>
      <c r="F821" s="84" t="str">
        <f>IF(B821="","",VLOOKUP(A821,Journal!$C$7:$M$84,11))</f>
        <v/>
      </c>
      <c r="G821" s="102">
        <f>IF(B821="Total",SUM(G$8:G820)+0.0001,IF(OR(B821="",M821=0),0,VLOOKUP(A821,Journal!$C$7:M$84,7)))</f>
        <v>0</v>
      </c>
      <c r="H821" s="102">
        <f>IF(B821="Total",SUM(H$8:H820)+0.0001,IF(OR(B821="",N821=0),0,VLOOKUP(A821,Journal!$C$7:M$84,7)))</f>
        <v>0</v>
      </c>
      <c r="I821" s="87">
        <f t="shared" si="76"/>
        <v>0</v>
      </c>
      <c r="K821" s="13">
        <f>VLOOKUP(A821,Journal!$C$7:$M$84,4)</f>
        <v>0</v>
      </c>
      <c r="L821" s="13">
        <f>VLOOKUP(A821,Journal!$C$7:$M$84,5)</f>
        <v>0</v>
      </c>
      <c r="M821" s="13">
        <f t="shared" si="78"/>
        <v>0</v>
      </c>
      <c r="N821" s="13">
        <f t="shared" si="79"/>
        <v>0</v>
      </c>
      <c r="O821" s="13"/>
      <c r="P821" s="13">
        <f t="shared" si="80"/>
        <v>1.0000000000000001E-5</v>
      </c>
      <c r="T821" t="str">
        <f t="shared" si="75"/>
        <v/>
      </c>
    </row>
    <row r="822" spans="1:20" x14ac:dyDescent="0.25">
      <c r="A822">
        <f t="shared" si="77"/>
        <v>815</v>
      </c>
      <c r="B822" s="88" t="str">
        <f>IF(OR(B821="Total",B821=""),"",IF(VLOOKUP(A822,Journal!$C$7:$E$84,3)=0,"Total",VLOOKUP(A822,Journal!$C$7:$D$84,2)))</f>
        <v/>
      </c>
      <c r="C822" s="86" t="str">
        <f>IF(B822="","",VLOOKUP(A822,Journal!$C$7:$E$84,3))</f>
        <v/>
      </c>
      <c r="D822" s="84" t="str">
        <f>IF(B822="","",VLOOKUP(A822,Journal!$C$7:$J$84,8))</f>
        <v/>
      </c>
      <c r="E822" s="84" t="str">
        <f>IF(B822="","",VLOOKUP(A822,Journal!$C$7:$L$84,10))</f>
        <v/>
      </c>
      <c r="F822" s="84" t="str">
        <f>IF(B822="","",VLOOKUP(A822,Journal!$C$7:$M$84,11))</f>
        <v/>
      </c>
      <c r="G822" s="102">
        <f>IF(B822="Total",SUM(G$8:G821)+0.0001,IF(OR(B822="",M822=0),0,VLOOKUP(A822,Journal!$C$7:M$84,7)))</f>
        <v>0</v>
      </c>
      <c r="H822" s="102">
        <f>IF(B822="Total",SUM(H$8:H821)+0.0001,IF(OR(B822="",N822=0),0,VLOOKUP(A822,Journal!$C$7:M$84,7)))</f>
        <v>0</v>
      </c>
      <c r="I822" s="87">
        <f t="shared" si="76"/>
        <v>0</v>
      </c>
      <c r="K822" s="13">
        <f>VLOOKUP(A822,Journal!$C$7:$M$84,4)</f>
        <v>0</v>
      </c>
      <c r="L822" s="13">
        <f>VLOOKUP(A822,Journal!$C$7:$M$84,5)</f>
        <v>0</v>
      </c>
      <c r="M822" s="13">
        <f t="shared" si="78"/>
        <v>0</v>
      </c>
      <c r="N822" s="13">
        <f t="shared" si="79"/>
        <v>0</v>
      </c>
      <c r="O822" s="13"/>
      <c r="P822" s="13">
        <f t="shared" si="80"/>
        <v>1.0000000000000001E-5</v>
      </c>
      <c r="T822" t="str">
        <f t="shared" si="75"/>
        <v/>
      </c>
    </row>
    <row r="823" spans="1:20" x14ac:dyDescent="0.25">
      <c r="A823">
        <f t="shared" si="77"/>
        <v>816</v>
      </c>
      <c r="B823" s="88" t="str">
        <f>IF(OR(B822="Total",B822=""),"",IF(VLOOKUP(A823,Journal!$C$7:$E$84,3)=0,"Total",VLOOKUP(A823,Journal!$C$7:$D$84,2)))</f>
        <v/>
      </c>
      <c r="C823" s="86" t="str">
        <f>IF(B823="","",VLOOKUP(A823,Journal!$C$7:$E$84,3))</f>
        <v/>
      </c>
      <c r="D823" s="84" t="str">
        <f>IF(B823="","",VLOOKUP(A823,Journal!$C$7:$J$84,8))</f>
        <v/>
      </c>
      <c r="E823" s="84" t="str">
        <f>IF(B823="","",VLOOKUP(A823,Journal!$C$7:$L$84,10))</f>
        <v/>
      </c>
      <c r="F823" s="84" t="str">
        <f>IF(B823="","",VLOOKUP(A823,Journal!$C$7:$M$84,11))</f>
        <v/>
      </c>
      <c r="G823" s="102">
        <f>IF(B823="Total",SUM(G$8:G822)+0.0001,IF(OR(B823="",M823=0),0,VLOOKUP(A823,Journal!$C$7:M$84,7)))</f>
        <v>0</v>
      </c>
      <c r="H823" s="102">
        <f>IF(B823="Total",SUM(H$8:H822)+0.0001,IF(OR(B823="",N823=0),0,VLOOKUP(A823,Journal!$C$7:M$84,7)))</f>
        <v>0</v>
      </c>
      <c r="I823" s="87">
        <f t="shared" si="76"/>
        <v>0</v>
      </c>
      <c r="K823" s="13">
        <f>VLOOKUP(A823,Journal!$C$7:$M$84,4)</f>
        <v>0</v>
      </c>
      <c r="L823" s="13">
        <f>VLOOKUP(A823,Journal!$C$7:$M$84,5)</f>
        <v>0</v>
      </c>
      <c r="M823" s="13">
        <f t="shared" si="78"/>
        <v>0</v>
      </c>
      <c r="N823" s="13">
        <f t="shared" si="79"/>
        <v>0</v>
      </c>
      <c r="O823" s="13"/>
      <c r="P823" s="13">
        <f t="shared" si="80"/>
        <v>1.0000000000000001E-5</v>
      </c>
      <c r="T823" t="str">
        <f t="shared" si="75"/>
        <v/>
      </c>
    </row>
    <row r="824" spans="1:20" x14ac:dyDescent="0.25">
      <c r="A824">
        <f t="shared" si="77"/>
        <v>817</v>
      </c>
      <c r="B824" s="88" t="str">
        <f>IF(OR(B823="Total",B823=""),"",IF(VLOOKUP(A824,Journal!$C$7:$E$84,3)=0,"Total",VLOOKUP(A824,Journal!$C$7:$D$84,2)))</f>
        <v/>
      </c>
      <c r="C824" s="86" t="str">
        <f>IF(B824="","",VLOOKUP(A824,Journal!$C$7:$E$84,3))</f>
        <v/>
      </c>
      <c r="D824" s="84" t="str">
        <f>IF(B824="","",VLOOKUP(A824,Journal!$C$7:$J$84,8))</f>
        <v/>
      </c>
      <c r="E824" s="84" t="str">
        <f>IF(B824="","",VLOOKUP(A824,Journal!$C$7:$L$84,10))</f>
        <v/>
      </c>
      <c r="F824" s="84" t="str">
        <f>IF(B824="","",VLOOKUP(A824,Journal!$C$7:$M$84,11))</f>
        <v/>
      </c>
      <c r="G824" s="102">
        <f>IF(B824="Total",SUM(G$8:G823)+0.0001,IF(OR(B824="",M824=0),0,VLOOKUP(A824,Journal!$C$7:M$84,7)))</f>
        <v>0</v>
      </c>
      <c r="H824" s="102">
        <f>IF(B824="Total",SUM(H$8:H823)+0.0001,IF(OR(B824="",N824=0),0,VLOOKUP(A824,Journal!$C$7:M$84,7)))</f>
        <v>0</v>
      </c>
      <c r="I824" s="87">
        <f t="shared" si="76"/>
        <v>0</v>
      </c>
      <c r="K824" s="13">
        <f>VLOOKUP(A824,Journal!$C$7:$M$84,4)</f>
        <v>0</v>
      </c>
      <c r="L824" s="13">
        <f>VLOOKUP(A824,Journal!$C$7:$M$84,5)</f>
        <v>0</v>
      </c>
      <c r="M824" s="13">
        <f t="shared" si="78"/>
        <v>0</v>
      </c>
      <c r="N824" s="13">
        <f t="shared" si="79"/>
        <v>0</v>
      </c>
      <c r="O824" s="13"/>
      <c r="P824" s="13">
        <f t="shared" si="80"/>
        <v>1.0000000000000001E-5</v>
      </c>
      <c r="T824" t="str">
        <f t="shared" si="75"/>
        <v/>
      </c>
    </row>
    <row r="825" spans="1:20" x14ac:dyDescent="0.25">
      <c r="A825">
        <f t="shared" si="77"/>
        <v>818</v>
      </c>
      <c r="B825" s="88" t="str">
        <f>IF(OR(B824="Total",B824=""),"",IF(VLOOKUP(A825,Journal!$C$7:$E$84,3)=0,"Total",VLOOKUP(A825,Journal!$C$7:$D$84,2)))</f>
        <v/>
      </c>
      <c r="C825" s="86" t="str">
        <f>IF(B825="","",VLOOKUP(A825,Journal!$C$7:$E$84,3))</f>
        <v/>
      </c>
      <c r="D825" s="84" t="str">
        <f>IF(B825="","",VLOOKUP(A825,Journal!$C$7:$J$84,8))</f>
        <v/>
      </c>
      <c r="E825" s="84" t="str">
        <f>IF(B825="","",VLOOKUP(A825,Journal!$C$7:$L$84,10))</f>
        <v/>
      </c>
      <c r="F825" s="84" t="str">
        <f>IF(B825="","",VLOOKUP(A825,Journal!$C$7:$M$84,11))</f>
        <v/>
      </c>
      <c r="G825" s="102">
        <f>IF(B825="Total",SUM(G$8:G824)+0.0001,IF(OR(B825="",M825=0),0,VLOOKUP(A825,Journal!$C$7:M$84,7)))</f>
        <v>0</v>
      </c>
      <c r="H825" s="102">
        <f>IF(B825="Total",SUM(H$8:H824)+0.0001,IF(OR(B825="",N825=0),0,VLOOKUP(A825,Journal!$C$7:M$84,7)))</f>
        <v>0</v>
      </c>
      <c r="I825" s="87">
        <f t="shared" si="76"/>
        <v>0</v>
      </c>
      <c r="K825" s="13">
        <f>VLOOKUP(A825,Journal!$C$7:$M$84,4)</f>
        <v>0</v>
      </c>
      <c r="L825" s="13">
        <f>VLOOKUP(A825,Journal!$C$7:$M$84,5)</f>
        <v>0</v>
      </c>
      <c r="M825" s="13">
        <f t="shared" si="78"/>
        <v>0</v>
      </c>
      <c r="N825" s="13">
        <f t="shared" si="79"/>
        <v>0</v>
      </c>
      <c r="O825" s="13"/>
      <c r="P825" s="13">
        <f t="shared" si="80"/>
        <v>1.0000000000000001E-5</v>
      </c>
      <c r="T825" t="str">
        <f t="shared" si="75"/>
        <v/>
      </c>
    </row>
    <row r="826" spans="1:20" x14ac:dyDescent="0.25">
      <c r="A826">
        <f t="shared" si="77"/>
        <v>819</v>
      </c>
      <c r="B826" s="88" t="str">
        <f>IF(OR(B825="Total",B825=""),"",IF(VLOOKUP(A826,Journal!$C$7:$E$84,3)=0,"Total",VLOOKUP(A826,Journal!$C$7:$D$84,2)))</f>
        <v/>
      </c>
      <c r="C826" s="86" t="str">
        <f>IF(B826="","",VLOOKUP(A826,Journal!$C$7:$E$84,3))</f>
        <v/>
      </c>
      <c r="D826" s="84" t="str">
        <f>IF(B826="","",VLOOKUP(A826,Journal!$C$7:$J$84,8))</f>
        <v/>
      </c>
      <c r="E826" s="84" t="str">
        <f>IF(B826="","",VLOOKUP(A826,Journal!$C$7:$L$84,10))</f>
        <v/>
      </c>
      <c r="F826" s="84" t="str">
        <f>IF(B826="","",VLOOKUP(A826,Journal!$C$7:$M$84,11))</f>
        <v/>
      </c>
      <c r="G826" s="102">
        <f>IF(B826="Total",SUM(G$8:G825)+0.0001,IF(OR(B826="",M826=0),0,VLOOKUP(A826,Journal!$C$7:M$84,7)))</f>
        <v>0</v>
      </c>
      <c r="H826" s="102">
        <f>IF(B826="Total",SUM(H$8:H825)+0.0001,IF(OR(B826="",N826=0),0,VLOOKUP(A826,Journal!$C$7:M$84,7)))</f>
        <v>0</v>
      </c>
      <c r="I826" s="87">
        <f t="shared" si="76"/>
        <v>0</v>
      </c>
      <c r="K826" s="13">
        <f>VLOOKUP(A826,Journal!$C$7:$M$84,4)</f>
        <v>0</v>
      </c>
      <c r="L826" s="13">
        <f>VLOOKUP(A826,Journal!$C$7:$M$84,5)</f>
        <v>0</v>
      </c>
      <c r="M826" s="13">
        <f t="shared" si="78"/>
        <v>0</v>
      </c>
      <c r="N826" s="13">
        <f t="shared" si="79"/>
        <v>0</v>
      </c>
      <c r="O826" s="13"/>
      <c r="P826" s="13">
        <f t="shared" si="80"/>
        <v>1.0000000000000001E-5</v>
      </c>
      <c r="T826" t="str">
        <f t="shared" si="75"/>
        <v/>
      </c>
    </row>
    <row r="827" spans="1:20" x14ac:dyDescent="0.25">
      <c r="A827">
        <f t="shared" si="77"/>
        <v>820</v>
      </c>
      <c r="B827" s="88" t="str">
        <f>IF(OR(B826="Total",B826=""),"",IF(VLOOKUP(A827,Journal!$C$7:$E$84,3)=0,"Total",VLOOKUP(A827,Journal!$C$7:$D$84,2)))</f>
        <v/>
      </c>
      <c r="C827" s="86" t="str">
        <f>IF(B827="","",VLOOKUP(A827,Journal!$C$7:$E$84,3))</f>
        <v/>
      </c>
      <c r="D827" s="84" t="str">
        <f>IF(B827="","",VLOOKUP(A827,Journal!$C$7:$J$84,8))</f>
        <v/>
      </c>
      <c r="E827" s="84" t="str">
        <f>IF(B827="","",VLOOKUP(A827,Journal!$C$7:$L$84,10))</f>
        <v/>
      </c>
      <c r="F827" s="84" t="str">
        <f>IF(B827="","",VLOOKUP(A827,Journal!$C$7:$M$84,11))</f>
        <v/>
      </c>
      <c r="G827" s="102">
        <f>IF(B827="Total",SUM(G$8:G826)+0.0001,IF(OR(B827="",M827=0),0,VLOOKUP(A827,Journal!$C$7:M$84,7)))</f>
        <v>0</v>
      </c>
      <c r="H827" s="102">
        <f>IF(B827="Total",SUM(H$8:H826)+0.0001,IF(OR(B827="",N827=0),0,VLOOKUP(A827,Journal!$C$7:M$84,7)))</f>
        <v>0</v>
      </c>
      <c r="I827" s="87">
        <f t="shared" si="76"/>
        <v>0</v>
      </c>
      <c r="K827" s="13">
        <f>VLOOKUP(A827,Journal!$C$7:$M$84,4)</f>
        <v>0</v>
      </c>
      <c r="L827" s="13">
        <f>VLOOKUP(A827,Journal!$C$7:$M$84,5)</f>
        <v>0</v>
      </c>
      <c r="M827" s="13">
        <f t="shared" si="78"/>
        <v>0</v>
      </c>
      <c r="N827" s="13">
        <f t="shared" si="79"/>
        <v>0</v>
      </c>
      <c r="O827" s="13"/>
      <c r="P827" s="13">
        <f t="shared" si="80"/>
        <v>1.0000000000000001E-5</v>
      </c>
      <c r="T827" t="str">
        <f t="shared" si="75"/>
        <v/>
      </c>
    </row>
    <row r="828" spans="1:20" x14ac:dyDescent="0.25">
      <c r="A828">
        <f t="shared" si="77"/>
        <v>821</v>
      </c>
      <c r="B828" s="88" t="str">
        <f>IF(OR(B827="Total",B827=""),"",IF(VLOOKUP(A828,Journal!$C$7:$E$84,3)=0,"Total",VLOOKUP(A828,Journal!$C$7:$D$84,2)))</f>
        <v/>
      </c>
      <c r="C828" s="86" t="str">
        <f>IF(B828="","",VLOOKUP(A828,Journal!$C$7:$E$84,3))</f>
        <v/>
      </c>
      <c r="D828" s="84" t="str">
        <f>IF(B828="","",VLOOKUP(A828,Journal!$C$7:$J$84,8))</f>
        <v/>
      </c>
      <c r="E828" s="84" t="str">
        <f>IF(B828="","",VLOOKUP(A828,Journal!$C$7:$L$84,10))</f>
        <v/>
      </c>
      <c r="F828" s="84" t="str">
        <f>IF(B828="","",VLOOKUP(A828,Journal!$C$7:$M$84,11))</f>
        <v/>
      </c>
      <c r="G828" s="102">
        <f>IF(B828="Total",SUM(G$8:G827)+0.0001,IF(OR(B828="",M828=0),0,VLOOKUP(A828,Journal!$C$7:M$84,7)))</f>
        <v>0</v>
      </c>
      <c r="H828" s="102">
        <f>IF(B828="Total",SUM(H$8:H827)+0.0001,IF(OR(B828="",N828=0),0,VLOOKUP(A828,Journal!$C$7:M$84,7)))</f>
        <v>0</v>
      </c>
      <c r="I828" s="87">
        <f t="shared" si="76"/>
        <v>0</v>
      </c>
      <c r="K828" s="13">
        <f>VLOOKUP(A828,Journal!$C$7:$M$84,4)</f>
        <v>0</v>
      </c>
      <c r="L828" s="13">
        <f>VLOOKUP(A828,Journal!$C$7:$M$84,5)</f>
        <v>0</v>
      </c>
      <c r="M828" s="13">
        <f t="shared" si="78"/>
        <v>0</v>
      </c>
      <c r="N828" s="13">
        <f t="shared" si="79"/>
        <v>0</v>
      </c>
      <c r="O828" s="13"/>
      <c r="P828" s="13">
        <f t="shared" si="80"/>
        <v>1.0000000000000001E-5</v>
      </c>
      <c r="T828" t="str">
        <f t="shared" si="75"/>
        <v/>
      </c>
    </row>
    <row r="829" spans="1:20" x14ac:dyDescent="0.25">
      <c r="A829">
        <f t="shared" si="77"/>
        <v>822</v>
      </c>
      <c r="B829" s="88" t="str">
        <f>IF(OR(B828="Total",B828=""),"",IF(VLOOKUP(A829,Journal!$C$7:$E$84,3)=0,"Total",VLOOKUP(A829,Journal!$C$7:$D$84,2)))</f>
        <v/>
      </c>
      <c r="C829" s="86" t="str">
        <f>IF(B829="","",VLOOKUP(A829,Journal!$C$7:$E$84,3))</f>
        <v/>
      </c>
      <c r="D829" s="84" t="str">
        <f>IF(B829="","",VLOOKUP(A829,Journal!$C$7:$J$84,8))</f>
        <v/>
      </c>
      <c r="E829" s="84" t="str">
        <f>IF(B829="","",VLOOKUP(A829,Journal!$C$7:$L$84,10))</f>
        <v/>
      </c>
      <c r="F829" s="84" t="str">
        <f>IF(B829="","",VLOOKUP(A829,Journal!$C$7:$M$84,11))</f>
        <v/>
      </c>
      <c r="G829" s="102">
        <f>IF(B829="Total",SUM(G$8:G828)+0.0001,IF(OR(B829="",M829=0),0,VLOOKUP(A829,Journal!$C$7:M$84,7)))</f>
        <v>0</v>
      </c>
      <c r="H829" s="102">
        <f>IF(B829="Total",SUM(H$8:H828)+0.0001,IF(OR(B829="",N829=0),0,VLOOKUP(A829,Journal!$C$7:M$84,7)))</f>
        <v>0</v>
      </c>
      <c r="I829" s="87">
        <f t="shared" si="76"/>
        <v>0</v>
      </c>
      <c r="K829" s="13">
        <f>VLOOKUP(A829,Journal!$C$7:$M$84,4)</f>
        <v>0</v>
      </c>
      <c r="L829" s="13">
        <f>VLOOKUP(A829,Journal!$C$7:$M$84,5)</f>
        <v>0</v>
      </c>
      <c r="M829" s="13">
        <f t="shared" si="78"/>
        <v>0</v>
      </c>
      <c r="N829" s="13">
        <f t="shared" si="79"/>
        <v>0</v>
      </c>
      <c r="O829" s="13"/>
      <c r="P829" s="13">
        <f t="shared" si="80"/>
        <v>1.0000000000000001E-5</v>
      </c>
      <c r="T829" t="str">
        <f t="shared" si="75"/>
        <v/>
      </c>
    </row>
    <row r="830" spans="1:20" x14ac:dyDescent="0.25">
      <c r="A830">
        <f t="shared" si="77"/>
        <v>823</v>
      </c>
      <c r="B830" s="88" t="str">
        <f>IF(OR(B829="Total",B829=""),"",IF(VLOOKUP(A830,Journal!$C$7:$E$84,3)=0,"Total",VLOOKUP(A830,Journal!$C$7:$D$84,2)))</f>
        <v/>
      </c>
      <c r="C830" s="86" t="str">
        <f>IF(B830="","",VLOOKUP(A830,Journal!$C$7:$E$84,3))</f>
        <v/>
      </c>
      <c r="D830" s="84" t="str">
        <f>IF(B830="","",VLOOKUP(A830,Journal!$C$7:$J$84,8))</f>
        <v/>
      </c>
      <c r="E830" s="84" t="str">
        <f>IF(B830="","",VLOOKUP(A830,Journal!$C$7:$L$84,10))</f>
        <v/>
      </c>
      <c r="F830" s="84" t="str">
        <f>IF(B830="","",VLOOKUP(A830,Journal!$C$7:$M$84,11))</f>
        <v/>
      </c>
      <c r="G830" s="102">
        <f>IF(B830="Total",SUM(G$8:G829)+0.0001,IF(OR(B830="",M830=0),0,VLOOKUP(A830,Journal!$C$7:M$84,7)))</f>
        <v>0</v>
      </c>
      <c r="H830" s="102">
        <f>IF(B830="Total",SUM(H$8:H829)+0.0001,IF(OR(B830="",N830=0),0,VLOOKUP(A830,Journal!$C$7:M$84,7)))</f>
        <v>0</v>
      </c>
      <c r="I830" s="87">
        <f t="shared" si="76"/>
        <v>0</v>
      </c>
      <c r="K830" s="13">
        <f>VLOOKUP(A830,Journal!$C$7:$M$84,4)</f>
        <v>0</v>
      </c>
      <c r="L830" s="13">
        <f>VLOOKUP(A830,Journal!$C$7:$M$84,5)</f>
        <v>0</v>
      </c>
      <c r="M830" s="13">
        <f t="shared" si="78"/>
        <v>0</v>
      </c>
      <c r="N830" s="13">
        <f t="shared" si="79"/>
        <v>0</v>
      </c>
      <c r="O830" s="13"/>
      <c r="P830" s="13">
        <f t="shared" si="80"/>
        <v>1.0000000000000001E-5</v>
      </c>
      <c r="T830" t="str">
        <f t="shared" si="75"/>
        <v/>
      </c>
    </row>
    <row r="831" spans="1:20" x14ac:dyDescent="0.25">
      <c r="A831">
        <f t="shared" si="77"/>
        <v>824</v>
      </c>
      <c r="B831" s="88" t="str">
        <f>IF(OR(B830="Total",B830=""),"",IF(VLOOKUP(A831,Journal!$C$7:$E$84,3)=0,"Total",VLOOKUP(A831,Journal!$C$7:$D$84,2)))</f>
        <v/>
      </c>
      <c r="C831" s="86" t="str">
        <f>IF(B831="","",VLOOKUP(A831,Journal!$C$7:$E$84,3))</f>
        <v/>
      </c>
      <c r="D831" s="84" t="str">
        <f>IF(B831="","",VLOOKUP(A831,Journal!$C$7:$J$84,8))</f>
        <v/>
      </c>
      <c r="E831" s="84" t="str">
        <f>IF(B831="","",VLOOKUP(A831,Journal!$C$7:$L$84,10))</f>
        <v/>
      </c>
      <c r="F831" s="84" t="str">
        <f>IF(B831="","",VLOOKUP(A831,Journal!$C$7:$M$84,11))</f>
        <v/>
      </c>
      <c r="G831" s="102">
        <f>IF(B831="Total",SUM(G$8:G830)+0.0001,IF(OR(B831="",M831=0),0,VLOOKUP(A831,Journal!$C$7:M$84,7)))</f>
        <v>0</v>
      </c>
      <c r="H831" s="102">
        <f>IF(B831="Total",SUM(H$8:H830)+0.0001,IF(OR(B831="",N831=0),0,VLOOKUP(A831,Journal!$C$7:M$84,7)))</f>
        <v>0</v>
      </c>
      <c r="I831" s="87">
        <f t="shared" si="76"/>
        <v>0</v>
      </c>
      <c r="K831" s="13">
        <f>VLOOKUP(A831,Journal!$C$7:$M$84,4)</f>
        <v>0</v>
      </c>
      <c r="L831" s="13">
        <f>VLOOKUP(A831,Journal!$C$7:$M$84,5)</f>
        <v>0</v>
      </c>
      <c r="M831" s="13">
        <f t="shared" si="78"/>
        <v>0</v>
      </c>
      <c r="N831" s="13">
        <f t="shared" si="79"/>
        <v>0</v>
      </c>
      <c r="O831" s="13"/>
      <c r="P831" s="13">
        <f t="shared" si="80"/>
        <v>1.0000000000000001E-5</v>
      </c>
      <c r="T831" t="str">
        <f t="shared" si="75"/>
        <v/>
      </c>
    </row>
    <row r="832" spans="1:20" x14ac:dyDescent="0.25">
      <c r="A832">
        <f t="shared" si="77"/>
        <v>825</v>
      </c>
      <c r="B832" s="88" t="str">
        <f>IF(OR(B831="Total",B831=""),"",IF(VLOOKUP(A832,Journal!$C$7:$E$84,3)=0,"Total",VLOOKUP(A832,Journal!$C$7:$D$84,2)))</f>
        <v/>
      </c>
      <c r="C832" s="86" t="str">
        <f>IF(B832="","",VLOOKUP(A832,Journal!$C$7:$E$84,3))</f>
        <v/>
      </c>
      <c r="D832" s="84" t="str">
        <f>IF(B832="","",VLOOKUP(A832,Journal!$C$7:$J$84,8))</f>
        <v/>
      </c>
      <c r="E832" s="84" t="str">
        <f>IF(B832="","",VLOOKUP(A832,Journal!$C$7:$L$84,10))</f>
        <v/>
      </c>
      <c r="F832" s="84" t="str">
        <f>IF(B832="","",VLOOKUP(A832,Journal!$C$7:$M$84,11))</f>
        <v/>
      </c>
      <c r="G832" s="102">
        <f>IF(B832="Total",SUM(G$8:G831)+0.0001,IF(OR(B832="",M832=0),0,VLOOKUP(A832,Journal!$C$7:M$84,7)))</f>
        <v>0</v>
      </c>
      <c r="H832" s="102">
        <f>IF(B832="Total",SUM(H$8:H831)+0.0001,IF(OR(B832="",N832=0),0,VLOOKUP(A832,Journal!$C$7:M$84,7)))</f>
        <v>0</v>
      </c>
      <c r="I832" s="87">
        <f t="shared" si="76"/>
        <v>0</v>
      </c>
      <c r="K832" s="13">
        <f>VLOOKUP(A832,Journal!$C$7:$M$84,4)</f>
        <v>0</v>
      </c>
      <c r="L832" s="13">
        <f>VLOOKUP(A832,Journal!$C$7:$M$84,5)</f>
        <v>0</v>
      </c>
      <c r="M832" s="13">
        <f t="shared" si="78"/>
        <v>0</v>
      </c>
      <c r="N832" s="13">
        <f t="shared" si="79"/>
        <v>0</v>
      </c>
      <c r="O832" s="13"/>
      <c r="P832" s="13">
        <f t="shared" si="80"/>
        <v>1.0000000000000001E-5</v>
      </c>
      <c r="T832" t="str">
        <f t="shared" si="75"/>
        <v/>
      </c>
    </row>
    <row r="833" spans="1:20" x14ac:dyDescent="0.25">
      <c r="A833">
        <f t="shared" si="77"/>
        <v>826</v>
      </c>
      <c r="B833" s="88" t="str">
        <f>IF(OR(B832="Total",B832=""),"",IF(VLOOKUP(A833,Journal!$C$7:$E$84,3)=0,"Total",VLOOKUP(A833,Journal!$C$7:$D$84,2)))</f>
        <v/>
      </c>
      <c r="C833" s="86" t="str">
        <f>IF(B833="","",VLOOKUP(A833,Journal!$C$7:$E$84,3))</f>
        <v/>
      </c>
      <c r="D833" s="84" t="str">
        <f>IF(B833="","",VLOOKUP(A833,Journal!$C$7:$J$84,8))</f>
        <v/>
      </c>
      <c r="E833" s="84" t="str">
        <f>IF(B833="","",VLOOKUP(A833,Journal!$C$7:$L$84,10))</f>
        <v/>
      </c>
      <c r="F833" s="84" t="str">
        <f>IF(B833="","",VLOOKUP(A833,Journal!$C$7:$M$84,11))</f>
        <v/>
      </c>
      <c r="G833" s="102">
        <f>IF(B833="Total",SUM(G$8:G832)+0.0001,IF(OR(B833="",M833=0),0,VLOOKUP(A833,Journal!$C$7:M$84,7)))</f>
        <v>0</v>
      </c>
      <c r="H833" s="102">
        <f>IF(B833="Total",SUM(H$8:H832)+0.0001,IF(OR(B833="",N833=0),0,VLOOKUP(A833,Journal!$C$7:M$84,7)))</f>
        <v>0</v>
      </c>
      <c r="I833" s="87">
        <f t="shared" si="76"/>
        <v>0</v>
      </c>
      <c r="K833" s="13">
        <f>VLOOKUP(A833,Journal!$C$7:$M$84,4)</f>
        <v>0</v>
      </c>
      <c r="L833" s="13">
        <f>VLOOKUP(A833,Journal!$C$7:$M$84,5)</f>
        <v>0</v>
      </c>
      <c r="M833" s="13">
        <f t="shared" si="78"/>
        <v>0</v>
      </c>
      <c r="N833" s="13">
        <f t="shared" si="79"/>
        <v>0</v>
      </c>
      <c r="O833" s="13"/>
      <c r="P833" s="13">
        <f t="shared" si="80"/>
        <v>1.0000000000000001E-5</v>
      </c>
      <c r="T833" t="str">
        <f t="shared" si="75"/>
        <v/>
      </c>
    </row>
    <row r="834" spans="1:20" x14ac:dyDescent="0.25">
      <c r="A834">
        <f t="shared" si="77"/>
        <v>827</v>
      </c>
      <c r="B834" s="88" t="str">
        <f>IF(OR(B833="Total",B833=""),"",IF(VLOOKUP(A834,Journal!$C$7:$E$84,3)=0,"Total",VLOOKUP(A834,Journal!$C$7:$D$84,2)))</f>
        <v/>
      </c>
      <c r="C834" s="86" t="str">
        <f>IF(B834="","",VLOOKUP(A834,Journal!$C$7:$E$84,3))</f>
        <v/>
      </c>
      <c r="D834" s="84" t="str">
        <f>IF(B834="","",VLOOKUP(A834,Journal!$C$7:$J$84,8))</f>
        <v/>
      </c>
      <c r="E834" s="84" t="str">
        <f>IF(B834="","",VLOOKUP(A834,Journal!$C$7:$L$84,10))</f>
        <v/>
      </c>
      <c r="F834" s="84" t="str">
        <f>IF(B834="","",VLOOKUP(A834,Journal!$C$7:$M$84,11))</f>
        <v/>
      </c>
      <c r="G834" s="102">
        <f>IF(B834="Total",SUM(G$8:G833)+0.0001,IF(OR(B834="",M834=0),0,VLOOKUP(A834,Journal!$C$7:M$84,7)))</f>
        <v>0</v>
      </c>
      <c r="H834" s="102">
        <f>IF(B834="Total",SUM(H$8:H833)+0.0001,IF(OR(B834="",N834=0),0,VLOOKUP(A834,Journal!$C$7:M$84,7)))</f>
        <v>0</v>
      </c>
      <c r="I834" s="87">
        <f t="shared" si="76"/>
        <v>0</v>
      </c>
      <c r="K834" s="13">
        <f>VLOOKUP(A834,Journal!$C$7:$M$84,4)</f>
        <v>0</v>
      </c>
      <c r="L834" s="13">
        <f>VLOOKUP(A834,Journal!$C$7:$M$84,5)</f>
        <v>0</v>
      </c>
      <c r="M834" s="13">
        <f t="shared" si="78"/>
        <v>0</v>
      </c>
      <c r="N834" s="13">
        <f t="shared" si="79"/>
        <v>0</v>
      </c>
      <c r="O834" s="13"/>
      <c r="P834" s="13">
        <f t="shared" si="80"/>
        <v>1.0000000000000001E-5</v>
      </c>
      <c r="T834" t="str">
        <f t="shared" si="75"/>
        <v/>
      </c>
    </row>
    <row r="835" spans="1:20" x14ac:dyDescent="0.25">
      <c r="A835">
        <f t="shared" si="77"/>
        <v>828</v>
      </c>
      <c r="B835" s="88" t="str">
        <f>IF(OR(B834="Total",B834=""),"",IF(VLOOKUP(A835,Journal!$C$7:$E$84,3)=0,"Total",VLOOKUP(A835,Journal!$C$7:$D$84,2)))</f>
        <v/>
      </c>
      <c r="C835" s="86" t="str">
        <f>IF(B835="","",VLOOKUP(A835,Journal!$C$7:$E$84,3))</f>
        <v/>
      </c>
      <c r="D835" s="84" t="str">
        <f>IF(B835="","",VLOOKUP(A835,Journal!$C$7:$J$84,8))</f>
        <v/>
      </c>
      <c r="E835" s="84" t="str">
        <f>IF(B835="","",VLOOKUP(A835,Journal!$C$7:$L$84,10))</f>
        <v/>
      </c>
      <c r="F835" s="84" t="str">
        <f>IF(B835="","",VLOOKUP(A835,Journal!$C$7:$M$84,11))</f>
        <v/>
      </c>
      <c r="G835" s="102">
        <f>IF(B835="Total",SUM(G$8:G834)+0.0001,IF(OR(B835="",M835=0),0,VLOOKUP(A835,Journal!$C$7:M$84,7)))</f>
        <v>0</v>
      </c>
      <c r="H835" s="102">
        <f>IF(B835="Total",SUM(H$8:H834)+0.0001,IF(OR(B835="",N835=0),0,VLOOKUP(A835,Journal!$C$7:M$84,7)))</f>
        <v>0</v>
      </c>
      <c r="I835" s="87">
        <f t="shared" si="76"/>
        <v>0</v>
      </c>
      <c r="K835" s="13">
        <f>VLOOKUP(A835,Journal!$C$7:$M$84,4)</f>
        <v>0</v>
      </c>
      <c r="L835" s="13">
        <f>VLOOKUP(A835,Journal!$C$7:$M$84,5)</f>
        <v>0</v>
      </c>
      <c r="M835" s="13">
        <f t="shared" si="78"/>
        <v>0</v>
      </c>
      <c r="N835" s="13">
        <f t="shared" si="79"/>
        <v>0</v>
      </c>
      <c r="O835" s="13"/>
      <c r="P835" s="13">
        <f t="shared" si="80"/>
        <v>1.0000000000000001E-5</v>
      </c>
      <c r="T835" t="str">
        <f t="shared" si="75"/>
        <v/>
      </c>
    </row>
    <row r="836" spans="1:20" x14ac:dyDescent="0.25">
      <c r="A836">
        <f t="shared" si="77"/>
        <v>829</v>
      </c>
      <c r="B836" s="88" t="str">
        <f>IF(OR(B835="Total",B835=""),"",IF(VLOOKUP(A836,Journal!$C$7:$E$84,3)=0,"Total",VLOOKUP(A836,Journal!$C$7:$D$84,2)))</f>
        <v/>
      </c>
      <c r="C836" s="86" t="str">
        <f>IF(B836="","",VLOOKUP(A836,Journal!$C$7:$E$84,3))</f>
        <v/>
      </c>
      <c r="D836" s="84" t="str">
        <f>IF(B836="","",VLOOKUP(A836,Journal!$C$7:$J$84,8))</f>
        <v/>
      </c>
      <c r="E836" s="84" t="str">
        <f>IF(B836="","",VLOOKUP(A836,Journal!$C$7:$L$84,10))</f>
        <v/>
      </c>
      <c r="F836" s="84" t="str">
        <f>IF(B836="","",VLOOKUP(A836,Journal!$C$7:$M$84,11))</f>
        <v/>
      </c>
      <c r="G836" s="102">
        <f>IF(B836="Total",SUM(G$8:G835)+0.0001,IF(OR(B836="",M836=0),0,VLOOKUP(A836,Journal!$C$7:M$84,7)))</f>
        <v>0</v>
      </c>
      <c r="H836" s="102">
        <f>IF(B836="Total",SUM(H$8:H835)+0.0001,IF(OR(B836="",N836=0),0,VLOOKUP(A836,Journal!$C$7:M$84,7)))</f>
        <v>0</v>
      </c>
      <c r="I836" s="87">
        <f t="shared" si="76"/>
        <v>0</v>
      </c>
      <c r="K836" s="13">
        <f>VLOOKUP(A836,Journal!$C$7:$M$84,4)</f>
        <v>0</v>
      </c>
      <c r="L836" s="13">
        <f>VLOOKUP(A836,Journal!$C$7:$M$84,5)</f>
        <v>0</v>
      </c>
      <c r="M836" s="13">
        <f t="shared" si="78"/>
        <v>0</v>
      </c>
      <c r="N836" s="13">
        <f t="shared" si="79"/>
        <v>0</v>
      </c>
      <c r="O836" s="13"/>
      <c r="P836" s="13">
        <f t="shared" si="80"/>
        <v>1.0000000000000001E-5</v>
      </c>
      <c r="T836" t="str">
        <f t="shared" si="75"/>
        <v/>
      </c>
    </row>
    <row r="837" spans="1:20" x14ac:dyDescent="0.25">
      <c r="A837">
        <f t="shared" si="77"/>
        <v>830</v>
      </c>
      <c r="B837" s="88" t="str">
        <f>IF(OR(B836="Total",B836=""),"",IF(VLOOKUP(A837,Journal!$C$7:$E$84,3)=0,"Total",VLOOKUP(A837,Journal!$C$7:$D$84,2)))</f>
        <v/>
      </c>
      <c r="C837" s="86" t="str">
        <f>IF(B837="","",VLOOKUP(A837,Journal!$C$7:$E$84,3))</f>
        <v/>
      </c>
      <c r="D837" s="84" t="str">
        <f>IF(B837="","",VLOOKUP(A837,Journal!$C$7:$J$84,8))</f>
        <v/>
      </c>
      <c r="E837" s="84" t="str">
        <f>IF(B837="","",VLOOKUP(A837,Journal!$C$7:$L$84,10))</f>
        <v/>
      </c>
      <c r="F837" s="84" t="str">
        <f>IF(B837="","",VLOOKUP(A837,Journal!$C$7:$M$84,11))</f>
        <v/>
      </c>
      <c r="G837" s="102">
        <f>IF(B837="Total",SUM(G$8:G836)+0.0001,IF(OR(B837="",M837=0),0,VLOOKUP(A837,Journal!$C$7:M$84,7)))</f>
        <v>0</v>
      </c>
      <c r="H837" s="102">
        <f>IF(B837="Total",SUM(H$8:H836)+0.0001,IF(OR(B837="",N837=0),0,VLOOKUP(A837,Journal!$C$7:M$84,7)))</f>
        <v>0</v>
      </c>
      <c r="I837" s="87">
        <f t="shared" si="76"/>
        <v>0</v>
      </c>
      <c r="K837" s="13">
        <f>VLOOKUP(A837,Journal!$C$7:$M$84,4)</f>
        <v>0</v>
      </c>
      <c r="L837" s="13">
        <f>VLOOKUP(A837,Journal!$C$7:$M$84,5)</f>
        <v>0</v>
      </c>
      <c r="M837" s="13">
        <f t="shared" si="78"/>
        <v>0</v>
      </c>
      <c r="N837" s="13">
        <f t="shared" si="79"/>
        <v>0</v>
      </c>
      <c r="O837" s="13"/>
      <c r="P837" s="13">
        <f t="shared" si="80"/>
        <v>1.0000000000000001E-5</v>
      </c>
      <c r="T837" t="str">
        <f t="shared" si="75"/>
        <v/>
      </c>
    </row>
    <row r="838" spans="1:20" x14ac:dyDescent="0.25">
      <c r="A838">
        <f t="shared" si="77"/>
        <v>831</v>
      </c>
      <c r="B838" s="88" t="str">
        <f>IF(OR(B837="Total",B837=""),"",IF(VLOOKUP(A838,Journal!$C$7:$E$84,3)=0,"Total",VLOOKUP(A838,Journal!$C$7:$D$84,2)))</f>
        <v/>
      </c>
      <c r="C838" s="86" t="str">
        <f>IF(B838="","",VLOOKUP(A838,Journal!$C$7:$E$84,3))</f>
        <v/>
      </c>
      <c r="D838" s="84" t="str">
        <f>IF(B838="","",VLOOKUP(A838,Journal!$C$7:$J$84,8))</f>
        <v/>
      </c>
      <c r="E838" s="84" t="str">
        <f>IF(B838="","",VLOOKUP(A838,Journal!$C$7:$L$84,10))</f>
        <v/>
      </c>
      <c r="F838" s="84" t="str">
        <f>IF(B838="","",VLOOKUP(A838,Journal!$C$7:$M$84,11))</f>
        <v/>
      </c>
      <c r="G838" s="102">
        <f>IF(B838="Total",SUM(G$8:G837)+0.0001,IF(OR(B838="",M838=0),0,VLOOKUP(A838,Journal!$C$7:M$84,7)))</f>
        <v>0</v>
      </c>
      <c r="H838" s="102">
        <f>IF(B838="Total",SUM(H$8:H837)+0.0001,IF(OR(B838="",N838=0),0,VLOOKUP(A838,Journal!$C$7:M$84,7)))</f>
        <v>0</v>
      </c>
      <c r="I838" s="87">
        <f t="shared" si="76"/>
        <v>0</v>
      </c>
      <c r="K838" s="13">
        <f>VLOOKUP(A838,Journal!$C$7:$M$84,4)</f>
        <v>0</v>
      </c>
      <c r="L838" s="13">
        <f>VLOOKUP(A838,Journal!$C$7:$M$84,5)</f>
        <v>0</v>
      </c>
      <c r="M838" s="13">
        <f t="shared" si="78"/>
        <v>0</v>
      </c>
      <c r="N838" s="13">
        <f t="shared" si="79"/>
        <v>0</v>
      </c>
      <c r="O838" s="13"/>
      <c r="P838" s="13">
        <f t="shared" si="80"/>
        <v>1.0000000000000001E-5</v>
      </c>
      <c r="T838" t="str">
        <f t="shared" si="75"/>
        <v/>
      </c>
    </row>
    <row r="839" spans="1:20" x14ac:dyDescent="0.25">
      <c r="A839">
        <f t="shared" si="77"/>
        <v>832</v>
      </c>
      <c r="B839" s="88" t="str">
        <f>IF(OR(B838="Total",B838=""),"",IF(VLOOKUP(A839,Journal!$C$7:$E$84,3)=0,"Total",VLOOKUP(A839,Journal!$C$7:$D$84,2)))</f>
        <v/>
      </c>
      <c r="C839" s="86" t="str">
        <f>IF(B839="","",VLOOKUP(A839,Journal!$C$7:$E$84,3))</f>
        <v/>
      </c>
      <c r="D839" s="84" t="str">
        <f>IF(B839="","",VLOOKUP(A839,Journal!$C$7:$J$84,8))</f>
        <v/>
      </c>
      <c r="E839" s="84" t="str">
        <f>IF(B839="","",VLOOKUP(A839,Journal!$C$7:$L$84,10))</f>
        <v/>
      </c>
      <c r="F839" s="84" t="str">
        <f>IF(B839="","",VLOOKUP(A839,Journal!$C$7:$M$84,11))</f>
        <v/>
      </c>
      <c r="G839" s="102">
        <f>IF(B839="Total",SUM(G$8:G838)+0.0001,IF(OR(B839="",M839=0),0,VLOOKUP(A839,Journal!$C$7:M$84,7)))</f>
        <v>0</v>
      </c>
      <c r="H839" s="102">
        <f>IF(B839="Total",SUM(H$8:H838)+0.0001,IF(OR(B839="",N839=0),0,VLOOKUP(A839,Journal!$C$7:M$84,7)))</f>
        <v>0</v>
      </c>
      <c r="I839" s="87">
        <f t="shared" si="76"/>
        <v>0</v>
      </c>
      <c r="K839" s="13">
        <f>VLOOKUP(A839,Journal!$C$7:$M$84,4)</f>
        <v>0</v>
      </c>
      <c r="L839" s="13">
        <f>VLOOKUP(A839,Journal!$C$7:$M$84,5)</f>
        <v>0</v>
      </c>
      <c r="M839" s="13">
        <f t="shared" si="78"/>
        <v>0</v>
      </c>
      <c r="N839" s="13">
        <f t="shared" si="79"/>
        <v>0</v>
      </c>
      <c r="O839" s="13"/>
      <c r="P839" s="13">
        <f t="shared" si="80"/>
        <v>1.0000000000000001E-5</v>
      </c>
      <c r="T839" t="str">
        <f t="shared" si="75"/>
        <v/>
      </c>
    </row>
    <row r="840" spans="1:20" x14ac:dyDescent="0.25">
      <c r="A840">
        <f t="shared" si="77"/>
        <v>833</v>
      </c>
      <c r="B840" s="88" t="str">
        <f>IF(OR(B839="Total",B839=""),"",IF(VLOOKUP(A840,Journal!$C$7:$E$84,3)=0,"Total",VLOOKUP(A840,Journal!$C$7:$D$84,2)))</f>
        <v/>
      </c>
      <c r="C840" s="86" t="str">
        <f>IF(B840="","",VLOOKUP(A840,Journal!$C$7:$E$84,3))</f>
        <v/>
      </c>
      <c r="D840" s="84" t="str">
        <f>IF(B840="","",VLOOKUP(A840,Journal!$C$7:$J$84,8))</f>
        <v/>
      </c>
      <c r="E840" s="84" t="str">
        <f>IF(B840="","",VLOOKUP(A840,Journal!$C$7:$L$84,10))</f>
        <v/>
      </c>
      <c r="F840" s="84" t="str">
        <f>IF(B840="","",VLOOKUP(A840,Journal!$C$7:$M$84,11))</f>
        <v/>
      </c>
      <c r="G840" s="102">
        <f>IF(B840="Total",SUM(G$8:G839)+0.0001,IF(OR(B840="",M840=0),0,VLOOKUP(A840,Journal!$C$7:M$84,7)))</f>
        <v>0</v>
      </c>
      <c r="H840" s="102">
        <f>IF(B840="Total",SUM(H$8:H839)+0.0001,IF(OR(B840="",N840=0),0,VLOOKUP(A840,Journal!$C$7:M$84,7)))</f>
        <v>0</v>
      </c>
      <c r="I840" s="87">
        <f t="shared" si="76"/>
        <v>0</v>
      </c>
      <c r="K840" s="13">
        <f>VLOOKUP(A840,Journal!$C$7:$M$84,4)</f>
        <v>0</v>
      </c>
      <c r="L840" s="13">
        <f>VLOOKUP(A840,Journal!$C$7:$M$84,5)</f>
        <v>0</v>
      </c>
      <c r="M840" s="13">
        <f t="shared" si="78"/>
        <v>0</v>
      </c>
      <c r="N840" s="13">
        <f t="shared" si="79"/>
        <v>0</v>
      </c>
      <c r="O840" s="13"/>
      <c r="P840" s="13">
        <f t="shared" si="80"/>
        <v>1.0000000000000001E-5</v>
      </c>
      <c r="T840" t="str">
        <f t="shared" si="75"/>
        <v/>
      </c>
    </row>
    <row r="841" spans="1:20" x14ac:dyDescent="0.25">
      <c r="A841">
        <f t="shared" si="77"/>
        <v>834</v>
      </c>
      <c r="B841" s="88" t="str">
        <f>IF(OR(B840="Total",B840=""),"",IF(VLOOKUP(A841,Journal!$C$7:$E$84,3)=0,"Total",VLOOKUP(A841,Journal!$C$7:$D$84,2)))</f>
        <v/>
      </c>
      <c r="C841" s="86" t="str">
        <f>IF(B841="","",VLOOKUP(A841,Journal!$C$7:$E$84,3))</f>
        <v/>
      </c>
      <c r="D841" s="84" t="str">
        <f>IF(B841="","",VLOOKUP(A841,Journal!$C$7:$J$84,8))</f>
        <v/>
      </c>
      <c r="E841" s="84" t="str">
        <f>IF(B841="","",VLOOKUP(A841,Journal!$C$7:$L$84,10))</f>
        <v/>
      </c>
      <c r="F841" s="84" t="str">
        <f>IF(B841="","",VLOOKUP(A841,Journal!$C$7:$M$84,11))</f>
        <v/>
      </c>
      <c r="G841" s="102">
        <f>IF(B841="Total",SUM(G$8:G840)+0.0001,IF(OR(B841="",M841=0),0,VLOOKUP(A841,Journal!$C$7:M$84,7)))</f>
        <v>0</v>
      </c>
      <c r="H841" s="102">
        <f>IF(B841="Total",SUM(H$8:H840)+0.0001,IF(OR(B841="",N841=0),0,VLOOKUP(A841,Journal!$C$7:M$84,7)))</f>
        <v>0</v>
      </c>
      <c r="I841" s="87">
        <f t="shared" si="76"/>
        <v>0</v>
      </c>
      <c r="K841" s="13">
        <f>VLOOKUP(A841,Journal!$C$7:$M$84,4)</f>
        <v>0</v>
      </c>
      <c r="L841" s="13">
        <f>VLOOKUP(A841,Journal!$C$7:$M$84,5)</f>
        <v>0</v>
      </c>
      <c r="M841" s="13">
        <f t="shared" si="78"/>
        <v>0</v>
      </c>
      <c r="N841" s="13">
        <f t="shared" si="79"/>
        <v>0</v>
      </c>
      <c r="O841" s="13"/>
      <c r="P841" s="13">
        <f t="shared" si="80"/>
        <v>1.0000000000000001E-5</v>
      </c>
      <c r="T841" t="str">
        <f t="shared" ref="T841:T904" si="81">IF(AND(G841&lt;&gt;0,B841&lt;&gt;"Total",G841=H841),"Beide Konten sind Erfolgskonten, weshalb Saldo gleich bleibt","")</f>
        <v/>
      </c>
    </row>
    <row r="842" spans="1:20" x14ac:dyDescent="0.25">
      <c r="A842">
        <f t="shared" si="77"/>
        <v>835</v>
      </c>
      <c r="B842" s="88" t="str">
        <f>IF(OR(B841="Total",B841=""),"",IF(VLOOKUP(A842,Journal!$C$7:$E$84,3)=0,"Total",VLOOKUP(A842,Journal!$C$7:$D$84,2)))</f>
        <v/>
      </c>
      <c r="C842" s="86" t="str">
        <f>IF(B842="","",VLOOKUP(A842,Journal!$C$7:$E$84,3))</f>
        <v/>
      </c>
      <c r="D842" s="84" t="str">
        <f>IF(B842="","",VLOOKUP(A842,Journal!$C$7:$J$84,8))</f>
        <v/>
      </c>
      <c r="E842" s="84" t="str">
        <f>IF(B842="","",VLOOKUP(A842,Journal!$C$7:$L$84,10))</f>
        <v/>
      </c>
      <c r="F842" s="84" t="str">
        <f>IF(B842="","",VLOOKUP(A842,Journal!$C$7:$M$84,11))</f>
        <v/>
      </c>
      <c r="G842" s="102">
        <f>IF(B842="Total",SUM(G$8:G841)+0.0001,IF(OR(B842="",M842=0),0,VLOOKUP(A842,Journal!$C$7:M$84,7)))</f>
        <v>0</v>
      </c>
      <c r="H842" s="102">
        <f>IF(B842="Total",SUM(H$8:H841)+0.0001,IF(OR(B842="",N842=0),0,VLOOKUP(A842,Journal!$C$7:M$84,7)))</f>
        <v>0</v>
      </c>
      <c r="I842" s="87">
        <f t="shared" ref="I842:I905" si="82">IF(B842="Total",I841,IF(B842="",0,I841+G842-H842))</f>
        <v>0</v>
      </c>
      <c r="K842" s="13">
        <f>VLOOKUP(A842,Journal!$C$7:$M$84,4)</f>
        <v>0</v>
      </c>
      <c r="L842" s="13">
        <f>VLOOKUP(A842,Journal!$C$7:$M$84,5)</f>
        <v>0</v>
      </c>
      <c r="M842" s="13">
        <f t="shared" si="78"/>
        <v>0</v>
      </c>
      <c r="N842" s="13">
        <f t="shared" si="79"/>
        <v>0</v>
      </c>
      <c r="O842" s="13"/>
      <c r="P842" s="13">
        <f t="shared" si="80"/>
        <v>1.0000000000000001E-5</v>
      </c>
      <c r="T842" t="str">
        <f t="shared" si="81"/>
        <v/>
      </c>
    </row>
    <row r="843" spans="1:20" x14ac:dyDescent="0.25">
      <c r="A843">
        <f t="shared" ref="A843:A906" si="83">A842+1</f>
        <v>836</v>
      </c>
      <c r="B843" s="88" t="str">
        <f>IF(OR(B842="Total",B842=""),"",IF(VLOOKUP(A843,Journal!$C$7:$E$84,3)=0,"Total",VLOOKUP(A843,Journal!$C$7:$D$84,2)))</f>
        <v/>
      </c>
      <c r="C843" s="86" t="str">
        <f>IF(B843="","",VLOOKUP(A843,Journal!$C$7:$E$84,3))</f>
        <v/>
      </c>
      <c r="D843" s="84" t="str">
        <f>IF(B843="","",VLOOKUP(A843,Journal!$C$7:$J$84,8))</f>
        <v/>
      </c>
      <c r="E843" s="84" t="str">
        <f>IF(B843="","",VLOOKUP(A843,Journal!$C$7:$L$84,10))</f>
        <v/>
      </c>
      <c r="F843" s="84" t="str">
        <f>IF(B843="","",VLOOKUP(A843,Journal!$C$7:$M$84,11))</f>
        <v/>
      </c>
      <c r="G843" s="102">
        <f>IF(B843="Total",SUM(G$8:G842)+0.0001,IF(OR(B843="",M843=0),0,VLOOKUP(A843,Journal!$C$7:M$84,7)))</f>
        <v>0</v>
      </c>
      <c r="H843" s="102">
        <f>IF(B843="Total",SUM(H$8:H842)+0.0001,IF(OR(B843="",N843=0),0,VLOOKUP(A843,Journal!$C$7:M$84,7)))</f>
        <v>0</v>
      </c>
      <c r="I843" s="87">
        <f t="shared" si="82"/>
        <v>0</v>
      </c>
      <c r="K843" s="13">
        <f>VLOOKUP(A843,Journal!$C$7:$M$84,4)</f>
        <v>0</v>
      </c>
      <c r="L843" s="13">
        <f>VLOOKUP(A843,Journal!$C$7:$M$84,5)</f>
        <v>0</v>
      </c>
      <c r="M843" s="13">
        <f t="shared" si="78"/>
        <v>0</v>
      </c>
      <c r="N843" s="13">
        <f t="shared" si="79"/>
        <v>0</v>
      </c>
      <c r="O843" s="13"/>
      <c r="P843" s="13">
        <f t="shared" si="80"/>
        <v>1.0000000000000001E-5</v>
      </c>
      <c r="T843" t="str">
        <f t="shared" si="81"/>
        <v/>
      </c>
    </row>
    <row r="844" spans="1:20" x14ac:dyDescent="0.25">
      <c r="A844">
        <f t="shared" si="83"/>
        <v>837</v>
      </c>
      <c r="B844" s="88" t="str">
        <f>IF(OR(B843="Total",B843=""),"",IF(VLOOKUP(A844,Journal!$C$7:$E$84,3)=0,"Total",VLOOKUP(A844,Journal!$C$7:$D$84,2)))</f>
        <v/>
      </c>
      <c r="C844" s="86" t="str">
        <f>IF(B844="","",VLOOKUP(A844,Journal!$C$7:$E$84,3))</f>
        <v/>
      </c>
      <c r="D844" s="84" t="str">
        <f>IF(B844="","",VLOOKUP(A844,Journal!$C$7:$J$84,8))</f>
        <v/>
      </c>
      <c r="E844" s="84" t="str">
        <f>IF(B844="","",VLOOKUP(A844,Journal!$C$7:$L$84,10))</f>
        <v/>
      </c>
      <c r="F844" s="84" t="str">
        <f>IF(B844="","",VLOOKUP(A844,Journal!$C$7:$M$84,11))</f>
        <v/>
      </c>
      <c r="G844" s="102">
        <f>IF(B844="Total",SUM(G$8:G843)+0.0001,IF(OR(B844="",M844=0),0,VLOOKUP(A844,Journal!$C$7:M$84,7)))</f>
        <v>0</v>
      </c>
      <c r="H844" s="102">
        <f>IF(B844="Total",SUM(H$8:H843)+0.0001,IF(OR(B844="",N844=0),0,VLOOKUP(A844,Journal!$C$7:M$84,7)))</f>
        <v>0</v>
      </c>
      <c r="I844" s="87">
        <f t="shared" si="82"/>
        <v>0</v>
      </c>
      <c r="K844" s="13">
        <f>VLOOKUP(A844,Journal!$C$7:$M$84,4)</f>
        <v>0</v>
      </c>
      <c r="L844" s="13">
        <f>VLOOKUP(A844,Journal!$C$7:$M$84,5)</f>
        <v>0</v>
      </c>
      <c r="M844" s="13">
        <f t="shared" si="78"/>
        <v>0</v>
      </c>
      <c r="N844" s="13">
        <f t="shared" si="79"/>
        <v>0</v>
      </c>
      <c r="O844" s="13"/>
      <c r="P844" s="13">
        <f t="shared" si="80"/>
        <v>1.0000000000000001E-5</v>
      </c>
      <c r="T844" t="str">
        <f t="shared" si="81"/>
        <v/>
      </c>
    </row>
    <row r="845" spans="1:20" x14ac:dyDescent="0.25">
      <c r="A845">
        <f t="shared" si="83"/>
        <v>838</v>
      </c>
      <c r="B845" s="88" t="str">
        <f>IF(OR(B844="Total",B844=""),"",IF(VLOOKUP(A845,Journal!$C$7:$E$84,3)=0,"Total",VLOOKUP(A845,Journal!$C$7:$D$84,2)))</f>
        <v/>
      </c>
      <c r="C845" s="86" t="str">
        <f>IF(B845="","",VLOOKUP(A845,Journal!$C$7:$E$84,3))</f>
        <v/>
      </c>
      <c r="D845" s="84" t="str">
        <f>IF(B845="","",VLOOKUP(A845,Journal!$C$7:$J$84,8))</f>
        <v/>
      </c>
      <c r="E845" s="84" t="str">
        <f>IF(B845="","",VLOOKUP(A845,Journal!$C$7:$L$84,10))</f>
        <v/>
      </c>
      <c r="F845" s="84" t="str">
        <f>IF(B845="","",VLOOKUP(A845,Journal!$C$7:$M$84,11))</f>
        <v/>
      </c>
      <c r="G845" s="102">
        <f>IF(B845="Total",SUM(G$8:G844)+0.0001,IF(OR(B845="",M845=0),0,VLOOKUP(A845,Journal!$C$7:M$84,7)))</f>
        <v>0</v>
      </c>
      <c r="H845" s="102">
        <f>IF(B845="Total",SUM(H$8:H844)+0.0001,IF(OR(B845="",N845=0),0,VLOOKUP(A845,Journal!$C$7:M$84,7)))</f>
        <v>0</v>
      </c>
      <c r="I845" s="87">
        <f t="shared" si="82"/>
        <v>0</v>
      </c>
      <c r="K845" s="13">
        <f>VLOOKUP(A845,Journal!$C$7:$M$84,4)</f>
        <v>0</v>
      </c>
      <c r="L845" s="13">
        <f>VLOOKUP(A845,Journal!$C$7:$M$84,5)</f>
        <v>0</v>
      </c>
      <c r="M845" s="13">
        <f t="shared" si="78"/>
        <v>0</v>
      </c>
      <c r="N845" s="13">
        <f t="shared" si="79"/>
        <v>0</v>
      </c>
      <c r="O845" s="13"/>
      <c r="P845" s="13">
        <f t="shared" si="80"/>
        <v>1.0000000000000001E-5</v>
      </c>
      <c r="T845" t="str">
        <f t="shared" si="81"/>
        <v/>
      </c>
    </row>
    <row r="846" spans="1:20" x14ac:dyDescent="0.25">
      <c r="A846">
        <f t="shared" si="83"/>
        <v>839</v>
      </c>
      <c r="B846" s="88" t="str">
        <f>IF(OR(B845="Total",B845=""),"",IF(VLOOKUP(A846,Journal!$C$7:$E$84,3)=0,"Total",VLOOKUP(A846,Journal!$C$7:$D$84,2)))</f>
        <v/>
      </c>
      <c r="C846" s="86" t="str">
        <f>IF(B846="","",VLOOKUP(A846,Journal!$C$7:$E$84,3))</f>
        <v/>
      </c>
      <c r="D846" s="84" t="str">
        <f>IF(B846="","",VLOOKUP(A846,Journal!$C$7:$J$84,8))</f>
        <v/>
      </c>
      <c r="E846" s="84" t="str">
        <f>IF(B846="","",VLOOKUP(A846,Journal!$C$7:$L$84,10))</f>
        <v/>
      </c>
      <c r="F846" s="84" t="str">
        <f>IF(B846="","",VLOOKUP(A846,Journal!$C$7:$M$84,11))</f>
        <v/>
      </c>
      <c r="G846" s="102">
        <f>IF(B846="Total",SUM(G$8:G845)+0.0001,IF(OR(B846="",M846=0),0,VLOOKUP(A846,Journal!$C$7:M$84,7)))</f>
        <v>0</v>
      </c>
      <c r="H846" s="102">
        <f>IF(B846="Total",SUM(H$8:H845)+0.0001,IF(OR(B846="",N846=0),0,VLOOKUP(A846,Journal!$C$7:M$84,7)))</f>
        <v>0</v>
      </c>
      <c r="I846" s="87">
        <f t="shared" si="82"/>
        <v>0</v>
      </c>
      <c r="K846" s="13">
        <f>VLOOKUP(A846,Journal!$C$7:$M$84,4)</f>
        <v>0</v>
      </c>
      <c r="L846" s="13">
        <f>VLOOKUP(A846,Journal!$C$7:$M$84,5)</f>
        <v>0</v>
      </c>
      <c r="M846" s="13">
        <f t="shared" si="78"/>
        <v>0</v>
      </c>
      <c r="N846" s="13">
        <f t="shared" si="79"/>
        <v>0</v>
      </c>
      <c r="O846" s="13"/>
      <c r="P846" s="13">
        <f t="shared" si="80"/>
        <v>1.0000000000000001E-5</v>
      </c>
      <c r="T846" t="str">
        <f t="shared" si="81"/>
        <v/>
      </c>
    </row>
    <row r="847" spans="1:20" x14ac:dyDescent="0.25">
      <c r="A847">
        <f t="shared" si="83"/>
        <v>840</v>
      </c>
      <c r="B847" s="88" t="str">
        <f>IF(OR(B846="Total",B846=""),"",IF(VLOOKUP(A847,Journal!$C$7:$E$84,3)=0,"Total",VLOOKUP(A847,Journal!$C$7:$D$84,2)))</f>
        <v/>
      </c>
      <c r="C847" s="86" t="str">
        <f>IF(B847="","",VLOOKUP(A847,Journal!$C$7:$E$84,3))</f>
        <v/>
      </c>
      <c r="D847" s="84" t="str">
        <f>IF(B847="","",VLOOKUP(A847,Journal!$C$7:$J$84,8))</f>
        <v/>
      </c>
      <c r="E847" s="84" t="str">
        <f>IF(B847="","",VLOOKUP(A847,Journal!$C$7:$L$84,10))</f>
        <v/>
      </c>
      <c r="F847" s="84" t="str">
        <f>IF(B847="","",VLOOKUP(A847,Journal!$C$7:$M$84,11))</f>
        <v/>
      </c>
      <c r="G847" s="102">
        <f>IF(B847="Total",SUM(G$8:G846)+0.0001,IF(OR(B847="",M847=0),0,VLOOKUP(A847,Journal!$C$7:M$84,7)))</f>
        <v>0</v>
      </c>
      <c r="H847" s="102">
        <f>IF(B847="Total",SUM(H$8:H846)+0.0001,IF(OR(B847="",N847=0),0,VLOOKUP(A847,Journal!$C$7:M$84,7)))</f>
        <v>0</v>
      </c>
      <c r="I847" s="87">
        <f t="shared" si="82"/>
        <v>0</v>
      </c>
      <c r="K847" s="13">
        <f>VLOOKUP(A847,Journal!$C$7:$M$84,4)</f>
        <v>0</v>
      </c>
      <c r="L847" s="13">
        <f>VLOOKUP(A847,Journal!$C$7:$M$84,5)</f>
        <v>0</v>
      </c>
      <c r="M847" s="13">
        <f t="shared" si="78"/>
        <v>0</v>
      </c>
      <c r="N847" s="13">
        <f t="shared" si="79"/>
        <v>0</v>
      </c>
      <c r="O847" s="13"/>
      <c r="P847" s="13">
        <f t="shared" si="80"/>
        <v>1.0000000000000001E-5</v>
      </c>
      <c r="T847" t="str">
        <f t="shared" si="81"/>
        <v/>
      </c>
    </row>
    <row r="848" spans="1:20" x14ac:dyDescent="0.25">
      <c r="A848">
        <f t="shared" si="83"/>
        <v>841</v>
      </c>
      <c r="B848" s="88" t="str">
        <f>IF(OR(B847="Total",B847=""),"",IF(VLOOKUP(A848,Journal!$C$7:$E$84,3)=0,"Total",VLOOKUP(A848,Journal!$C$7:$D$84,2)))</f>
        <v/>
      </c>
      <c r="C848" s="86" t="str">
        <f>IF(B848="","",VLOOKUP(A848,Journal!$C$7:$E$84,3))</f>
        <v/>
      </c>
      <c r="D848" s="84" t="str">
        <f>IF(B848="","",VLOOKUP(A848,Journal!$C$7:$J$84,8))</f>
        <v/>
      </c>
      <c r="E848" s="84" t="str">
        <f>IF(B848="","",VLOOKUP(A848,Journal!$C$7:$L$84,10))</f>
        <v/>
      </c>
      <c r="F848" s="84" t="str">
        <f>IF(B848="","",VLOOKUP(A848,Journal!$C$7:$M$84,11))</f>
        <v/>
      </c>
      <c r="G848" s="102">
        <f>IF(B848="Total",SUM(G$8:G847)+0.0001,IF(OR(B848="",M848=0),0,VLOOKUP(A848,Journal!$C$7:M$84,7)))</f>
        <v>0</v>
      </c>
      <c r="H848" s="102">
        <f>IF(B848="Total",SUM(H$8:H847)+0.0001,IF(OR(B848="",N848=0),0,VLOOKUP(A848,Journal!$C$7:M$84,7)))</f>
        <v>0</v>
      </c>
      <c r="I848" s="87">
        <f t="shared" si="82"/>
        <v>0</v>
      </c>
      <c r="K848" s="13">
        <f>VLOOKUP(A848,Journal!$C$7:$M$84,4)</f>
        <v>0</v>
      </c>
      <c r="L848" s="13">
        <f>VLOOKUP(A848,Journal!$C$7:$M$84,5)</f>
        <v>0</v>
      </c>
      <c r="M848" s="13">
        <f t="shared" si="78"/>
        <v>0</v>
      </c>
      <c r="N848" s="13">
        <f t="shared" si="79"/>
        <v>0</v>
      </c>
      <c r="O848" s="13"/>
      <c r="P848" s="13">
        <f t="shared" si="80"/>
        <v>1.0000000000000001E-5</v>
      </c>
      <c r="T848" t="str">
        <f t="shared" si="81"/>
        <v/>
      </c>
    </row>
    <row r="849" spans="1:20" x14ac:dyDescent="0.25">
      <c r="A849">
        <f t="shared" si="83"/>
        <v>842</v>
      </c>
      <c r="B849" s="88" t="str">
        <f>IF(OR(B848="Total",B848=""),"",IF(VLOOKUP(A849,Journal!$C$7:$E$84,3)=0,"Total",VLOOKUP(A849,Journal!$C$7:$D$84,2)))</f>
        <v/>
      </c>
      <c r="C849" s="86" t="str">
        <f>IF(B849="","",VLOOKUP(A849,Journal!$C$7:$E$84,3))</f>
        <v/>
      </c>
      <c r="D849" s="84" t="str">
        <f>IF(B849="","",VLOOKUP(A849,Journal!$C$7:$J$84,8))</f>
        <v/>
      </c>
      <c r="E849" s="84" t="str">
        <f>IF(B849="","",VLOOKUP(A849,Journal!$C$7:$L$84,10))</f>
        <v/>
      </c>
      <c r="F849" s="84" t="str">
        <f>IF(B849="","",VLOOKUP(A849,Journal!$C$7:$M$84,11))</f>
        <v/>
      </c>
      <c r="G849" s="102">
        <f>IF(B849="Total",SUM(G$8:G848)+0.0001,IF(OR(B849="",M849=0),0,VLOOKUP(A849,Journal!$C$7:M$84,7)))</f>
        <v>0</v>
      </c>
      <c r="H849" s="102">
        <f>IF(B849="Total",SUM(H$8:H848)+0.0001,IF(OR(B849="",N849=0),0,VLOOKUP(A849,Journal!$C$7:M$84,7)))</f>
        <v>0</v>
      </c>
      <c r="I849" s="87">
        <f t="shared" si="82"/>
        <v>0</v>
      </c>
      <c r="K849" s="13">
        <f>VLOOKUP(A849,Journal!$C$7:$M$84,4)</f>
        <v>0</v>
      </c>
      <c r="L849" s="13">
        <f>VLOOKUP(A849,Journal!$C$7:$M$84,5)</f>
        <v>0</v>
      </c>
      <c r="M849" s="13">
        <f t="shared" si="78"/>
        <v>0</v>
      </c>
      <c r="N849" s="13">
        <f t="shared" si="79"/>
        <v>0</v>
      </c>
      <c r="O849" s="13"/>
      <c r="P849" s="13">
        <f t="shared" si="80"/>
        <v>1.0000000000000001E-5</v>
      </c>
      <c r="T849" t="str">
        <f t="shared" si="81"/>
        <v/>
      </c>
    </row>
    <row r="850" spans="1:20" x14ac:dyDescent="0.25">
      <c r="A850">
        <f t="shared" si="83"/>
        <v>843</v>
      </c>
      <c r="B850" s="88" t="str">
        <f>IF(OR(B849="Total",B849=""),"",IF(VLOOKUP(A850,Journal!$C$7:$E$84,3)=0,"Total",VLOOKUP(A850,Journal!$C$7:$D$84,2)))</f>
        <v/>
      </c>
      <c r="C850" s="86" t="str">
        <f>IF(B850="","",VLOOKUP(A850,Journal!$C$7:$E$84,3))</f>
        <v/>
      </c>
      <c r="D850" s="84" t="str">
        <f>IF(B850="","",VLOOKUP(A850,Journal!$C$7:$J$84,8))</f>
        <v/>
      </c>
      <c r="E850" s="84" t="str">
        <f>IF(B850="","",VLOOKUP(A850,Journal!$C$7:$L$84,10))</f>
        <v/>
      </c>
      <c r="F850" s="84" t="str">
        <f>IF(B850="","",VLOOKUP(A850,Journal!$C$7:$M$84,11))</f>
        <v/>
      </c>
      <c r="G850" s="102">
        <f>IF(B850="Total",SUM(G$8:G849)+0.0001,IF(OR(B850="",M850=0),0,VLOOKUP(A850,Journal!$C$7:M$84,7)))</f>
        <v>0</v>
      </c>
      <c r="H850" s="102">
        <f>IF(B850="Total",SUM(H$8:H849)+0.0001,IF(OR(B850="",N850=0),0,VLOOKUP(A850,Journal!$C$7:M$84,7)))</f>
        <v>0</v>
      </c>
      <c r="I850" s="87">
        <f t="shared" si="82"/>
        <v>0</v>
      </c>
      <c r="K850" s="13">
        <f>VLOOKUP(A850,Journal!$C$7:$M$84,4)</f>
        <v>0</v>
      </c>
      <c r="L850" s="13">
        <f>VLOOKUP(A850,Journal!$C$7:$M$84,5)</f>
        <v>0</v>
      </c>
      <c r="M850" s="13">
        <f t="shared" si="78"/>
        <v>0</v>
      </c>
      <c r="N850" s="13">
        <f t="shared" si="79"/>
        <v>0</v>
      </c>
      <c r="O850" s="13"/>
      <c r="P850" s="13">
        <f t="shared" si="80"/>
        <v>1.0000000000000001E-5</v>
      </c>
      <c r="T850" t="str">
        <f t="shared" si="81"/>
        <v/>
      </c>
    </row>
    <row r="851" spans="1:20" x14ac:dyDescent="0.25">
      <c r="A851">
        <f t="shared" si="83"/>
        <v>844</v>
      </c>
      <c r="B851" s="88" t="str">
        <f>IF(OR(B850="Total",B850=""),"",IF(VLOOKUP(A851,Journal!$C$7:$E$84,3)=0,"Total",VLOOKUP(A851,Journal!$C$7:$D$84,2)))</f>
        <v/>
      </c>
      <c r="C851" s="86" t="str">
        <f>IF(B851="","",VLOOKUP(A851,Journal!$C$7:$E$84,3))</f>
        <v/>
      </c>
      <c r="D851" s="84" t="str">
        <f>IF(B851="","",VLOOKUP(A851,Journal!$C$7:$J$84,8))</f>
        <v/>
      </c>
      <c r="E851" s="84" t="str">
        <f>IF(B851="","",VLOOKUP(A851,Journal!$C$7:$L$84,10))</f>
        <v/>
      </c>
      <c r="F851" s="84" t="str">
        <f>IF(B851="","",VLOOKUP(A851,Journal!$C$7:$M$84,11))</f>
        <v/>
      </c>
      <c r="G851" s="102">
        <f>IF(B851="Total",SUM(G$8:G850)+0.0001,IF(OR(B851="",M851=0),0,VLOOKUP(A851,Journal!$C$7:M$84,7)))</f>
        <v>0</v>
      </c>
      <c r="H851" s="102">
        <f>IF(B851="Total",SUM(H$8:H850)+0.0001,IF(OR(B851="",N851=0),0,VLOOKUP(A851,Journal!$C$7:M$84,7)))</f>
        <v>0</v>
      </c>
      <c r="I851" s="87">
        <f t="shared" si="82"/>
        <v>0</v>
      </c>
      <c r="K851" s="13">
        <f>VLOOKUP(A851,Journal!$C$7:$M$84,4)</f>
        <v>0</v>
      </c>
      <c r="L851" s="13">
        <f>VLOOKUP(A851,Journal!$C$7:$M$84,5)</f>
        <v>0</v>
      </c>
      <c r="M851" s="13">
        <f t="shared" si="78"/>
        <v>0</v>
      </c>
      <c r="N851" s="13">
        <f t="shared" si="79"/>
        <v>0</v>
      </c>
      <c r="O851" s="13"/>
      <c r="P851" s="13">
        <f t="shared" si="80"/>
        <v>1.0000000000000001E-5</v>
      </c>
      <c r="T851" t="str">
        <f t="shared" si="81"/>
        <v/>
      </c>
    </row>
    <row r="852" spans="1:20" x14ac:dyDescent="0.25">
      <c r="A852">
        <f t="shared" si="83"/>
        <v>845</v>
      </c>
      <c r="B852" s="88" t="str">
        <f>IF(OR(B851="Total",B851=""),"",IF(VLOOKUP(A852,Journal!$C$7:$E$84,3)=0,"Total",VLOOKUP(A852,Journal!$C$7:$D$84,2)))</f>
        <v/>
      </c>
      <c r="C852" s="86" t="str">
        <f>IF(B852="","",VLOOKUP(A852,Journal!$C$7:$E$84,3))</f>
        <v/>
      </c>
      <c r="D852" s="84" t="str">
        <f>IF(B852="","",VLOOKUP(A852,Journal!$C$7:$J$84,8))</f>
        <v/>
      </c>
      <c r="E852" s="84" t="str">
        <f>IF(B852="","",VLOOKUP(A852,Journal!$C$7:$L$84,10))</f>
        <v/>
      </c>
      <c r="F852" s="84" t="str">
        <f>IF(B852="","",VLOOKUP(A852,Journal!$C$7:$M$84,11))</f>
        <v/>
      </c>
      <c r="G852" s="102">
        <f>IF(B852="Total",SUM(G$8:G851)+0.0001,IF(OR(B852="",M852=0),0,VLOOKUP(A852,Journal!$C$7:M$84,7)))</f>
        <v>0</v>
      </c>
      <c r="H852" s="102">
        <f>IF(B852="Total",SUM(H$8:H851)+0.0001,IF(OR(B852="",N852=0),0,VLOOKUP(A852,Journal!$C$7:M$84,7)))</f>
        <v>0</v>
      </c>
      <c r="I852" s="87">
        <f t="shared" si="82"/>
        <v>0</v>
      </c>
      <c r="K852" s="13">
        <f>VLOOKUP(A852,Journal!$C$7:$M$84,4)</f>
        <v>0</v>
      </c>
      <c r="L852" s="13">
        <f>VLOOKUP(A852,Journal!$C$7:$M$84,5)</f>
        <v>0</v>
      </c>
      <c r="M852" s="13">
        <f t="shared" si="78"/>
        <v>0</v>
      </c>
      <c r="N852" s="13">
        <f t="shared" si="79"/>
        <v>0</v>
      </c>
      <c r="O852" s="13"/>
      <c r="P852" s="13">
        <f t="shared" si="80"/>
        <v>1.0000000000000001E-5</v>
      </c>
      <c r="T852" t="str">
        <f t="shared" si="81"/>
        <v/>
      </c>
    </row>
    <row r="853" spans="1:20" x14ac:dyDescent="0.25">
      <c r="A853">
        <f t="shared" si="83"/>
        <v>846</v>
      </c>
      <c r="B853" s="88" t="str">
        <f>IF(OR(B852="Total",B852=""),"",IF(VLOOKUP(A853,Journal!$C$7:$E$84,3)=0,"Total",VLOOKUP(A853,Journal!$C$7:$D$84,2)))</f>
        <v/>
      </c>
      <c r="C853" s="86" t="str">
        <f>IF(B853="","",VLOOKUP(A853,Journal!$C$7:$E$84,3))</f>
        <v/>
      </c>
      <c r="D853" s="84" t="str">
        <f>IF(B853="","",VLOOKUP(A853,Journal!$C$7:$J$84,8))</f>
        <v/>
      </c>
      <c r="E853" s="84" t="str">
        <f>IF(B853="","",VLOOKUP(A853,Journal!$C$7:$L$84,10))</f>
        <v/>
      </c>
      <c r="F853" s="84" t="str">
        <f>IF(B853="","",VLOOKUP(A853,Journal!$C$7:$M$84,11))</f>
        <v/>
      </c>
      <c r="G853" s="102">
        <f>IF(B853="Total",SUM(G$8:G852)+0.0001,IF(OR(B853="",M853=0),0,VLOOKUP(A853,Journal!$C$7:M$84,7)))</f>
        <v>0</v>
      </c>
      <c r="H853" s="102">
        <f>IF(B853="Total",SUM(H$8:H852)+0.0001,IF(OR(B853="",N853=0),0,VLOOKUP(A853,Journal!$C$7:M$84,7)))</f>
        <v>0</v>
      </c>
      <c r="I853" s="87">
        <f t="shared" si="82"/>
        <v>0</v>
      </c>
      <c r="K853" s="13">
        <f>VLOOKUP(A853,Journal!$C$7:$M$84,4)</f>
        <v>0</v>
      </c>
      <c r="L853" s="13">
        <f>VLOOKUP(A853,Journal!$C$7:$M$84,5)</f>
        <v>0</v>
      </c>
      <c r="M853" s="13">
        <f t="shared" si="78"/>
        <v>0</v>
      </c>
      <c r="N853" s="13">
        <f t="shared" si="79"/>
        <v>0</v>
      </c>
      <c r="O853" s="13"/>
      <c r="P853" s="13">
        <f t="shared" si="80"/>
        <v>1.0000000000000001E-5</v>
      </c>
      <c r="T853" t="str">
        <f t="shared" si="81"/>
        <v/>
      </c>
    </row>
    <row r="854" spans="1:20" x14ac:dyDescent="0.25">
      <c r="A854">
        <f t="shared" si="83"/>
        <v>847</v>
      </c>
      <c r="B854" s="88" t="str">
        <f>IF(OR(B853="Total",B853=""),"",IF(VLOOKUP(A854,Journal!$C$7:$E$84,3)=0,"Total",VLOOKUP(A854,Journal!$C$7:$D$84,2)))</f>
        <v/>
      </c>
      <c r="C854" s="86" t="str">
        <f>IF(B854="","",VLOOKUP(A854,Journal!$C$7:$E$84,3))</f>
        <v/>
      </c>
      <c r="D854" s="84" t="str">
        <f>IF(B854="","",VLOOKUP(A854,Journal!$C$7:$J$84,8))</f>
        <v/>
      </c>
      <c r="E854" s="84" t="str">
        <f>IF(B854="","",VLOOKUP(A854,Journal!$C$7:$L$84,10))</f>
        <v/>
      </c>
      <c r="F854" s="84" t="str">
        <f>IF(B854="","",VLOOKUP(A854,Journal!$C$7:$M$84,11))</f>
        <v/>
      </c>
      <c r="G854" s="102">
        <f>IF(B854="Total",SUM(G$8:G853)+0.0001,IF(OR(B854="",M854=0),0,VLOOKUP(A854,Journal!$C$7:M$84,7)))</f>
        <v>0</v>
      </c>
      <c r="H854" s="102">
        <f>IF(B854="Total",SUM(H$8:H853)+0.0001,IF(OR(B854="",N854=0),0,VLOOKUP(A854,Journal!$C$7:M$84,7)))</f>
        <v>0</v>
      </c>
      <c r="I854" s="87">
        <f t="shared" si="82"/>
        <v>0</v>
      </c>
      <c r="K854" s="13">
        <f>VLOOKUP(A854,Journal!$C$7:$M$84,4)</f>
        <v>0</v>
      </c>
      <c r="L854" s="13">
        <f>VLOOKUP(A854,Journal!$C$7:$M$84,5)</f>
        <v>0</v>
      </c>
      <c r="M854" s="13">
        <f t="shared" si="78"/>
        <v>0</v>
      </c>
      <c r="N854" s="13">
        <f t="shared" si="79"/>
        <v>0</v>
      </c>
      <c r="O854" s="13"/>
      <c r="P854" s="13">
        <f t="shared" si="80"/>
        <v>1.0000000000000001E-5</v>
      </c>
      <c r="T854" t="str">
        <f t="shared" si="81"/>
        <v/>
      </c>
    </row>
    <row r="855" spans="1:20" x14ac:dyDescent="0.25">
      <c r="A855">
        <f t="shared" si="83"/>
        <v>848</v>
      </c>
      <c r="B855" s="88" t="str">
        <f>IF(OR(B854="Total",B854=""),"",IF(VLOOKUP(A855,Journal!$C$7:$E$84,3)=0,"Total",VLOOKUP(A855,Journal!$C$7:$D$84,2)))</f>
        <v/>
      </c>
      <c r="C855" s="86" t="str">
        <f>IF(B855="","",VLOOKUP(A855,Journal!$C$7:$E$84,3))</f>
        <v/>
      </c>
      <c r="D855" s="84" t="str">
        <f>IF(B855="","",VLOOKUP(A855,Journal!$C$7:$J$84,8))</f>
        <v/>
      </c>
      <c r="E855" s="84" t="str">
        <f>IF(B855="","",VLOOKUP(A855,Journal!$C$7:$L$84,10))</f>
        <v/>
      </c>
      <c r="F855" s="84" t="str">
        <f>IF(B855="","",VLOOKUP(A855,Journal!$C$7:$M$84,11))</f>
        <v/>
      </c>
      <c r="G855" s="102">
        <f>IF(B855="Total",SUM(G$8:G854)+0.0001,IF(OR(B855="",M855=0),0,VLOOKUP(A855,Journal!$C$7:M$84,7)))</f>
        <v>0</v>
      </c>
      <c r="H855" s="102">
        <f>IF(B855="Total",SUM(H$8:H854)+0.0001,IF(OR(B855="",N855=0),0,VLOOKUP(A855,Journal!$C$7:M$84,7)))</f>
        <v>0</v>
      </c>
      <c r="I855" s="87">
        <f t="shared" si="82"/>
        <v>0</v>
      </c>
      <c r="K855" s="13">
        <f>VLOOKUP(A855,Journal!$C$7:$M$84,4)</f>
        <v>0</v>
      </c>
      <c r="L855" s="13">
        <f>VLOOKUP(A855,Journal!$C$7:$M$84,5)</f>
        <v>0</v>
      </c>
      <c r="M855" s="13">
        <f t="shared" si="78"/>
        <v>0</v>
      </c>
      <c r="N855" s="13">
        <f t="shared" si="79"/>
        <v>0</v>
      </c>
      <c r="O855" s="13"/>
      <c r="P855" s="13">
        <f t="shared" si="80"/>
        <v>1.0000000000000001E-5</v>
      </c>
      <c r="T855" t="str">
        <f t="shared" si="81"/>
        <v/>
      </c>
    </row>
    <row r="856" spans="1:20" x14ac:dyDescent="0.25">
      <c r="A856">
        <f t="shared" si="83"/>
        <v>849</v>
      </c>
      <c r="B856" s="88" t="str">
        <f>IF(OR(B855="Total",B855=""),"",IF(VLOOKUP(A856,Journal!$C$7:$E$84,3)=0,"Total",VLOOKUP(A856,Journal!$C$7:$D$84,2)))</f>
        <v/>
      </c>
      <c r="C856" s="86" t="str">
        <f>IF(B856="","",VLOOKUP(A856,Journal!$C$7:$E$84,3))</f>
        <v/>
      </c>
      <c r="D856" s="84" t="str">
        <f>IF(B856="","",VLOOKUP(A856,Journal!$C$7:$J$84,8))</f>
        <v/>
      </c>
      <c r="E856" s="84" t="str">
        <f>IF(B856="","",VLOOKUP(A856,Journal!$C$7:$L$84,10))</f>
        <v/>
      </c>
      <c r="F856" s="84" t="str">
        <f>IF(B856="","",VLOOKUP(A856,Journal!$C$7:$M$84,11))</f>
        <v/>
      </c>
      <c r="G856" s="102">
        <f>IF(B856="Total",SUM(G$8:G855)+0.0001,IF(OR(B856="",M856=0),0,VLOOKUP(A856,Journal!$C$7:M$84,7)))</f>
        <v>0</v>
      </c>
      <c r="H856" s="102">
        <f>IF(B856="Total",SUM(H$8:H855)+0.0001,IF(OR(B856="",N856=0),0,VLOOKUP(A856,Journal!$C$7:M$84,7)))</f>
        <v>0</v>
      </c>
      <c r="I856" s="87">
        <f t="shared" si="82"/>
        <v>0</v>
      </c>
      <c r="K856" s="13">
        <f>VLOOKUP(A856,Journal!$C$7:$M$84,4)</f>
        <v>0</v>
      </c>
      <c r="L856" s="13">
        <f>VLOOKUP(A856,Journal!$C$7:$M$84,5)</f>
        <v>0</v>
      </c>
      <c r="M856" s="13">
        <f t="shared" si="78"/>
        <v>0</v>
      </c>
      <c r="N856" s="13">
        <f t="shared" si="79"/>
        <v>0</v>
      </c>
      <c r="O856" s="13"/>
      <c r="P856" s="13">
        <f t="shared" si="80"/>
        <v>1.0000000000000001E-5</v>
      </c>
      <c r="T856" t="str">
        <f t="shared" si="81"/>
        <v/>
      </c>
    </row>
    <row r="857" spans="1:20" x14ac:dyDescent="0.25">
      <c r="A857">
        <f t="shared" si="83"/>
        <v>850</v>
      </c>
      <c r="B857" s="88" t="str">
        <f>IF(OR(B856="Total",B856=""),"",IF(VLOOKUP(A857,Journal!$C$7:$E$84,3)=0,"Total",VLOOKUP(A857,Journal!$C$7:$D$84,2)))</f>
        <v/>
      </c>
      <c r="C857" s="86" t="str">
        <f>IF(B857="","",VLOOKUP(A857,Journal!$C$7:$E$84,3))</f>
        <v/>
      </c>
      <c r="D857" s="84" t="str">
        <f>IF(B857="","",VLOOKUP(A857,Journal!$C$7:$J$84,8))</f>
        <v/>
      </c>
      <c r="E857" s="84" t="str">
        <f>IF(B857="","",VLOOKUP(A857,Journal!$C$7:$L$84,10))</f>
        <v/>
      </c>
      <c r="F857" s="84" t="str">
        <f>IF(B857="","",VLOOKUP(A857,Journal!$C$7:$M$84,11))</f>
        <v/>
      </c>
      <c r="G857" s="102">
        <f>IF(B857="Total",SUM(G$8:G856)+0.0001,IF(OR(B857="",M857=0),0,VLOOKUP(A857,Journal!$C$7:M$84,7)))</f>
        <v>0</v>
      </c>
      <c r="H857" s="102">
        <f>IF(B857="Total",SUM(H$8:H856)+0.0001,IF(OR(B857="",N857=0),0,VLOOKUP(A857,Journal!$C$7:M$84,7)))</f>
        <v>0</v>
      </c>
      <c r="I857" s="87">
        <f t="shared" si="82"/>
        <v>0</v>
      </c>
      <c r="K857" s="13">
        <f>VLOOKUP(A857,Journal!$C$7:$M$84,4)</f>
        <v>0</v>
      </c>
      <c r="L857" s="13">
        <f>VLOOKUP(A857,Journal!$C$7:$M$84,5)</f>
        <v>0</v>
      </c>
      <c r="M857" s="13">
        <f t="shared" ref="M857:M920" si="84">IF(AND(L857&gt;=$F$1,L857&lt;9999),1,0)</f>
        <v>0</v>
      </c>
      <c r="N857" s="13">
        <f t="shared" ref="N857:N920" si="85">IF(AND(K857&gt;=$F$1,K857&lt;9999),1,0)</f>
        <v>0</v>
      </c>
      <c r="O857" s="13"/>
      <c r="P857" s="13">
        <f t="shared" ref="P857:P920" si="86">IF(I856=I857,I856+0.00001,I857)</f>
        <v>1.0000000000000001E-5</v>
      </c>
      <c r="T857" t="str">
        <f t="shared" si="81"/>
        <v/>
      </c>
    </row>
    <row r="858" spans="1:20" x14ac:dyDescent="0.25">
      <c r="A858">
        <f t="shared" si="83"/>
        <v>851</v>
      </c>
      <c r="B858" s="88" t="str">
        <f>IF(OR(B857="Total",B857=""),"",IF(VLOOKUP(A858,Journal!$C$7:$E$84,3)=0,"Total",VLOOKUP(A858,Journal!$C$7:$D$84,2)))</f>
        <v/>
      </c>
      <c r="C858" s="86" t="str">
        <f>IF(B858="","",VLOOKUP(A858,Journal!$C$7:$E$84,3))</f>
        <v/>
      </c>
      <c r="D858" s="84" t="str">
        <f>IF(B858="","",VLOOKUP(A858,Journal!$C$7:$J$84,8))</f>
        <v/>
      </c>
      <c r="E858" s="84" t="str">
        <f>IF(B858="","",VLOOKUP(A858,Journal!$C$7:$L$84,10))</f>
        <v/>
      </c>
      <c r="F858" s="84" t="str">
        <f>IF(B858="","",VLOOKUP(A858,Journal!$C$7:$M$84,11))</f>
        <v/>
      </c>
      <c r="G858" s="102">
        <f>IF(B858="Total",SUM(G$8:G857)+0.0001,IF(OR(B858="",M858=0),0,VLOOKUP(A858,Journal!$C$7:M$84,7)))</f>
        <v>0</v>
      </c>
      <c r="H858" s="102">
        <f>IF(B858="Total",SUM(H$8:H857)+0.0001,IF(OR(B858="",N858=0),0,VLOOKUP(A858,Journal!$C$7:M$84,7)))</f>
        <v>0</v>
      </c>
      <c r="I858" s="87">
        <f t="shared" si="82"/>
        <v>0</v>
      </c>
      <c r="K858" s="13">
        <f>VLOOKUP(A858,Journal!$C$7:$M$84,4)</f>
        <v>0</v>
      </c>
      <c r="L858" s="13">
        <f>VLOOKUP(A858,Journal!$C$7:$M$84,5)</f>
        <v>0</v>
      </c>
      <c r="M858" s="13">
        <f t="shared" si="84"/>
        <v>0</v>
      </c>
      <c r="N858" s="13">
        <f t="shared" si="85"/>
        <v>0</v>
      </c>
      <c r="O858" s="13"/>
      <c r="P858" s="13">
        <f t="shared" si="86"/>
        <v>1.0000000000000001E-5</v>
      </c>
      <c r="T858" t="str">
        <f t="shared" si="81"/>
        <v/>
      </c>
    </row>
    <row r="859" spans="1:20" x14ac:dyDescent="0.25">
      <c r="A859">
        <f t="shared" si="83"/>
        <v>852</v>
      </c>
      <c r="B859" s="88" t="str">
        <f>IF(OR(B858="Total",B858=""),"",IF(VLOOKUP(A859,Journal!$C$7:$E$84,3)=0,"Total",VLOOKUP(A859,Journal!$C$7:$D$84,2)))</f>
        <v/>
      </c>
      <c r="C859" s="86" t="str">
        <f>IF(B859="","",VLOOKUP(A859,Journal!$C$7:$E$84,3))</f>
        <v/>
      </c>
      <c r="D859" s="84" t="str">
        <f>IF(B859="","",VLOOKUP(A859,Journal!$C$7:$J$84,8))</f>
        <v/>
      </c>
      <c r="E859" s="84" t="str">
        <f>IF(B859="","",VLOOKUP(A859,Journal!$C$7:$L$84,10))</f>
        <v/>
      </c>
      <c r="F859" s="84" t="str">
        <f>IF(B859="","",VLOOKUP(A859,Journal!$C$7:$M$84,11))</f>
        <v/>
      </c>
      <c r="G859" s="102">
        <f>IF(B859="Total",SUM(G$8:G858)+0.0001,IF(OR(B859="",M859=0),0,VLOOKUP(A859,Journal!$C$7:M$84,7)))</f>
        <v>0</v>
      </c>
      <c r="H859" s="102">
        <f>IF(B859="Total",SUM(H$8:H858)+0.0001,IF(OR(B859="",N859=0),0,VLOOKUP(A859,Journal!$C$7:M$84,7)))</f>
        <v>0</v>
      </c>
      <c r="I859" s="87">
        <f t="shared" si="82"/>
        <v>0</v>
      </c>
      <c r="K859" s="13">
        <f>VLOOKUP(A859,Journal!$C$7:$M$84,4)</f>
        <v>0</v>
      </c>
      <c r="L859" s="13">
        <f>VLOOKUP(A859,Journal!$C$7:$M$84,5)</f>
        <v>0</v>
      </c>
      <c r="M859" s="13">
        <f t="shared" si="84"/>
        <v>0</v>
      </c>
      <c r="N859" s="13">
        <f t="shared" si="85"/>
        <v>0</v>
      </c>
      <c r="O859" s="13"/>
      <c r="P859" s="13">
        <f t="shared" si="86"/>
        <v>1.0000000000000001E-5</v>
      </c>
      <c r="T859" t="str">
        <f t="shared" si="81"/>
        <v/>
      </c>
    </row>
    <row r="860" spans="1:20" x14ac:dyDescent="0.25">
      <c r="A860">
        <f t="shared" si="83"/>
        <v>853</v>
      </c>
      <c r="B860" s="88" t="str">
        <f>IF(OR(B859="Total",B859=""),"",IF(VLOOKUP(A860,Journal!$C$7:$E$84,3)=0,"Total",VLOOKUP(A860,Journal!$C$7:$D$84,2)))</f>
        <v/>
      </c>
      <c r="C860" s="86" t="str">
        <f>IF(B860="","",VLOOKUP(A860,Journal!$C$7:$E$84,3))</f>
        <v/>
      </c>
      <c r="D860" s="84" t="str">
        <f>IF(B860="","",VLOOKUP(A860,Journal!$C$7:$J$84,8))</f>
        <v/>
      </c>
      <c r="E860" s="84" t="str">
        <f>IF(B860="","",VLOOKUP(A860,Journal!$C$7:$L$84,10))</f>
        <v/>
      </c>
      <c r="F860" s="84" t="str">
        <f>IF(B860="","",VLOOKUP(A860,Journal!$C$7:$M$84,11))</f>
        <v/>
      </c>
      <c r="G860" s="102">
        <f>IF(B860="Total",SUM(G$8:G859)+0.0001,IF(OR(B860="",M860=0),0,VLOOKUP(A860,Journal!$C$7:M$84,7)))</f>
        <v>0</v>
      </c>
      <c r="H860" s="102">
        <f>IF(B860="Total",SUM(H$8:H859)+0.0001,IF(OR(B860="",N860=0),0,VLOOKUP(A860,Journal!$C$7:M$84,7)))</f>
        <v>0</v>
      </c>
      <c r="I860" s="87">
        <f t="shared" si="82"/>
        <v>0</v>
      </c>
      <c r="K860" s="13">
        <f>VLOOKUP(A860,Journal!$C$7:$M$84,4)</f>
        <v>0</v>
      </c>
      <c r="L860" s="13">
        <f>VLOOKUP(A860,Journal!$C$7:$M$84,5)</f>
        <v>0</v>
      </c>
      <c r="M860" s="13">
        <f t="shared" si="84"/>
        <v>0</v>
      </c>
      <c r="N860" s="13">
        <f t="shared" si="85"/>
        <v>0</v>
      </c>
      <c r="O860" s="13"/>
      <c r="P860" s="13">
        <f t="shared" si="86"/>
        <v>1.0000000000000001E-5</v>
      </c>
      <c r="T860" t="str">
        <f t="shared" si="81"/>
        <v/>
      </c>
    </row>
    <row r="861" spans="1:20" x14ac:dyDescent="0.25">
      <c r="A861">
        <f t="shared" si="83"/>
        <v>854</v>
      </c>
      <c r="B861" s="88" t="str">
        <f>IF(OR(B860="Total",B860=""),"",IF(VLOOKUP(A861,Journal!$C$7:$E$84,3)=0,"Total",VLOOKUP(A861,Journal!$C$7:$D$84,2)))</f>
        <v/>
      </c>
      <c r="C861" s="86" t="str">
        <f>IF(B861="","",VLOOKUP(A861,Journal!$C$7:$E$84,3))</f>
        <v/>
      </c>
      <c r="D861" s="84" t="str">
        <f>IF(B861="","",VLOOKUP(A861,Journal!$C$7:$J$84,8))</f>
        <v/>
      </c>
      <c r="E861" s="84" t="str">
        <f>IF(B861="","",VLOOKUP(A861,Journal!$C$7:$L$84,10))</f>
        <v/>
      </c>
      <c r="F861" s="84" t="str">
        <f>IF(B861="","",VLOOKUP(A861,Journal!$C$7:$M$84,11))</f>
        <v/>
      </c>
      <c r="G861" s="102">
        <f>IF(B861="Total",SUM(G$8:G860)+0.0001,IF(OR(B861="",M861=0),0,VLOOKUP(A861,Journal!$C$7:M$84,7)))</f>
        <v>0</v>
      </c>
      <c r="H861" s="102">
        <f>IF(B861="Total",SUM(H$8:H860)+0.0001,IF(OR(B861="",N861=0),0,VLOOKUP(A861,Journal!$C$7:M$84,7)))</f>
        <v>0</v>
      </c>
      <c r="I861" s="87">
        <f t="shared" si="82"/>
        <v>0</v>
      </c>
      <c r="K861" s="13">
        <f>VLOOKUP(A861,Journal!$C$7:$M$84,4)</f>
        <v>0</v>
      </c>
      <c r="L861" s="13">
        <f>VLOOKUP(A861,Journal!$C$7:$M$84,5)</f>
        <v>0</v>
      </c>
      <c r="M861" s="13">
        <f t="shared" si="84"/>
        <v>0</v>
      </c>
      <c r="N861" s="13">
        <f t="shared" si="85"/>
        <v>0</v>
      </c>
      <c r="O861" s="13"/>
      <c r="P861" s="13">
        <f t="shared" si="86"/>
        <v>1.0000000000000001E-5</v>
      </c>
      <c r="T861" t="str">
        <f t="shared" si="81"/>
        <v/>
      </c>
    </row>
    <row r="862" spans="1:20" x14ac:dyDescent="0.25">
      <c r="A862">
        <f t="shared" si="83"/>
        <v>855</v>
      </c>
      <c r="B862" s="88" t="str">
        <f>IF(OR(B861="Total",B861=""),"",IF(VLOOKUP(A862,Journal!$C$7:$E$84,3)=0,"Total",VLOOKUP(A862,Journal!$C$7:$D$84,2)))</f>
        <v/>
      </c>
      <c r="C862" s="86" t="str">
        <f>IF(B862="","",VLOOKUP(A862,Journal!$C$7:$E$84,3))</f>
        <v/>
      </c>
      <c r="D862" s="84" t="str">
        <f>IF(B862="","",VLOOKUP(A862,Journal!$C$7:$J$84,8))</f>
        <v/>
      </c>
      <c r="E862" s="84" t="str">
        <f>IF(B862="","",VLOOKUP(A862,Journal!$C$7:$L$84,10))</f>
        <v/>
      </c>
      <c r="F862" s="84" t="str">
        <f>IF(B862="","",VLOOKUP(A862,Journal!$C$7:$M$84,11))</f>
        <v/>
      </c>
      <c r="G862" s="102">
        <f>IF(B862="Total",SUM(G$8:G861)+0.0001,IF(OR(B862="",M862=0),0,VLOOKUP(A862,Journal!$C$7:M$84,7)))</f>
        <v>0</v>
      </c>
      <c r="H862" s="102">
        <f>IF(B862="Total",SUM(H$8:H861)+0.0001,IF(OR(B862="",N862=0),0,VLOOKUP(A862,Journal!$C$7:M$84,7)))</f>
        <v>0</v>
      </c>
      <c r="I862" s="87">
        <f t="shared" si="82"/>
        <v>0</v>
      </c>
      <c r="K862" s="13">
        <f>VLOOKUP(A862,Journal!$C$7:$M$84,4)</f>
        <v>0</v>
      </c>
      <c r="L862" s="13">
        <f>VLOOKUP(A862,Journal!$C$7:$M$84,5)</f>
        <v>0</v>
      </c>
      <c r="M862" s="13">
        <f t="shared" si="84"/>
        <v>0</v>
      </c>
      <c r="N862" s="13">
        <f t="shared" si="85"/>
        <v>0</v>
      </c>
      <c r="O862" s="13"/>
      <c r="P862" s="13">
        <f t="shared" si="86"/>
        <v>1.0000000000000001E-5</v>
      </c>
      <c r="T862" t="str">
        <f t="shared" si="81"/>
        <v/>
      </c>
    </row>
    <row r="863" spans="1:20" x14ac:dyDescent="0.25">
      <c r="A863">
        <f t="shared" si="83"/>
        <v>856</v>
      </c>
      <c r="B863" s="88" t="str">
        <f>IF(OR(B862="Total",B862=""),"",IF(VLOOKUP(A863,Journal!$C$7:$E$84,3)=0,"Total",VLOOKUP(A863,Journal!$C$7:$D$84,2)))</f>
        <v/>
      </c>
      <c r="C863" s="86" t="str">
        <f>IF(B863="","",VLOOKUP(A863,Journal!$C$7:$E$84,3))</f>
        <v/>
      </c>
      <c r="D863" s="84" t="str">
        <f>IF(B863="","",VLOOKUP(A863,Journal!$C$7:$J$84,8))</f>
        <v/>
      </c>
      <c r="E863" s="84" t="str">
        <f>IF(B863="","",VLOOKUP(A863,Journal!$C$7:$L$84,10))</f>
        <v/>
      </c>
      <c r="F863" s="84" t="str">
        <f>IF(B863="","",VLOOKUP(A863,Journal!$C$7:$M$84,11))</f>
        <v/>
      </c>
      <c r="G863" s="102">
        <f>IF(B863="Total",SUM(G$8:G862)+0.0001,IF(OR(B863="",M863=0),0,VLOOKUP(A863,Journal!$C$7:M$84,7)))</f>
        <v>0</v>
      </c>
      <c r="H863" s="102">
        <f>IF(B863="Total",SUM(H$8:H862)+0.0001,IF(OR(B863="",N863=0),0,VLOOKUP(A863,Journal!$C$7:M$84,7)))</f>
        <v>0</v>
      </c>
      <c r="I863" s="87">
        <f t="shared" si="82"/>
        <v>0</v>
      </c>
      <c r="K863" s="13">
        <f>VLOOKUP(A863,Journal!$C$7:$M$84,4)</f>
        <v>0</v>
      </c>
      <c r="L863" s="13">
        <f>VLOOKUP(A863,Journal!$C$7:$M$84,5)</f>
        <v>0</v>
      </c>
      <c r="M863" s="13">
        <f t="shared" si="84"/>
        <v>0</v>
      </c>
      <c r="N863" s="13">
        <f t="shared" si="85"/>
        <v>0</v>
      </c>
      <c r="O863" s="13"/>
      <c r="P863" s="13">
        <f t="shared" si="86"/>
        <v>1.0000000000000001E-5</v>
      </c>
      <c r="T863" t="str">
        <f t="shared" si="81"/>
        <v/>
      </c>
    </row>
    <row r="864" spans="1:20" x14ac:dyDescent="0.25">
      <c r="A864">
        <f t="shared" si="83"/>
        <v>857</v>
      </c>
      <c r="B864" s="88" t="str">
        <f>IF(OR(B863="Total",B863=""),"",IF(VLOOKUP(A864,Journal!$C$7:$E$84,3)=0,"Total",VLOOKUP(A864,Journal!$C$7:$D$84,2)))</f>
        <v/>
      </c>
      <c r="C864" s="86" t="str">
        <f>IF(B864="","",VLOOKUP(A864,Journal!$C$7:$E$84,3))</f>
        <v/>
      </c>
      <c r="D864" s="84" t="str">
        <f>IF(B864="","",VLOOKUP(A864,Journal!$C$7:$J$84,8))</f>
        <v/>
      </c>
      <c r="E864" s="84" t="str">
        <f>IF(B864="","",VLOOKUP(A864,Journal!$C$7:$L$84,10))</f>
        <v/>
      </c>
      <c r="F864" s="84" t="str">
        <f>IF(B864="","",VLOOKUP(A864,Journal!$C$7:$M$84,11))</f>
        <v/>
      </c>
      <c r="G864" s="102">
        <f>IF(B864="Total",SUM(G$8:G863)+0.0001,IF(OR(B864="",M864=0),0,VLOOKUP(A864,Journal!$C$7:M$84,7)))</f>
        <v>0</v>
      </c>
      <c r="H864" s="102">
        <f>IF(B864="Total",SUM(H$8:H863)+0.0001,IF(OR(B864="",N864=0),0,VLOOKUP(A864,Journal!$C$7:M$84,7)))</f>
        <v>0</v>
      </c>
      <c r="I864" s="87">
        <f t="shared" si="82"/>
        <v>0</v>
      </c>
      <c r="K864" s="13">
        <f>VLOOKUP(A864,Journal!$C$7:$M$84,4)</f>
        <v>0</v>
      </c>
      <c r="L864" s="13">
        <f>VLOOKUP(A864,Journal!$C$7:$M$84,5)</f>
        <v>0</v>
      </c>
      <c r="M864" s="13">
        <f t="shared" si="84"/>
        <v>0</v>
      </c>
      <c r="N864" s="13">
        <f t="shared" si="85"/>
        <v>0</v>
      </c>
      <c r="O864" s="13"/>
      <c r="P864" s="13">
        <f t="shared" si="86"/>
        <v>1.0000000000000001E-5</v>
      </c>
      <c r="T864" t="str">
        <f t="shared" si="81"/>
        <v/>
      </c>
    </row>
    <row r="865" spans="1:20" x14ac:dyDescent="0.25">
      <c r="A865">
        <f t="shared" si="83"/>
        <v>858</v>
      </c>
      <c r="B865" s="88" t="str">
        <f>IF(OR(B864="Total",B864=""),"",IF(VLOOKUP(A865,Journal!$C$7:$E$84,3)=0,"Total",VLOOKUP(A865,Journal!$C$7:$D$84,2)))</f>
        <v/>
      </c>
      <c r="C865" s="86" t="str">
        <f>IF(B865="","",VLOOKUP(A865,Journal!$C$7:$E$84,3))</f>
        <v/>
      </c>
      <c r="D865" s="84" t="str">
        <f>IF(B865="","",VLOOKUP(A865,Journal!$C$7:$J$84,8))</f>
        <v/>
      </c>
      <c r="E865" s="84" t="str">
        <f>IF(B865="","",VLOOKUP(A865,Journal!$C$7:$L$84,10))</f>
        <v/>
      </c>
      <c r="F865" s="84" t="str">
        <f>IF(B865="","",VLOOKUP(A865,Journal!$C$7:$M$84,11))</f>
        <v/>
      </c>
      <c r="G865" s="102">
        <f>IF(B865="Total",SUM(G$8:G864)+0.0001,IF(OR(B865="",M865=0),0,VLOOKUP(A865,Journal!$C$7:M$84,7)))</f>
        <v>0</v>
      </c>
      <c r="H865" s="102">
        <f>IF(B865="Total",SUM(H$8:H864)+0.0001,IF(OR(B865="",N865=0),0,VLOOKUP(A865,Journal!$C$7:M$84,7)))</f>
        <v>0</v>
      </c>
      <c r="I865" s="87">
        <f t="shared" si="82"/>
        <v>0</v>
      </c>
      <c r="K865" s="13">
        <f>VLOOKUP(A865,Journal!$C$7:$M$84,4)</f>
        <v>0</v>
      </c>
      <c r="L865" s="13">
        <f>VLOOKUP(A865,Journal!$C$7:$M$84,5)</f>
        <v>0</v>
      </c>
      <c r="M865" s="13">
        <f t="shared" si="84"/>
        <v>0</v>
      </c>
      <c r="N865" s="13">
        <f t="shared" si="85"/>
        <v>0</v>
      </c>
      <c r="O865" s="13"/>
      <c r="P865" s="13">
        <f t="shared" si="86"/>
        <v>1.0000000000000001E-5</v>
      </c>
      <c r="T865" t="str">
        <f t="shared" si="81"/>
        <v/>
      </c>
    </row>
    <row r="866" spans="1:20" x14ac:dyDescent="0.25">
      <c r="A866">
        <f t="shared" si="83"/>
        <v>859</v>
      </c>
      <c r="B866" s="88" t="str">
        <f>IF(OR(B865="Total",B865=""),"",IF(VLOOKUP(A866,Journal!$C$7:$E$84,3)=0,"Total",VLOOKUP(A866,Journal!$C$7:$D$84,2)))</f>
        <v/>
      </c>
      <c r="C866" s="86" t="str">
        <f>IF(B866="","",VLOOKUP(A866,Journal!$C$7:$E$84,3))</f>
        <v/>
      </c>
      <c r="D866" s="84" t="str">
        <f>IF(B866="","",VLOOKUP(A866,Journal!$C$7:$J$84,8))</f>
        <v/>
      </c>
      <c r="E866" s="84" t="str">
        <f>IF(B866="","",VLOOKUP(A866,Journal!$C$7:$L$84,10))</f>
        <v/>
      </c>
      <c r="F866" s="84" t="str">
        <f>IF(B866="","",VLOOKUP(A866,Journal!$C$7:$M$84,11))</f>
        <v/>
      </c>
      <c r="G866" s="102">
        <f>IF(B866="Total",SUM(G$8:G865)+0.0001,IF(OR(B866="",M866=0),0,VLOOKUP(A866,Journal!$C$7:M$84,7)))</f>
        <v>0</v>
      </c>
      <c r="H866" s="102">
        <f>IF(B866="Total",SUM(H$8:H865)+0.0001,IF(OR(B866="",N866=0),0,VLOOKUP(A866,Journal!$C$7:M$84,7)))</f>
        <v>0</v>
      </c>
      <c r="I866" s="87">
        <f t="shared" si="82"/>
        <v>0</v>
      </c>
      <c r="K866" s="13">
        <f>VLOOKUP(A866,Journal!$C$7:$M$84,4)</f>
        <v>0</v>
      </c>
      <c r="L866" s="13">
        <f>VLOOKUP(A866,Journal!$C$7:$M$84,5)</f>
        <v>0</v>
      </c>
      <c r="M866" s="13">
        <f t="shared" si="84"/>
        <v>0</v>
      </c>
      <c r="N866" s="13">
        <f t="shared" si="85"/>
        <v>0</v>
      </c>
      <c r="O866" s="13"/>
      <c r="P866" s="13">
        <f t="shared" si="86"/>
        <v>1.0000000000000001E-5</v>
      </c>
      <c r="T866" t="str">
        <f t="shared" si="81"/>
        <v/>
      </c>
    </row>
    <row r="867" spans="1:20" x14ac:dyDescent="0.25">
      <c r="A867">
        <f t="shared" si="83"/>
        <v>860</v>
      </c>
      <c r="B867" s="88" t="str">
        <f>IF(OR(B866="Total",B866=""),"",IF(VLOOKUP(A867,Journal!$C$7:$E$84,3)=0,"Total",VLOOKUP(A867,Journal!$C$7:$D$84,2)))</f>
        <v/>
      </c>
      <c r="C867" s="86" t="str">
        <f>IF(B867="","",VLOOKUP(A867,Journal!$C$7:$E$84,3))</f>
        <v/>
      </c>
      <c r="D867" s="84" t="str">
        <f>IF(B867="","",VLOOKUP(A867,Journal!$C$7:$J$84,8))</f>
        <v/>
      </c>
      <c r="E867" s="84" t="str">
        <f>IF(B867="","",VLOOKUP(A867,Journal!$C$7:$L$84,10))</f>
        <v/>
      </c>
      <c r="F867" s="84" t="str">
        <f>IF(B867="","",VLOOKUP(A867,Journal!$C$7:$M$84,11))</f>
        <v/>
      </c>
      <c r="G867" s="102">
        <f>IF(B867="Total",SUM(G$8:G866)+0.0001,IF(OR(B867="",M867=0),0,VLOOKUP(A867,Journal!$C$7:M$84,7)))</f>
        <v>0</v>
      </c>
      <c r="H867" s="102">
        <f>IF(B867="Total",SUM(H$8:H866)+0.0001,IF(OR(B867="",N867=0),0,VLOOKUP(A867,Journal!$C$7:M$84,7)))</f>
        <v>0</v>
      </c>
      <c r="I867" s="87">
        <f t="shared" si="82"/>
        <v>0</v>
      </c>
      <c r="K867" s="13">
        <f>VLOOKUP(A867,Journal!$C$7:$M$84,4)</f>
        <v>0</v>
      </c>
      <c r="L867" s="13">
        <f>VLOOKUP(A867,Journal!$C$7:$M$84,5)</f>
        <v>0</v>
      </c>
      <c r="M867" s="13">
        <f t="shared" si="84"/>
        <v>0</v>
      </c>
      <c r="N867" s="13">
        <f t="shared" si="85"/>
        <v>0</v>
      </c>
      <c r="O867" s="13"/>
      <c r="P867" s="13">
        <f t="shared" si="86"/>
        <v>1.0000000000000001E-5</v>
      </c>
      <c r="T867" t="str">
        <f t="shared" si="81"/>
        <v/>
      </c>
    </row>
    <row r="868" spans="1:20" x14ac:dyDescent="0.25">
      <c r="A868">
        <f t="shared" si="83"/>
        <v>861</v>
      </c>
      <c r="B868" s="88" t="str">
        <f>IF(OR(B867="Total",B867=""),"",IF(VLOOKUP(A868,Journal!$C$7:$E$84,3)=0,"Total",VLOOKUP(A868,Journal!$C$7:$D$84,2)))</f>
        <v/>
      </c>
      <c r="C868" s="86" t="str">
        <f>IF(B868="","",VLOOKUP(A868,Journal!$C$7:$E$84,3))</f>
        <v/>
      </c>
      <c r="D868" s="84" t="str">
        <f>IF(B868="","",VLOOKUP(A868,Journal!$C$7:$J$84,8))</f>
        <v/>
      </c>
      <c r="E868" s="84" t="str">
        <f>IF(B868="","",VLOOKUP(A868,Journal!$C$7:$L$84,10))</f>
        <v/>
      </c>
      <c r="F868" s="84" t="str">
        <f>IF(B868="","",VLOOKUP(A868,Journal!$C$7:$M$84,11))</f>
        <v/>
      </c>
      <c r="G868" s="102">
        <f>IF(B868="Total",SUM(G$8:G867)+0.0001,IF(OR(B868="",M868=0),0,VLOOKUP(A868,Journal!$C$7:M$84,7)))</f>
        <v>0</v>
      </c>
      <c r="H868" s="102">
        <f>IF(B868="Total",SUM(H$8:H867)+0.0001,IF(OR(B868="",N868=0),0,VLOOKUP(A868,Journal!$C$7:M$84,7)))</f>
        <v>0</v>
      </c>
      <c r="I868" s="87">
        <f t="shared" si="82"/>
        <v>0</v>
      </c>
      <c r="K868" s="13">
        <f>VLOOKUP(A868,Journal!$C$7:$M$84,4)</f>
        <v>0</v>
      </c>
      <c r="L868" s="13">
        <f>VLOOKUP(A868,Journal!$C$7:$M$84,5)</f>
        <v>0</v>
      </c>
      <c r="M868" s="13">
        <f t="shared" si="84"/>
        <v>0</v>
      </c>
      <c r="N868" s="13">
        <f t="shared" si="85"/>
        <v>0</v>
      </c>
      <c r="O868" s="13"/>
      <c r="P868" s="13">
        <f t="shared" si="86"/>
        <v>1.0000000000000001E-5</v>
      </c>
      <c r="T868" t="str">
        <f t="shared" si="81"/>
        <v/>
      </c>
    </row>
    <row r="869" spans="1:20" x14ac:dyDescent="0.25">
      <c r="A869">
        <f t="shared" si="83"/>
        <v>862</v>
      </c>
      <c r="B869" s="88" t="str">
        <f>IF(OR(B868="Total",B868=""),"",IF(VLOOKUP(A869,Journal!$C$7:$E$84,3)=0,"Total",VLOOKUP(A869,Journal!$C$7:$D$84,2)))</f>
        <v/>
      </c>
      <c r="C869" s="86" t="str">
        <f>IF(B869="","",VLOOKUP(A869,Journal!$C$7:$E$84,3))</f>
        <v/>
      </c>
      <c r="D869" s="84" t="str">
        <f>IF(B869="","",VLOOKUP(A869,Journal!$C$7:$J$84,8))</f>
        <v/>
      </c>
      <c r="E869" s="84" t="str">
        <f>IF(B869="","",VLOOKUP(A869,Journal!$C$7:$L$84,10))</f>
        <v/>
      </c>
      <c r="F869" s="84" t="str">
        <f>IF(B869="","",VLOOKUP(A869,Journal!$C$7:$M$84,11))</f>
        <v/>
      </c>
      <c r="G869" s="102">
        <f>IF(B869="Total",SUM(G$8:G868)+0.0001,IF(OR(B869="",M869=0),0,VLOOKUP(A869,Journal!$C$7:M$84,7)))</f>
        <v>0</v>
      </c>
      <c r="H869" s="102">
        <f>IF(B869="Total",SUM(H$8:H868)+0.0001,IF(OR(B869="",N869=0),0,VLOOKUP(A869,Journal!$C$7:M$84,7)))</f>
        <v>0</v>
      </c>
      <c r="I869" s="87">
        <f t="shared" si="82"/>
        <v>0</v>
      </c>
      <c r="K869" s="13">
        <f>VLOOKUP(A869,Journal!$C$7:$M$84,4)</f>
        <v>0</v>
      </c>
      <c r="L869" s="13">
        <f>VLOOKUP(A869,Journal!$C$7:$M$84,5)</f>
        <v>0</v>
      </c>
      <c r="M869" s="13">
        <f t="shared" si="84"/>
        <v>0</v>
      </c>
      <c r="N869" s="13">
        <f t="shared" si="85"/>
        <v>0</v>
      </c>
      <c r="O869" s="13"/>
      <c r="P869" s="13">
        <f t="shared" si="86"/>
        <v>1.0000000000000001E-5</v>
      </c>
      <c r="T869" t="str">
        <f t="shared" si="81"/>
        <v/>
      </c>
    </row>
    <row r="870" spans="1:20" x14ac:dyDescent="0.25">
      <c r="A870">
        <f t="shared" si="83"/>
        <v>863</v>
      </c>
      <c r="B870" s="88" t="str">
        <f>IF(OR(B869="Total",B869=""),"",IF(VLOOKUP(A870,Journal!$C$7:$E$84,3)=0,"Total",VLOOKUP(A870,Journal!$C$7:$D$84,2)))</f>
        <v/>
      </c>
      <c r="C870" s="86" t="str">
        <f>IF(B870="","",VLOOKUP(A870,Journal!$C$7:$E$84,3))</f>
        <v/>
      </c>
      <c r="D870" s="84" t="str">
        <f>IF(B870="","",VLOOKUP(A870,Journal!$C$7:$J$84,8))</f>
        <v/>
      </c>
      <c r="E870" s="84" t="str">
        <f>IF(B870="","",VLOOKUP(A870,Journal!$C$7:$L$84,10))</f>
        <v/>
      </c>
      <c r="F870" s="84" t="str">
        <f>IF(B870="","",VLOOKUP(A870,Journal!$C$7:$M$84,11))</f>
        <v/>
      </c>
      <c r="G870" s="102">
        <f>IF(B870="Total",SUM(G$8:G869)+0.0001,IF(OR(B870="",M870=0),0,VLOOKUP(A870,Journal!$C$7:M$84,7)))</f>
        <v>0</v>
      </c>
      <c r="H870" s="102">
        <f>IF(B870="Total",SUM(H$8:H869)+0.0001,IF(OR(B870="",N870=0),0,VLOOKUP(A870,Journal!$C$7:M$84,7)))</f>
        <v>0</v>
      </c>
      <c r="I870" s="87">
        <f t="shared" si="82"/>
        <v>0</v>
      </c>
      <c r="K870" s="13">
        <f>VLOOKUP(A870,Journal!$C$7:$M$84,4)</f>
        <v>0</v>
      </c>
      <c r="L870" s="13">
        <f>VLOOKUP(A870,Journal!$C$7:$M$84,5)</f>
        <v>0</v>
      </c>
      <c r="M870" s="13">
        <f t="shared" si="84"/>
        <v>0</v>
      </c>
      <c r="N870" s="13">
        <f t="shared" si="85"/>
        <v>0</v>
      </c>
      <c r="O870" s="13"/>
      <c r="P870" s="13">
        <f t="shared" si="86"/>
        <v>1.0000000000000001E-5</v>
      </c>
      <c r="T870" t="str">
        <f t="shared" si="81"/>
        <v/>
      </c>
    </row>
    <row r="871" spans="1:20" x14ac:dyDescent="0.25">
      <c r="A871">
        <f t="shared" si="83"/>
        <v>864</v>
      </c>
      <c r="B871" s="88" t="str">
        <f>IF(OR(B870="Total",B870=""),"",IF(VLOOKUP(A871,Journal!$C$7:$E$84,3)=0,"Total",VLOOKUP(A871,Journal!$C$7:$D$84,2)))</f>
        <v/>
      </c>
      <c r="C871" s="86" t="str">
        <f>IF(B871="","",VLOOKUP(A871,Journal!$C$7:$E$84,3))</f>
        <v/>
      </c>
      <c r="D871" s="84" t="str">
        <f>IF(B871="","",VLOOKUP(A871,Journal!$C$7:$J$84,8))</f>
        <v/>
      </c>
      <c r="E871" s="84" t="str">
        <f>IF(B871="","",VLOOKUP(A871,Journal!$C$7:$L$84,10))</f>
        <v/>
      </c>
      <c r="F871" s="84" t="str">
        <f>IF(B871="","",VLOOKUP(A871,Journal!$C$7:$M$84,11))</f>
        <v/>
      </c>
      <c r="G871" s="102">
        <f>IF(B871="Total",SUM(G$8:G870)+0.0001,IF(OR(B871="",M871=0),0,VLOOKUP(A871,Journal!$C$7:M$84,7)))</f>
        <v>0</v>
      </c>
      <c r="H871" s="102">
        <f>IF(B871="Total",SUM(H$8:H870)+0.0001,IF(OR(B871="",N871=0),0,VLOOKUP(A871,Journal!$C$7:M$84,7)))</f>
        <v>0</v>
      </c>
      <c r="I871" s="87">
        <f t="shared" si="82"/>
        <v>0</v>
      </c>
      <c r="K871" s="13">
        <f>VLOOKUP(A871,Journal!$C$7:$M$84,4)</f>
        <v>0</v>
      </c>
      <c r="L871" s="13">
        <f>VLOOKUP(A871,Journal!$C$7:$M$84,5)</f>
        <v>0</v>
      </c>
      <c r="M871" s="13">
        <f t="shared" si="84"/>
        <v>0</v>
      </c>
      <c r="N871" s="13">
        <f t="shared" si="85"/>
        <v>0</v>
      </c>
      <c r="O871" s="13"/>
      <c r="P871" s="13">
        <f t="shared" si="86"/>
        <v>1.0000000000000001E-5</v>
      </c>
      <c r="T871" t="str">
        <f t="shared" si="81"/>
        <v/>
      </c>
    </row>
    <row r="872" spans="1:20" x14ac:dyDescent="0.25">
      <c r="A872">
        <f t="shared" si="83"/>
        <v>865</v>
      </c>
      <c r="B872" s="88" t="str">
        <f>IF(OR(B871="Total",B871=""),"",IF(VLOOKUP(A872,Journal!$C$7:$E$84,3)=0,"Total",VLOOKUP(A872,Journal!$C$7:$D$84,2)))</f>
        <v/>
      </c>
      <c r="C872" s="86" t="str">
        <f>IF(B872="","",VLOOKUP(A872,Journal!$C$7:$E$84,3))</f>
        <v/>
      </c>
      <c r="D872" s="84" t="str">
        <f>IF(B872="","",VLOOKUP(A872,Journal!$C$7:$J$84,8))</f>
        <v/>
      </c>
      <c r="E872" s="84" t="str">
        <f>IF(B872="","",VLOOKUP(A872,Journal!$C$7:$L$84,10))</f>
        <v/>
      </c>
      <c r="F872" s="84" t="str">
        <f>IF(B872="","",VLOOKUP(A872,Journal!$C$7:$M$84,11))</f>
        <v/>
      </c>
      <c r="G872" s="102">
        <f>IF(B872="Total",SUM(G$8:G871)+0.0001,IF(OR(B872="",M872=0),0,VLOOKUP(A872,Journal!$C$7:M$84,7)))</f>
        <v>0</v>
      </c>
      <c r="H872" s="102">
        <f>IF(B872="Total",SUM(H$8:H871)+0.0001,IF(OR(B872="",N872=0),0,VLOOKUP(A872,Journal!$C$7:M$84,7)))</f>
        <v>0</v>
      </c>
      <c r="I872" s="87">
        <f t="shared" si="82"/>
        <v>0</v>
      </c>
      <c r="K872" s="13">
        <f>VLOOKUP(A872,Journal!$C$7:$M$84,4)</f>
        <v>0</v>
      </c>
      <c r="L872" s="13">
        <f>VLOOKUP(A872,Journal!$C$7:$M$84,5)</f>
        <v>0</v>
      </c>
      <c r="M872" s="13">
        <f t="shared" si="84"/>
        <v>0</v>
      </c>
      <c r="N872" s="13">
        <f t="shared" si="85"/>
        <v>0</v>
      </c>
      <c r="O872" s="13"/>
      <c r="P872" s="13">
        <f t="shared" si="86"/>
        <v>1.0000000000000001E-5</v>
      </c>
      <c r="T872" t="str">
        <f t="shared" si="81"/>
        <v/>
      </c>
    </row>
    <row r="873" spans="1:20" x14ac:dyDescent="0.25">
      <c r="A873">
        <f t="shared" si="83"/>
        <v>866</v>
      </c>
      <c r="B873" s="88" t="str">
        <f>IF(OR(B872="Total",B872=""),"",IF(VLOOKUP(A873,Journal!$C$7:$E$84,3)=0,"Total",VLOOKUP(A873,Journal!$C$7:$D$84,2)))</f>
        <v/>
      </c>
      <c r="C873" s="86" t="str">
        <f>IF(B873="","",VLOOKUP(A873,Journal!$C$7:$E$84,3))</f>
        <v/>
      </c>
      <c r="D873" s="84" t="str">
        <f>IF(B873="","",VLOOKUP(A873,Journal!$C$7:$J$84,8))</f>
        <v/>
      </c>
      <c r="E873" s="84" t="str">
        <f>IF(B873="","",VLOOKUP(A873,Journal!$C$7:$L$84,10))</f>
        <v/>
      </c>
      <c r="F873" s="84" t="str">
        <f>IF(B873="","",VLOOKUP(A873,Journal!$C$7:$M$84,11))</f>
        <v/>
      </c>
      <c r="G873" s="102">
        <f>IF(B873="Total",SUM(G$8:G872)+0.0001,IF(OR(B873="",M873=0),0,VLOOKUP(A873,Journal!$C$7:M$84,7)))</f>
        <v>0</v>
      </c>
      <c r="H873" s="102">
        <f>IF(B873="Total",SUM(H$8:H872)+0.0001,IF(OR(B873="",N873=0),0,VLOOKUP(A873,Journal!$C$7:M$84,7)))</f>
        <v>0</v>
      </c>
      <c r="I873" s="87">
        <f t="shared" si="82"/>
        <v>0</v>
      </c>
      <c r="K873" s="13">
        <f>VLOOKUP(A873,Journal!$C$7:$M$84,4)</f>
        <v>0</v>
      </c>
      <c r="L873" s="13">
        <f>VLOOKUP(A873,Journal!$C$7:$M$84,5)</f>
        <v>0</v>
      </c>
      <c r="M873" s="13">
        <f t="shared" si="84"/>
        <v>0</v>
      </c>
      <c r="N873" s="13">
        <f t="shared" si="85"/>
        <v>0</v>
      </c>
      <c r="O873" s="13"/>
      <c r="P873" s="13">
        <f t="shared" si="86"/>
        <v>1.0000000000000001E-5</v>
      </c>
      <c r="T873" t="str">
        <f t="shared" si="81"/>
        <v/>
      </c>
    </row>
    <row r="874" spans="1:20" x14ac:dyDescent="0.25">
      <c r="A874">
        <f t="shared" si="83"/>
        <v>867</v>
      </c>
      <c r="B874" s="88" t="str">
        <f>IF(OR(B873="Total",B873=""),"",IF(VLOOKUP(A874,Journal!$C$7:$E$84,3)=0,"Total",VLOOKUP(A874,Journal!$C$7:$D$84,2)))</f>
        <v/>
      </c>
      <c r="C874" s="86" t="str">
        <f>IF(B874="","",VLOOKUP(A874,Journal!$C$7:$E$84,3))</f>
        <v/>
      </c>
      <c r="D874" s="84" t="str">
        <f>IF(B874="","",VLOOKUP(A874,Journal!$C$7:$J$84,8))</f>
        <v/>
      </c>
      <c r="E874" s="84" t="str">
        <f>IF(B874="","",VLOOKUP(A874,Journal!$C$7:$L$84,10))</f>
        <v/>
      </c>
      <c r="F874" s="84" t="str">
        <f>IF(B874="","",VLOOKUP(A874,Journal!$C$7:$M$84,11))</f>
        <v/>
      </c>
      <c r="G874" s="102">
        <f>IF(B874="Total",SUM(G$8:G873)+0.0001,IF(OR(B874="",M874=0),0,VLOOKUP(A874,Journal!$C$7:M$84,7)))</f>
        <v>0</v>
      </c>
      <c r="H874" s="102">
        <f>IF(B874="Total",SUM(H$8:H873)+0.0001,IF(OR(B874="",N874=0),0,VLOOKUP(A874,Journal!$C$7:M$84,7)))</f>
        <v>0</v>
      </c>
      <c r="I874" s="87">
        <f t="shared" si="82"/>
        <v>0</v>
      </c>
      <c r="K874" s="13">
        <f>VLOOKUP(A874,Journal!$C$7:$M$84,4)</f>
        <v>0</v>
      </c>
      <c r="L874" s="13">
        <f>VLOOKUP(A874,Journal!$C$7:$M$84,5)</f>
        <v>0</v>
      </c>
      <c r="M874" s="13">
        <f t="shared" si="84"/>
        <v>0</v>
      </c>
      <c r="N874" s="13">
        <f t="shared" si="85"/>
        <v>0</v>
      </c>
      <c r="O874" s="13"/>
      <c r="P874" s="13">
        <f t="shared" si="86"/>
        <v>1.0000000000000001E-5</v>
      </c>
      <c r="T874" t="str">
        <f t="shared" si="81"/>
        <v/>
      </c>
    </row>
    <row r="875" spans="1:20" x14ac:dyDescent="0.25">
      <c r="A875">
        <f t="shared" si="83"/>
        <v>868</v>
      </c>
      <c r="B875" s="88" t="str">
        <f>IF(OR(B874="Total",B874=""),"",IF(VLOOKUP(A875,Journal!$C$7:$E$84,3)=0,"Total",VLOOKUP(A875,Journal!$C$7:$D$84,2)))</f>
        <v/>
      </c>
      <c r="C875" s="86" t="str">
        <f>IF(B875="","",VLOOKUP(A875,Journal!$C$7:$E$84,3))</f>
        <v/>
      </c>
      <c r="D875" s="84" t="str">
        <f>IF(B875="","",VLOOKUP(A875,Journal!$C$7:$J$84,8))</f>
        <v/>
      </c>
      <c r="E875" s="84" t="str">
        <f>IF(B875="","",VLOOKUP(A875,Journal!$C$7:$L$84,10))</f>
        <v/>
      </c>
      <c r="F875" s="84" t="str">
        <f>IF(B875="","",VLOOKUP(A875,Journal!$C$7:$M$84,11))</f>
        <v/>
      </c>
      <c r="G875" s="102">
        <f>IF(B875="Total",SUM(G$8:G874)+0.0001,IF(OR(B875="",M875=0),0,VLOOKUP(A875,Journal!$C$7:M$84,7)))</f>
        <v>0</v>
      </c>
      <c r="H875" s="102">
        <f>IF(B875="Total",SUM(H$8:H874)+0.0001,IF(OR(B875="",N875=0),0,VLOOKUP(A875,Journal!$C$7:M$84,7)))</f>
        <v>0</v>
      </c>
      <c r="I875" s="87">
        <f t="shared" si="82"/>
        <v>0</v>
      </c>
      <c r="K875" s="13">
        <f>VLOOKUP(A875,Journal!$C$7:$M$84,4)</f>
        <v>0</v>
      </c>
      <c r="L875" s="13">
        <f>VLOOKUP(A875,Journal!$C$7:$M$84,5)</f>
        <v>0</v>
      </c>
      <c r="M875" s="13">
        <f t="shared" si="84"/>
        <v>0</v>
      </c>
      <c r="N875" s="13">
        <f t="shared" si="85"/>
        <v>0</v>
      </c>
      <c r="O875" s="13"/>
      <c r="P875" s="13">
        <f t="shared" si="86"/>
        <v>1.0000000000000001E-5</v>
      </c>
      <c r="T875" t="str">
        <f t="shared" si="81"/>
        <v/>
      </c>
    </row>
    <row r="876" spans="1:20" x14ac:dyDescent="0.25">
      <c r="A876">
        <f t="shared" si="83"/>
        <v>869</v>
      </c>
      <c r="B876" s="88" t="str">
        <f>IF(OR(B875="Total",B875=""),"",IF(VLOOKUP(A876,Journal!$C$7:$E$84,3)=0,"Total",VLOOKUP(A876,Journal!$C$7:$D$84,2)))</f>
        <v/>
      </c>
      <c r="C876" s="86" t="str">
        <f>IF(B876="","",VLOOKUP(A876,Journal!$C$7:$E$84,3))</f>
        <v/>
      </c>
      <c r="D876" s="84" t="str">
        <f>IF(B876="","",VLOOKUP(A876,Journal!$C$7:$J$84,8))</f>
        <v/>
      </c>
      <c r="E876" s="84" t="str">
        <f>IF(B876="","",VLOOKUP(A876,Journal!$C$7:$L$84,10))</f>
        <v/>
      </c>
      <c r="F876" s="84" t="str">
        <f>IF(B876="","",VLOOKUP(A876,Journal!$C$7:$M$84,11))</f>
        <v/>
      </c>
      <c r="G876" s="102">
        <f>IF(B876="Total",SUM(G$8:G875)+0.0001,IF(OR(B876="",M876=0),0,VLOOKUP(A876,Journal!$C$7:M$84,7)))</f>
        <v>0</v>
      </c>
      <c r="H876" s="102">
        <f>IF(B876="Total",SUM(H$8:H875)+0.0001,IF(OR(B876="",N876=0),0,VLOOKUP(A876,Journal!$C$7:M$84,7)))</f>
        <v>0</v>
      </c>
      <c r="I876" s="87">
        <f t="shared" si="82"/>
        <v>0</v>
      </c>
      <c r="K876" s="13">
        <f>VLOOKUP(A876,Journal!$C$7:$M$84,4)</f>
        <v>0</v>
      </c>
      <c r="L876" s="13">
        <f>VLOOKUP(A876,Journal!$C$7:$M$84,5)</f>
        <v>0</v>
      </c>
      <c r="M876" s="13">
        <f t="shared" si="84"/>
        <v>0</v>
      </c>
      <c r="N876" s="13">
        <f t="shared" si="85"/>
        <v>0</v>
      </c>
      <c r="O876" s="13"/>
      <c r="P876" s="13">
        <f t="shared" si="86"/>
        <v>1.0000000000000001E-5</v>
      </c>
      <c r="T876" t="str">
        <f t="shared" si="81"/>
        <v/>
      </c>
    </row>
    <row r="877" spans="1:20" x14ac:dyDescent="0.25">
      <c r="A877">
        <f t="shared" si="83"/>
        <v>870</v>
      </c>
      <c r="B877" s="88" t="str">
        <f>IF(OR(B876="Total",B876=""),"",IF(VLOOKUP(A877,Journal!$C$7:$E$84,3)=0,"Total",VLOOKUP(A877,Journal!$C$7:$D$84,2)))</f>
        <v/>
      </c>
      <c r="C877" s="86" t="str">
        <f>IF(B877="","",VLOOKUP(A877,Journal!$C$7:$E$84,3))</f>
        <v/>
      </c>
      <c r="D877" s="84" t="str">
        <f>IF(B877="","",VLOOKUP(A877,Journal!$C$7:$J$84,8))</f>
        <v/>
      </c>
      <c r="E877" s="84" t="str">
        <f>IF(B877="","",VLOOKUP(A877,Journal!$C$7:$L$84,10))</f>
        <v/>
      </c>
      <c r="F877" s="84" t="str">
        <f>IF(B877="","",VLOOKUP(A877,Journal!$C$7:$M$84,11))</f>
        <v/>
      </c>
      <c r="G877" s="102">
        <f>IF(B877="Total",SUM(G$8:G876)+0.0001,IF(OR(B877="",M877=0),0,VLOOKUP(A877,Journal!$C$7:M$84,7)))</f>
        <v>0</v>
      </c>
      <c r="H877" s="102">
        <f>IF(B877="Total",SUM(H$8:H876)+0.0001,IF(OR(B877="",N877=0),0,VLOOKUP(A877,Journal!$C$7:M$84,7)))</f>
        <v>0</v>
      </c>
      <c r="I877" s="87">
        <f t="shared" si="82"/>
        <v>0</v>
      </c>
      <c r="K877" s="13">
        <f>VLOOKUP(A877,Journal!$C$7:$M$84,4)</f>
        <v>0</v>
      </c>
      <c r="L877" s="13">
        <f>VLOOKUP(A877,Journal!$C$7:$M$84,5)</f>
        <v>0</v>
      </c>
      <c r="M877" s="13">
        <f t="shared" si="84"/>
        <v>0</v>
      </c>
      <c r="N877" s="13">
        <f t="shared" si="85"/>
        <v>0</v>
      </c>
      <c r="O877" s="13"/>
      <c r="P877" s="13">
        <f t="shared" si="86"/>
        <v>1.0000000000000001E-5</v>
      </c>
      <c r="T877" t="str">
        <f t="shared" si="81"/>
        <v/>
      </c>
    </row>
    <row r="878" spans="1:20" x14ac:dyDescent="0.25">
      <c r="A878">
        <f t="shared" si="83"/>
        <v>871</v>
      </c>
      <c r="B878" s="88" t="str">
        <f>IF(OR(B877="Total",B877=""),"",IF(VLOOKUP(A878,Journal!$C$7:$E$84,3)=0,"Total",VLOOKUP(A878,Journal!$C$7:$D$84,2)))</f>
        <v/>
      </c>
      <c r="C878" s="86" t="str">
        <f>IF(B878="","",VLOOKUP(A878,Journal!$C$7:$E$84,3))</f>
        <v/>
      </c>
      <c r="D878" s="84" t="str">
        <f>IF(B878="","",VLOOKUP(A878,Journal!$C$7:$J$84,8))</f>
        <v/>
      </c>
      <c r="E878" s="84" t="str">
        <f>IF(B878="","",VLOOKUP(A878,Journal!$C$7:$L$84,10))</f>
        <v/>
      </c>
      <c r="F878" s="84" t="str">
        <f>IF(B878="","",VLOOKUP(A878,Journal!$C$7:$M$84,11))</f>
        <v/>
      </c>
      <c r="G878" s="102">
        <f>IF(B878="Total",SUM(G$8:G877)+0.0001,IF(OR(B878="",M878=0),0,VLOOKUP(A878,Journal!$C$7:M$84,7)))</f>
        <v>0</v>
      </c>
      <c r="H878" s="102">
        <f>IF(B878="Total",SUM(H$8:H877)+0.0001,IF(OR(B878="",N878=0),0,VLOOKUP(A878,Journal!$C$7:M$84,7)))</f>
        <v>0</v>
      </c>
      <c r="I878" s="87">
        <f t="shared" si="82"/>
        <v>0</v>
      </c>
      <c r="K878" s="13">
        <f>VLOOKUP(A878,Journal!$C$7:$M$84,4)</f>
        <v>0</v>
      </c>
      <c r="L878" s="13">
        <f>VLOOKUP(A878,Journal!$C$7:$M$84,5)</f>
        <v>0</v>
      </c>
      <c r="M878" s="13">
        <f t="shared" si="84"/>
        <v>0</v>
      </c>
      <c r="N878" s="13">
        <f t="shared" si="85"/>
        <v>0</v>
      </c>
      <c r="O878" s="13"/>
      <c r="P878" s="13">
        <f t="shared" si="86"/>
        <v>1.0000000000000001E-5</v>
      </c>
      <c r="T878" t="str">
        <f t="shared" si="81"/>
        <v/>
      </c>
    </row>
    <row r="879" spans="1:20" x14ac:dyDescent="0.25">
      <c r="A879">
        <f t="shared" si="83"/>
        <v>872</v>
      </c>
      <c r="B879" s="88" t="str">
        <f>IF(OR(B878="Total",B878=""),"",IF(VLOOKUP(A879,Journal!$C$7:$E$84,3)=0,"Total",VLOOKUP(A879,Journal!$C$7:$D$84,2)))</f>
        <v/>
      </c>
      <c r="C879" s="86" t="str">
        <f>IF(B879="","",VLOOKUP(A879,Journal!$C$7:$E$84,3))</f>
        <v/>
      </c>
      <c r="D879" s="84" t="str">
        <f>IF(B879="","",VLOOKUP(A879,Journal!$C$7:$J$84,8))</f>
        <v/>
      </c>
      <c r="E879" s="84" t="str">
        <f>IF(B879="","",VLOOKUP(A879,Journal!$C$7:$L$84,10))</f>
        <v/>
      </c>
      <c r="F879" s="84" t="str">
        <f>IF(B879="","",VLOOKUP(A879,Journal!$C$7:$M$84,11))</f>
        <v/>
      </c>
      <c r="G879" s="102">
        <f>IF(B879="Total",SUM(G$8:G878)+0.0001,IF(OR(B879="",M879=0),0,VLOOKUP(A879,Journal!$C$7:M$84,7)))</f>
        <v>0</v>
      </c>
      <c r="H879" s="102">
        <f>IF(B879="Total",SUM(H$8:H878)+0.0001,IF(OR(B879="",N879=0),0,VLOOKUP(A879,Journal!$C$7:M$84,7)))</f>
        <v>0</v>
      </c>
      <c r="I879" s="87">
        <f t="shared" si="82"/>
        <v>0</v>
      </c>
      <c r="K879" s="13">
        <f>VLOOKUP(A879,Journal!$C$7:$M$84,4)</f>
        <v>0</v>
      </c>
      <c r="L879" s="13">
        <f>VLOOKUP(A879,Journal!$C$7:$M$84,5)</f>
        <v>0</v>
      </c>
      <c r="M879" s="13">
        <f t="shared" si="84"/>
        <v>0</v>
      </c>
      <c r="N879" s="13">
        <f t="shared" si="85"/>
        <v>0</v>
      </c>
      <c r="O879" s="13"/>
      <c r="P879" s="13">
        <f t="shared" si="86"/>
        <v>1.0000000000000001E-5</v>
      </c>
      <c r="T879" t="str">
        <f t="shared" si="81"/>
        <v/>
      </c>
    </row>
    <row r="880" spans="1:20" x14ac:dyDescent="0.25">
      <c r="A880">
        <f t="shared" si="83"/>
        <v>873</v>
      </c>
      <c r="B880" s="88" t="str">
        <f>IF(OR(B879="Total",B879=""),"",IF(VLOOKUP(A880,Journal!$C$7:$E$84,3)=0,"Total",VLOOKUP(A880,Journal!$C$7:$D$84,2)))</f>
        <v/>
      </c>
      <c r="C880" s="86" t="str">
        <f>IF(B880="","",VLOOKUP(A880,Journal!$C$7:$E$84,3))</f>
        <v/>
      </c>
      <c r="D880" s="84" t="str">
        <f>IF(B880="","",VLOOKUP(A880,Journal!$C$7:$J$84,8))</f>
        <v/>
      </c>
      <c r="E880" s="84" t="str">
        <f>IF(B880="","",VLOOKUP(A880,Journal!$C$7:$L$84,10))</f>
        <v/>
      </c>
      <c r="F880" s="84" t="str">
        <f>IF(B880="","",VLOOKUP(A880,Journal!$C$7:$M$84,11))</f>
        <v/>
      </c>
      <c r="G880" s="102">
        <f>IF(B880="Total",SUM(G$8:G879)+0.0001,IF(OR(B880="",M880=0),0,VLOOKUP(A880,Journal!$C$7:M$84,7)))</f>
        <v>0</v>
      </c>
      <c r="H880" s="102">
        <f>IF(B880="Total",SUM(H$8:H879)+0.0001,IF(OR(B880="",N880=0),0,VLOOKUP(A880,Journal!$C$7:M$84,7)))</f>
        <v>0</v>
      </c>
      <c r="I880" s="87">
        <f t="shared" si="82"/>
        <v>0</v>
      </c>
      <c r="K880" s="13">
        <f>VLOOKUP(A880,Journal!$C$7:$M$84,4)</f>
        <v>0</v>
      </c>
      <c r="L880" s="13">
        <f>VLOOKUP(A880,Journal!$C$7:$M$84,5)</f>
        <v>0</v>
      </c>
      <c r="M880" s="13">
        <f t="shared" si="84"/>
        <v>0</v>
      </c>
      <c r="N880" s="13">
        <f t="shared" si="85"/>
        <v>0</v>
      </c>
      <c r="O880" s="13"/>
      <c r="P880" s="13">
        <f t="shared" si="86"/>
        <v>1.0000000000000001E-5</v>
      </c>
      <c r="T880" t="str">
        <f t="shared" si="81"/>
        <v/>
      </c>
    </row>
    <row r="881" spans="1:20" x14ac:dyDescent="0.25">
      <c r="A881">
        <f t="shared" si="83"/>
        <v>874</v>
      </c>
      <c r="B881" s="88" t="str">
        <f>IF(OR(B880="Total",B880=""),"",IF(VLOOKUP(A881,Journal!$C$7:$E$84,3)=0,"Total",VLOOKUP(A881,Journal!$C$7:$D$84,2)))</f>
        <v/>
      </c>
      <c r="C881" s="86" t="str">
        <f>IF(B881="","",VLOOKUP(A881,Journal!$C$7:$E$84,3))</f>
        <v/>
      </c>
      <c r="D881" s="84" t="str">
        <f>IF(B881="","",VLOOKUP(A881,Journal!$C$7:$J$84,8))</f>
        <v/>
      </c>
      <c r="E881" s="84" t="str">
        <f>IF(B881="","",VLOOKUP(A881,Journal!$C$7:$L$84,10))</f>
        <v/>
      </c>
      <c r="F881" s="84" t="str">
        <f>IF(B881="","",VLOOKUP(A881,Journal!$C$7:$M$84,11))</f>
        <v/>
      </c>
      <c r="G881" s="102">
        <f>IF(B881="Total",SUM(G$8:G880)+0.0001,IF(OR(B881="",M881=0),0,VLOOKUP(A881,Journal!$C$7:M$84,7)))</f>
        <v>0</v>
      </c>
      <c r="H881" s="102">
        <f>IF(B881="Total",SUM(H$8:H880)+0.0001,IF(OR(B881="",N881=0),0,VLOOKUP(A881,Journal!$C$7:M$84,7)))</f>
        <v>0</v>
      </c>
      <c r="I881" s="87">
        <f t="shared" si="82"/>
        <v>0</v>
      </c>
      <c r="K881" s="13">
        <f>VLOOKUP(A881,Journal!$C$7:$M$84,4)</f>
        <v>0</v>
      </c>
      <c r="L881" s="13">
        <f>VLOOKUP(A881,Journal!$C$7:$M$84,5)</f>
        <v>0</v>
      </c>
      <c r="M881" s="13">
        <f t="shared" si="84"/>
        <v>0</v>
      </c>
      <c r="N881" s="13">
        <f t="shared" si="85"/>
        <v>0</v>
      </c>
      <c r="O881" s="13"/>
      <c r="P881" s="13">
        <f t="shared" si="86"/>
        <v>1.0000000000000001E-5</v>
      </c>
      <c r="T881" t="str">
        <f t="shared" si="81"/>
        <v/>
      </c>
    </row>
    <row r="882" spans="1:20" x14ac:dyDescent="0.25">
      <c r="A882">
        <f t="shared" si="83"/>
        <v>875</v>
      </c>
      <c r="B882" s="88" t="str">
        <f>IF(OR(B881="Total",B881=""),"",IF(VLOOKUP(A882,Journal!$C$7:$E$84,3)=0,"Total",VLOOKUP(A882,Journal!$C$7:$D$84,2)))</f>
        <v/>
      </c>
      <c r="C882" s="86" t="str">
        <f>IF(B882="","",VLOOKUP(A882,Journal!$C$7:$E$84,3))</f>
        <v/>
      </c>
      <c r="D882" s="84" t="str">
        <f>IF(B882="","",VLOOKUP(A882,Journal!$C$7:$J$84,8))</f>
        <v/>
      </c>
      <c r="E882" s="84" t="str">
        <f>IF(B882="","",VLOOKUP(A882,Journal!$C$7:$L$84,10))</f>
        <v/>
      </c>
      <c r="F882" s="84" t="str">
        <f>IF(B882="","",VLOOKUP(A882,Journal!$C$7:$M$84,11))</f>
        <v/>
      </c>
      <c r="G882" s="102">
        <f>IF(B882="Total",SUM(G$8:G881)+0.0001,IF(OR(B882="",M882=0),0,VLOOKUP(A882,Journal!$C$7:M$84,7)))</f>
        <v>0</v>
      </c>
      <c r="H882" s="102">
        <f>IF(B882="Total",SUM(H$8:H881)+0.0001,IF(OR(B882="",N882=0),0,VLOOKUP(A882,Journal!$C$7:M$84,7)))</f>
        <v>0</v>
      </c>
      <c r="I882" s="87">
        <f t="shared" si="82"/>
        <v>0</v>
      </c>
      <c r="K882" s="13">
        <f>VLOOKUP(A882,Journal!$C$7:$M$84,4)</f>
        <v>0</v>
      </c>
      <c r="L882" s="13">
        <f>VLOOKUP(A882,Journal!$C$7:$M$84,5)</f>
        <v>0</v>
      </c>
      <c r="M882" s="13">
        <f t="shared" si="84"/>
        <v>0</v>
      </c>
      <c r="N882" s="13">
        <f t="shared" si="85"/>
        <v>0</v>
      </c>
      <c r="O882" s="13"/>
      <c r="P882" s="13">
        <f t="shared" si="86"/>
        <v>1.0000000000000001E-5</v>
      </c>
      <c r="T882" t="str">
        <f t="shared" si="81"/>
        <v/>
      </c>
    </row>
    <row r="883" spans="1:20" x14ac:dyDescent="0.25">
      <c r="A883">
        <f t="shared" si="83"/>
        <v>876</v>
      </c>
      <c r="B883" s="88" t="str">
        <f>IF(OR(B882="Total",B882=""),"",IF(VLOOKUP(A883,Journal!$C$7:$E$84,3)=0,"Total",VLOOKUP(A883,Journal!$C$7:$D$84,2)))</f>
        <v/>
      </c>
      <c r="C883" s="86" t="str">
        <f>IF(B883="","",VLOOKUP(A883,Journal!$C$7:$E$84,3))</f>
        <v/>
      </c>
      <c r="D883" s="84" t="str">
        <f>IF(B883="","",VLOOKUP(A883,Journal!$C$7:$J$84,8))</f>
        <v/>
      </c>
      <c r="E883" s="84" t="str">
        <f>IF(B883="","",VLOOKUP(A883,Journal!$C$7:$L$84,10))</f>
        <v/>
      </c>
      <c r="F883" s="84" t="str">
        <f>IF(B883="","",VLOOKUP(A883,Journal!$C$7:$M$84,11))</f>
        <v/>
      </c>
      <c r="G883" s="102">
        <f>IF(B883="Total",SUM(G$8:G882)+0.0001,IF(OR(B883="",M883=0),0,VLOOKUP(A883,Journal!$C$7:M$84,7)))</f>
        <v>0</v>
      </c>
      <c r="H883" s="102">
        <f>IF(B883="Total",SUM(H$8:H882)+0.0001,IF(OR(B883="",N883=0),0,VLOOKUP(A883,Journal!$C$7:M$84,7)))</f>
        <v>0</v>
      </c>
      <c r="I883" s="87">
        <f t="shared" si="82"/>
        <v>0</v>
      </c>
      <c r="K883" s="13">
        <f>VLOOKUP(A883,Journal!$C$7:$M$84,4)</f>
        <v>0</v>
      </c>
      <c r="L883" s="13">
        <f>VLOOKUP(A883,Journal!$C$7:$M$84,5)</f>
        <v>0</v>
      </c>
      <c r="M883" s="13">
        <f t="shared" si="84"/>
        <v>0</v>
      </c>
      <c r="N883" s="13">
        <f t="shared" si="85"/>
        <v>0</v>
      </c>
      <c r="O883" s="13"/>
      <c r="P883" s="13">
        <f t="shared" si="86"/>
        <v>1.0000000000000001E-5</v>
      </c>
      <c r="T883" t="str">
        <f t="shared" si="81"/>
        <v/>
      </c>
    </row>
    <row r="884" spans="1:20" x14ac:dyDescent="0.25">
      <c r="A884">
        <f t="shared" si="83"/>
        <v>877</v>
      </c>
      <c r="B884" s="88" t="str">
        <f>IF(OR(B883="Total",B883=""),"",IF(VLOOKUP(A884,Journal!$C$7:$E$84,3)=0,"Total",VLOOKUP(A884,Journal!$C$7:$D$84,2)))</f>
        <v/>
      </c>
      <c r="C884" s="86" t="str">
        <f>IF(B884="","",VLOOKUP(A884,Journal!$C$7:$E$84,3))</f>
        <v/>
      </c>
      <c r="D884" s="84" t="str">
        <f>IF(B884="","",VLOOKUP(A884,Journal!$C$7:$J$84,8))</f>
        <v/>
      </c>
      <c r="E884" s="84" t="str">
        <f>IF(B884="","",VLOOKUP(A884,Journal!$C$7:$L$84,10))</f>
        <v/>
      </c>
      <c r="F884" s="84" t="str">
        <f>IF(B884="","",VLOOKUP(A884,Journal!$C$7:$M$84,11))</f>
        <v/>
      </c>
      <c r="G884" s="102">
        <f>IF(B884="Total",SUM(G$8:G883)+0.0001,IF(OR(B884="",M884=0),0,VLOOKUP(A884,Journal!$C$7:M$84,7)))</f>
        <v>0</v>
      </c>
      <c r="H884" s="102">
        <f>IF(B884="Total",SUM(H$8:H883)+0.0001,IF(OR(B884="",N884=0),0,VLOOKUP(A884,Journal!$C$7:M$84,7)))</f>
        <v>0</v>
      </c>
      <c r="I884" s="87">
        <f t="shared" si="82"/>
        <v>0</v>
      </c>
      <c r="K884" s="13">
        <f>VLOOKUP(A884,Journal!$C$7:$M$84,4)</f>
        <v>0</v>
      </c>
      <c r="L884" s="13">
        <f>VLOOKUP(A884,Journal!$C$7:$M$84,5)</f>
        <v>0</v>
      </c>
      <c r="M884" s="13">
        <f t="shared" si="84"/>
        <v>0</v>
      </c>
      <c r="N884" s="13">
        <f t="shared" si="85"/>
        <v>0</v>
      </c>
      <c r="O884" s="13"/>
      <c r="P884" s="13">
        <f t="shared" si="86"/>
        <v>1.0000000000000001E-5</v>
      </c>
      <c r="T884" t="str">
        <f t="shared" si="81"/>
        <v/>
      </c>
    </row>
    <row r="885" spans="1:20" x14ac:dyDescent="0.25">
      <c r="A885">
        <f t="shared" si="83"/>
        <v>878</v>
      </c>
      <c r="B885" s="88" t="str">
        <f>IF(OR(B884="Total",B884=""),"",IF(VLOOKUP(A885,Journal!$C$7:$E$84,3)=0,"Total",VLOOKUP(A885,Journal!$C$7:$D$84,2)))</f>
        <v/>
      </c>
      <c r="C885" s="86" t="str">
        <f>IF(B885="","",VLOOKUP(A885,Journal!$C$7:$E$84,3))</f>
        <v/>
      </c>
      <c r="D885" s="84" t="str">
        <f>IF(B885="","",VLOOKUP(A885,Journal!$C$7:$J$84,8))</f>
        <v/>
      </c>
      <c r="E885" s="84" t="str">
        <f>IF(B885="","",VLOOKUP(A885,Journal!$C$7:$L$84,10))</f>
        <v/>
      </c>
      <c r="F885" s="84" t="str">
        <f>IF(B885="","",VLOOKUP(A885,Journal!$C$7:$M$84,11))</f>
        <v/>
      </c>
      <c r="G885" s="102">
        <f>IF(B885="Total",SUM(G$8:G884)+0.0001,IF(OR(B885="",M885=0),0,VLOOKUP(A885,Journal!$C$7:M$84,7)))</f>
        <v>0</v>
      </c>
      <c r="H885" s="102">
        <f>IF(B885="Total",SUM(H$8:H884)+0.0001,IF(OR(B885="",N885=0),0,VLOOKUP(A885,Journal!$C$7:M$84,7)))</f>
        <v>0</v>
      </c>
      <c r="I885" s="87">
        <f t="shared" si="82"/>
        <v>0</v>
      </c>
      <c r="K885" s="13">
        <f>VLOOKUP(A885,Journal!$C$7:$M$84,4)</f>
        <v>0</v>
      </c>
      <c r="L885" s="13">
        <f>VLOOKUP(A885,Journal!$C$7:$M$84,5)</f>
        <v>0</v>
      </c>
      <c r="M885" s="13">
        <f t="shared" si="84"/>
        <v>0</v>
      </c>
      <c r="N885" s="13">
        <f t="shared" si="85"/>
        <v>0</v>
      </c>
      <c r="O885" s="13"/>
      <c r="P885" s="13">
        <f t="shared" si="86"/>
        <v>1.0000000000000001E-5</v>
      </c>
      <c r="T885" t="str">
        <f t="shared" si="81"/>
        <v/>
      </c>
    </row>
    <row r="886" spans="1:20" x14ac:dyDescent="0.25">
      <c r="A886">
        <f t="shared" si="83"/>
        <v>879</v>
      </c>
      <c r="B886" s="88" t="str">
        <f>IF(OR(B885="Total",B885=""),"",IF(VLOOKUP(A886,Journal!$C$7:$E$84,3)=0,"Total",VLOOKUP(A886,Journal!$C$7:$D$84,2)))</f>
        <v/>
      </c>
      <c r="C886" s="86" t="str">
        <f>IF(B886="","",VLOOKUP(A886,Journal!$C$7:$E$84,3))</f>
        <v/>
      </c>
      <c r="D886" s="84" t="str">
        <f>IF(B886="","",VLOOKUP(A886,Journal!$C$7:$J$84,8))</f>
        <v/>
      </c>
      <c r="E886" s="84" t="str">
        <f>IF(B886="","",VLOOKUP(A886,Journal!$C$7:$L$84,10))</f>
        <v/>
      </c>
      <c r="F886" s="84" t="str">
        <f>IF(B886="","",VLOOKUP(A886,Journal!$C$7:$M$84,11))</f>
        <v/>
      </c>
      <c r="G886" s="102">
        <f>IF(B886="Total",SUM(G$8:G885)+0.0001,IF(OR(B886="",M886=0),0,VLOOKUP(A886,Journal!$C$7:M$84,7)))</f>
        <v>0</v>
      </c>
      <c r="H886" s="102">
        <f>IF(B886="Total",SUM(H$8:H885)+0.0001,IF(OR(B886="",N886=0),0,VLOOKUP(A886,Journal!$C$7:M$84,7)))</f>
        <v>0</v>
      </c>
      <c r="I886" s="87">
        <f t="shared" si="82"/>
        <v>0</v>
      </c>
      <c r="K886" s="13">
        <f>VLOOKUP(A886,Journal!$C$7:$M$84,4)</f>
        <v>0</v>
      </c>
      <c r="L886" s="13">
        <f>VLOOKUP(A886,Journal!$C$7:$M$84,5)</f>
        <v>0</v>
      </c>
      <c r="M886" s="13">
        <f t="shared" si="84"/>
        <v>0</v>
      </c>
      <c r="N886" s="13">
        <f t="shared" si="85"/>
        <v>0</v>
      </c>
      <c r="O886" s="13"/>
      <c r="P886" s="13">
        <f t="shared" si="86"/>
        <v>1.0000000000000001E-5</v>
      </c>
      <c r="T886" t="str">
        <f t="shared" si="81"/>
        <v/>
      </c>
    </row>
    <row r="887" spans="1:20" x14ac:dyDescent="0.25">
      <c r="A887">
        <f t="shared" si="83"/>
        <v>880</v>
      </c>
      <c r="B887" s="88" t="str">
        <f>IF(OR(B886="Total",B886=""),"",IF(VLOOKUP(A887,Journal!$C$7:$E$84,3)=0,"Total",VLOOKUP(A887,Journal!$C$7:$D$84,2)))</f>
        <v/>
      </c>
      <c r="C887" s="86" t="str">
        <f>IF(B887="","",VLOOKUP(A887,Journal!$C$7:$E$84,3))</f>
        <v/>
      </c>
      <c r="D887" s="84" t="str">
        <f>IF(B887="","",VLOOKUP(A887,Journal!$C$7:$J$84,8))</f>
        <v/>
      </c>
      <c r="E887" s="84" t="str">
        <f>IF(B887="","",VLOOKUP(A887,Journal!$C$7:$L$84,10))</f>
        <v/>
      </c>
      <c r="F887" s="84" t="str">
        <f>IF(B887="","",VLOOKUP(A887,Journal!$C$7:$M$84,11))</f>
        <v/>
      </c>
      <c r="G887" s="102">
        <f>IF(B887="Total",SUM(G$8:G886)+0.0001,IF(OR(B887="",M887=0),0,VLOOKUP(A887,Journal!$C$7:M$84,7)))</f>
        <v>0</v>
      </c>
      <c r="H887" s="102">
        <f>IF(B887="Total",SUM(H$8:H886)+0.0001,IF(OR(B887="",N887=0),0,VLOOKUP(A887,Journal!$C$7:M$84,7)))</f>
        <v>0</v>
      </c>
      <c r="I887" s="87">
        <f t="shared" si="82"/>
        <v>0</v>
      </c>
      <c r="K887" s="13">
        <f>VLOOKUP(A887,Journal!$C$7:$M$84,4)</f>
        <v>0</v>
      </c>
      <c r="L887" s="13">
        <f>VLOOKUP(A887,Journal!$C$7:$M$84,5)</f>
        <v>0</v>
      </c>
      <c r="M887" s="13">
        <f t="shared" si="84"/>
        <v>0</v>
      </c>
      <c r="N887" s="13">
        <f t="shared" si="85"/>
        <v>0</v>
      </c>
      <c r="O887" s="13"/>
      <c r="P887" s="13">
        <f t="shared" si="86"/>
        <v>1.0000000000000001E-5</v>
      </c>
      <c r="T887" t="str">
        <f t="shared" si="81"/>
        <v/>
      </c>
    </row>
    <row r="888" spans="1:20" x14ac:dyDescent="0.25">
      <c r="A888">
        <f t="shared" si="83"/>
        <v>881</v>
      </c>
      <c r="B888" s="88" t="str">
        <f>IF(OR(B887="Total",B887=""),"",IF(VLOOKUP(A888,Journal!$C$7:$E$84,3)=0,"Total",VLOOKUP(A888,Journal!$C$7:$D$84,2)))</f>
        <v/>
      </c>
      <c r="C888" s="86" t="str">
        <f>IF(B888="","",VLOOKUP(A888,Journal!$C$7:$E$84,3))</f>
        <v/>
      </c>
      <c r="D888" s="84" t="str">
        <f>IF(B888="","",VLOOKUP(A888,Journal!$C$7:$J$84,8))</f>
        <v/>
      </c>
      <c r="E888" s="84" t="str">
        <f>IF(B888="","",VLOOKUP(A888,Journal!$C$7:$L$84,10))</f>
        <v/>
      </c>
      <c r="F888" s="84" t="str">
        <f>IF(B888="","",VLOOKUP(A888,Journal!$C$7:$M$84,11))</f>
        <v/>
      </c>
      <c r="G888" s="102">
        <f>IF(B888="Total",SUM(G$8:G887)+0.0001,IF(OR(B888="",M888=0),0,VLOOKUP(A888,Journal!$C$7:M$84,7)))</f>
        <v>0</v>
      </c>
      <c r="H888" s="102">
        <f>IF(B888="Total",SUM(H$8:H887)+0.0001,IF(OR(B888="",N888=0),0,VLOOKUP(A888,Journal!$C$7:M$84,7)))</f>
        <v>0</v>
      </c>
      <c r="I888" s="87">
        <f t="shared" si="82"/>
        <v>0</v>
      </c>
      <c r="K888" s="13">
        <f>VLOOKUP(A888,Journal!$C$7:$M$84,4)</f>
        <v>0</v>
      </c>
      <c r="L888" s="13">
        <f>VLOOKUP(A888,Journal!$C$7:$M$84,5)</f>
        <v>0</v>
      </c>
      <c r="M888" s="13">
        <f t="shared" si="84"/>
        <v>0</v>
      </c>
      <c r="N888" s="13">
        <f t="shared" si="85"/>
        <v>0</v>
      </c>
      <c r="O888" s="13"/>
      <c r="P888" s="13">
        <f t="shared" si="86"/>
        <v>1.0000000000000001E-5</v>
      </c>
      <c r="T888" t="str">
        <f t="shared" si="81"/>
        <v/>
      </c>
    </row>
    <row r="889" spans="1:20" x14ac:dyDescent="0.25">
      <c r="A889">
        <f t="shared" si="83"/>
        <v>882</v>
      </c>
      <c r="B889" s="88" t="str">
        <f>IF(OR(B888="Total",B888=""),"",IF(VLOOKUP(A889,Journal!$C$7:$E$84,3)=0,"Total",VLOOKUP(A889,Journal!$C$7:$D$84,2)))</f>
        <v/>
      </c>
      <c r="C889" s="86" t="str">
        <f>IF(B889="","",VLOOKUP(A889,Journal!$C$7:$E$84,3))</f>
        <v/>
      </c>
      <c r="D889" s="84" t="str">
        <f>IF(B889="","",VLOOKUP(A889,Journal!$C$7:$J$84,8))</f>
        <v/>
      </c>
      <c r="E889" s="84" t="str">
        <f>IF(B889="","",VLOOKUP(A889,Journal!$C$7:$L$84,10))</f>
        <v/>
      </c>
      <c r="F889" s="84" t="str">
        <f>IF(B889="","",VLOOKUP(A889,Journal!$C$7:$M$84,11))</f>
        <v/>
      </c>
      <c r="G889" s="102">
        <f>IF(B889="Total",SUM(G$8:G888)+0.0001,IF(OR(B889="",M889=0),0,VLOOKUP(A889,Journal!$C$7:M$84,7)))</f>
        <v>0</v>
      </c>
      <c r="H889" s="102">
        <f>IF(B889="Total",SUM(H$8:H888)+0.0001,IF(OR(B889="",N889=0),0,VLOOKUP(A889,Journal!$C$7:M$84,7)))</f>
        <v>0</v>
      </c>
      <c r="I889" s="87">
        <f t="shared" si="82"/>
        <v>0</v>
      </c>
      <c r="K889" s="13">
        <f>VLOOKUP(A889,Journal!$C$7:$M$84,4)</f>
        <v>0</v>
      </c>
      <c r="L889" s="13">
        <f>VLOOKUP(A889,Journal!$C$7:$M$84,5)</f>
        <v>0</v>
      </c>
      <c r="M889" s="13">
        <f t="shared" si="84"/>
        <v>0</v>
      </c>
      <c r="N889" s="13">
        <f t="shared" si="85"/>
        <v>0</v>
      </c>
      <c r="O889" s="13"/>
      <c r="P889" s="13">
        <f t="shared" si="86"/>
        <v>1.0000000000000001E-5</v>
      </c>
      <c r="T889" t="str">
        <f t="shared" si="81"/>
        <v/>
      </c>
    </row>
    <row r="890" spans="1:20" x14ac:dyDescent="0.25">
      <c r="A890">
        <f t="shared" si="83"/>
        <v>883</v>
      </c>
      <c r="B890" s="88" t="str">
        <f>IF(OR(B889="Total",B889=""),"",IF(VLOOKUP(A890,Journal!$C$7:$E$84,3)=0,"Total",VLOOKUP(A890,Journal!$C$7:$D$84,2)))</f>
        <v/>
      </c>
      <c r="C890" s="86" t="str">
        <f>IF(B890="","",VLOOKUP(A890,Journal!$C$7:$E$84,3))</f>
        <v/>
      </c>
      <c r="D890" s="84" t="str">
        <f>IF(B890="","",VLOOKUP(A890,Journal!$C$7:$J$84,8))</f>
        <v/>
      </c>
      <c r="E890" s="84" t="str">
        <f>IF(B890="","",VLOOKUP(A890,Journal!$C$7:$L$84,10))</f>
        <v/>
      </c>
      <c r="F890" s="84" t="str">
        <f>IF(B890="","",VLOOKUP(A890,Journal!$C$7:$M$84,11))</f>
        <v/>
      </c>
      <c r="G890" s="102">
        <f>IF(B890="Total",SUM(G$8:G889)+0.0001,IF(OR(B890="",M890=0),0,VLOOKUP(A890,Journal!$C$7:M$84,7)))</f>
        <v>0</v>
      </c>
      <c r="H890" s="102">
        <f>IF(B890="Total",SUM(H$8:H889)+0.0001,IF(OR(B890="",N890=0),0,VLOOKUP(A890,Journal!$C$7:M$84,7)))</f>
        <v>0</v>
      </c>
      <c r="I890" s="87">
        <f t="shared" si="82"/>
        <v>0</v>
      </c>
      <c r="K890" s="13">
        <f>VLOOKUP(A890,Journal!$C$7:$M$84,4)</f>
        <v>0</v>
      </c>
      <c r="L890" s="13">
        <f>VLOOKUP(A890,Journal!$C$7:$M$84,5)</f>
        <v>0</v>
      </c>
      <c r="M890" s="13">
        <f t="shared" si="84"/>
        <v>0</v>
      </c>
      <c r="N890" s="13">
        <f t="shared" si="85"/>
        <v>0</v>
      </c>
      <c r="O890" s="13"/>
      <c r="P890" s="13">
        <f t="shared" si="86"/>
        <v>1.0000000000000001E-5</v>
      </c>
      <c r="T890" t="str">
        <f t="shared" si="81"/>
        <v/>
      </c>
    </row>
    <row r="891" spans="1:20" x14ac:dyDescent="0.25">
      <c r="A891">
        <f t="shared" si="83"/>
        <v>884</v>
      </c>
      <c r="B891" s="88" t="str">
        <f>IF(OR(B890="Total",B890=""),"",IF(VLOOKUP(A891,Journal!$C$7:$E$84,3)=0,"Total",VLOOKUP(A891,Journal!$C$7:$D$84,2)))</f>
        <v/>
      </c>
      <c r="C891" s="86" t="str">
        <f>IF(B891="","",VLOOKUP(A891,Journal!$C$7:$E$84,3))</f>
        <v/>
      </c>
      <c r="D891" s="84" t="str">
        <f>IF(B891="","",VLOOKUP(A891,Journal!$C$7:$J$84,8))</f>
        <v/>
      </c>
      <c r="E891" s="84" t="str">
        <f>IF(B891="","",VLOOKUP(A891,Journal!$C$7:$L$84,10))</f>
        <v/>
      </c>
      <c r="F891" s="84" t="str">
        <f>IF(B891="","",VLOOKUP(A891,Journal!$C$7:$M$84,11))</f>
        <v/>
      </c>
      <c r="G891" s="102">
        <f>IF(B891="Total",SUM(G$8:G890)+0.0001,IF(OR(B891="",M891=0),0,VLOOKUP(A891,Journal!$C$7:M$84,7)))</f>
        <v>0</v>
      </c>
      <c r="H891" s="102">
        <f>IF(B891="Total",SUM(H$8:H890)+0.0001,IF(OR(B891="",N891=0),0,VLOOKUP(A891,Journal!$C$7:M$84,7)))</f>
        <v>0</v>
      </c>
      <c r="I891" s="87">
        <f t="shared" si="82"/>
        <v>0</v>
      </c>
      <c r="K891" s="13">
        <f>VLOOKUP(A891,Journal!$C$7:$M$84,4)</f>
        <v>0</v>
      </c>
      <c r="L891" s="13">
        <f>VLOOKUP(A891,Journal!$C$7:$M$84,5)</f>
        <v>0</v>
      </c>
      <c r="M891" s="13">
        <f t="shared" si="84"/>
        <v>0</v>
      </c>
      <c r="N891" s="13">
        <f t="shared" si="85"/>
        <v>0</v>
      </c>
      <c r="O891" s="13"/>
      <c r="P891" s="13">
        <f t="shared" si="86"/>
        <v>1.0000000000000001E-5</v>
      </c>
      <c r="T891" t="str">
        <f t="shared" si="81"/>
        <v/>
      </c>
    </row>
    <row r="892" spans="1:20" x14ac:dyDescent="0.25">
      <c r="A892">
        <f t="shared" si="83"/>
        <v>885</v>
      </c>
      <c r="B892" s="88" t="str">
        <f>IF(OR(B891="Total",B891=""),"",IF(VLOOKUP(A892,Journal!$C$7:$E$84,3)=0,"Total",VLOOKUP(A892,Journal!$C$7:$D$84,2)))</f>
        <v/>
      </c>
      <c r="C892" s="86" t="str">
        <f>IF(B892="","",VLOOKUP(A892,Journal!$C$7:$E$84,3))</f>
        <v/>
      </c>
      <c r="D892" s="84" t="str">
        <f>IF(B892="","",VLOOKUP(A892,Journal!$C$7:$J$84,8))</f>
        <v/>
      </c>
      <c r="E892" s="84" t="str">
        <f>IF(B892="","",VLOOKUP(A892,Journal!$C$7:$L$84,10))</f>
        <v/>
      </c>
      <c r="F892" s="84" t="str">
        <f>IF(B892="","",VLOOKUP(A892,Journal!$C$7:$M$84,11))</f>
        <v/>
      </c>
      <c r="G892" s="102">
        <f>IF(B892="Total",SUM(G$8:G891)+0.0001,IF(OR(B892="",M892=0),0,VLOOKUP(A892,Journal!$C$7:M$84,7)))</f>
        <v>0</v>
      </c>
      <c r="H892" s="102">
        <f>IF(B892="Total",SUM(H$8:H891)+0.0001,IF(OR(B892="",N892=0),0,VLOOKUP(A892,Journal!$C$7:M$84,7)))</f>
        <v>0</v>
      </c>
      <c r="I892" s="87">
        <f t="shared" si="82"/>
        <v>0</v>
      </c>
      <c r="K892" s="13">
        <f>VLOOKUP(A892,Journal!$C$7:$M$84,4)</f>
        <v>0</v>
      </c>
      <c r="L892" s="13">
        <f>VLOOKUP(A892,Journal!$C$7:$M$84,5)</f>
        <v>0</v>
      </c>
      <c r="M892" s="13">
        <f t="shared" si="84"/>
        <v>0</v>
      </c>
      <c r="N892" s="13">
        <f t="shared" si="85"/>
        <v>0</v>
      </c>
      <c r="O892" s="13"/>
      <c r="P892" s="13">
        <f t="shared" si="86"/>
        <v>1.0000000000000001E-5</v>
      </c>
      <c r="T892" t="str">
        <f t="shared" si="81"/>
        <v/>
      </c>
    </row>
    <row r="893" spans="1:20" x14ac:dyDescent="0.25">
      <c r="A893">
        <f t="shared" si="83"/>
        <v>886</v>
      </c>
      <c r="B893" s="88" t="str">
        <f>IF(OR(B892="Total",B892=""),"",IF(VLOOKUP(A893,Journal!$C$7:$E$84,3)=0,"Total",VLOOKUP(A893,Journal!$C$7:$D$84,2)))</f>
        <v/>
      </c>
      <c r="C893" s="86" t="str">
        <f>IF(B893="","",VLOOKUP(A893,Journal!$C$7:$E$84,3))</f>
        <v/>
      </c>
      <c r="D893" s="84" t="str">
        <f>IF(B893="","",VLOOKUP(A893,Journal!$C$7:$J$84,8))</f>
        <v/>
      </c>
      <c r="E893" s="84" t="str">
        <f>IF(B893="","",VLOOKUP(A893,Journal!$C$7:$L$84,10))</f>
        <v/>
      </c>
      <c r="F893" s="84" t="str">
        <f>IF(B893="","",VLOOKUP(A893,Journal!$C$7:$M$84,11))</f>
        <v/>
      </c>
      <c r="G893" s="102">
        <f>IF(B893="Total",SUM(G$8:G892)+0.0001,IF(OR(B893="",M893=0),0,VLOOKUP(A893,Journal!$C$7:M$84,7)))</f>
        <v>0</v>
      </c>
      <c r="H893" s="102">
        <f>IF(B893="Total",SUM(H$8:H892)+0.0001,IF(OR(B893="",N893=0),0,VLOOKUP(A893,Journal!$C$7:M$84,7)))</f>
        <v>0</v>
      </c>
      <c r="I893" s="87">
        <f t="shared" si="82"/>
        <v>0</v>
      </c>
      <c r="K893" s="13">
        <f>VLOOKUP(A893,Journal!$C$7:$M$84,4)</f>
        <v>0</v>
      </c>
      <c r="L893" s="13">
        <f>VLOOKUP(A893,Journal!$C$7:$M$84,5)</f>
        <v>0</v>
      </c>
      <c r="M893" s="13">
        <f t="shared" si="84"/>
        <v>0</v>
      </c>
      <c r="N893" s="13">
        <f t="shared" si="85"/>
        <v>0</v>
      </c>
      <c r="O893" s="13"/>
      <c r="P893" s="13">
        <f t="shared" si="86"/>
        <v>1.0000000000000001E-5</v>
      </c>
      <c r="T893" t="str">
        <f t="shared" si="81"/>
        <v/>
      </c>
    </row>
    <row r="894" spans="1:20" x14ac:dyDescent="0.25">
      <c r="A894">
        <f t="shared" si="83"/>
        <v>887</v>
      </c>
      <c r="B894" s="88" t="str">
        <f>IF(OR(B893="Total",B893=""),"",IF(VLOOKUP(A894,Journal!$C$7:$E$84,3)=0,"Total",VLOOKUP(A894,Journal!$C$7:$D$84,2)))</f>
        <v/>
      </c>
      <c r="C894" s="86" t="str">
        <f>IF(B894="","",VLOOKUP(A894,Journal!$C$7:$E$84,3))</f>
        <v/>
      </c>
      <c r="D894" s="84" t="str">
        <f>IF(B894="","",VLOOKUP(A894,Journal!$C$7:$J$84,8))</f>
        <v/>
      </c>
      <c r="E894" s="84" t="str">
        <f>IF(B894="","",VLOOKUP(A894,Journal!$C$7:$L$84,10))</f>
        <v/>
      </c>
      <c r="F894" s="84" t="str">
        <f>IF(B894="","",VLOOKUP(A894,Journal!$C$7:$M$84,11))</f>
        <v/>
      </c>
      <c r="G894" s="102">
        <f>IF(B894="Total",SUM(G$8:G893)+0.0001,IF(OR(B894="",M894=0),0,VLOOKUP(A894,Journal!$C$7:M$84,7)))</f>
        <v>0</v>
      </c>
      <c r="H894" s="102">
        <f>IF(B894="Total",SUM(H$8:H893)+0.0001,IF(OR(B894="",N894=0),0,VLOOKUP(A894,Journal!$C$7:M$84,7)))</f>
        <v>0</v>
      </c>
      <c r="I894" s="87">
        <f t="shared" si="82"/>
        <v>0</v>
      </c>
      <c r="K894" s="13">
        <f>VLOOKUP(A894,Journal!$C$7:$M$84,4)</f>
        <v>0</v>
      </c>
      <c r="L894" s="13">
        <f>VLOOKUP(A894,Journal!$C$7:$M$84,5)</f>
        <v>0</v>
      </c>
      <c r="M894" s="13">
        <f t="shared" si="84"/>
        <v>0</v>
      </c>
      <c r="N894" s="13">
        <f t="shared" si="85"/>
        <v>0</v>
      </c>
      <c r="O894" s="13"/>
      <c r="P894" s="13">
        <f t="shared" si="86"/>
        <v>1.0000000000000001E-5</v>
      </c>
      <c r="T894" t="str">
        <f t="shared" si="81"/>
        <v/>
      </c>
    </row>
    <row r="895" spans="1:20" x14ac:dyDescent="0.25">
      <c r="A895">
        <f t="shared" si="83"/>
        <v>888</v>
      </c>
      <c r="B895" s="88" t="str">
        <f>IF(OR(B894="Total",B894=""),"",IF(VLOOKUP(A895,Journal!$C$7:$E$84,3)=0,"Total",VLOOKUP(A895,Journal!$C$7:$D$84,2)))</f>
        <v/>
      </c>
      <c r="C895" s="86" t="str">
        <f>IF(B895="","",VLOOKUP(A895,Journal!$C$7:$E$84,3))</f>
        <v/>
      </c>
      <c r="D895" s="84" t="str">
        <f>IF(B895="","",VLOOKUP(A895,Journal!$C$7:$J$84,8))</f>
        <v/>
      </c>
      <c r="E895" s="84" t="str">
        <f>IF(B895="","",VLOOKUP(A895,Journal!$C$7:$L$84,10))</f>
        <v/>
      </c>
      <c r="F895" s="84" t="str">
        <f>IF(B895="","",VLOOKUP(A895,Journal!$C$7:$M$84,11))</f>
        <v/>
      </c>
      <c r="G895" s="102">
        <f>IF(B895="Total",SUM(G$8:G894)+0.0001,IF(OR(B895="",M895=0),0,VLOOKUP(A895,Journal!$C$7:M$84,7)))</f>
        <v>0</v>
      </c>
      <c r="H895" s="102">
        <f>IF(B895="Total",SUM(H$8:H894)+0.0001,IF(OR(B895="",N895=0),0,VLOOKUP(A895,Journal!$C$7:M$84,7)))</f>
        <v>0</v>
      </c>
      <c r="I895" s="87">
        <f t="shared" si="82"/>
        <v>0</v>
      </c>
      <c r="K895" s="13">
        <f>VLOOKUP(A895,Journal!$C$7:$M$84,4)</f>
        <v>0</v>
      </c>
      <c r="L895" s="13">
        <f>VLOOKUP(A895,Journal!$C$7:$M$84,5)</f>
        <v>0</v>
      </c>
      <c r="M895" s="13">
        <f t="shared" si="84"/>
        <v>0</v>
      </c>
      <c r="N895" s="13">
        <f t="shared" si="85"/>
        <v>0</v>
      </c>
      <c r="O895" s="13"/>
      <c r="P895" s="13">
        <f t="shared" si="86"/>
        <v>1.0000000000000001E-5</v>
      </c>
      <c r="T895" t="str">
        <f t="shared" si="81"/>
        <v/>
      </c>
    </row>
    <row r="896" spans="1:20" x14ac:dyDescent="0.25">
      <c r="A896">
        <f t="shared" si="83"/>
        <v>889</v>
      </c>
      <c r="B896" s="88" t="str">
        <f>IF(OR(B895="Total",B895=""),"",IF(VLOOKUP(A896,Journal!$C$7:$E$84,3)=0,"Total",VLOOKUP(A896,Journal!$C$7:$D$84,2)))</f>
        <v/>
      </c>
      <c r="C896" s="86" t="str">
        <f>IF(B896="","",VLOOKUP(A896,Journal!$C$7:$E$84,3))</f>
        <v/>
      </c>
      <c r="D896" s="84" t="str">
        <f>IF(B896="","",VLOOKUP(A896,Journal!$C$7:$J$84,8))</f>
        <v/>
      </c>
      <c r="E896" s="84" t="str">
        <f>IF(B896="","",VLOOKUP(A896,Journal!$C$7:$L$84,10))</f>
        <v/>
      </c>
      <c r="F896" s="84" t="str">
        <f>IF(B896="","",VLOOKUP(A896,Journal!$C$7:$M$84,11))</f>
        <v/>
      </c>
      <c r="G896" s="102">
        <f>IF(B896="Total",SUM(G$8:G895)+0.0001,IF(OR(B896="",M896=0),0,VLOOKUP(A896,Journal!$C$7:M$84,7)))</f>
        <v>0</v>
      </c>
      <c r="H896" s="102">
        <f>IF(B896="Total",SUM(H$8:H895)+0.0001,IF(OR(B896="",N896=0),0,VLOOKUP(A896,Journal!$C$7:M$84,7)))</f>
        <v>0</v>
      </c>
      <c r="I896" s="87">
        <f t="shared" si="82"/>
        <v>0</v>
      </c>
      <c r="K896" s="13">
        <f>VLOOKUP(A896,Journal!$C$7:$M$84,4)</f>
        <v>0</v>
      </c>
      <c r="L896" s="13">
        <f>VLOOKUP(A896,Journal!$C$7:$M$84,5)</f>
        <v>0</v>
      </c>
      <c r="M896" s="13">
        <f t="shared" si="84"/>
        <v>0</v>
      </c>
      <c r="N896" s="13">
        <f t="shared" si="85"/>
        <v>0</v>
      </c>
      <c r="O896" s="13"/>
      <c r="P896" s="13">
        <f t="shared" si="86"/>
        <v>1.0000000000000001E-5</v>
      </c>
      <c r="T896" t="str">
        <f t="shared" si="81"/>
        <v/>
      </c>
    </row>
    <row r="897" spans="1:20" x14ac:dyDescent="0.25">
      <c r="A897">
        <f t="shared" si="83"/>
        <v>890</v>
      </c>
      <c r="B897" s="88" t="str">
        <f>IF(OR(B896="Total",B896=""),"",IF(VLOOKUP(A897,Journal!$C$7:$E$84,3)=0,"Total",VLOOKUP(A897,Journal!$C$7:$D$84,2)))</f>
        <v/>
      </c>
      <c r="C897" s="86" t="str">
        <f>IF(B897="","",VLOOKUP(A897,Journal!$C$7:$E$84,3))</f>
        <v/>
      </c>
      <c r="D897" s="84" t="str">
        <f>IF(B897="","",VLOOKUP(A897,Journal!$C$7:$J$84,8))</f>
        <v/>
      </c>
      <c r="E897" s="84" t="str">
        <f>IF(B897="","",VLOOKUP(A897,Journal!$C$7:$L$84,10))</f>
        <v/>
      </c>
      <c r="F897" s="84" t="str">
        <f>IF(B897="","",VLOOKUP(A897,Journal!$C$7:$M$84,11))</f>
        <v/>
      </c>
      <c r="G897" s="102">
        <f>IF(B897="Total",SUM(G$8:G896)+0.0001,IF(OR(B897="",M897=0),0,VLOOKUP(A897,Journal!$C$7:M$84,7)))</f>
        <v>0</v>
      </c>
      <c r="H897" s="102">
        <f>IF(B897="Total",SUM(H$8:H896)+0.0001,IF(OR(B897="",N897=0),0,VLOOKUP(A897,Journal!$C$7:M$84,7)))</f>
        <v>0</v>
      </c>
      <c r="I897" s="87">
        <f t="shared" si="82"/>
        <v>0</v>
      </c>
      <c r="K897" s="13">
        <f>VLOOKUP(A897,Journal!$C$7:$M$84,4)</f>
        <v>0</v>
      </c>
      <c r="L897" s="13">
        <f>VLOOKUP(A897,Journal!$C$7:$M$84,5)</f>
        <v>0</v>
      </c>
      <c r="M897" s="13">
        <f t="shared" si="84"/>
        <v>0</v>
      </c>
      <c r="N897" s="13">
        <f t="shared" si="85"/>
        <v>0</v>
      </c>
      <c r="O897" s="13"/>
      <c r="P897" s="13">
        <f t="shared" si="86"/>
        <v>1.0000000000000001E-5</v>
      </c>
      <c r="T897" t="str">
        <f t="shared" si="81"/>
        <v/>
      </c>
    </row>
    <row r="898" spans="1:20" x14ac:dyDescent="0.25">
      <c r="A898">
        <f t="shared" si="83"/>
        <v>891</v>
      </c>
      <c r="B898" s="88" t="str">
        <f>IF(OR(B897="Total",B897=""),"",IF(VLOOKUP(A898,Journal!$C$7:$E$84,3)=0,"Total",VLOOKUP(A898,Journal!$C$7:$D$84,2)))</f>
        <v/>
      </c>
      <c r="C898" s="86" t="str">
        <f>IF(B898="","",VLOOKUP(A898,Journal!$C$7:$E$84,3))</f>
        <v/>
      </c>
      <c r="D898" s="84" t="str">
        <f>IF(B898="","",VLOOKUP(A898,Journal!$C$7:$J$84,8))</f>
        <v/>
      </c>
      <c r="E898" s="84" t="str">
        <f>IF(B898="","",VLOOKUP(A898,Journal!$C$7:$L$84,10))</f>
        <v/>
      </c>
      <c r="F898" s="84" t="str">
        <f>IF(B898="","",VLOOKUP(A898,Journal!$C$7:$M$84,11))</f>
        <v/>
      </c>
      <c r="G898" s="102">
        <f>IF(B898="Total",SUM(G$8:G897)+0.0001,IF(OR(B898="",M898=0),0,VLOOKUP(A898,Journal!$C$7:M$84,7)))</f>
        <v>0</v>
      </c>
      <c r="H898" s="102">
        <f>IF(B898="Total",SUM(H$8:H897)+0.0001,IF(OR(B898="",N898=0),0,VLOOKUP(A898,Journal!$C$7:M$84,7)))</f>
        <v>0</v>
      </c>
      <c r="I898" s="87">
        <f t="shared" si="82"/>
        <v>0</v>
      </c>
      <c r="K898" s="13">
        <f>VLOOKUP(A898,Journal!$C$7:$M$84,4)</f>
        <v>0</v>
      </c>
      <c r="L898" s="13">
        <f>VLOOKUP(A898,Journal!$C$7:$M$84,5)</f>
        <v>0</v>
      </c>
      <c r="M898" s="13">
        <f t="shared" si="84"/>
        <v>0</v>
      </c>
      <c r="N898" s="13">
        <f t="shared" si="85"/>
        <v>0</v>
      </c>
      <c r="O898" s="13"/>
      <c r="P898" s="13">
        <f t="shared" si="86"/>
        <v>1.0000000000000001E-5</v>
      </c>
      <c r="T898" t="str">
        <f t="shared" si="81"/>
        <v/>
      </c>
    </row>
    <row r="899" spans="1:20" x14ac:dyDescent="0.25">
      <c r="A899">
        <f t="shared" si="83"/>
        <v>892</v>
      </c>
      <c r="B899" s="88" t="str">
        <f>IF(OR(B898="Total",B898=""),"",IF(VLOOKUP(A899,Journal!$C$7:$E$84,3)=0,"Total",VLOOKUP(A899,Journal!$C$7:$D$84,2)))</f>
        <v/>
      </c>
      <c r="C899" s="86" t="str">
        <f>IF(B899="","",VLOOKUP(A899,Journal!$C$7:$E$84,3))</f>
        <v/>
      </c>
      <c r="D899" s="84" t="str">
        <f>IF(B899="","",VLOOKUP(A899,Journal!$C$7:$J$84,8))</f>
        <v/>
      </c>
      <c r="E899" s="84" t="str">
        <f>IF(B899="","",VLOOKUP(A899,Journal!$C$7:$L$84,10))</f>
        <v/>
      </c>
      <c r="F899" s="84" t="str">
        <f>IF(B899="","",VLOOKUP(A899,Journal!$C$7:$M$84,11))</f>
        <v/>
      </c>
      <c r="G899" s="102">
        <f>IF(B899="Total",SUM(G$8:G898)+0.0001,IF(OR(B899="",M899=0),0,VLOOKUP(A899,Journal!$C$7:M$84,7)))</f>
        <v>0</v>
      </c>
      <c r="H899" s="102">
        <f>IF(B899="Total",SUM(H$8:H898)+0.0001,IF(OR(B899="",N899=0),0,VLOOKUP(A899,Journal!$C$7:M$84,7)))</f>
        <v>0</v>
      </c>
      <c r="I899" s="87">
        <f t="shared" si="82"/>
        <v>0</v>
      </c>
      <c r="K899" s="13">
        <f>VLOOKUP(A899,Journal!$C$7:$M$84,4)</f>
        <v>0</v>
      </c>
      <c r="L899" s="13">
        <f>VLOOKUP(A899,Journal!$C$7:$M$84,5)</f>
        <v>0</v>
      </c>
      <c r="M899" s="13">
        <f t="shared" si="84"/>
        <v>0</v>
      </c>
      <c r="N899" s="13">
        <f t="shared" si="85"/>
        <v>0</v>
      </c>
      <c r="O899" s="13"/>
      <c r="P899" s="13">
        <f t="shared" si="86"/>
        <v>1.0000000000000001E-5</v>
      </c>
      <c r="T899" t="str">
        <f t="shared" si="81"/>
        <v/>
      </c>
    </row>
    <row r="900" spans="1:20" x14ac:dyDescent="0.25">
      <c r="A900">
        <f t="shared" si="83"/>
        <v>893</v>
      </c>
      <c r="B900" s="88" t="str">
        <f>IF(OR(B899="Total",B899=""),"",IF(VLOOKUP(A900,Journal!$C$7:$E$84,3)=0,"Total",VLOOKUP(A900,Journal!$C$7:$D$84,2)))</f>
        <v/>
      </c>
      <c r="C900" s="86" t="str">
        <f>IF(B900="","",VLOOKUP(A900,Journal!$C$7:$E$84,3))</f>
        <v/>
      </c>
      <c r="D900" s="84" t="str">
        <f>IF(B900="","",VLOOKUP(A900,Journal!$C$7:$J$84,8))</f>
        <v/>
      </c>
      <c r="E900" s="84" t="str">
        <f>IF(B900="","",VLOOKUP(A900,Journal!$C$7:$L$84,10))</f>
        <v/>
      </c>
      <c r="F900" s="84" t="str">
        <f>IF(B900="","",VLOOKUP(A900,Journal!$C$7:$M$84,11))</f>
        <v/>
      </c>
      <c r="G900" s="102">
        <f>IF(B900="Total",SUM(G$8:G899)+0.0001,IF(OR(B900="",M900=0),0,VLOOKUP(A900,Journal!$C$7:M$84,7)))</f>
        <v>0</v>
      </c>
      <c r="H900" s="102">
        <f>IF(B900="Total",SUM(H$8:H899)+0.0001,IF(OR(B900="",N900=0),0,VLOOKUP(A900,Journal!$C$7:M$84,7)))</f>
        <v>0</v>
      </c>
      <c r="I900" s="87">
        <f t="shared" si="82"/>
        <v>0</v>
      </c>
      <c r="K900" s="13">
        <f>VLOOKUP(A900,Journal!$C$7:$M$84,4)</f>
        <v>0</v>
      </c>
      <c r="L900" s="13">
        <f>VLOOKUP(A900,Journal!$C$7:$M$84,5)</f>
        <v>0</v>
      </c>
      <c r="M900" s="13">
        <f t="shared" si="84"/>
        <v>0</v>
      </c>
      <c r="N900" s="13">
        <f t="shared" si="85"/>
        <v>0</v>
      </c>
      <c r="O900" s="13"/>
      <c r="P900" s="13">
        <f t="shared" si="86"/>
        <v>1.0000000000000001E-5</v>
      </c>
      <c r="T900" t="str">
        <f t="shared" si="81"/>
        <v/>
      </c>
    </row>
    <row r="901" spans="1:20" x14ac:dyDescent="0.25">
      <c r="A901">
        <f t="shared" si="83"/>
        <v>894</v>
      </c>
      <c r="B901" s="88" t="str">
        <f>IF(OR(B900="Total",B900=""),"",IF(VLOOKUP(A901,Journal!$C$7:$E$84,3)=0,"Total",VLOOKUP(A901,Journal!$C$7:$D$84,2)))</f>
        <v/>
      </c>
      <c r="C901" s="86" t="str">
        <f>IF(B901="","",VLOOKUP(A901,Journal!$C$7:$E$84,3))</f>
        <v/>
      </c>
      <c r="D901" s="84" t="str">
        <f>IF(B901="","",VLOOKUP(A901,Journal!$C$7:$J$84,8))</f>
        <v/>
      </c>
      <c r="E901" s="84" t="str">
        <f>IF(B901="","",VLOOKUP(A901,Journal!$C$7:$L$84,10))</f>
        <v/>
      </c>
      <c r="F901" s="84" t="str">
        <f>IF(B901="","",VLOOKUP(A901,Journal!$C$7:$M$84,11))</f>
        <v/>
      </c>
      <c r="G901" s="102">
        <f>IF(B901="Total",SUM(G$8:G900)+0.0001,IF(OR(B901="",M901=0),0,VLOOKUP(A901,Journal!$C$7:M$84,7)))</f>
        <v>0</v>
      </c>
      <c r="H901" s="102">
        <f>IF(B901="Total",SUM(H$8:H900)+0.0001,IF(OR(B901="",N901=0),0,VLOOKUP(A901,Journal!$C$7:M$84,7)))</f>
        <v>0</v>
      </c>
      <c r="I901" s="87">
        <f t="shared" si="82"/>
        <v>0</v>
      </c>
      <c r="K901" s="13">
        <f>VLOOKUP(A901,Journal!$C$7:$M$84,4)</f>
        <v>0</v>
      </c>
      <c r="L901" s="13">
        <f>VLOOKUP(A901,Journal!$C$7:$M$84,5)</f>
        <v>0</v>
      </c>
      <c r="M901" s="13">
        <f t="shared" si="84"/>
        <v>0</v>
      </c>
      <c r="N901" s="13">
        <f t="shared" si="85"/>
        <v>0</v>
      </c>
      <c r="O901" s="13"/>
      <c r="P901" s="13">
        <f t="shared" si="86"/>
        <v>1.0000000000000001E-5</v>
      </c>
      <c r="T901" t="str">
        <f t="shared" si="81"/>
        <v/>
      </c>
    </row>
    <row r="902" spans="1:20" x14ac:dyDescent="0.25">
      <c r="A902">
        <f t="shared" si="83"/>
        <v>895</v>
      </c>
      <c r="B902" s="88" t="str">
        <f>IF(OR(B901="Total",B901=""),"",IF(VLOOKUP(A902,Journal!$C$7:$E$84,3)=0,"Total",VLOOKUP(A902,Journal!$C$7:$D$84,2)))</f>
        <v/>
      </c>
      <c r="C902" s="86" t="str">
        <f>IF(B902="","",VLOOKUP(A902,Journal!$C$7:$E$84,3))</f>
        <v/>
      </c>
      <c r="D902" s="84" t="str">
        <f>IF(B902="","",VLOOKUP(A902,Journal!$C$7:$J$84,8))</f>
        <v/>
      </c>
      <c r="E902" s="84" t="str">
        <f>IF(B902="","",VLOOKUP(A902,Journal!$C$7:$L$84,10))</f>
        <v/>
      </c>
      <c r="F902" s="84" t="str">
        <f>IF(B902="","",VLOOKUP(A902,Journal!$C$7:$M$84,11))</f>
        <v/>
      </c>
      <c r="G902" s="102">
        <f>IF(B902="Total",SUM(G$8:G901)+0.0001,IF(OR(B902="",M902=0),0,VLOOKUP(A902,Journal!$C$7:M$84,7)))</f>
        <v>0</v>
      </c>
      <c r="H902" s="102">
        <f>IF(B902="Total",SUM(H$8:H901)+0.0001,IF(OR(B902="",N902=0),0,VLOOKUP(A902,Journal!$C$7:M$84,7)))</f>
        <v>0</v>
      </c>
      <c r="I902" s="87">
        <f t="shared" si="82"/>
        <v>0</v>
      </c>
      <c r="K902" s="13">
        <f>VLOOKUP(A902,Journal!$C$7:$M$84,4)</f>
        <v>0</v>
      </c>
      <c r="L902" s="13">
        <f>VLOOKUP(A902,Journal!$C$7:$M$84,5)</f>
        <v>0</v>
      </c>
      <c r="M902" s="13">
        <f t="shared" si="84"/>
        <v>0</v>
      </c>
      <c r="N902" s="13">
        <f t="shared" si="85"/>
        <v>0</v>
      </c>
      <c r="O902" s="13"/>
      <c r="P902" s="13">
        <f t="shared" si="86"/>
        <v>1.0000000000000001E-5</v>
      </c>
      <c r="T902" t="str">
        <f t="shared" si="81"/>
        <v/>
      </c>
    </row>
    <row r="903" spans="1:20" x14ac:dyDescent="0.25">
      <c r="A903">
        <f t="shared" si="83"/>
        <v>896</v>
      </c>
      <c r="B903" s="88" t="str">
        <f>IF(OR(B902="Total",B902=""),"",IF(VLOOKUP(A903,Journal!$C$7:$E$84,3)=0,"Total",VLOOKUP(A903,Journal!$C$7:$D$84,2)))</f>
        <v/>
      </c>
      <c r="C903" s="86" t="str">
        <f>IF(B903="","",VLOOKUP(A903,Journal!$C$7:$E$84,3))</f>
        <v/>
      </c>
      <c r="D903" s="84" t="str">
        <f>IF(B903="","",VLOOKUP(A903,Journal!$C$7:$J$84,8))</f>
        <v/>
      </c>
      <c r="E903" s="84" t="str">
        <f>IF(B903="","",VLOOKUP(A903,Journal!$C$7:$L$84,10))</f>
        <v/>
      </c>
      <c r="F903" s="84" t="str">
        <f>IF(B903="","",VLOOKUP(A903,Journal!$C$7:$M$84,11))</f>
        <v/>
      </c>
      <c r="G903" s="102">
        <f>IF(B903="Total",SUM(G$8:G902)+0.0001,IF(OR(B903="",M903=0),0,VLOOKUP(A903,Journal!$C$7:M$84,7)))</f>
        <v>0</v>
      </c>
      <c r="H903" s="102">
        <f>IF(B903="Total",SUM(H$8:H902)+0.0001,IF(OR(B903="",N903=0),0,VLOOKUP(A903,Journal!$C$7:M$84,7)))</f>
        <v>0</v>
      </c>
      <c r="I903" s="87">
        <f t="shared" si="82"/>
        <v>0</v>
      </c>
      <c r="K903" s="13">
        <f>VLOOKUP(A903,Journal!$C$7:$M$84,4)</f>
        <v>0</v>
      </c>
      <c r="L903" s="13">
        <f>VLOOKUP(A903,Journal!$C$7:$M$84,5)</f>
        <v>0</v>
      </c>
      <c r="M903" s="13">
        <f t="shared" si="84"/>
        <v>0</v>
      </c>
      <c r="N903" s="13">
        <f t="shared" si="85"/>
        <v>0</v>
      </c>
      <c r="O903" s="13"/>
      <c r="P903" s="13">
        <f t="shared" si="86"/>
        <v>1.0000000000000001E-5</v>
      </c>
      <c r="T903" t="str">
        <f t="shared" si="81"/>
        <v/>
      </c>
    </row>
    <row r="904" spans="1:20" x14ac:dyDescent="0.25">
      <c r="A904">
        <f t="shared" si="83"/>
        <v>897</v>
      </c>
      <c r="B904" s="88" t="str">
        <f>IF(OR(B903="Total",B903=""),"",IF(VLOOKUP(A904,Journal!$C$7:$E$84,3)=0,"Total",VLOOKUP(A904,Journal!$C$7:$D$84,2)))</f>
        <v/>
      </c>
      <c r="C904" s="86" t="str">
        <f>IF(B904="","",VLOOKUP(A904,Journal!$C$7:$E$84,3))</f>
        <v/>
      </c>
      <c r="D904" s="84" t="str">
        <f>IF(B904="","",VLOOKUP(A904,Journal!$C$7:$J$84,8))</f>
        <v/>
      </c>
      <c r="E904" s="84" t="str">
        <f>IF(B904="","",VLOOKUP(A904,Journal!$C$7:$L$84,10))</f>
        <v/>
      </c>
      <c r="F904" s="84" t="str">
        <f>IF(B904="","",VLOOKUP(A904,Journal!$C$7:$M$84,11))</f>
        <v/>
      </c>
      <c r="G904" s="102">
        <f>IF(B904="Total",SUM(G$8:G903)+0.0001,IF(OR(B904="",M904=0),0,VLOOKUP(A904,Journal!$C$7:M$84,7)))</f>
        <v>0</v>
      </c>
      <c r="H904" s="102">
        <f>IF(B904="Total",SUM(H$8:H903)+0.0001,IF(OR(B904="",N904=0),0,VLOOKUP(A904,Journal!$C$7:M$84,7)))</f>
        <v>0</v>
      </c>
      <c r="I904" s="87">
        <f t="shared" si="82"/>
        <v>0</v>
      </c>
      <c r="K904" s="13">
        <f>VLOOKUP(A904,Journal!$C$7:$M$84,4)</f>
        <v>0</v>
      </c>
      <c r="L904" s="13">
        <f>VLOOKUP(A904,Journal!$C$7:$M$84,5)</f>
        <v>0</v>
      </c>
      <c r="M904" s="13">
        <f t="shared" si="84"/>
        <v>0</v>
      </c>
      <c r="N904" s="13">
        <f t="shared" si="85"/>
        <v>0</v>
      </c>
      <c r="O904" s="13"/>
      <c r="P904" s="13">
        <f t="shared" si="86"/>
        <v>1.0000000000000001E-5</v>
      </c>
      <c r="T904" t="str">
        <f t="shared" si="81"/>
        <v/>
      </c>
    </row>
    <row r="905" spans="1:20" x14ac:dyDescent="0.25">
      <c r="A905">
        <f t="shared" si="83"/>
        <v>898</v>
      </c>
      <c r="B905" s="88" t="str">
        <f>IF(OR(B904="Total",B904=""),"",IF(VLOOKUP(A905,Journal!$C$7:$E$84,3)=0,"Total",VLOOKUP(A905,Journal!$C$7:$D$84,2)))</f>
        <v/>
      </c>
      <c r="C905" s="86" t="str">
        <f>IF(B905="","",VLOOKUP(A905,Journal!$C$7:$E$84,3))</f>
        <v/>
      </c>
      <c r="D905" s="84" t="str">
        <f>IF(B905="","",VLOOKUP(A905,Journal!$C$7:$J$84,8))</f>
        <v/>
      </c>
      <c r="E905" s="84" t="str">
        <f>IF(B905="","",VLOOKUP(A905,Journal!$C$7:$L$84,10))</f>
        <v/>
      </c>
      <c r="F905" s="84" t="str">
        <f>IF(B905="","",VLOOKUP(A905,Journal!$C$7:$M$84,11))</f>
        <v/>
      </c>
      <c r="G905" s="102">
        <f>IF(B905="Total",SUM(G$8:G904)+0.0001,IF(OR(B905="",M905=0),0,VLOOKUP(A905,Journal!$C$7:M$84,7)))</f>
        <v>0</v>
      </c>
      <c r="H905" s="102">
        <f>IF(B905="Total",SUM(H$8:H904)+0.0001,IF(OR(B905="",N905=0),0,VLOOKUP(A905,Journal!$C$7:M$84,7)))</f>
        <v>0</v>
      </c>
      <c r="I905" s="87">
        <f t="shared" si="82"/>
        <v>0</v>
      </c>
      <c r="K905" s="13">
        <f>VLOOKUP(A905,Journal!$C$7:$M$84,4)</f>
        <v>0</v>
      </c>
      <c r="L905" s="13">
        <f>VLOOKUP(A905,Journal!$C$7:$M$84,5)</f>
        <v>0</v>
      </c>
      <c r="M905" s="13">
        <f t="shared" si="84"/>
        <v>0</v>
      </c>
      <c r="N905" s="13">
        <f t="shared" si="85"/>
        <v>0</v>
      </c>
      <c r="O905" s="13"/>
      <c r="P905" s="13">
        <f t="shared" si="86"/>
        <v>1.0000000000000001E-5</v>
      </c>
      <c r="T905" t="str">
        <f t="shared" ref="T905:T968" si="87">IF(AND(G905&lt;&gt;0,B905&lt;&gt;"Total",G905=H905),"Beide Konten sind Erfolgskonten, weshalb Saldo gleich bleibt","")</f>
        <v/>
      </c>
    </row>
    <row r="906" spans="1:20" x14ac:dyDescent="0.25">
      <c r="A906">
        <f t="shared" si="83"/>
        <v>899</v>
      </c>
      <c r="B906" s="88" t="str">
        <f>IF(OR(B905="Total",B905=""),"",IF(VLOOKUP(A906,Journal!$C$7:$E$84,3)=0,"Total",VLOOKUP(A906,Journal!$C$7:$D$84,2)))</f>
        <v/>
      </c>
      <c r="C906" s="86" t="str">
        <f>IF(B906="","",VLOOKUP(A906,Journal!$C$7:$E$84,3))</f>
        <v/>
      </c>
      <c r="D906" s="84" t="str">
        <f>IF(B906="","",VLOOKUP(A906,Journal!$C$7:$J$84,8))</f>
        <v/>
      </c>
      <c r="E906" s="84" t="str">
        <f>IF(B906="","",VLOOKUP(A906,Journal!$C$7:$L$84,10))</f>
        <v/>
      </c>
      <c r="F906" s="84" t="str">
        <f>IF(B906="","",VLOOKUP(A906,Journal!$C$7:$M$84,11))</f>
        <v/>
      </c>
      <c r="G906" s="102">
        <f>IF(B906="Total",SUM(G$8:G905)+0.0001,IF(OR(B906="",M906=0),0,VLOOKUP(A906,Journal!$C$7:M$84,7)))</f>
        <v>0</v>
      </c>
      <c r="H906" s="102">
        <f>IF(B906="Total",SUM(H$8:H905)+0.0001,IF(OR(B906="",N906=0),0,VLOOKUP(A906,Journal!$C$7:M$84,7)))</f>
        <v>0</v>
      </c>
      <c r="I906" s="87">
        <f t="shared" ref="I906:I969" si="88">IF(B906="Total",I905,IF(B906="",0,I905+G906-H906))</f>
        <v>0</v>
      </c>
      <c r="K906" s="13">
        <f>VLOOKUP(A906,Journal!$C$7:$M$84,4)</f>
        <v>0</v>
      </c>
      <c r="L906" s="13">
        <f>VLOOKUP(A906,Journal!$C$7:$M$84,5)</f>
        <v>0</v>
      </c>
      <c r="M906" s="13">
        <f t="shared" si="84"/>
        <v>0</v>
      </c>
      <c r="N906" s="13">
        <f t="shared" si="85"/>
        <v>0</v>
      </c>
      <c r="O906" s="13"/>
      <c r="P906" s="13">
        <f t="shared" si="86"/>
        <v>1.0000000000000001E-5</v>
      </c>
      <c r="T906" t="str">
        <f t="shared" si="87"/>
        <v/>
      </c>
    </row>
    <row r="907" spans="1:20" x14ac:dyDescent="0.25">
      <c r="A907">
        <f t="shared" ref="A907:A970" si="89">A906+1</f>
        <v>900</v>
      </c>
      <c r="B907" s="88" t="str">
        <f>IF(OR(B906="Total",B906=""),"",IF(VLOOKUP(A907,Journal!$C$7:$E$84,3)=0,"Total",VLOOKUP(A907,Journal!$C$7:$D$84,2)))</f>
        <v/>
      </c>
      <c r="C907" s="86" t="str">
        <f>IF(B907="","",VLOOKUP(A907,Journal!$C$7:$E$84,3))</f>
        <v/>
      </c>
      <c r="D907" s="84" t="str">
        <f>IF(B907="","",VLOOKUP(A907,Journal!$C$7:$J$84,8))</f>
        <v/>
      </c>
      <c r="E907" s="84" t="str">
        <f>IF(B907="","",VLOOKUP(A907,Journal!$C$7:$L$84,10))</f>
        <v/>
      </c>
      <c r="F907" s="84" t="str">
        <f>IF(B907="","",VLOOKUP(A907,Journal!$C$7:$M$84,11))</f>
        <v/>
      </c>
      <c r="G907" s="102">
        <f>IF(B907="Total",SUM(G$8:G906)+0.0001,IF(OR(B907="",M907=0),0,VLOOKUP(A907,Journal!$C$7:M$84,7)))</f>
        <v>0</v>
      </c>
      <c r="H907" s="102">
        <f>IF(B907="Total",SUM(H$8:H906)+0.0001,IF(OR(B907="",N907=0),0,VLOOKUP(A907,Journal!$C$7:M$84,7)))</f>
        <v>0</v>
      </c>
      <c r="I907" s="87">
        <f t="shared" si="88"/>
        <v>0</v>
      </c>
      <c r="K907" s="13">
        <f>VLOOKUP(A907,Journal!$C$7:$M$84,4)</f>
        <v>0</v>
      </c>
      <c r="L907" s="13">
        <f>VLOOKUP(A907,Journal!$C$7:$M$84,5)</f>
        <v>0</v>
      </c>
      <c r="M907" s="13">
        <f t="shared" si="84"/>
        <v>0</v>
      </c>
      <c r="N907" s="13">
        <f t="shared" si="85"/>
        <v>0</v>
      </c>
      <c r="O907" s="13"/>
      <c r="P907" s="13">
        <f t="shared" si="86"/>
        <v>1.0000000000000001E-5</v>
      </c>
      <c r="T907" t="str">
        <f t="shared" si="87"/>
        <v/>
      </c>
    </row>
    <row r="908" spans="1:20" x14ac:dyDescent="0.25">
      <c r="A908">
        <f t="shared" si="89"/>
        <v>901</v>
      </c>
      <c r="B908" s="88" t="str">
        <f>IF(OR(B907="Total",B907=""),"",IF(VLOOKUP(A908,Journal!$C$7:$E$84,3)=0,"Total",VLOOKUP(A908,Journal!$C$7:$D$84,2)))</f>
        <v/>
      </c>
      <c r="C908" s="86" t="str">
        <f>IF(B908="","",VLOOKUP(A908,Journal!$C$7:$E$84,3))</f>
        <v/>
      </c>
      <c r="D908" s="84" t="str">
        <f>IF(B908="","",VLOOKUP(A908,Journal!$C$7:$J$84,8))</f>
        <v/>
      </c>
      <c r="E908" s="84" t="str">
        <f>IF(B908="","",VLOOKUP(A908,Journal!$C$7:$L$84,10))</f>
        <v/>
      </c>
      <c r="F908" s="84" t="str">
        <f>IF(B908="","",VLOOKUP(A908,Journal!$C$7:$M$84,11))</f>
        <v/>
      </c>
      <c r="G908" s="102">
        <f>IF(B908="Total",SUM(G$8:G907)+0.0001,IF(OR(B908="",M908=0),0,VLOOKUP(A908,Journal!$C$7:M$84,7)))</f>
        <v>0</v>
      </c>
      <c r="H908" s="102">
        <f>IF(B908="Total",SUM(H$8:H907)+0.0001,IF(OR(B908="",N908=0),0,VLOOKUP(A908,Journal!$C$7:M$84,7)))</f>
        <v>0</v>
      </c>
      <c r="I908" s="87">
        <f t="shared" si="88"/>
        <v>0</v>
      </c>
      <c r="K908" s="13">
        <f>VLOOKUP(A908,Journal!$C$7:$M$84,4)</f>
        <v>0</v>
      </c>
      <c r="L908" s="13">
        <f>VLOOKUP(A908,Journal!$C$7:$M$84,5)</f>
        <v>0</v>
      </c>
      <c r="M908" s="13">
        <f t="shared" si="84"/>
        <v>0</v>
      </c>
      <c r="N908" s="13">
        <f t="shared" si="85"/>
        <v>0</v>
      </c>
      <c r="O908" s="13"/>
      <c r="P908" s="13">
        <f t="shared" si="86"/>
        <v>1.0000000000000001E-5</v>
      </c>
      <c r="T908" t="str">
        <f t="shared" si="87"/>
        <v/>
      </c>
    </row>
    <row r="909" spans="1:20" x14ac:dyDescent="0.25">
      <c r="A909">
        <f t="shared" si="89"/>
        <v>902</v>
      </c>
      <c r="B909" s="88" t="str">
        <f>IF(OR(B908="Total",B908=""),"",IF(VLOOKUP(A909,Journal!$C$7:$E$84,3)=0,"Total",VLOOKUP(A909,Journal!$C$7:$D$84,2)))</f>
        <v/>
      </c>
      <c r="C909" s="86" t="str">
        <f>IF(B909="","",VLOOKUP(A909,Journal!$C$7:$E$84,3))</f>
        <v/>
      </c>
      <c r="D909" s="84" t="str">
        <f>IF(B909="","",VLOOKUP(A909,Journal!$C$7:$J$84,8))</f>
        <v/>
      </c>
      <c r="E909" s="84" t="str">
        <f>IF(B909="","",VLOOKUP(A909,Journal!$C$7:$L$84,10))</f>
        <v/>
      </c>
      <c r="F909" s="84" t="str">
        <f>IF(B909="","",VLOOKUP(A909,Journal!$C$7:$M$84,11))</f>
        <v/>
      </c>
      <c r="G909" s="102">
        <f>IF(B909="Total",SUM(G$8:G908)+0.0001,IF(OR(B909="",M909=0),0,VLOOKUP(A909,Journal!$C$7:M$84,7)))</f>
        <v>0</v>
      </c>
      <c r="H909" s="102">
        <f>IF(B909="Total",SUM(H$8:H908)+0.0001,IF(OR(B909="",N909=0),0,VLOOKUP(A909,Journal!$C$7:M$84,7)))</f>
        <v>0</v>
      </c>
      <c r="I909" s="87">
        <f t="shared" si="88"/>
        <v>0</v>
      </c>
      <c r="K909" s="13">
        <f>VLOOKUP(A909,Journal!$C$7:$M$84,4)</f>
        <v>0</v>
      </c>
      <c r="L909" s="13">
        <f>VLOOKUP(A909,Journal!$C$7:$M$84,5)</f>
        <v>0</v>
      </c>
      <c r="M909" s="13">
        <f t="shared" si="84"/>
        <v>0</v>
      </c>
      <c r="N909" s="13">
        <f t="shared" si="85"/>
        <v>0</v>
      </c>
      <c r="O909" s="13"/>
      <c r="P909" s="13">
        <f t="shared" si="86"/>
        <v>1.0000000000000001E-5</v>
      </c>
      <c r="T909" t="str">
        <f t="shared" si="87"/>
        <v/>
      </c>
    </row>
    <row r="910" spans="1:20" x14ac:dyDescent="0.25">
      <c r="A910">
        <f t="shared" si="89"/>
        <v>903</v>
      </c>
      <c r="B910" s="88" t="str">
        <f>IF(OR(B909="Total",B909=""),"",IF(VLOOKUP(A910,Journal!$C$7:$E$84,3)=0,"Total",VLOOKUP(A910,Journal!$C$7:$D$84,2)))</f>
        <v/>
      </c>
      <c r="C910" s="86" t="str">
        <f>IF(B910="","",VLOOKUP(A910,Journal!$C$7:$E$84,3))</f>
        <v/>
      </c>
      <c r="D910" s="84" t="str">
        <f>IF(B910="","",VLOOKUP(A910,Journal!$C$7:$J$84,8))</f>
        <v/>
      </c>
      <c r="E910" s="84" t="str">
        <f>IF(B910="","",VLOOKUP(A910,Journal!$C$7:$L$84,10))</f>
        <v/>
      </c>
      <c r="F910" s="84" t="str">
        <f>IF(B910="","",VLOOKUP(A910,Journal!$C$7:$M$84,11))</f>
        <v/>
      </c>
      <c r="G910" s="102">
        <f>IF(B910="Total",SUM(G$8:G909)+0.0001,IF(OR(B910="",M910=0),0,VLOOKUP(A910,Journal!$C$7:M$84,7)))</f>
        <v>0</v>
      </c>
      <c r="H910" s="102">
        <f>IF(B910="Total",SUM(H$8:H909)+0.0001,IF(OR(B910="",N910=0),0,VLOOKUP(A910,Journal!$C$7:M$84,7)))</f>
        <v>0</v>
      </c>
      <c r="I910" s="87">
        <f t="shared" si="88"/>
        <v>0</v>
      </c>
      <c r="K910" s="13">
        <f>VLOOKUP(A910,Journal!$C$7:$M$84,4)</f>
        <v>0</v>
      </c>
      <c r="L910" s="13">
        <f>VLOOKUP(A910,Journal!$C$7:$M$84,5)</f>
        <v>0</v>
      </c>
      <c r="M910" s="13">
        <f t="shared" si="84"/>
        <v>0</v>
      </c>
      <c r="N910" s="13">
        <f t="shared" si="85"/>
        <v>0</v>
      </c>
      <c r="O910" s="13"/>
      <c r="P910" s="13">
        <f t="shared" si="86"/>
        <v>1.0000000000000001E-5</v>
      </c>
      <c r="T910" t="str">
        <f t="shared" si="87"/>
        <v/>
      </c>
    </row>
    <row r="911" spans="1:20" x14ac:dyDescent="0.25">
      <c r="A911">
        <f t="shared" si="89"/>
        <v>904</v>
      </c>
      <c r="B911" s="88" t="str">
        <f>IF(OR(B910="Total",B910=""),"",IF(VLOOKUP(A911,Journal!$C$7:$E$84,3)=0,"Total",VLOOKUP(A911,Journal!$C$7:$D$84,2)))</f>
        <v/>
      </c>
      <c r="C911" s="86" t="str">
        <f>IF(B911="","",VLOOKUP(A911,Journal!$C$7:$E$84,3))</f>
        <v/>
      </c>
      <c r="D911" s="84" t="str">
        <f>IF(B911="","",VLOOKUP(A911,Journal!$C$7:$J$84,8))</f>
        <v/>
      </c>
      <c r="E911" s="84" t="str">
        <f>IF(B911="","",VLOOKUP(A911,Journal!$C$7:$L$84,10))</f>
        <v/>
      </c>
      <c r="F911" s="84" t="str">
        <f>IF(B911="","",VLOOKUP(A911,Journal!$C$7:$M$84,11))</f>
        <v/>
      </c>
      <c r="G911" s="102">
        <f>IF(B911="Total",SUM(G$8:G910)+0.0001,IF(OR(B911="",M911=0),0,VLOOKUP(A911,Journal!$C$7:M$84,7)))</f>
        <v>0</v>
      </c>
      <c r="H911" s="102">
        <f>IF(B911="Total",SUM(H$8:H910)+0.0001,IF(OR(B911="",N911=0),0,VLOOKUP(A911,Journal!$C$7:M$84,7)))</f>
        <v>0</v>
      </c>
      <c r="I911" s="87">
        <f t="shared" si="88"/>
        <v>0</v>
      </c>
      <c r="K911" s="13">
        <f>VLOOKUP(A911,Journal!$C$7:$M$84,4)</f>
        <v>0</v>
      </c>
      <c r="L911" s="13">
        <f>VLOOKUP(A911,Journal!$C$7:$M$84,5)</f>
        <v>0</v>
      </c>
      <c r="M911" s="13">
        <f t="shared" si="84"/>
        <v>0</v>
      </c>
      <c r="N911" s="13">
        <f t="shared" si="85"/>
        <v>0</v>
      </c>
      <c r="O911" s="13"/>
      <c r="P911" s="13">
        <f t="shared" si="86"/>
        <v>1.0000000000000001E-5</v>
      </c>
      <c r="T911" t="str">
        <f t="shared" si="87"/>
        <v/>
      </c>
    </row>
    <row r="912" spans="1:20" x14ac:dyDescent="0.25">
      <c r="A912">
        <f t="shared" si="89"/>
        <v>905</v>
      </c>
      <c r="B912" s="88" t="str">
        <f>IF(OR(B911="Total",B911=""),"",IF(VLOOKUP(A912,Journal!$C$7:$E$84,3)=0,"Total",VLOOKUP(A912,Journal!$C$7:$D$84,2)))</f>
        <v/>
      </c>
      <c r="C912" s="86" t="str">
        <f>IF(B912="","",VLOOKUP(A912,Journal!$C$7:$E$84,3))</f>
        <v/>
      </c>
      <c r="D912" s="84" t="str">
        <f>IF(B912="","",VLOOKUP(A912,Journal!$C$7:$J$84,8))</f>
        <v/>
      </c>
      <c r="E912" s="84" t="str">
        <f>IF(B912="","",VLOOKUP(A912,Journal!$C$7:$L$84,10))</f>
        <v/>
      </c>
      <c r="F912" s="84" t="str">
        <f>IF(B912="","",VLOOKUP(A912,Journal!$C$7:$M$84,11))</f>
        <v/>
      </c>
      <c r="G912" s="102">
        <f>IF(B912="Total",SUM(G$8:G911)+0.0001,IF(OR(B912="",M912=0),0,VLOOKUP(A912,Journal!$C$7:M$84,7)))</f>
        <v>0</v>
      </c>
      <c r="H912" s="102">
        <f>IF(B912="Total",SUM(H$8:H911)+0.0001,IF(OR(B912="",N912=0),0,VLOOKUP(A912,Journal!$C$7:M$84,7)))</f>
        <v>0</v>
      </c>
      <c r="I912" s="87">
        <f t="shared" si="88"/>
        <v>0</v>
      </c>
      <c r="K912" s="13">
        <f>VLOOKUP(A912,Journal!$C$7:$M$84,4)</f>
        <v>0</v>
      </c>
      <c r="L912" s="13">
        <f>VLOOKUP(A912,Journal!$C$7:$M$84,5)</f>
        <v>0</v>
      </c>
      <c r="M912" s="13">
        <f t="shared" si="84"/>
        <v>0</v>
      </c>
      <c r="N912" s="13">
        <f t="shared" si="85"/>
        <v>0</v>
      </c>
      <c r="O912" s="13"/>
      <c r="P912" s="13">
        <f t="shared" si="86"/>
        <v>1.0000000000000001E-5</v>
      </c>
      <c r="T912" t="str">
        <f t="shared" si="87"/>
        <v/>
      </c>
    </row>
    <row r="913" spans="1:20" x14ac:dyDescent="0.25">
      <c r="A913">
        <f t="shared" si="89"/>
        <v>906</v>
      </c>
      <c r="B913" s="88" t="str">
        <f>IF(OR(B912="Total",B912=""),"",IF(VLOOKUP(A913,Journal!$C$7:$E$84,3)=0,"Total",VLOOKUP(A913,Journal!$C$7:$D$84,2)))</f>
        <v/>
      </c>
      <c r="C913" s="86" t="str">
        <f>IF(B913="","",VLOOKUP(A913,Journal!$C$7:$E$84,3))</f>
        <v/>
      </c>
      <c r="D913" s="84" t="str">
        <f>IF(B913="","",VLOOKUP(A913,Journal!$C$7:$J$84,8))</f>
        <v/>
      </c>
      <c r="E913" s="84" t="str">
        <f>IF(B913="","",VLOOKUP(A913,Journal!$C$7:$L$84,10))</f>
        <v/>
      </c>
      <c r="F913" s="84" t="str">
        <f>IF(B913="","",VLOOKUP(A913,Journal!$C$7:$M$84,11))</f>
        <v/>
      </c>
      <c r="G913" s="102">
        <f>IF(B913="Total",SUM(G$8:G912)+0.0001,IF(OR(B913="",M913=0),0,VLOOKUP(A913,Journal!$C$7:M$84,7)))</f>
        <v>0</v>
      </c>
      <c r="H913" s="102">
        <f>IF(B913="Total",SUM(H$8:H912)+0.0001,IF(OR(B913="",N913=0),0,VLOOKUP(A913,Journal!$C$7:M$84,7)))</f>
        <v>0</v>
      </c>
      <c r="I913" s="87">
        <f t="shared" si="88"/>
        <v>0</v>
      </c>
      <c r="K913" s="13">
        <f>VLOOKUP(A913,Journal!$C$7:$M$84,4)</f>
        <v>0</v>
      </c>
      <c r="L913" s="13">
        <f>VLOOKUP(A913,Journal!$C$7:$M$84,5)</f>
        <v>0</v>
      </c>
      <c r="M913" s="13">
        <f t="shared" si="84"/>
        <v>0</v>
      </c>
      <c r="N913" s="13">
        <f t="shared" si="85"/>
        <v>0</v>
      </c>
      <c r="O913" s="13"/>
      <c r="P913" s="13">
        <f t="shared" si="86"/>
        <v>1.0000000000000001E-5</v>
      </c>
      <c r="T913" t="str">
        <f t="shared" si="87"/>
        <v/>
      </c>
    </row>
    <row r="914" spans="1:20" x14ac:dyDescent="0.25">
      <c r="A914">
        <f t="shared" si="89"/>
        <v>907</v>
      </c>
      <c r="B914" s="88" t="str">
        <f>IF(OR(B913="Total",B913=""),"",IF(VLOOKUP(A914,Journal!$C$7:$E$84,3)=0,"Total",VLOOKUP(A914,Journal!$C$7:$D$84,2)))</f>
        <v/>
      </c>
      <c r="C914" s="86" t="str">
        <f>IF(B914="","",VLOOKUP(A914,Journal!$C$7:$E$84,3))</f>
        <v/>
      </c>
      <c r="D914" s="84" t="str">
        <f>IF(B914="","",VLOOKUP(A914,Journal!$C$7:$J$84,8))</f>
        <v/>
      </c>
      <c r="E914" s="84" t="str">
        <f>IF(B914="","",VLOOKUP(A914,Journal!$C$7:$L$84,10))</f>
        <v/>
      </c>
      <c r="F914" s="84" t="str">
        <f>IF(B914="","",VLOOKUP(A914,Journal!$C$7:$M$84,11))</f>
        <v/>
      </c>
      <c r="G914" s="102">
        <f>IF(B914="Total",SUM(G$8:G913)+0.0001,IF(OR(B914="",M914=0),0,VLOOKUP(A914,Journal!$C$7:M$84,7)))</f>
        <v>0</v>
      </c>
      <c r="H914" s="102">
        <f>IF(B914="Total",SUM(H$8:H913)+0.0001,IF(OR(B914="",N914=0),0,VLOOKUP(A914,Journal!$C$7:M$84,7)))</f>
        <v>0</v>
      </c>
      <c r="I914" s="87">
        <f t="shared" si="88"/>
        <v>0</v>
      </c>
      <c r="K914" s="13">
        <f>VLOOKUP(A914,Journal!$C$7:$M$84,4)</f>
        <v>0</v>
      </c>
      <c r="L914" s="13">
        <f>VLOOKUP(A914,Journal!$C$7:$M$84,5)</f>
        <v>0</v>
      </c>
      <c r="M914" s="13">
        <f t="shared" si="84"/>
        <v>0</v>
      </c>
      <c r="N914" s="13">
        <f t="shared" si="85"/>
        <v>0</v>
      </c>
      <c r="O914" s="13"/>
      <c r="P914" s="13">
        <f t="shared" si="86"/>
        <v>1.0000000000000001E-5</v>
      </c>
      <c r="T914" t="str">
        <f t="shared" si="87"/>
        <v/>
      </c>
    </row>
    <row r="915" spans="1:20" x14ac:dyDescent="0.25">
      <c r="A915">
        <f t="shared" si="89"/>
        <v>908</v>
      </c>
      <c r="B915" s="88" t="str">
        <f>IF(OR(B914="Total",B914=""),"",IF(VLOOKUP(A915,Journal!$C$7:$E$84,3)=0,"Total",VLOOKUP(A915,Journal!$C$7:$D$84,2)))</f>
        <v/>
      </c>
      <c r="C915" s="86" t="str">
        <f>IF(B915="","",VLOOKUP(A915,Journal!$C$7:$E$84,3))</f>
        <v/>
      </c>
      <c r="D915" s="84" t="str">
        <f>IF(B915="","",VLOOKUP(A915,Journal!$C$7:$J$84,8))</f>
        <v/>
      </c>
      <c r="E915" s="84" t="str">
        <f>IF(B915="","",VLOOKUP(A915,Journal!$C$7:$L$84,10))</f>
        <v/>
      </c>
      <c r="F915" s="84" t="str">
        <f>IF(B915="","",VLOOKUP(A915,Journal!$C$7:$M$84,11))</f>
        <v/>
      </c>
      <c r="G915" s="102">
        <f>IF(B915="Total",SUM(G$8:G914)+0.0001,IF(OR(B915="",M915=0),0,VLOOKUP(A915,Journal!$C$7:M$84,7)))</f>
        <v>0</v>
      </c>
      <c r="H915" s="102">
        <f>IF(B915="Total",SUM(H$8:H914)+0.0001,IF(OR(B915="",N915=0),0,VLOOKUP(A915,Journal!$C$7:M$84,7)))</f>
        <v>0</v>
      </c>
      <c r="I915" s="87">
        <f t="shared" si="88"/>
        <v>0</v>
      </c>
      <c r="K915" s="13">
        <f>VLOOKUP(A915,Journal!$C$7:$M$84,4)</f>
        <v>0</v>
      </c>
      <c r="L915" s="13">
        <f>VLOOKUP(A915,Journal!$C$7:$M$84,5)</f>
        <v>0</v>
      </c>
      <c r="M915" s="13">
        <f t="shared" si="84"/>
        <v>0</v>
      </c>
      <c r="N915" s="13">
        <f t="shared" si="85"/>
        <v>0</v>
      </c>
      <c r="O915" s="13"/>
      <c r="P915" s="13">
        <f t="shared" si="86"/>
        <v>1.0000000000000001E-5</v>
      </c>
      <c r="T915" t="str">
        <f t="shared" si="87"/>
        <v/>
      </c>
    </row>
    <row r="916" spans="1:20" x14ac:dyDescent="0.25">
      <c r="A916">
        <f t="shared" si="89"/>
        <v>909</v>
      </c>
      <c r="B916" s="88" t="str">
        <f>IF(OR(B915="Total",B915=""),"",IF(VLOOKUP(A916,Journal!$C$7:$E$84,3)=0,"Total",VLOOKUP(A916,Journal!$C$7:$D$84,2)))</f>
        <v/>
      </c>
      <c r="C916" s="86" t="str">
        <f>IF(B916="","",VLOOKUP(A916,Journal!$C$7:$E$84,3))</f>
        <v/>
      </c>
      <c r="D916" s="84" t="str">
        <f>IF(B916="","",VLOOKUP(A916,Journal!$C$7:$J$84,8))</f>
        <v/>
      </c>
      <c r="E916" s="84" t="str">
        <f>IF(B916="","",VLOOKUP(A916,Journal!$C$7:$L$84,10))</f>
        <v/>
      </c>
      <c r="F916" s="84" t="str">
        <f>IF(B916="","",VLOOKUP(A916,Journal!$C$7:$M$84,11))</f>
        <v/>
      </c>
      <c r="G916" s="102">
        <f>IF(B916="Total",SUM(G$8:G915)+0.0001,IF(OR(B916="",M916=0),0,VLOOKUP(A916,Journal!$C$7:M$84,7)))</f>
        <v>0</v>
      </c>
      <c r="H916" s="102">
        <f>IF(B916="Total",SUM(H$8:H915)+0.0001,IF(OR(B916="",N916=0),0,VLOOKUP(A916,Journal!$C$7:M$84,7)))</f>
        <v>0</v>
      </c>
      <c r="I916" s="87">
        <f t="shared" si="88"/>
        <v>0</v>
      </c>
      <c r="K916" s="13">
        <f>VLOOKUP(A916,Journal!$C$7:$M$84,4)</f>
        <v>0</v>
      </c>
      <c r="L916" s="13">
        <f>VLOOKUP(A916,Journal!$C$7:$M$84,5)</f>
        <v>0</v>
      </c>
      <c r="M916" s="13">
        <f t="shared" si="84"/>
        <v>0</v>
      </c>
      <c r="N916" s="13">
        <f t="shared" si="85"/>
        <v>0</v>
      </c>
      <c r="O916" s="13"/>
      <c r="P916" s="13">
        <f t="shared" si="86"/>
        <v>1.0000000000000001E-5</v>
      </c>
      <c r="T916" t="str">
        <f t="shared" si="87"/>
        <v/>
      </c>
    </row>
    <row r="917" spans="1:20" x14ac:dyDescent="0.25">
      <c r="A917">
        <f t="shared" si="89"/>
        <v>910</v>
      </c>
      <c r="B917" s="88" t="str">
        <f>IF(OR(B916="Total",B916=""),"",IF(VLOOKUP(A917,Journal!$C$7:$E$84,3)=0,"Total",VLOOKUP(A917,Journal!$C$7:$D$84,2)))</f>
        <v/>
      </c>
      <c r="C917" s="86" t="str">
        <f>IF(B917="","",VLOOKUP(A917,Journal!$C$7:$E$84,3))</f>
        <v/>
      </c>
      <c r="D917" s="84" t="str">
        <f>IF(B917="","",VLOOKUP(A917,Journal!$C$7:$J$84,8))</f>
        <v/>
      </c>
      <c r="E917" s="84" t="str">
        <f>IF(B917="","",VLOOKUP(A917,Journal!$C$7:$L$84,10))</f>
        <v/>
      </c>
      <c r="F917" s="84" t="str">
        <f>IF(B917="","",VLOOKUP(A917,Journal!$C$7:$M$84,11))</f>
        <v/>
      </c>
      <c r="G917" s="102">
        <f>IF(B917="Total",SUM(G$8:G916)+0.0001,IF(OR(B917="",M917=0),0,VLOOKUP(A917,Journal!$C$7:M$84,7)))</f>
        <v>0</v>
      </c>
      <c r="H917" s="102">
        <f>IF(B917="Total",SUM(H$8:H916)+0.0001,IF(OR(B917="",N917=0),0,VLOOKUP(A917,Journal!$C$7:M$84,7)))</f>
        <v>0</v>
      </c>
      <c r="I917" s="87">
        <f t="shared" si="88"/>
        <v>0</v>
      </c>
      <c r="K917" s="13">
        <f>VLOOKUP(A917,Journal!$C$7:$M$84,4)</f>
        <v>0</v>
      </c>
      <c r="L917" s="13">
        <f>VLOOKUP(A917,Journal!$C$7:$M$84,5)</f>
        <v>0</v>
      </c>
      <c r="M917" s="13">
        <f t="shared" si="84"/>
        <v>0</v>
      </c>
      <c r="N917" s="13">
        <f t="shared" si="85"/>
        <v>0</v>
      </c>
      <c r="O917" s="13"/>
      <c r="P917" s="13">
        <f t="shared" si="86"/>
        <v>1.0000000000000001E-5</v>
      </c>
      <c r="T917" t="str">
        <f t="shared" si="87"/>
        <v/>
      </c>
    </row>
    <row r="918" spans="1:20" x14ac:dyDescent="0.25">
      <c r="A918">
        <f t="shared" si="89"/>
        <v>911</v>
      </c>
      <c r="B918" s="88" t="str">
        <f>IF(OR(B917="Total",B917=""),"",IF(VLOOKUP(A918,Journal!$C$7:$E$84,3)=0,"Total",VLOOKUP(A918,Journal!$C$7:$D$84,2)))</f>
        <v/>
      </c>
      <c r="C918" s="86" t="str">
        <f>IF(B918="","",VLOOKUP(A918,Journal!$C$7:$E$84,3))</f>
        <v/>
      </c>
      <c r="D918" s="84" t="str">
        <f>IF(B918="","",VLOOKUP(A918,Journal!$C$7:$J$84,8))</f>
        <v/>
      </c>
      <c r="E918" s="84" t="str">
        <f>IF(B918="","",VLOOKUP(A918,Journal!$C$7:$L$84,10))</f>
        <v/>
      </c>
      <c r="F918" s="84" t="str">
        <f>IF(B918="","",VLOOKUP(A918,Journal!$C$7:$M$84,11))</f>
        <v/>
      </c>
      <c r="G918" s="102">
        <f>IF(B918="Total",SUM(G$8:G917)+0.0001,IF(OR(B918="",M918=0),0,VLOOKUP(A918,Journal!$C$7:M$84,7)))</f>
        <v>0</v>
      </c>
      <c r="H918" s="102">
        <f>IF(B918="Total",SUM(H$8:H917)+0.0001,IF(OR(B918="",N918=0),0,VLOOKUP(A918,Journal!$C$7:M$84,7)))</f>
        <v>0</v>
      </c>
      <c r="I918" s="87">
        <f t="shared" si="88"/>
        <v>0</v>
      </c>
      <c r="K918" s="13">
        <f>VLOOKUP(A918,Journal!$C$7:$M$84,4)</f>
        <v>0</v>
      </c>
      <c r="L918" s="13">
        <f>VLOOKUP(A918,Journal!$C$7:$M$84,5)</f>
        <v>0</v>
      </c>
      <c r="M918" s="13">
        <f t="shared" si="84"/>
        <v>0</v>
      </c>
      <c r="N918" s="13">
        <f t="shared" si="85"/>
        <v>0</v>
      </c>
      <c r="O918" s="13"/>
      <c r="P918" s="13">
        <f t="shared" si="86"/>
        <v>1.0000000000000001E-5</v>
      </c>
      <c r="T918" t="str">
        <f t="shared" si="87"/>
        <v/>
      </c>
    </row>
    <row r="919" spans="1:20" x14ac:dyDescent="0.25">
      <c r="A919">
        <f t="shared" si="89"/>
        <v>912</v>
      </c>
      <c r="B919" s="88" t="str">
        <f>IF(OR(B918="Total",B918=""),"",IF(VLOOKUP(A919,Journal!$C$7:$E$84,3)=0,"Total",VLOOKUP(A919,Journal!$C$7:$D$84,2)))</f>
        <v/>
      </c>
      <c r="C919" s="86" t="str">
        <f>IF(B919="","",VLOOKUP(A919,Journal!$C$7:$E$84,3))</f>
        <v/>
      </c>
      <c r="D919" s="84" t="str">
        <f>IF(B919="","",VLOOKUP(A919,Journal!$C$7:$J$84,8))</f>
        <v/>
      </c>
      <c r="E919" s="84" t="str">
        <f>IF(B919="","",VLOOKUP(A919,Journal!$C$7:$L$84,10))</f>
        <v/>
      </c>
      <c r="F919" s="84" t="str">
        <f>IF(B919="","",VLOOKUP(A919,Journal!$C$7:$M$84,11))</f>
        <v/>
      </c>
      <c r="G919" s="102">
        <f>IF(B919="Total",SUM(G$8:G918)+0.0001,IF(OR(B919="",M919=0),0,VLOOKUP(A919,Journal!$C$7:M$84,7)))</f>
        <v>0</v>
      </c>
      <c r="H919" s="102">
        <f>IF(B919="Total",SUM(H$8:H918)+0.0001,IF(OR(B919="",N919=0),0,VLOOKUP(A919,Journal!$C$7:M$84,7)))</f>
        <v>0</v>
      </c>
      <c r="I919" s="87">
        <f t="shared" si="88"/>
        <v>0</v>
      </c>
      <c r="K919" s="13">
        <f>VLOOKUP(A919,Journal!$C$7:$M$84,4)</f>
        <v>0</v>
      </c>
      <c r="L919" s="13">
        <f>VLOOKUP(A919,Journal!$C$7:$M$84,5)</f>
        <v>0</v>
      </c>
      <c r="M919" s="13">
        <f t="shared" si="84"/>
        <v>0</v>
      </c>
      <c r="N919" s="13">
        <f t="shared" si="85"/>
        <v>0</v>
      </c>
      <c r="O919" s="13"/>
      <c r="P919" s="13">
        <f t="shared" si="86"/>
        <v>1.0000000000000001E-5</v>
      </c>
      <c r="T919" t="str">
        <f t="shared" si="87"/>
        <v/>
      </c>
    </row>
    <row r="920" spans="1:20" x14ac:dyDescent="0.25">
      <c r="A920">
        <f t="shared" si="89"/>
        <v>913</v>
      </c>
      <c r="B920" s="88" t="str">
        <f>IF(OR(B919="Total",B919=""),"",IF(VLOOKUP(A920,Journal!$C$7:$E$84,3)=0,"Total",VLOOKUP(A920,Journal!$C$7:$D$84,2)))</f>
        <v/>
      </c>
      <c r="C920" s="86" t="str">
        <f>IF(B920="","",VLOOKUP(A920,Journal!$C$7:$E$84,3))</f>
        <v/>
      </c>
      <c r="D920" s="84" t="str">
        <f>IF(B920="","",VLOOKUP(A920,Journal!$C$7:$J$84,8))</f>
        <v/>
      </c>
      <c r="E920" s="84" t="str">
        <f>IF(B920="","",VLOOKUP(A920,Journal!$C$7:$L$84,10))</f>
        <v/>
      </c>
      <c r="F920" s="84" t="str">
        <f>IF(B920="","",VLOOKUP(A920,Journal!$C$7:$M$84,11))</f>
        <v/>
      </c>
      <c r="G920" s="102">
        <f>IF(B920="Total",SUM(G$8:G919)+0.0001,IF(OR(B920="",M920=0),0,VLOOKUP(A920,Journal!$C$7:M$84,7)))</f>
        <v>0</v>
      </c>
      <c r="H920" s="102">
        <f>IF(B920="Total",SUM(H$8:H919)+0.0001,IF(OR(B920="",N920=0),0,VLOOKUP(A920,Journal!$C$7:M$84,7)))</f>
        <v>0</v>
      </c>
      <c r="I920" s="87">
        <f t="shared" si="88"/>
        <v>0</v>
      </c>
      <c r="K920" s="13">
        <f>VLOOKUP(A920,Journal!$C$7:$M$84,4)</f>
        <v>0</v>
      </c>
      <c r="L920" s="13">
        <f>VLOOKUP(A920,Journal!$C$7:$M$84,5)</f>
        <v>0</v>
      </c>
      <c r="M920" s="13">
        <f t="shared" si="84"/>
        <v>0</v>
      </c>
      <c r="N920" s="13">
        <f t="shared" si="85"/>
        <v>0</v>
      </c>
      <c r="O920" s="13"/>
      <c r="P920" s="13">
        <f t="shared" si="86"/>
        <v>1.0000000000000001E-5</v>
      </c>
      <c r="T920" t="str">
        <f t="shared" si="87"/>
        <v/>
      </c>
    </row>
    <row r="921" spans="1:20" x14ac:dyDescent="0.25">
      <c r="A921">
        <f t="shared" si="89"/>
        <v>914</v>
      </c>
      <c r="B921" s="88" t="str">
        <f>IF(OR(B920="Total",B920=""),"",IF(VLOOKUP(A921,Journal!$C$7:$E$84,3)=0,"Total",VLOOKUP(A921,Journal!$C$7:$D$84,2)))</f>
        <v/>
      </c>
      <c r="C921" s="86" t="str">
        <f>IF(B921="","",VLOOKUP(A921,Journal!$C$7:$E$84,3))</f>
        <v/>
      </c>
      <c r="D921" s="84" t="str">
        <f>IF(B921="","",VLOOKUP(A921,Journal!$C$7:$J$84,8))</f>
        <v/>
      </c>
      <c r="E921" s="84" t="str">
        <f>IF(B921="","",VLOOKUP(A921,Journal!$C$7:$L$84,10))</f>
        <v/>
      </c>
      <c r="F921" s="84" t="str">
        <f>IF(B921="","",VLOOKUP(A921,Journal!$C$7:$M$84,11))</f>
        <v/>
      </c>
      <c r="G921" s="102">
        <f>IF(B921="Total",SUM(G$8:G920)+0.0001,IF(OR(B921="",M921=0),0,VLOOKUP(A921,Journal!$C$7:M$84,7)))</f>
        <v>0</v>
      </c>
      <c r="H921" s="102">
        <f>IF(B921="Total",SUM(H$8:H920)+0.0001,IF(OR(B921="",N921=0),0,VLOOKUP(A921,Journal!$C$7:M$84,7)))</f>
        <v>0</v>
      </c>
      <c r="I921" s="87">
        <f t="shared" si="88"/>
        <v>0</v>
      </c>
      <c r="K921" s="13">
        <f>VLOOKUP(A921,Journal!$C$7:$M$84,4)</f>
        <v>0</v>
      </c>
      <c r="L921" s="13">
        <f>VLOOKUP(A921,Journal!$C$7:$M$84,5)</f>
        <v>0</v>
      </c>
      <c r="M921" s="13">
        <f t="shared" ref="M921:M984" si="90">IF(AND(L921&gt;=$F$1,L921&lt;9999),1,0)</f>
        <v>0</v>
      </c>
      <c r="N921" s="13">
        <f t="shared" ref="N921:N984" si="91">IF(AND(K921&gt;=$F$1,K921&lt;9999),1,0)</f>
        <v>0</v>
      </c>
      <c r="O921" s="13"/>
      <c r="P921" s="13">
        <f t="shared" ref="P921:P984" si="92">IF(I920=I921,I920+0.00001,I921)</f>
        <v>1.0000000000000001E-5</v>
      </c>
      <c r="T921" t="str">
        <f t="shared" si="87"/>
        <v/>
      </c>
    </row>
    <row r="922" spans="1:20" x14ac:dyDescent="0.25">
      <c r="A922">
        <f t="shared" si="89"/>
        <v>915</v>
      </c>
      <c r="B922" s="88" t="str">
        <f>IF(OR(B921="Total",B921=""),"",IF(VLOOKUP(A922,Journal!$C$7:$E$84,3)=0,"Total",VLOOKUP(A922,Journal!$C$7:$D$84,2)))</f>
        <v/>
      </c>
      <c r="C922" s="86" t="str">
        <f>IF(B922="","",VLOOKUP(A922,Journal!$C$7:$E$84,3))</f>
        <v/>
      </c>
      <c r="D922" s="84" t="str">
        <f>IF(B922="","",VLOOKUP(A922,Journal!$C$7:$J$84,8))</f>
        <v/>
      </c>
      <c r="E922" s="84" t="str">
        <f>IF(B922="","",VLOOKUP(A922,Journal!$C$7:$L$84,10))</f>
        <v/>
      </c>
      <c r="F922" s="84" t="str">
        <f>IF(B922="","",VLOOKUP(A922,Journal!$C$7:$M$84,11))</f>
        <v/>
      </c>
      <c r="G922" s="102">
        <f>IF(B922="Total",SUM(G$8:G921)+0.0001,IF(OR(B922="",M922=0),0,VLOOKUP(A922,Journal!$C$7:M$84,7)))</f>
        <v>0</v>
      </c>
      <c r="H922" s="102">
        <f>IF(B922="Total",SUM(H$8:H921)+0.0001,IF(OR(B922="",N922=0),0,VLOOKUP(A922,Journal!$C$7:M$84,7)))</f>
        <v>0</v>
      </c>
      <c r="I922" s="87">
        <f t="shared" si="88"/>
        <v>0</v>
      </c>
      <c r="K922" s="13">
        <f>VLOOKUP(A922,Journal!$C$7:$M$84,4)</f>
        <v>0</v>
      </c>
      <c r="L922" s="13">
        <f>VLOOKUP(A922,Journal!$C$7:$M$84,5)</f>
        <v>0</v>
      </c>
      <c r="M922" s="13">
        <f t="shared" si="90"/>
        <v>0</v>
      </c>
      <c r="N922" s="13">
        <f t="shared" si="91"/>
        <v>0</v>
      </c>
      <c r="O922" s="13"/>
      <c r="P922" s="13">
        <f t="shared" si="92"/>
        <v>1.0000000000000001E-5</v>
      </c>
      <c r="T922" t="str">
        <f t="shared" si="87"/>
        <v/>
      </c>
    </row>
    <row r="923" spans="1:20" x14ac:dyDescent="0.25">
      <c r="A923">
        <f t="shared" si="89"/>
        <v>916</v>
      </c>
      <c r="B923" s="88" t="str">
        <f>IF(OR(B922="Total",B922=""),"",IF(VLOOKUP(A923,Journal!$C$7:$E$84,3)=0,"Total",VLOOKUP(A923,Journal!$C$7:$D$84,2)))</f>
        <v/>
      </c>
      <c r="C923" s="86" t="str">
        <f>IF(B923="","",VLOOKUP(A923,Journal!$C$7:$E$84,3))</f>
        <v/>
      </c>
      <c r="D923" s="84" t="str">
        <f>IF(B923="","",VLOOKUP(A923,Journal!$C$7:$J$84,8))</f>
        <v/>
      </c>
      <c r="E923" s="84" t="str">
        <f>IF(B923="","",VLOOKUP(A923,Journal!$C$7:$L$84,10))</f>
        <v/>
      </c>
      <c r="F923" s="84" t="str">
        <f>IF(B923="","",VLOOKUP(A923,Journal!$C$7:$M$84,11))</f>
        <v/>
      </c>
      <c r="G923" s="102">
        <f>IF(B923="Total",SUM(G$8:G922)+0.0001,IF(OR(B923="",M923=0),0,VLOOKUP(A923,Journal!$C$7:M$84,7)))</f>
        <v>0</v>
      </c>
      <c r="H923" s="102">
        <f>IF(B923="Total",SUM(H$8:H922)+0.0001,IF(OR(B923="",N923=0),0,VLOOKUP(A923,Journal!$C$7:M$84,7)))</f>
        <v>0</v>
      </c>
      <c r="I923" s="87">
        <f t="shared" si="88"/>
        <v>0</v>
      </c>
      <c r="K923" s="13">
        <f>VLOOKUP(A923,Journal!$C$7:$M$84,4)</f>
        <v>0</v>
      </c>
      <c r="L923" s="13">
        <f>VLOOKUP(A923,Journal!$C$7:$M$84,5)</f>
        <v>0</v>
      </c>
      <c r="M923" s="13">
        <f t="shared" si="90"/>
        <v>0</v>
      </c>
      <c r="N923" s="13">
        <f t="shared" si="91"/>
        <v>0</v>
      </c>
      <c r="O923" s="13"/>
      <c r="P923" s="13">
        <f t="shared" si="92"/>
        <v>1.0000000000000001E-5</v>
      </c>
      <c r="T923" t="str">
        <f t="shared" si="87"/>
        <v/>
      </c>
    </row>
    <row r="924" spans="1:20" x14ac:dyDescent="0.25">
      <c r="A924">
        <f t="shared" si="89"/>
        <v>917</v>
      </c>
      <c r="B924" s="88" t="str">
        <f>IF(OR(B923="Total",B923=""),"",IF(VLOOKUP(A924,Journal!$C$7:$E$84,3)=0,"Total",VLOOKUP(A924,Journal!$C$7:$D$84,2)))</f>
        <v/>
      </c>
      <c r="C924" s="86" t="str">
        <f>IF(B924="","",VLOOKUP(A924,Journal!$C$7:$E$84,3))</f>
        <v/>
      </c>
      <c r="D924" s="84" t="str">
        <f>IF(B924="","",VLOOKUP(A924,Journal!$C$7:$J$84,8))</f>
        <v/>
      </c>
      <c r="E924" s="84" t="str">
        <f>IF(B924="","",VLOOKUP(A924,Journal!$C$7:$L$84,10))</f>
        <v/>
      </c>
      <c r="F924" s="84" t="str">
        <f>IF(B924="","",VLOOKUP(A924,Journal!$C$7:$M$84,11))</f>
        <v/>
      </c>
      <c r="G924" s="102">
        <f>IF(B924="Total",SUM(G$8:G923)+0.0001,IF(OR(B924="",M924=0),0,VLOOKUP(A924,Journal!$C$7:M$84,7)))</f>
        <v>0</v>
      </c>
      <c r="H924" s="102">
        <f>IF(B924="Total",SUM(H$8:H923)+0.0001,IF(OR(B924="",N924=0),0,VLOOKUP(A924,Journal!$C$7:M$84,7)))</f>
        <v>0</v>
      </c>
      <c r="I924" s="87">
        <f t="shared" si="88"/>
        <v>0</v>
      </c>
      <c r="K924" s="13">
        <f>VLOOKUP(A924,Journal!$C$7:$M$84,4)</f>
        <v>0</v>
      </c>
      <c r="L924" s="13">
        <f>VLOOKUP(A924,Journal!$C$7:$M$84,5)</f>
        <v>0</v>
      </c>
      <c r="M924" s="13">
        <f t="shared" si="90"/>
        <v>0</v>
      </c>
      <c r="N924" s="13">
        <f t="shared" si="91"/>
        <v>0</v>
      </c>
      <c r="O924" s="13"/>
      <c r="P924" s="13">
        <f t="shared" si="92"/>
        <v>1.0000000000000001E-5</v>
      </c>
      <c r="T924" t="str">
        <f t="shared" si="87"/>
        <v/>
      </c>
    </row>
    <row r="925" spans="1:20" x14ac:dyDescent="0.25">
      <c r="A925">
        <f t="shared" si="89"/>
        <v>918</v>
      </c>
      <c r="B925" s="88" t="str">
        <f>IF(OR(B924="Total",B924=""),"",IF(VLOOKUP(A925,Journal!$C$7:$E$84,3)=0,"Total",VLOOKUP(A925,Journal!$C$7:$D$84,2)))</f>
        <v/>
      </c>
      <c r="C925" s="86" t="str">
        <f>IF(B925="","",VLOOKUP(A925,Journal!$C$7:$E$84,3))</f>
        <v/>
      </c>
      <c r="D925" s="84" t="str">
        <f>IF(B925="","",VLOOKUP(A925,Journal!$C$7:$J$84,8))</f>
        <v/>
      </c>
      <c r="E925" s="84" t="str">
        <f>IF(B925="","",VLOOKUP(A925,Journal!$C$7:$L$84,10))</f>
        <v/>
      </c>
      <c r="F925" s="84" t="str">
        <f>IF(B925="","",VLOOKUP(A925,Journal!$C$7:$M$84,11))</f>
        <v/>
      </c>
      <c r="G925" s="102">
        <f>IF(B925="Total",SUM(G$8:G924)+0.0001,IF(OR(B925="",M925=0),0,VLOOKUP(A925,Journal!$C$7:M$84,7)))</f>
        <v>0</v>
      </c>
      <c r="H925" s="102">
        <f>IF(B925="Total",SUM(H$8:H924)+0.0001,IF(OR(B925="",N925=0),0,VLOOKUP(A925,Journal!$C$7:M$84,7)))</f>
        <v>0</v>
      </c>
      <c r="I925" s="87">
        <f t="shared" si="88"/>
        <v>0</v>
      </c>
      <c r="K925" s="13">
        <f>VLOOKUP(A925,Journal!$C$7:$M$84,4)</f>
        <v>0</v>
      </c>
      <c r="L925" s="13">
        <f>VLOOKUP(A925,Journal!$C$7:$M$84,5)</f>
        <v>0</v>
      </c>
      <c r="M925" s="13">
        <f t="shared" si="90"/>
        <v>0</v>
      </c>
      <c r="N925" s="13">
        <f t="shared" si="91"/>
        <v>0</v>
      </c>
      <c r="O925" s="13"/>
      <c r="P925" s="13">
        <f t="shared" si="92"/>
        <v>1.0000000000000001E-5</v>
      </c>
      <c r="T925" t="str">
        <f t="shared" si="87"/>
        <v/>
      </c>
    </row>
    <row r="926" spans="1:20" x14ac:dyDescent="0.25">
      <c r="A926">
        <f t="shared" si="89"/>
        <v>919</v>
      </c>
      <c r="B926" s="88" t="str">
        <f>IF(OR(B925="Total",B925=""),"",IF(VLOOKUP(A926,Journal!$C$7:$E$84,3)=0,"Total",VLOOKUP(A926,Journal!$C$7:$D$84,2)))</f>
        <v/>
      </c>
      <c r="C926" s="86" t="str">
        <f>IF(B926="","",VLOOKUP(A926,Journal!$C$7:$E$84,3))</f>
        <v/>
      </c>
      <c r="D926" s="84" t="str">
        <f>IF(B926="","",VLOOKUP(A926,Journal!$C$7:$J$84,8))</f>
        <v/>
      </c>
      <c r="E926" s="84" t="str">
        <f>IF(B926="","",VLOOKUP(A926,Journal!$C$7:$L$84,10))</f>
        <v/>
      </c>
      <c r="F926" s="84" t="str">
        <f>IF(B926="","",VLOOKUP(A926,Journal!$C$7:$M$84,11))</f>
        <v/>
      </c>
      <c r="G926" s="102">
        <f>IF(B926="Total",SUM(G$8:G925)+0.0001,IF(OR(B926="",M926=0),0,VLOOKUP(A926,Journal!$C$7:M$84,7)))</f>
        <v>0</v>
      </c>
      <c r="H926" s="102">
        <f>IF(B926="Total",SUM(H$8:H925)+0.0001,IF(OR(B926="",N926=0),0,VLOOKUP(A926,Journal!$C$7:M$84,7)))</f>
        <v>0</v>
      </c>
      <c r="I926" s="87">
        <f t="shared" si="88"/>
        <v>0</v>
      </c>
      <c r="K926" s="13">
        <f>VLOOKUP(A926,Journal!$C$7:$M$84,4)</f>
        <v>0</v>
      </c>
      <c r="L926" s="13">
        <f>VLOOKUP(A926,Journal!$C$7:$M$84,5)</f>
        <v>0</v>
      </c>
      <c r="M926" s="13">
        <f t="shared" si="90"/>
        <v>0</v>
      </c>
      <c r="N926" s="13">
        <f t="shared" si="91"/>
        <v>0</v>
      </c>
      <c r="O926" s="13"/>
      <c r="P926" s="13">
        <f t="shared" si="92"/>
        <v>1.0000000000000001E-5</v>
      </c>
      <c r="T926" t="str">
        <f t="shared" si="87"/>
        <v/>
      </c>
    </row>
    <row r="927" spans="1:20" x14ac:dyDescent="0.25">
      <c r="A927">
        <f t="shared" si="89"/>
        <v>920</v>
      </c>
      <c r="B927" s="88" t="str">
        <f>IF(OR(B926="Total",B926=""),"",IF(VLOOKUP(A927,Journal!$C$7:$E$84,3)=0,"Total",VLOOKUP(A927,Journal!$C$7:$D$84,2)))</f>
        <v/>
      </c>
      <c r="C927" s="86" t="str">
        <f>IF(B927="","",VLOOKUP(A927,Journal!$C$7:$E$84,3))</f>
        <v/>
      </c>
      <c r="D927" s="84" t="str">
        <f>IF(B927="","",VLOOKUP(A927,Journal!$C$7:$J$84,8))</f>
        <v/>
      </c>
      <c r="E927" s="84" t="str">
        <f>IF(B927="","",VLOOKUP(A927,Journal!$C$7:$L$84,10))</f>
        <v/>
      </c>
      <c r="F927" s="84" t="str">
        <f>IF(B927="","",VLOOKUP(A927,Journal!$C$7:$M$84,11))</f>
        <v/>
      </c>
      <c r="G927" s="102">
        <f>IF(B927="Total",SUM(G$8:G926)+0.0001,IF(OR(B927="",M927=0),0,VLOOKUP(A927,Journal!$C$7:M$84,7)))</f>
        <v>0</v>
      </c>
      <c r="H927" s="102">
        <f>IF(B927="Total",SUM(H$8:H926)+0.0001,IF(OR(B927="",N927=0),0,VLOOKUP(A927,Journal!$C$7:M$84,7)))</f>
        <v>0</v>
      </c>
      <c r="I927" s="87">
        <f t="shared" si="88"/>
        <v>0</v>
      </c>
      <c r="K927" s="13">
        <f>VLOOKUP(A927,Journal!$C$7:$M$84,4)</f>
        <v>0</v>
      </c>
      <c r="L927" s="13">
        <f>VLOOKUP(A927,Journal!$C$7:$M$84,5)</f>
        <v>0</v>
      </c>
      <c r="M927" s="13">
        <f t="shared" si="90"/>
        <v>0</v>
      </c>
      <c r="N927" s="13">
        <f t="shared" si="91"/>
        <v>0</v>
      </c>
      <c r="O927" s="13"/>
      <c r="P927" s="13">
        <f t="shared" si="92"/>
        <v>1.0000000000000001E-5</v>
      </c>
      <c r="T927" t="str">
        <f t="shared" si="87"/>
        <v/>
      </c>
    </row>
    <row r="928" spans="1:20" x14ac:dyDescent="0.25">
      <c r="A928">
        <f t="shared" si="89"/>
        <v>921</v>
      </c>
      <c r="B928" s="88" t="str">
        <f>IF(OR(B927="Total",B927=""),"",IF(VLOOKUP(A928,Journal!$C$7:$E$84,3)=0,"Total",VLOOKUP(A928,Journal!$C$7:$D$84,2)))</f>
        <v/>
      </c>
      <c r="C928" s="86" t="str">
        <f>IF(B928="","",VLOOKUP(A928,Journal!$C$7:$E$84,3))</f>
        <v/>
      </c>
      <c r="D928" s="84" t="str">
        <f>IF(B928="","",VLOOKUP(A928,Journal!$C$7:$J$84,8))</f>
        <v/>
      </c>
      <c r="E928" s="84" t="str">
        <f>IF(B928="","",VLOOKUP(A928,Journal!$C$7:$L$84,10))</f>
        <v/>
      </c>
      <c r="F928" s="84" t="str">
        <f>IF(B928="","",VLOOKUP(A928,Journal!$C$7:$M$84,11))</f>
        <v/>
      </c>
      <c r="G928" s="102">
        <f>IF(B928="Total",SUM(G$8:G927)+0.0001,IF(OR(B928="",M928=0),0,VLOOKUP(A928,Journal!$C$7:M$84,7)))</f>
        <v>0</v>
      </c>
      <c r="H928" s="102">
        <f>IF(B928="Total",SUM(H$8:H927)+0.0001,IF(OR(B928="",N928=0),0,VLOOKUP(A928,Journal!$C$7:M$84,7)))</f>
        <v>0</v>
      </c>
      <c r="I928" s="87">
        <f t="shared" si="88"/>
        <v>0</v>
      </c>
      <c r="K928" s="13">
        <f>VLOOKUP(A928,Journal!$C$7:$M$84,4)</f>
        <v>0</v>
      </c>
      <c r="L928" s="13">
        <f>VLOOKUP(A928,Journal!$C$7:$M$84,5)</f>
        <v>0</v>
      </c>
      <c r="M928" s="13">
        <f t="shared" si="90"/>
        <v>0</v>
      </c>
      <c r="N928" s="13">
        <f t="shared" si="91"/>
        <v>0</v>
      </c>
      <c r="O928" s="13"/>
      <c r="P928" s="13">
        <f t="shared" si="92"/>
        <v>1.0000000000000001E-5</v>
      </c>
      <c r="T928" t="str">
        <f t="shared" si="87"/>
        <v/>
      </c>
    </row>
    <row r="929" spans="1:20" x14ac:dyDescent="0.25">
      <c r="A929">
        <f t="shared" si="89"/>
        <v>922</v>
      </c>
      <c r="B929" s="88" t="str">
        <f>IF(OR(B928="Total",B928=""),"",IF(VLOOKUP(A929,Journal!$C$7:$E$84,3)=0,"Total",VLOOKUP(A929,Journal!$C$7:$D$84,2)))</f>
        <v/>
      </c>
      <c r="C929" s="86" t="str">
        <f>IF(B929="","",VLOOKUP(A929,Journal!$C$7:$E$84,3))</f>
        <v/>
      </c>
      <c r="D929" s="84" t="str">
        <f>IF(B929="","",VLOOKUP(A929,Journal!$C$7:$J$84,8))</f>
        <v/>
      </c>
      <c r="E929" s="84" t="str">
        <f>IF(B929="","",VLOOKUP(A929,Journal!$C$7:$L$84,10))</f>
        <v/>
      </c>
      <c r="F929" s="84" t="str">
        <f>IF(B929="","",VLOOKUP(A929,Journal!$C$7:$M$84,11))</f>
        <v/>
      </c>
      <c r="G929" s="102">
        <f>IF(B929="Total",SUM(G$8:G928)+0.0001,IF(OR(B929="",M929=0),0,VLOOKUP(A929,Journal!$C$7:M$84,7)))</f>
        <v>0</v>
      </c>
      <c r="H929" s="102">
        <f>IF(B929="Total",SUM(H$8:H928)+0.0001,IF(OR(B929="",N929=0),0,VLOOKUP(A929,Journal!$C$7:M$84,7)))</f>
        <v>0</v>
      </c>
      <c r="I929" s="87">
        <f t="shared" si="88"/>
        <v>0</v>
      </c>
      <c r="K929" s="13">
        <f>VLOOKUP(A929,Journal!$C$7:$M$84,4)</f>
        <v>0</v>
      </c>
      <c r="L929" s="13">
        <f>VLOOKUP(A929,Journal!$C$7:$M$84,5)</f>
        <v>0</v>
      </c>
      <c r="M929" s="13">
        <f t="shared" si="90"/>
        <v>0</v>
      </c>
      <c r="N929" s="13">
        <f t="shared" si="91"/>
        <v>0</v>
      </c>
      <c r="O929" s="13"/>
      <c r="P929" s="13">
        <f t="shared" si="92"/>
        <v>1.0000000000000001E-5</v>
      </c>
      <c r="T929" t="str">
        <f t="shared" si="87"/>
        <v/>
      </c>
    </row>
    <row r="930" spans="1:20" x14ac:dyDescent="0.25">
      <c r="A930">
        <f t="shared" si="89"/>
        <v>923</v>
      </c>
      <c r="B930" s="88" t="str">
        <f>IF(OR(B929="Total",B929=""),"",IF(VLOOKUP(A930,Journal!$C$7:$E$84,3)=0,"Total",VLOOKUP(A930,Journal!$C$7:$D$84,2)))</f>
        <v/>
      </c>
      <c r="C930" s="86" t="str">
        <f>IF(B930="","",VLOOKUP(A930,Journal!$C$7:$E$84,3))</f>
        <v/>
      </c>
      <c r="D930" s="84" t="str">
        <f>IF(B930="","",VLOOKUP(A930,Journal!$C$7:$J$84,8))</f>
        <v/>
      </c>
      <c r="E930" s="84" t="str">
        <f>IF(B930="","",VLOOKUP(A930,Journal!$C$7:$L$84,10))</f>
        <v/>
      </c>
      <c r="F930" s="84" t="str">
        <f>IF(B930="","",VLOOKUP(A930,Journal!$C$7:$M$84,11))</f>
        <v/>
      </c>
      <c r="G930" s="102">
        <f>IF(B930="Total",SUM(G$8:G929)+0.0001,IF(OR(B930="",M930=0),0,VLOOKUP(A930,Journal!$C$7:M$84,7)))</f>
        <v>0</v>
      </c>
      <c r="H930" s="102">
        <f>IF(B930="Total",SUM(H$8:H929)+0.0001,IF(OR(B930="",N930=0),0,VLOOKUP(A930,Journal!$C$7:M$84,7)))</f>
        <v>0</v>
      </c>
      <c r="I930" s="87">
        <f t="shared" si="88"/>
        <v>0</v>
      </c>
      <c r="K930" s="13">
        <f>VLOOKUP(A930,Journal!$C$7:$M$84,4)</f>
        <v>0</v>
      </c>
      <c r="L930" s="13">
        <f>VLOOKUP(A930,Journal!$C$7:$M$84,5)</f>
        <v>0</v>
      </c>
      <c r="M930" s="13">
        <f t="shared" si="90"/>
        <v>0</v>
      </c>
      <c r="N930" s="13">
        <f t="shared" si="91"/>
        <v>0</v>
      </c>
      <c r="O930" s="13"/>
      <c r="P930" s="13">
        <f t="shared" si="92"/>
        <v>1.0000000000000001E-5</v>
      </c>
      <c r="T930" t="str">
        <f t="shared" si="87"/>
        <v/>
      </c>
    </row>
    <row r="931" spans="1:20" x14ac:dyDescent="0.25">
      <c r="A931">
        <f t="shared" si="89"/>
        <v>924</v>
      </c>
      <c r="B931" s="88" t="str">
        <f>IF(OR(B930="Total",B930=""),"",IF(VLOOKUP(A931,Journal!$C$7:$E$84,3)=0,"Total",VLOOKUP(A931,Journal!$C$7:$D$84,2)))</f>
        <v/>
      </c>
      <c r="C931" s="86" t="str">
        <f>IF(B931="","",VLOOKUP(A931,Journal!$C$7:$E$84,3))</f>
        <v/>
      </c>
      <c r="D931" s="84" t="str">
        <f>IF(B931="","",VLOOKUP(A931,Journal!$C$7:$J$84,8))</f>
        <v/>
      </c>
      <c r="E931" s="84" t="str">
        <f>IF(B931="","",VLOOKUP(A931,Journal!$C$7:$L$84,10))</f>
        <v/>
      </c>
      <c r="F931" s="84" t="str">
        <f>IF(B931="","",VLOOKUP(A931,Journal!$C$7:$M$84,11))</f>
        <v/>
      </c>
      <c r="G931" s="102">
        <f>IF(B931="Total",SUM(G$8:G930)+0.0001,IF(OR(B931="",M931=0),0,VLOOKUP(A931,Journal!$C$7:M$84,7)))</f>
        <v>0</v>
      </c>
      <c r="H931" s="102">
        <f>IF(B931="Total",SUM(H$8:H930)+0.0001,IF(OR(B931="",N931=0),0,VLOOKUP(A931,Journal!$C$7:M$84,7)))</f>
        <v>0</v>
      </c>
      <c r="I931" s="87">
        <f t="shared" si="88"/>
        <v>0</v>
      </c>
      <c r="K931" s="13">
        <f>VLOOKUP(A931,Journal!$C$7:$M$84,4)</f>
        <v>0</v>
      </c>
      <c r="L931" s="13">
        <f>VLOOKUP(A931,Journal!$C$7:$M$84,5)</f>
        <v>0</v>
      </c>
      <c r="M931" s="13">
        <f t="shared" si="90"/>
        <v>0</v>
      </c>
      <c r="N931" s="13">
        <f t="shared" si="91"/>
        <v>0</v>
      </c>
      <c r="O931" s="13"/>
      <c r="P931" s="13">
        <f t="shared" si="92"/>
        <v>1.0000000000000001E-5</v>
      </c>
      <c r="T931" t="str">
        <f t="shared" si="87"/>
        <v/>
      </c>
    </row>
    <row r="932" spans="1:20" x14ac:dyDescent="0.25">
      <c r="A932">
        <f t="shared" si="89"/>
        <v>925</v>
      </c>
      <c r="B932" s="88" t="str">
        <f>IF(OR(B931="Total",B931=""),"",IF(VLOOKUP(A932,Journal!$C$7:$E$84,3)=0,"Total",VLOOKUP(A932,Journal!$C$7:$D$84,2)))</f>
        <v/>
      </c>
      <c r="C932" s="86" t="str">
        <f>IF(B932="","",VLOOKUP(A932,Journal!$C$7:$E$84,3))</f>
        <v/>
      </c>
      <c r="D932" s="84" t="str">
        <f>IF(B932="","",VLOOKUP(A932,Journal!$C$7:$J$84,8))</f>
        <v/>
      </c>
      <c r="E932" s="84" t="str">
        <f>IF(B932="","",VLOOKUP(A932,Journal!$C$7:$L$84,10))</f>
        <v/>
      </c>
      <c r="F932" s="84" t="str">
        <f>IF(B932="","",VLOOKUP(A932,Journal!$C$7:$M$84,11))</f>
        <v/>
      </c>
      <c r="G932" s="102">
        <f>IF(B932="Total",SUM(G$8:G931)+0.0001,IF(OR(B932="",M932=0),0,VLOOKUP(A932,Journal!$C$7:M$84,7)))</f>
        <v>0</v>
      </c>
      <c r="H932" s="102">
        <f>IF(B932="Total",SUM(H$8:H931)+0.0001,IF(OR(B932="",N932=0),0,VLOOKUP(A932,Journal!$C$7:M$84,7)))</f>
        <v>0</v>
      </c>
      <c r="I932" s="87">
        <f t="shared" si="88"/>
        <v>0</v>
      </c>
      <c r="K932" s="13">
        <f>VLOOKUP(A932,Journal!$C$7:$M$84,4)</f>
        <v>0</v>
      </c>
      <c r="L932" s="13">
        <f>VLOOKUP(A932,Journal!$C$7:$M$84,5)</f>
        <v>0</v>
      </c>
      <c r="M932" s="13">
        <f t="shared" si="90"/>
        <v>0</v>
      </c>
      <c r="N932" s="13">
        <f t="shared" si="91"/>
        <v>0</v>
      </c>
      <c r="O932" s="13"/>
      <c r="P932" s="13">
        <f t="shared" si="92"/>
        <v>1.0000000000000001E-5</v>
      </c>
      <c r="T932" t="str">
        <f t="shared" si="87"/>
        <v/>
      </c>
    </row>
    <row r="933" spans="1:20" x14ac:dyDescent="0.25">
      <c r="A933">
        <f t="shared" si="89"/>
        <v>926</v>
      </c>
      <c r="B933" s="88" t="str">
        <f>IF(OR(B932="Total",B932=""),"",IF(VLOOKUP(A933,Journal!$C$7:$E$84,3)=0,"Total",VLOOKUP(A933,Journal!$C$7:$D$84,2)))</f>
        <v/>
      </c>
      <c r="C933" s="86" t="str">
        <f>IF(B933="","",VLOOKUP(A933,Journal!$C$7:$E$84,3))</f>
        <v/>
      </c>
      <c r="D933" s="84" t="str">
        <f>IF(B933="","",VLOOKUP(A933,Journal!$C$7:$J$84,8))</f>
        <v/>
      </c>
      <c r="E933" s="84" t="str">
        <f>IF(B933="","",VLOOKUP(A933,Journal!$C$7:$L$84,10))</f>
        <v/>
      </c>
      <c r="F933" s="84" t="str">
        <f>IF(B933="","",VLOOKUP(A933,Journal!$C$7:$M$84,11))</f>
        <v/>
      </c>
      <c r="G933" s="102">
        <f>IF(B933="Total",SUM(G$8:G932)+0.0001,IF(OR(B933="",M933=0),0,VLOOKUP(A933,Journal!$C$7:M$84,7)))</f>
        <v>0</v>
      </c>
      <c r="H933" s="102">
        <f>IF(B933="Total",SUM(H$8:H932)+0.0001,IF(OR(B933="",N933=0),0,VLOOKUP(A933,Journal!$C$7:M$84,7)))</f>
        <v>0</v>
      </c>
      <c r="I933" s="87">
        <f t="shared" si="88"/>
        <v>0</v>
      </c>
      <c r="K933" s="13">
        <f>VLOOKUP(A933,Journal!$C$7:$M$84,4)</f>
        <v>0</v>
      </c>
      <c r="L933" s="13">
        <f>VLOOKUP(A933,Journal!$C$7:$M$84,5)</f>
        <v>0</v>
      </c>
      <c r="M933" s="13">
        <f t="shared" si="90"/>
        <v>0</v>
      </c>
      <c r="N933" s="13">
        <f t="shared" si="91"/>
        <v>0</v>
      </c>
      <c r="O933" s="13"/>
      <c r="P933" s="13">
        <f t="shared" si="92"/>
        <v>1.0000000000000001E-5</v>
      </c>
      <c r="T933" t="str">
        <f t="shared" si="87"/>
        <v/>
      </c>
    </row>
    <row r="934" spans="1:20" x14ac:dyDescent="0.25">
      <c r="A934">
        <f t="shared" si="89"/>
        <v>927</v>
      </c>
      <c r="B934" s="88" t="str">
        <f>IF(OR(B933="Total",B933=""),"",IF(VLOOKUP(A934,Journal!$C$7:$E$84,3)=0,"Total",VLOOKUP(A934,Journal!$C$7:$D$84,2)))</f>
        <v/>
      </c>
      <c r="C934" s="86" t="str">
        <f>IF(B934="","",VLOOKUP(A934,Journal!$C$7:$E$84,3))</f>
        <v/>
      </c>
      <c r="D934" s="84" t="str">
        <f>IF(B934="","",VLOOKUP(A934,Journal!$C$7:$J$84,8))</f>
        <v/>
      </c>
      <c r="E934" s="84" t="str">
        <f>IF(B934="","",VLOOKUP(A934,Journal!$C$7:$L$84,10))</f>
        <v/>
      </c>
      <c r="F934" s="84" t="str">
        <f>IF(B934="","",VLOOKUP(A934,Journal!$C$7:$M$84,11))</f>
        <v/>
      </c>
      <c r="G934" s="102">
        <f>IF(B934="Total",SUM(G$8:G933)+0.0001,IF(OR(B934="",M934=0),0,VLOOKUP(A934,Journal!$C$7:M$84,7)))</f>
        <v>0</v>
      </c>
      <c r="H934" s="102">
        <f>IF(B934="Total",SUM(H$8:H933)+0.0001,IF(OR(B934="",N934=0),0,VLOOKUP(A934,Journal!$C$7:M$84,7)))</f>
        <v>0</v>
      </c>
      <c r="I934" s="87">
        <f t="shared" si="88"/>
        <v>0</v>
      </c>
      <c r="K934" s="13">
        <f>VLOOKUP(A934,Journal!$C$7:$M$84,4)</f>
        <v>0</v>
      </c>
      <c r="L934" s="13">
        <f>VLOOKUP(A934,Journal!$C$7:$M$84,5)</f>
        <v>0</v>
      </c>
      <c r="M934" s="13">
        <f t="shared" si="90"/>
        <v>0</v>
      </c>
      <c r="N934" s="13">
        <f t="shared" si="91"/>
        <v>0</v>
      </c>
      <c r="O934" s="13"/>
      <c r="P934" s="13">
        <f t="shared" si="92"/>
        <v>1.0000000000000001E-5</v>
      </c>
      <c r="T934" t="str">
        <f t="shared" si="87"/>
        <v/>
      </c>
    </row>
    <row r="935" spans="1:20" x14ac:dyDescent="0.25">
      <c r="A935">
        <f t="shared" si="89"/>
        <v>928</v>
      </c>
      <c r="B935" s="88" t="str">
        <f>IF(OR(B934="Total",B934=""),"",IF(VLOOKUP(A935,Journal!$C$7:$E$84,3)=0,"Total",VLOOKUP(A935,Journal!$C$7:$D$84,2)))</f>
        <v/>
      </c>
      <c r="C935" s="86" t="str">
        <f>IF(B935="","",VLOOKUP(A935,Journal!$C$7:$E$84,3))</f>
        <v/>
      </c>
      <c r="D935" s="84" t="str">
        <f>IF(B935="","",VLOOKUP(A935,Journal!$C$7:$J$84,8))</f>
        <v/>
      </c>
      <c r="E935" s="84" t="str">
        <f>IF(B935="","",VLOOKUP(A935,Journal!$C$7:$L$84,10))</f>
        <v/>
      </c>
      <c r="F935" s="84" t="str">
        <f>IF(B935="","",VLOOKUP(A935,Journal!$C$7:$M$84,11))</f>
        <v/>
      </c>
      <c r="G935" s="102">
        <f>IF(B935="Total",SUM(G$8:G934)+0.0001,IF(OR(B935="",M935=0),0,VLOOKUP(A935,Journal!$C$7:M$84,7)))</f>
        <v>0</v>
      </c>
      <c r="H935" s="102">
        <f>IF(B935="Total",SUM(H$8:H934)+0.0001,IF(OR(B935="",N935=0),0,VLOOKUP(A935,Journal!$C$7:M$84,7)))</f>
        <v>0</v>
      </c>
      <c r="I935" s="87">
        <f t="shared" si="88"/>
        <v>0</v>
      </c>
      <c r="K935" s="13">
        <f>VLOOKUP(A935,Journal!$C$7:$M$84,4)</f>
        <v>0</v>
      </c>
      <c r="L935" s="13">
        <f>VLOOKUP(A935,Journal!$C$7:$M$84,5)</f>
        <v>0</v>
      </c>
      <c r="M935" s="13">
        <f t="shared" si="90"/>
        <v>0</v>
      </c>
      <c r="N935" s="13">
        <f t="shared" si="91"/>
        <v>0</v>
      </c>
      <c r="O935" s="13"/>
      <c r="P935" s="13">
        <f t="shared" si="92"/>
        <v>1.0000000000000001E-5</v>
      </c>
      <c r="T935" t="str">
        <f t="shared" si="87"/>
        <v/>
      </c>
    </row>
    <row r="936" spans="1:20" x14ac:dyDescent="0.25">
      <c r="A936">
        <f t="shared" si="89"/>
        <v>929</v>
      </c>
      <c r="B936" s="88" t="str">
        <f>IF(OR(B935="Total",B935=""),"",IF(VLOOKUP(A936,Journal!$C$7:$E$84,3)=0,"Total",VLOOKUP(A936,Journal!$C$7:$D$84,2)))</f>
        <v/>
      </c>
      <c r="C936" s="86" t="str">
        <f>IF(B936="","",VLOOKUP(A936,Journal!$C$7:$E$84,3))</f>
        <v/>
      </c>
      <c r="D936" s="84" t="str">
        <f>IF(B936="","",VLOOKUP(A936,Journal!$C$7:$J$84,8))</f>
        <v/>
      </c>
      <c r="E936" s="84" t="str">
        <f>IF(B936="","",VLOOKUP(A936,Journal!$C$7:$L$84,10))</f>
        <v/>
      </c>
      <c r="F936" s="84" t="str">
        <f>IF(B936="","",VLOOKUP(A936,Journal!$C$7:$M$84,11))</f>
        <v/>
      </c>
      <c r="G936" s="102">
        <f>IF(B936="Total",SUM(G$8:G935)+0.0001,IF(OR(B936="",M936=0),0,VLOOKUP(A936,Journal!$C$7:M$84,7)))</f>
        <v>0</v>
      </c>
      <c r="H936" s="102">
        <f>IF(B936="Total",SUM(H$8:H935)+0.0001,IF(OR(B936="",N936=0),0,VLOOKUP(A936,Journal!$C$7:M$84,7)))</f>
        <v>0</v>
      </c>
      <c r="I936" s="87">
        <f t="shared" si="88"/>
        <v>0</v>
      </c>
      <c r="K936" s="13">
        <f>VLOOKUP(A936,Journal!$C$7:$M$84,4)</f>
        <v>0</v>
      </c>
      <c r="L936" s="13">
        <f>VLOOKUP(A936,Journal!$C$7:$M$84,5)</f>
        <v>0</v>
      </c>
      <c r="M936" s="13">
        <f t="shared" si="90"/>
        <v>0</v>
      </c>
      <c r="N936" s="13">
        <f t="shared" si="91"/>
        <v>0</v>
      </c>
      <c r="O936" s="13"/>
      <c r="P936" s="13">
        <f t="shared" si="92"/>
        <v>1.0000000000000001E-5</v>
      </c>
      <c r="T936" t="str">
        <f t="shared" si="87"/>
        <v/>
      </c>
    </row>
    <row r="937" spans="1:20" x14ac:dyDescent="0.25">
      <c r="A937">
        <f t="shared" si="89"/>
        <v>930</v>
      </c>
      <c r="B937" s="88" t="str">
        <f>IF(OR(B936="Total",B936=""),"",IF(VLOOKUP(A937,Journal!$C$7:$E$84,3)=0,"Total",VLOOKUP(A937,Journal!$C$7:$D$84,2)))</f>
        <v/>
      </c>
      <c r="C937" s="86" t="str">
        <f>IF(B937="","",VLOOKUP(A937,Journal!$C$7:$E$84,3))</f>
        <v/>
      </c>
      <c r="D937" s="84" t="str">
        <f>IF(B937="","",VLOOKUP(A937,Journal!$C$7:$J$84,8))</f>
        <v/>
      </c>
      <c r="E937" s="84" t="str">
        <f>IF(B937="","",VLOOKUP(A937,Journal!$C$7:$L$84,10))</f>
        <v/>
      </c>
      <c r="F937" s="84" t="str">
        <f>IF(B937="","",VLOOKUP(A937,Journal!$C$7:$M$84,11))</f>
        <v/>
      </c>
      <c r="G937" s="102">
        <f>IF(B937="Total",SUM(G$8:G936)+0.0001,IF(OR(B937="",M937=0),0,VLOOKUP(A937,Journal!$C$7:M$84,7)))</f>
        <v>0</v>
      </c>
      <c r="H937" s="102">
        <f>IF(B937="Total",SUM(H$8:H936)+0.0001,IF(OR(B937="",N937=0),0,VLOOKUP(A937,Journal!$C$7:M$84,7)))</f>
        <v>0</v>
      </c>
      <c r="I937" s="87">
        <f t="shared" si="88"/>
        <v>0</v>
      </c>
      <c r="K937" s="13">
        <f>VLOOKUP(A937,Journal!$C$7:$M$84,4)</f>
        <v>0</v>
      </c>
      <c r="L937" s="13">
        <f>VLOOKUP(A937,Journal!$C$7:$M$84,5)</f>
        <v>0</v>
      </c>
      <c r="M937" s="13">
        <f t="shared" si="90"/>
        <v>0</v>
      </c>
      <c r="N937" s="13">
        <f t="shared" si="91"/>
        <v>0</v>
      </c>
      <c r="O937" s="13"/>
      <c r="P937" s="13">
        <f t="shared" si="92"/>
        <v>1.0000000000000001E-5</v>
      </c>
      <c r="T937" t="str">
        <f t="shared" si="87"/>
        <v/>
      </c>
    </row>
    <row r="938" spans="1:20" x14ac:dyDescent="0.25">
      <c r="A938">
        <f t="shared" si="89"/>
        <v>931</v>
      </c>
      <c r="B938" s="88" t="str">
        <f>IF(OR(B937="Total",B937=""),"",IF(VLOOKUP(A938,Journal!$C$7:$E$84,3)=0,"Total",VLOOKUP(A938,Journal!$C$7:$D$84,2)))</f>
        <v/>
      </c>
      <c r="C938" s="86" t="str">
        <f>IF(B938="","",VLOOKUP(A938,Journal!$C$7:$E$84,3))</f>
        <v/>
      </c>
      <c r="D938" s="84" t="str">
        <f>IF(B938="","",VLOOKUP(A938,Journal!$C$7:$J$84,8))</f>
        <v/>
      </c>
      <c r="E938" s="84" t="str">
        <f>IF(B938="","",VLOOKUP(A938,Journal!$C$7:$L$84,10))</f>
        <v/>
      </c>
      <c r="F938" s="84" t="str">
        <f>IF(B938="","",VLOOKUP(A938,Journal!$C$7:$M$84,11))</f>
        <v/>
      </c>
      <c r="G938" s="102">
        <f>IF(B938="Total",SUM(G$8:G937)+0.0001,IF(OR(B938="",M938=0),0,VLOOKUP(A938,Journal!$C$7:M$84,7)))</f>
        <v>0</v>
      </c>
      <c r="H938" s="102">
        <f>IF(B938="Total",SUM(H$8:H937)+0.0001,IF(OR(B938="",N938=0),0,VLOOKUP(A938,Journal!$C$7:M$84,7)))</f>
        <v>0</v>
      </c>
      <c r="I938" s="87">
        <f t="shared" si="88"/>
        <v>0</v>
      </c>
      <c r="K938" s="13">
        <f>VLOOKUP(A938,Journal!$C$7:$M$84,4)</f>
        <v>0</v>
      </c>
      <c r="L938" s="13">
        <f>VLOOKUP(A938,Journal!$C$7:$M$84,5)</f>
        <v>0</v>
      </c>
      <c r="M938" s="13">
        <f t="shared" si="90"/>
        <v>0</v>
      </c>
      <c r="N938" s="13">
        <f t="shared" si="91"/>
        <v>0</v>
      </c>
      <c r="O938" s="13"/>
      <c r="P938" s="13">
        <f t="shared" si="92"/>
        <v>1.0000000000000001E-5</v>
      </c>
      <c r="T938" t="str">
        <f t="shared" si="87"/>
        <v/>
      </c>
    </row>
    <row r="939" spans="1:20" x14ac:dyDescent="0.25">
      <c r="A939">
        <f t="shared" si="89"/>
        <v>932</v>
      </c>
      <c r="B939" s="88" t="str">
        <f>IF(OR(B938="Total",B938=""),"",IF(VLOOKUP(A939,Journal!$C$7:$E$84,3)=0,"Total",VLOOKUP(A939,Journal!$C$7:$D$84,2)))</f>
        <v/>
      </c>
      <c r="C939" s="86" t="str">
        <f>IF(B939="","",VLOOKUP(A939,Journal!$C$7:$E$84,3))</f>
        <v/>
      </c>
      <c r="D939" s="84" t="str">
        <f>IF(B939="","",VLOOKUP(A939,Journal!$C$7:$J$84,8))</f>
        <v/>
      </c>
      <c r="E939" s="84" t="str">
        <f>IF(B939="","",VLOOKUP(A939,Journal!$C$7:$L$84,10))</f>
        <v/>
      </c>
      <c r="F939" s="84" t="str">
        <f>IF(B939="","",VLOOKUP(A939,Journal!$C$7:$M$84,11))</f>
        <v/>
      </c>
      <c r="G939" s="102">
        <f>IF(B939="Total",SUM(G$8:G938)+0.0001,IF(OR(B939="",M939=0),0,VLOOKUP(A939,Journal!$C$7:M$84,7)))</f>
        <v>0</v>
      </c>
      <c r="H939" s="102">
        <f>IF(B939="Total",SUM(H$8:H938)+0.0001,IF(OR(B939="",N939=0),0,VLOOKUP(A939,Journal!$C$7:M$84,7)))</f>
        <v>0</v>
      </c>
      <c r="I939" s="87">
        <f t="shared" si="88"/>
        <v>0</v>
      </c>
      <c r="K939" s="13">
        <f>VLOOKUP(A939,Journal!$C$7:$M$84,4)</f>
        <v>0</v>
      </c>
      <c r="L939" s="13">
        <f>VLOOKUP(A939,Journal!$C$7:$M$84,5)</f>
        <v>0</v>
      </c>
      <c r="M939" s="13">
        <f t="shared" si="90"/>
        <v>0</v>
      </c>
      <c r="N939" s="13">
        <f t="shared" si="91"/>
        <v>0</v>
      </c>
      <c r="O939" s="13"/>
      <c r="P939" s="13">
        <f t="shared" si="92"/>
        <v>1.0000000000000001E-5</v>
      </c>
      <c r="T939" t="str">
        <f t="shared" si="87"/>
        <v/>
      </c>
    </row>
    <row r="940" spans="1:20" x14ac:dyDescent="0.25">
      <c r="A940">
        <f t="shared" si="89"/>
        <v>933</v>
      </c>
      <c r="B940" s="88" t="str">
        <f>IF(OR(B939="Total",B939=""),"",IF(VLOOKUP(A940,Journal!$C$7:$E$84,3)=0,"Total",VLOOKUP(A940,Journal!$C$7:$D$84,2)))</f>
        <v/>
      </c>
      <c r="C940" s="86" t="str">
        <f>IF(B940="","",VLOOKUP(A940,Journal!$C$7:$E$84,3))</f>
        <v/>
      </c>
      <c r="D940" s="84" t="str">
        <f>IF(B940="","",VLOOKUP(A940,Journal!$C$7:$J$84,8))</f>
        <v/>
      </c>
      <c r="E940" s="84" t="str">
        <f>IF(B940="","",VLOOKUP(A940,Journal!$C$7:$L$84,10))</f>
        <v/>
      </c>
      <c r="F940" s="84" t="str">
        <f>IF(B940="","",VLOOKUP(A940,Journal!$C$7:$M$84,11))</f>
        <v/>
      </c>
      <c r="G940" s="102">
        <f>IF(B940="Total",SUM(G$8:G939)+0.0001,IF(OR(B940="",M940=0),0,VLOOKUP(A940,Journal!$C$7:M$84,7)))</f>
        <v>0</v>
      </c>
      <c r="H940" s="102">
        <f>IF(B940="Total",SUM(H$8:H939)+0.0001,IF(OR(B940="",N940=0),0,VLOOKUP(A940,Journal!$C$7:M$84,7)))</f>
        <v>0</v>
      </c>
      <c r="I940" s="87">
        <f t="shared" si="88"/>
        <v>0</v>
      </c>
      <c r="K940" s="13">
        <f>VLOOKUP(A940,Journal!$C$7:$M$84,4)</f>
        <v>0</v>
      </c>
      <c r="L940" s="13">
        <f>VLOOKUP(A940,Journal!$C$7:$M$84,5)</f>
        <v>0</v>
      </c>
      <c r="M940" s="13">
        <f t="shared" si="90"/>
        <v>0</v>
      </c>
      <c r="N940" s="13">
        <f t="shared" si="91"/>
        <v>0</v>
      </c>
      <c r="O940" s="13"/>
      <c r="P940" s="13">
        <f t="shared" si="92"/>
        <v>1.0000000000000001E-5</v>
      </c>
      <c r="T940" t="str">
        <f t="shared" si="87"/>
        <v/>
      </c>
    </row>
    <row r="941" spans="1:20" x14ac:dyDescent="0.25">
      <c r="A941">
        <f t="shared" si="89"/>
        <v>934</v>
      </c>
      <c r="B941" s="88" t="str">
        <f>IF(OR(B940="Total",B940=""),"",IF(VLOOKUP(A941,Journal!$C$7:$E$84,3)=0,"Total",VLOOKUP(A941,Journal!$C$7:$D$84,2)))</f>
        <v/>
      </c>
      <c r="C941" s="86" t="str">
        <f>IF(B941="","",VLOOKUP(A941,Journal!$C$7:$E$84,3))</f>
        <v/>
      </c>
      <c r="D941" s="84" t="str">
        <f>IF(B941="","",VLOOKUP(A941,Journal!$C$7:$J$84,8))</f>
        <v/>
      </c>
      <c r="E941" s="84" t="str">
        <f>IF(B941="","",VLOOKUP(A941,Journal!$C$7:$L$84,10))</f>
        <v/>
      </c>
      <c r="F941" s="84" t="str">
        <f>IF(B941="","",VLOOKUP(A941,Journal!$C$7:$M$84,11))</f>
        <v/>
      </c>
      <c r="G941" s="102">
        <f>IF(B941="Total",SUM(G$8:G940)+0.0001,IF(OR(B941="",M941=0),0,VLOOKUP(A941,Journal!$C$7:M$84,7)))</f>
        <v>0</v>
      </c>
      <c r="H941" s="102">
        <f>IF(B941="Total",SUM(H$8:H940)+0.0001,IF(OR(B941="",N941=0),0,VLOOKUP(A941,Journal!$C$7:M$84,7)))</f>
        <v>0</v>
      </c>
      <c r="I941" s="87">
        <f t="shared" si="88"/>
        <v>0</v>
      </c>
      <c r="K941" s="13">
        <f>VLOOKUP(A941,Journal!$C$7:$M$84,4)</f>
        <v>0</v>
      </c>
      <c r="L941" s="13">
        <f>VLOOKUP(A941,Journal!$C$7:$M$84,5)</f>
        <v>0</v>
      </c>
      <c r="M941" s="13">
        <f t="shared" si="90"/>
        <v>0</v>
      </c>
      <c r="N941" s="13">
        <f t="shared" si="91"/>
        <v>0</v>
      </c>
      <c r="O941" s="13"/>
      <c r="P941" s="13">
        <f t="shared" si="92"/>
        <v>1.0000000000000001E-5</v>
      </c>
      <c r="T941" t="str">
        <f t="shared" si="87"/>
        <v/>
      </c>
    </row>
    <row r="942" spans="1:20" x14ac:dyDescent="0.25">
      <c r="A942">
        <f t="shared" si="89"/>
        <v>935</v>
      </c>
      <c r="B942" s="88" t="str">
        <f>IF(OR(B941="Total",B941=""),"",IF(VLOOKUP(A942,Journal!$C$7:$E$84,3)=0,"Total",VLOOKUP(A942,Journal!$C$7:$D$84,2)))</f>
        <v/>
      </c>
      <c r="C942" s="86" t="str">
        <f>IF(B942="","",VLOOKUP(A942,Journal!$C$7:$E$84,3))</f>
        <v/>
      </c>
      <c r="D942" s="84" t="str">
        <f>IF(B942="","",VLOOKUP(A942,Journal!$C$7:$J$84,8))</f>
        <v/>
      </c>
      <c r="E942" s="84" t="str">
        <f>IF(B942="","",VLOOKUP(A942,Journal!$C$7:$L$84,10))</f>
        <v/>
      </c>
      <c r="F942" s="84" t="str">
        <f>IF(B942="","",VLOOKUP(A942,Journal!$C$7:$M$84,11))</f>
        <v/>
      </c>
      <c r="G942" s="102">
        <f>IF(B942="Total",SUM(G$8:G941)+0.0001,IF(OR(B942="",M942=0),0,VLOOKUP(A942,Journal!$C$7:M$84,7)))</f>
        <v>0</v>
      </c>
      <c r="H942" s="102">
        <f>IF(B942="Total",SUM(H$8:H941)+0.0001,IF(OR(B942="",N942=0),0,VLOOKUP(A942,Journal!$C$7:M$84,7)))</f>
        <v>0</v>
      </c>
      <c r="I942" s="87">
        <f t="shared" si="88"/>
        <v>0</v>
      </c>
      <c r="K942" s="13">
        <f>VLOOKUP(A942,Journal!$C$7:$M$84,4)</f>
        <v>0</v>
      </c>
      <c r="L942" s="13">
        <f>VLOOKUP(A942,Journal!$C$7:$M$84,5)</f>
        <v>0</v>
      </c>
      <c r="M942" s="13">
        <f t="shared" si="90"/>
        <v>0</v>
      </c>
      <c r="N942" s="13">
        <f t="shared" si="91"/>
        <v>0</v>
      </c>
      <c r="O942" s="13"/>
      <c r="P942" s="13">
        <f t="shared" si="92"/>
        <v>1.0000000000000001E-5</v>
      </c>
      <c r="T942" t="str">
        <f t="shared" si="87"/>
        <v/>
      </c>
    </row>
    <row r="943" spans="1:20" x14ac:dyDescent="0.25">
      <c r="A943">
        <f t="shared" si="89"/>
        <v>936</v>
      </c>
      <c r="B943" s="88" t="str">
        <f>IF(OR(B942="Total",B942=""),"",IF(VLOOKUP(A943,Journal!$C$7:$E$84,3)=0,"Total",VLOOKUP(A943,Journal!$C$7:$D$84,2)))</f>
        <v/>
      </c>
      <c r="C943" s="86" t="str">
        <f>IF(B943="","",VLOOKUP(A943,Journal!$C$7:$E$84,3))</f>
        <v/>
      </c>
      <c r="D943" s="84" t="str">
        <f>IF(B943="","",VLOOKUP(A943,Journal!$C$7:$J$84,8))</f>
        <v/>
      </c>
      <c r="E943" s="84" t="str">
        <f>IF(B943="","",VLOOKUP(A943,Journal!$C$7:$L$84,10))</f>
        <v/>
      </c>
      <c r="F943" s="84" t="str">
        <f>IF(B943="","",VLOOKUP(A943,Journal!$C$7:$M$84,11))</f>
        <v/>
      </c>
      <c r="G943" s="102">
        <f>IF(B943="Total",SUM(G$8:G942)+0.0001,IF(OR(B943="",M943=0),0,VLOOKUP(A943,Journal!$C$7:M$84,7)))</f>
        <v>0</v>
      </c>
      <c r="H943" s="102">
        <f>IF(B943="Total",SUM(H$8:H942)+0.0001,IF(OR(B943="",N943=0),0,VLOOKUP(A943,Journal!$C$7:M$84,7)))</f>
        <v>0</v>
      </c>
      <c r="I943" s="87">
        <f t="shared" si="88"/>
        <v>0</v>
      </c>
      <c r="K943" s="13">
        <f>VLOOKUP(A943,Journal!$C$7:$M$84,4)</f>
        <v>0</v>
      </c>
      <c r="L943" s="13">
        <f>VLOOKUP(A943,Journal!$C$7:$M$84,5)</f>
        <v>0</v>
      </c>
      <c r="M943" s="13">
        <f t="shared" si="90"/>
        <v>0</v>
      </c>
      <c r="N943" s="13">
        <f t="shared" si="91"/>
        <v>0</v>
      </c>
      <c r="O943" s="13"/>
      <c r="P943" s="13">
        <f t="shared" si="92"/>
        <v>1.0000000000000001E-5</v>
      </c>
      <c r="T943" t="str">
        <f t="shared" si="87"/>
        <v/>
      </c>
    </row>
    <row r="944" spans="1:20" x14ac:dyDescent="0.25">
      <c r="A944">
        <f t="shared" si="89"/>
        <v>937</v>
      </c>
      <c r="B944" s="88" t="str">
        <f>IF(OR(B943="Total",B943=""),"",IF(VLOOKUP(A944,Journal!$C$7:$E$84,3)=0,"Total",VLOOKUP(A944,Journal!$C$7:$D$84,2)))</f>
        <v/>
      </c>
      <c r="C944" s="86" t="str">
        <f>IF(B944="","",VLOOKUP(A944,Journal!$C$7:$E$84,3))</f>
        <v/>
      </c>
      <c r="D944" s="84" t="str">
        <f>IF(B944="","",VLOOKUP(A944,Journal!$C$7:$J$84,8))</f>
        <v/>
      </c>
      <c r="E944" s="84" t="str">
        <f>IF(B944="","",VLOOKUP(A944,Journal!$C$7:$L$84,10))</f>
        <v/>
      </c>
      <c r="F944" s="84" t="str">
        <f>IF(B944="","",VLOOKUP(A944,Journal!$C$7:$M$84,11))</f>
        <v/>
      </c>
      <c r="G944" s="102">
        <f>IF(B944="Total",SUM(G$8:G943)+0.0001,IF(OR(B944="",M944=0),0,VLOOKUP(A944,Journal!$C$7:M$84,7)))</f>
        <v>0</v>
      </c>
      <c r="H944" s="102">
        <f>IF(B944="Total",SUM(H$8:H943)+0.0001,IF(OR(B944="",N944=0),0,VLOOKUP(A944,Journal!$C$7:M$84,7)))</f>
        <v>0</v>
      </c>
      <c r="I944" s="87">
        <f t="shared" si="88"/>
        <v>0</v>
      </c>
      <c r="K944" s="13">
        <f>VLOOKUP(A944,Journal!$C$7:$M$84,4)</f>
        <v>0</v>
      </c>
      <c r="L944" s="13">
        <f>VLOOKUP(A944,Journal!$C$7:$M$84,5)</f>
        <v>0</v>
      </c>
      <c r="M944" s="13">
        <f t="shared" si="90"/>
        <v>0</v>
      </c>
      <c r="N944" s="13">
        <f t="shared" si="91"/>
        <v>0</v>
      </c>
      <c r="O944" s="13"/>
      <c r="P944" s="13">
        <f t="shared" si="92"/>
        <v>1.0000000000000001E-5</v>
      </c>
      <c r="T944" t="str">
        <f t="shared" si="87"/>
        <v/>
      </c>
    </row>
    <row r="945" spans="1:20" x14ac:dyDescent="0.25">
      <c r="A945">
        <f t="shared" si="89"/>
        <v>938</v>
      </c>
      <c r="B945" s="88" t="str">
        <f>IF(OR(B944="Total",B944=""),"",IF(VLOOKUP(A945,Journal!$C$7:$E$84,3)=0,"Total",VLOOKUP(A945,Journal!$C$7:$D$84,2)))</f>
        <v/>
      </c>
      <c r="C945" s="86" t="str">
        <f>IF(B945="","",VLOOKUP(A945,Journal!$C$7:$E$84,3))</f>
        <v/>
      </c>
      <c r="D945" s="84" t="str">
        <f>IF(B945="","",VLOOKUP(A945,Journal!$C$7:$J$84,8))</f>
        <v/>
      </c>
      <c r="E945" s="84" t="str">
        <f>IF(B945="","",VLOOKUP(A945,Journal!$C$7:$L$84,10))</f>
        <v/>
      </c>
      <c r="F945" s="84" t="str">
        <f>IF(B945="","",VLOOKUP(A945,Journal!$C$7:$M$84,11))</f>
        <v/>
      </c>
      <c r="G945" s="102">
        <f>IF(B945="Total",SUM(G$8:G944)+0.0001,IF(OR(B945="",M945=0),0,VLOOKUP(A945,Journal!$C$7:M$84,7)))</f>
        <v>0</v>
      </c>
      <c r="H945" s="102">
        <f>IF(B945="Total",SUM(H$8:H944)+0.0001,IF(OR(B945="",N945=0),0,VLOOKUP(A945,Journal!$C$7:M$84,7)))</f>
        <v>0</v>
      </c>
      <c r="I945" s="87">
        <f t="shared" si="88"/>
        <v>0</v>
      </c>
      <c r="K945" s="13">
        <f>VLOOKUP(A945,Journal!$C$7:$M$84,4)</f>
        <v>0</v>
      </c>
      <c r="L945" s="13">
        <f>VLOOKUP(A945,Journal!$C$7:$M$84,5)</f>
        <v>0</v>
      </c>
      <c r="M945" s="13">
        <f t="shared" si="90"/>
        <v>0</v>
      </c>
      <c r="N945" s="13">
        <f t="shared" si="91"/>
        <v>0</v>
      </c>
      <c r="O945" s="13"/>
      <c r="P945" s="13">
        <f t="shared" si="92"/>
        <v>1.0000000000000001E-5</v>
      </c>
      <c r="T945" t="str">
        <f t="shared" si="87"/>
        <v/>
      </c>
    </row>
    <row r="946" spans="1:20" x14ac:dyDescent="0.25">
      <c r="A946">
        <f t="shared" si="89"/>
        <v>939</v>
      </c>
      <c r="B946" s="88" t="str">
        <f>IF(OR(B945="Total",B945=""),"",IF(VLOOKUP(A946,Journal!$C$7:$E$84,3)=0,"Total",VLOOKUP(A946,Journal!$C$7:$D$84,2)))</f>
        <v/>
      </c>
      <c r="C946" s="86" t="str">
        <f>IF(B946="","",VLOOKUP(A946,Journal!$C$7:$E$84,3))</f>
        <v/>
      </c>
      <c r="D946" s="84" t="str">
        <f>IF(B946="","",VLOOKUP(A946,Journal!$C$7:$J$84,8))</f>
        <v/>
      </c>
      <c r="E946" s="84" t="str">
        <f>IF(B946="","",VLOOKUP(A946,Journal!$C$7:$L$84,10))</f>
        <v/>
      </c>
      <c r="F946" s="84" t="str">
        <f>IF(B946="","",VLOOKUP(A946,Journal!$C$7:$M$84,11))</f>
        <v/>
      </c>
      <c r="G946" s="102">
        <f>IF(B946="Total",SUM(G$8:G945)+0.0001,IF(OR(B946="",M946=0),0,VLOOKUP(A946,Journal!$C$7:M$84,7)))</f>
        <v>0</v>
      </c>
      <c r="H946" s="102">
        <f>IF(B946="Total",SUM(H$8:H945)+0.0001,IF(OR(B946="",N946=0),0,VLOOKUP(A946,Journal!$C$7:M$84,7)))</f>
        <v>0</v>
      </c>
      <c r="I946" s="87">
        <f t="shared" si="88"/>
        <v>0</v>
      </c>
      <c r="K946" s="13">
        <f>VLOOKUP(A946,Journal!$C$7:$M$84,4)</f>
        <v>0</v>
      </c>
      <c r="L946" s="13">
        <f>VLOOKUP(A946,Journal!$C$7:$M$84,5)</f>
        <v>0</v>
      </c>
      <c r="M946" s="13">
        <f t="shared" si="90"/>
        <v>0</v>
      </c>
      <c r="N946" s="13">
        <f t="shared" si="91"/>
        <v>0</v>
      </c>
      <c r="O946" s="13"/>
      <c r="P946" s="13">
        <f t="shared" si="92"/>
        <v>1.0000000000000001E-5</v>
      </c>
      <c r="T946" t="str">
        <f t="shared" si="87"/>
        <v/>
      </c>
    </row>
    <row r="947" spans="1:20" x14ac:dyDescent="0.25">
      <c r="A947">
        <f t="shared" si="89"/>
        <v>940</v>
      </c>
      <c r="B947" s="88" t="str">
        <f>IF(OR(B946="Total",B946=""),"",IF(VLOOKUP(A947,Journal!$C$7:$E$84,3)=0,"Total",VLOOKUP(A947,Journal!$C$7:$D$84,2)))</f>
        <v/>
      </c>
      <c r="C947" s="86" t="str">
        <f>IF(B947="","",VLOOKUP(A947,Journal!$C$7:$E$84,3))</f>
        <v/>
      </c>
      <c r="D947" s="84" t="str">
        <f>IF(B947="","",VLOOKUP(A947,Journal!$C$7:$J$84,8))</f>
        <v/>
      </c>
      <c r="E947" s="84" t="str">
        <f>IF(B947="","",VLOOKUP(A947,Journal!$C$7:$L$84,10))</f>
        <v/>
      </c>
      <c r="F947" s="84" t="str">
        <f>IF(B947="","",VLOOKUP(A947,Journal!$C$7:$M$84,11))</f>
        <v/>
      </c>
      <c r="G947" s="102">
        <f>IF(B947="Total",SUM(G$8:G946)+0.0001,IF(OR(B947="",M947=0),0,VLOOKUP(A947,Journal!$C$7:M$84,7)))</f>
        <v>0</v>
      </c>
      <c r="H947" s="102">
        <f>IF(B947="Total",SUM(H$8:H946)+0.0001,IF(OR(B947="",N947=0),0,VLOOKUP(A947,Journal!$C$7:M$84,7)))</f>
        <v>0</v>
      </c>
      <c r="I947" s="87">
        <f t="shared" si="88"/>
        <v>0</v>
      </c>
      <c r="K947" s="13">
        <f>VLOOKUP(A947,Journal!$C$7:$M$84,4)</f>
        <v>0</v>
      </c>
      <c r="L947" s="13">
        <f>VLOOKUP(A947,Journal!$C$7:$M$84,5)</f>
        <v>0</v>
      </c>
      <c r="M947" s="13">
        <f t="shared" si="90"/>
        <v>0</v>
      </c>
      <c r="N947" s="13">
        <f t="shared" si="91"/>
        <v>0</v>
      </c>
      <c r="O947" s="13"/>
      <c r="P947" s="13">
        <f t="shared" si="92"/>
        <v>1.0000000000000001E-5</v>
      </c>
      <c r="T947" t="str">
        <f t="shared" si="87"/>
        <v/>
      </c>
    </row>
    <row r="948" spans="1:20" x14ac:dyDescent="0.25">
      <c r="A948">
        <f t="shared" si="89"/>
        <v>941</v>
      </c>
      <c r="B948" s="88" t="str">
        <f>IF(OR(B947="Total",B947=""),"",IF(VLOOKUP(A948,Journal!$C$7:$E$84,3)=0,"Total",VLOOKUP(A948,Journal!$C$7:$D$84,2)))</f>
        <v/>
      </c>
      <c r="C948" s="86" t="str">
        <f>IF(B948="","",VLOOKUP(A948,Journal!$C$7:$E$84,3))</f>
        <v/>
      </c>
      <c r="D948" s="84" t="str">
        <f>IF(B948="","",VLOOKUP(A948,Journal!$C$7:$J$84,8))</f>
        <v/>
      </c>
      <c r="E948" s="84" t="str">
        <f>IF(B948="","",VLOOKUP(A948,Journal!$C$7:$L$84,10))</f>
        <v/>
      </c>
      <c r="F948" s="84" t="str">
        <f>IF(B948="","",VLOOKUP(A948,Journal!$C$7:$M$84,11))</f>
        <v/>
      </c>
      <c r="G948" s="102">
        <f>IF(B948="Total",SUM(G$8:G947)+0.0001,IF(OR(B948="",M948=0),0,VLOOKUP(A948,Journal!$C$7:M$84,7)))</f>
        <v>0</v>
      </c>
      <c r="H948" s="102">
        <f>IF(B948="Total",SUM(H$8:H947)+0.0001,IF(OR(B948="",N948=0),0,VLOOKUP(A948,Journal!$C$7:M$84,7)))</f>
        <v>0</v>
      </c>
      <c r="I948" s="87">
        <f t="shared" si="88"/>
        <v>0</v>
      </c>
      <c r="K948" s="13">
        <f>VLOOKUP(A948,Journal!$C$7:$M$84,4)</f>
        <v>0</v>
      </c>
      <c r="L948" s="13">
        <f>VLOOKUP(A948,Journal!$C$7:$M$84,5)</f>
        <v>0</v>
      </c>
      <c r="M948" s="13">
        <f t="shared" si="90"/>
        <v>0</v>
      </c>
      <c r="N948" s="13">
        <f t="shared" si="91"/>
        <v>0</v>
      </c>
      <c r="O948" s="13"/>
      <c r="P948" s="13">
        <f t="shared" si="92"/>
        <v>1.0000000000000001E-5</v>
      </c>
      <c r="T948" t="str">
        <f t="shared" si="87"/>
        <v/>
      </c>
    </row>
    <row r="949" spans="1:20" x14ac:dyDescent="0.25">
      <c r="A949">
        <f t="shared" si="89"/>
        <v>942</v>
      </c>
      <c r="B949" s="88" t="str">
        <f>IF(OR(B948="Total",B948=""),"",IF(VLOOKUP(A949,Journal!$C$7:$E$84,3)=0,"Total",VLOOKUP(A949,Journal!$C$7:$D$84,2)))</f>
        <v/>
      </c>
      <c r="C949" s="86" t="str">
        <f>IF(B949="","",VLOOKUP(A949,Journal!$C$7:$E$84,3))</f>
        <v/>
      </c>
      <c r="D949" s="84" t="str">
        <f>IF(B949="","",VLOOKUP(A949,Journal!$C$7:$J$84,8))</f>
        <v/>
      </c>
      <c r="E949" s="84" t="str">
        <f>IF(B949="","",VLOOKUP(A949,Journal!$C$7:$L$84,10))</f>
        <v/>
      </c>
      <c r="F949" s="84" t="str">
        <f>IF(B949="","",VLOOKUP(A949,Journal!$C$7:$M$84,11))</f>
        <v/>
      </c>
      <c r="G949" s="102">
        <f>IF(B949="Total",SUM(G$8:G948)+0.0001,IF(OR(B949="",M949=0),0,VLOOKUP(A949,Journal!$C$7:M$84,7)))</f>
        <v>0</v>
      </c>
      <c r="H949" s="102">
        <f>IF(B949="Total",SUM(H$8:H948)+0.0001,IF(OR(B949="",N949=0),0,VLOOKUP(A949,Journal!$C$7:M$84,7)))</f>
        <v>0</v>
      </c>
      <c r="I949" s="87">
        <f t="shared" si="88"/>
        <v>0</v>
      </c>
      <c r="K949" s="13">
        <f>VLOOKUP(A949,Journal!$C$7:$M$84,4)</f>
        <v>0</v>
      </c>
      <c r="L949" s="13">
        <f>VLOOKUP(A949,Journal!$C$7:$M$84,5)</f>
        <v>0</v>
      </c>
      <c r="M949" s="13">
        <f t="shared" si="90"/>
        <v>0</v>
      </c>
      <c r="N949" s="13">
        <f t="shared" si="91"/>
        <v>0</v>
      </c>
      <c r="O949" s="13"/>
      <c r="P949" s="13">
        <f t="shared" si="92"/>
        <v>1.0000000000000001E-5</v>
      </c>
      <c r="T949" t="str">
        <f t="shared" si="87"/>
        <v/>
      </c>
    </row>
    <row r="950" spans="1:20" x14ac:dyDescent="0.25">
      <c r="A950">
        <f t="shared" si="89"/>
        <v>943</v>
      </c>
      <c r="B950" s="88" t="str">
        <f>IF(OR(B949="Total",B949=""),"",IF(VLOOKUP(A950,Journal!$C$7:$E$84,3)=0,"Total",VLOOKUP(A950,Journal!$C$7:$D$84,2)))</f>
        <v/>
      </c>
      <c r="C950" s="86" t="str">
        <f>IF(B950="","",VLOOKUP(A950,Journal!$C$7:$E$84,3))</f>
        <v/>
      </c>
      <c r="D950" s="84" t="str">
        <f>IF(B950="","",VLOOKUP(A950,Journal!$C$7:$J$84,8))</f>
        <v/>
      </c>
      <c r="E950" s="84" t="str">
        <f>IF(B950="","",VLOOKUP(A950,Journal!$C$7:$L$84,10))</f>
        <v/>
      </c>
      <c r="F950" s="84" t="str">
        <f>IF(B950="","",VLOOKUP(A950,Journal!$C$7:$M$84,11))</f>
        <v/>
      </c>
      <c r="G950" s="102">
        <f>IF(B950="Total",SUM(G$8:G949)+0.0001,IF(OR(B950="",M950=0),0,VLOOKUP(A950,Journal!$C$7:M$84,7)))</f>
        <v>0</v>
      </c>
      <c r="H950" s="102">
        <f>IF(B950="Total",SUM(H$8:H949)+0.0001,IF(OR(B950="",N950=0),0,VLOOKUP(A950,Journal!$C$7:M$84,7)))</f>
        <v>0</v>
      </c>
      <c r="I950" s="87">
        <f t="shared" si="88"/>
        <v>0</v>
      </c>
      <c r="K950" s="13">
        <f>VLOOKUP(A950,Journal!$C$7:$M$84,4)</f>
        <v>0</v>
      </c>
      <c r="L950" s="13">
        <f>VLOOKUP(A950,Journal!$C$7:$M$84,5)</f>
        <v>0</v>
      </c>
      <c r="M950" s="13">
        <f t="shared" si="90"/>
        <v>0</v>
      </c>
      <c r="N950" s="13">
        <f t="shared" si="91"/>
        <v>0</v>
      </c>
      <c r="O950" s="13"/>
      <c r="P950" s="13">
        <f t="shared" si="92"/>
        <v>1.0000000000000001E-5</v>
      </c>
      <c r="T950" t="str">
        <f t="shared" si="87"/>
        <v/>
      </c>
    </row>
    <row r="951" spans="1:20" x14ac:dyDescent="0.25">
      <c r="A951">
        <f t="shared" si="89"/>
        <v>944</v>
      </c>
      <c r="B951" s="88" t="str">
        <f>IF(OR(B950="Total",B950=""),"",IF(VLOOKUP(A951,Journal!$C$7:$E$84,3)=0,"Total",VLOOKUP(A951,Journal!$C$7:$D$84,2)))</f>
        <v/>
      </c>
      <c r="C951" s="86" t="str">
        <f>IF(B951="","",VLOOKUP(A951,Journal!$C$7:$E$84,3))</f>
        <v/>
      </c>
      <c r="D951" s="84" t="str">
        <f>IF(B951="","",VLOOKUP(A951,Journal!$C$7:$J$84,8))</f>
        <v/>
      </c>
      <c r="E951" s="84" t="str">
        <f>IF(B951="","",VLOOKUP(A951,Journal!$C$7:$L$84,10))</f>
        <v/>
      </c>
      <c r="F951" s="84" t="str">
        <f>IF(B951="","",VLOOKUP(A951,Journal!$C$7:$M$84,11))</f>
        <v/>
      </c>
      <c r="G951" s="102">
        <f>IF(B951="Total",SUM(G$8:G950)+0.0001,IF(OR(B951="",M951=0),0,VLOOKUP(A951,Journal!$C$7:M$84,7)))</f>
        <v>0</v>
      </c>
      <c r="H951" s="102">
        <f>IF(B951="Total",SUM(H$8:H950)+0.0001,IF(OR(B951="",N951=0),0,VLOOKUP(A951,Journal!$C$7:M$84,7)))</f>
        <v>0</v>
      </c>
      <c r="I951" s="87">
        <f t="shared" si="88"/>
        <v>0</v>
      </c>
      <c r="K951" s="13">
        <f>VLOOKUP(A951,Journal!$C$7:$M$84,4)</f>
        <v>0</v>
      </c>
      <c r="L951" s="13">
        <f>VLOOKUP(A951,Journal!$C$7:$M$84,5)</f>
        <v>0</v>
      </c>
      <c r="M951" s="13">
        <f t="shared" si="90"/>
        <v>0</v>
      </c>
      <c r="N951" s="13">
        <f t="shared" si="91"/>
        <v>0</v>
      </c>
      <c r="O951" s="13"/>
      <c r="P951" s="13">
        <f t="shared" si="92"/>
        <v>1.0000000000000001E-5</v>
      </c>
      <c r="T951" t="str">
        <f t="shared" si="87"/>
        <v/>
      </c>
    </row>
    <row r="952" spans="1:20" x14ac:dyDescent="0.25">
      <c r="A952">
        <f t="shared" si="89"/>
        <v>945</v>
      </c>
      <c r="B952" s="88" t="str">
        <f>IF(OR(B951="Total",B951=""),"",IF(VLOOKUP(A952,Journal!$C$7:$E$84,3)=0,"Total",VLOOKUP(A952,Journal!$C$7:$D$84,2)))</f>
        <v/>
      </c>
      <c r="C952" s="86" t="str">
        <f>IF(B952="","",VLOOKUP(A952,Journal!$C$7:$E$84,3))</f>
        <v/>
      </c>
      <c r="D952" s="84" t="str">
        <f>IF(B952="","",VLOOKUP(A952,Journal!$C$7:$J$84,8))</f>
        <v/>
      </c>
      <c r="E952" s="84" t="str">
        <f>IF(B952="","",VLOOKUP(A952,Journal!$C$7:$L$84,10))</f>
        <v/>
      </c>
      <c r="F952" s="84" t="str">
        <f>IF(B952="","",VLOOKUP(A952,Journal!$C$7:$M$84,11))</f>
        <v/>
      </c>
      <c r="G952" s="102">
        <f>IF(B952="Total",SUM(G$8:G951)+0.0001,IF(OR(B952="",M952=0),0,VLOOKUP(A952,Journal!$C$7:M$84,7)))</f>
        <v>0</v>
      </c>
      <c r="H952" s="102">
        <f>IF(B952="Total",SUM(H$8:H951)+0.0001,IF(OR(B952="",N952=0),0,VLOOKUP(A952,Journal!$C$7:M$84,7)))</f>
        <v>0</v>
      </c>
      <c r="I952" s="87">
        <f t="shared" si="88"/>
        <v>0</v>
      </c>
      <c r="K952" s="13">
        <f>VLOOKUP(A952,Journal!$C$7:$M$84,4)</f>
        <v>0</v>
      </c>
      <c r="L952" s="13">
        <f>VLOOKUP(A952,Journal!$C$7:$M$84,5)</f>
        <v>0</v>
      </c>
      <c r="M952" s="13">
        <f t="shared" si="90"/>
        <v>0</v>
      </c>
      <c r="N952" s="13">
        <f t="shared" si="91"/>
        <v>0</v>
      </c>
      <c r="O952" s="13"/>
      <c r="P952" s="13">
        <f t="shared" si="92"/>
        <v>1.0000000000000001E-5</v>
      </c>
      <c r="T952" t="str">
        <f t="shared" si="87"/>
        <v/>
      </c>
    </row>
    <row r="953" spans="1:20" x14ac:dyDescent="0.25">
      <c r="A953">
        <f t="shared" si="89"/>
        <v>946</v>
      </c>
      <c r="B953" s="88" t="str">
        <f>IF(OR(B952="Total",B952=""),"",IF(VLOOKUP(A953,Journal!$C$7:$E$84,3)=0,"Total",VLOOKUP(A953,Journal!$C$7:$D$84,2)))</f>
        <v/>
      </c>
      <c r="C953" s="86" t="str">
        <f>IF(B953="","",VLOOKUP(A953,Journal!$C$7:$E$84,3))</f>
        <v/>
      </c>
      <c r="D953" s="84" t="str">
        <f>IF(B953="","",VLOOKUP(A953,Journal!$C$7:$J$84,8))</f>
        <v/>
      </c>
      <c r="E953" s="84" t="str">
        <f>IF(B953="","",VLOOKUP(A953,Journal!$C$7:$L$84,10))</f>
        <v/>
      </c>
      <c r="F953" s="84" t="str">
        <f>IF(B953="","",VLOOKUP(A953,Journal!$C$7:$M$84,11))</f>
        <v/>
      </c>
      <c r="G953" s="102">
        <f>IF(B953="Total",SUM(G$8:G952)+0.0001,IF(OR(B953="",M953=0),0,VLOOKUP(A953,Journal!$C$7:M$84,7)))</f>
        <v>0</v>
      </c>
      <c r="H953" s="102">
        <f>IF(B953="Total",SUM(H$8:H952)+0.0001,IF(OR(B953="",N953=0),0,VLOOKUP(A953,Journal!$C$7:M$84,7)))</f>
        <v>0</v>
      </c>
      <c r="I953" s="87">
        <f t="shared" si="88"/>
        <v>0</v>
      </c>
      <c r="K953" s="13">
        <f>VLOOKUP(A953,Journal!$C$7:$M$84,4)</f>
        <v>0</v>
      </c>
      <c r="L953" s="13">
        <f>VLOOKUP(A953,Journal!$C$7:$M$84,5)</f>
        <v>0</v>
      </c>
      <c r="M953" s="13">
        <f t="shared" si="90"/>
        <v>0</v>
      </c>
      <c r="N953" s="13">
        <f t="shared" si="91"/>
        <v>0</v>
      </c>
      <c r="O953" s="13"/>
      <c r="P953" s="13">
        <f t="shared" si="92"/>
        <v>1.0000000000000001E-5</v>
      </c>
      <c r="T953" t="str">
        <f t="shared" si="87"/>
        <v/>
      </c>
    </row>
    <row r="954" spans="1:20" x14ac:dyDescent="0.25">
      <c r="A954">
        <f t="shared" si="89"/>
        <v>947</v>
      </c>
      <c r="B954" s="88" t="str">
        <f>IF(OR(B953="Total",B953=""),"",IF(VLOOKUP(A954,Journal!$C$7:$E$84,3)=0,"Total",VLOOKUP(A954,Journal!$C$7:$D$84,2)))</f>
        <v/>
      </c>
      <c r="C954" s="86" t="str">
        <f>IF(B954="","",VLOOKUP(A954,Journal!$C$7:$E$84,3))</f>
        <v/>
      </c>
      <c r="D954" s="84" t="str">
        <f>IF(B954="","",VLOOKUP(A954,Journal!$C$7:$J$84,8))</f>
        <v/>
      </c>
      <c r="E954" s="84" t="str">
        <f>IF(B954="","",VLOOKUP(A954,Journal!$C$7:$L$84,10))</f>
        <v/>
      </c>
      <c r="F954" s="84" t="str">
        <f>IF(B954="","",VLOOKUP(A954,Journal!$C$7:$M$84,11))</f>
        <v/>
      </c>
      <c r="G954" s="102">
        <f>IF(B954="Total",SUM(G$8:G953)+0.0001,IF(OR(B954="",M954=0),0,VLOOKUP(A954,Journal!$C$7:M$84,7)))</f>
        <v>0</v>
      </c>
      <c r="H954" s="102">
        <f>IF(B954="Total",SUM(H$8:H953)+0.0001,IF(OR(B954="",N954=0),0,VLOOKUP(A954,Journal!$C$7:M$84,7)))</f>
        <v>0</v>
      </c>
      <c r="I954" s="87">
        <f t="shared" si="88"/>
        <v>0</v>
      </c>
      <c r="K954" s="13">
        <f>VLOOKUP(A954,Journal!$C$7:$M$84,4)</f>
        <v>0</v>
      </c>
      <c r="L954" s="13">
        <f>VLOOKUP(A954,Journal!$C$7:$M$84,5)</f>
        <v>0</v>
      </c>
      <c r="M954" s="13">
        <f t="shared" si="90"/>
        <v>0</v>
      </c>
      <c r="N954" s="13">
        <f t="shared" si="91"/>
        <v>0</v>
      </c>
      <c r="O954" s="13"/>
      <c r="P954" s="13">
        <f t="shared" si="92"/>
        <v>1.0000000000000001E-5</v>
      </c>
      <c r="T954" t="str">
        <f t="shared" si="87"/>
        <v/>
      </c>
    </row>
    <row r="955" spans="1:20" x14ac:dyDescent="0.25">
      <c r="A955">
        <f t="shared" si="89"/>
        <v>948</v>
      </c>
      <c r="B955" s="88" t="str">
        <f>IF(OR(B954="Total",B954=""),"",IF(VLOOKUP(A955,Journal!$C$7:$E$84,3)=0,"Total",VLOOKUP(A955,Journal!$C$7:$D$84,2)))</f>
        <v/>
      </c>
      <c r="C955" s="86" t="str">
        <f>IF(B955="","",VLOOKUP(A955,Journal!$C$7:$E$84,3))</f>
        <v/>
      </c>
      <c r="D955" s="84" t="str">
        <f>IF(B955="","",VLOOKUP(A955,Journal!$C$7:$J$84,8))</f>
        <v/>
      </c>
      <c r="E955" s="84" t="str">
        <f>IF(B955="","",VLOOKUP(A955,Journal!$C$7:$L$84,10))</f>
        <v/>
      </c>
      <c r="F955" s="84" t="str">
        <f>IF(B955="","",VLOOKUP(A955,Journal!$C$7:$M$84,11))</f>
        <v/>
      </c>
      <c r="G955" s="102">
        <f>IF(B955="Total",SUM(G$8:G954)+0.0001,IF(OR(B955="",M955=0),0,VLOOKUP(A955,Journal!$C$7:M$84,7)))</f>
        <v>0</v>
      </c>
      <c r="H955" s="102">
        <f>IF(B955="Total",SUM(H$8:H954)+0.0001,IF(OR(B955="",N955=0),0,VLOOKUP(A955,Journal!$C$7:M$84,7)))</f>
        <v>0</v>
      </c>
      <c r="I955" s="87">
        <f t="shared" si="88"/>
        <v>0</v>
      </c>
      <c r="K955" s="13">
        <f>VLOOKUP(A955,Journal!$C$7:$M$84,4)</f>
        <v>0</v>
      </c>
      <c r="L955" s="13">
        <f>VLOOKUP(A955,Journal!$C$7:$M$84,5)</f>
        <v>0</v>
      </c>
      <c r="M955" s="13">
        <f t="shared" si="90"/>
        <v>0</v>
      </c>
      <c r="N955" s="13">
        <f t="shared" si="91"/>
        <v>0</v>
      </c>
      <c r="O955" s="13"/>
      <c r="P955" s="13">
        <f t="shared" si="92"/>
        <v>1.0000000000000001E-5</v>
      </c>
      <c r="T955" t="str">
        <f t="shared" si="87"/>
        <v/>
      </c>
    </row>
    <row r="956" spans="1:20" x14ac:dyDescent="0.25">
      <c r="A956">
        <f t="shared" si="89"/>
        <v>949</v>
      </c>
      <c r="B956" s="88" t="str">
        <f>IF(OR(B955="Total",B955=""),"",IF(VLOOKUP(A956,Journal!$C$7:$E$84,3)=0,"Total",VLOOKUP(A956,Journal!$C$7:$D$84,2)))</f>
        <v/>
      </c>
      <c r="C956" s="86" t="str">
        <f>IF(B956="","",VLOOKUP(A956,Journal!$C$7:$E$84,3))</f>
        <v/>
      </c>
      <c r="D956" s="84" t="str">
        <f>IF(B956="","",VLOOKUP(A956,Journal!$C$7:$J$84,8))</f>
        <v/>
      </c>
      <c r="E956" s="84" t="str">
        <f>IF(B956="","",VLOOKUP(A956,Journal!$C$7:$L$84,10))</f>
        <v/>
      </c>
      <c r="F956" s="84" t="str">
        <f>IF(B956="","",VLOOKUP(A956,Journal!$C$7:$M$84,11))</f>
        <v/>
      </c>
      <c r="G956" s="102">
        <f>IF(B956="Total",SUM(G$8:G955)+0.0001,IF(OR(B956="",M956=0),0,VLOOKUP(A956,Journal!$C$7:M$84,7)))</f>
        <v>0</v>
      </c>
      <c r="H956" s="102">
        <f>IF(B956="Total",SUM(H$8:H955)+0.0001,IF(OR(B956="",N956=0),0,VLOOKUP(A956,Journal!$C$7:M$84,7)))</f>
        <v>0</v>
      </c>
      <c r="I956" s="87">
        <f t="shared" si="88"/>
        <v>0</v>
      </c>
      <c r="K956" s="13">
        <f>VLOOKUP(A956,Journal!$C$7:$M$84,4)</f>
        <v>0</v>
      </c>
      <c r="L956" s="13">
        <f>VLOOKUP(A956,Journal!$C$7:$M$84,5)</f>
        <v>0</v>
      </c>
      <c r="M956" s="13">
        <f t="shared" si="90"/>
        <v>0</v>
      </c>
      <c r="N956" s="13">
        <f t="shared" si="91"/>
        <v>0</v>
      </c>
      <c r="O956" s="13"/>
      <c r="P956" s="13">
        <f t="shared" si="92"/>
        <v>1.0000000000000001E-5</v>
      </c>
      <c r="T956" t="str">
        <f t="shared" si="87"/>
        <v/>
      </c>
    </row>
    <row r="957" spans="1:20" x14ac:dyDescent="0.25">
      <c r="A957">
        <f t="shared" si="89"/>
        <v>950</v>
      </c>
      <c r="B957" s="88" t="str">
        <f>IF(OR(B956="Total",B956=""),"",IF(VLOOKUP(A957,Journal!$C$7:$E$84,3)=0,"Total",VLOOKUP(A957,Journal!$C$7:$D$84,2)))</f>
        <v/>
      </c>
      <c r="C957" s="86" t="str">
        <f>IF(B957="","",VLOOKUP(A957,Journal!$C$7:$E$84,3))</f>
        <v/>
      </c>
      <c r="D957" s="84" t="str">
        <f>IF(B957="","",VLOOKUP(A957,Journal!$C$7:$J$84,8))</f>
        <v/>
      </c>
      <c r="E957" s="84" t="str">
        <f>IF(B957="","",VLOOKUP(A957,Journal!$C$7:$L$84,10))</f>
        <v/>
      </c>
      <c r="F957" s="84" t="str">
        <f>IF(B957="","",VLOOKUP(A957,Journal!$C$7:$M$84,11))</f>
        <v/>
      </c>
      <c r="G957" s="102">
        <f>IF(B957="Total",SUM(G$8:G956)+0.0001,IF(OR(B957="",M957=0),0,VLOOKUP(A957,Journal!$C$7:M$84,7)))</f>
        <v>0</v>
      </c>
      <c r="H957" s="102">
        <f>IF(B957="Total",SUM(H$8:H956)+0.0001,IF(OR(B957="",N957=0),0,VLOOKUP(A957,Journal!$C$7:M$84,7)))</f>
        <v>0</v>
      </c>
      <c r="I957" s="87">
        <f t="shared" si="88"/>
        <v>0</v>
      </c>
      <c r="K957" s="13">
        <f>VLOOKUP(A957,Journal!$C$7:$M$84,4)</f>
        <v>0</v>
      </c>
      <c r="L957" s="13">
        <f>VLOOKUP(A957,Journal!$C$7:$M$84,5)</f>
        <v>0</v>
      </c>
      <c r="M957" s="13">
        <f t="shared" si="90"/>
        <v>0</v>
      </c>
      <c r="N957" s="13">
        <f t="shared" si="91"/>
        <v>0</v>
      </c>
      <c r="O957" s="13"/>
      <c r="P957" s="13">
        <f t="shared" si="92"/>
        <v>1.0000000000000001E-5</v>
      </c>
      <c r="T957" t="str">
        <f t="shared" si="87"/>
        <v/>
      </c>
    </row>
    <row r="958" spans="1:20" x14ac:dyDescent="0.25">
      <c r="A958">
        <f t="shared" si="89"/>
        <v>951</v>
      </c>
      <c r="B958" s="88" t="str">
        <f>IF(OR(B957="Total",B957=""),"",IF(VLOOKUP(A958,Journal!$C$7:$E$84,3)=0,"Total",VLOOKUP(A958,Journal!$C$7:$D$84,2)))</f>
        <v/>
      </c>
      <c r="C958" s="86" t="str">
        <f>IF(B958="","",VLOOKUP(A958,Journal!$C$7:$E$84,3))</f>
        <v/>
      </c>
      <c r="D958" s="84" t="str">
        <f>IF(B958="","",VLOOKUP(A958,Journal!$C$7:$J$84,8))</f>
        <v/>
      </c>
      <c r="E958" s="84" t="str">
        <f>IF(B958="","",VLOOKUP(A958,Journal!$C$7:$L$84,10))</f>
        <v/>
      </c>
      <c r="F958" s="84" t="str">
        <f>IF(B958="","",VLOOKUP(A958,Journal!$C$7:$M$84,11))</f>
        <v/>
      </c>
      <c r="G958" s="102">
        <f>IF(B958="Total",SUM(G$8:G957)+0.0001,IF(OR(B958="",M958=0),0,VLOOKUP(A958,Journal!$C$7:M$84,7)))</f>
        <v>0</v>
      </c>
      <c r="H958" s="102">
        <f>IF(B958="Total",SUM(H$8:H957)+0.0001,IF(OR(B958="",N958=0),0,VLOOKUP(A958,Journal!$C$7:M$84,7)))</f>
        <v>0</v>
      </c>
      <c r="I958" s="87">
        <f t="shared" si="88"/>
        <v>0</v>
      </c>
      <c r="K958" s="13">
        <f>VLOOKUP(A958,Journal!$C$7:$M$84,4)</f>
        <v>0</v>
      </c>
      <c r="L958" s="13">
        <f>VLOOKUP(A958,Journal!$C$7:$M$84,5)</f>
        <v>0</v>
      </c>
      <c r="M958" s="13">
        <f t="shared" si="90"/>
        <v>0</v>
      </c>
      <c r="N958" s="13">
        <f t="shared" si="91"/>
        <v>0</v>
      </c>
      <c r="O958" s="13"/>
      <c r="P958" s="13">
        <f t="shared" si="92"/>
        <v>1.0000000000000001E-5</v>
      </c>
      <c r="T958" t="str">
        <f t="shared" si="87"/>
        <v/>
      </c>
    </row>
    <row r="959" spans="1:20" x14ac:dyDescent="0.25">
      <c r="A959">
        <f t="shared" si="89"/>
        <v>952</v>
      </c>
      <c r="B959" s="88" t="str">
        <f>IF(OR(B958="Total",B958=""),"",IF(VLOOKUP(A959,Journal!$C$7:$E$84,3)=0,"Total",VLOOKUP(A959,Journal!$C$7:$D$84,2)))</f>
        <v/>
      </c>
      <c r="C959" s="86" t="str">
        <f>IF(B959="","",VLOOKUP(A959,Journal!$C$7:$E$84,3))</f>
        <v/>
      </c>
      <c r="D959" s="84" t="str">
        <f>IF(B959="","",VLOOKUP(A959,Journal!$C$7:$J$84,8))</f>
        <v/>
      </c>
      <c r="E959" s="84" t="str">
        <f>IF(B959="","",VLOOKUP(A959,Journal!$C$7:$L$84,10))</f>
        <v/>
      </c>
      <c r="F959" s="84" t="str">
        <f>IF(B959="","",VLOOKUP(A959,Journal!$C$7:$M$84,11))</f>
        <v/>
      </c>
      <c r="G959" s="102">
        <f>IF(B959="Total",SUM(G$8:G958)+0.0001,IF(OR(B959="",M959=0),0,VLOOKUP(A959,Journal!$C$7:M$84,7)))</f>
        <v>0</v>
      </c>
      <c r="H959" s="102">
        <f>IF(B959="Total",SUM(H$8:H958)+0.0001,IF(OR(B959="",N959=0),0,VLOOKUP(A959,Journal!$C$7:M$84,7)))</f>
        <v>0</v>
      </c>
      <c r="I959" s="87">
        <f t="shared" si="88"/>
        <v>0</v>
      </c>
      <c r="K959" s="13">
        <f>VLOOKUP(A959,Journal!$C$7:$M$84,4)</f>
        <v>0</v>
      </c>
      <c r="L959" s="13">
        <f>VLOOKUP(A959,Journal!$C$7:$M$84,5)</f>
        <v>0</v>
      </c>
      <c r="M959" s="13">
        <f t="shared" si="90"/>
        <v>0</v>
      </c>
      <c r="N959" s="13">
        <f t="shared" si="91"/>
        <v>0</v>
      </c>
      <c r="O959" s="13"/>
      <c r="P959" s="13">
        <f t="shared" si="92"/>
        <v>1.0000000000000001E-5</v>
      </c>
      <c r="T959" t="str">
        <f t="shared" si="87"/>
        <v/>
      </c>
    </row>
    <row r="960" spans="1:20" x14ac:dyDescent="0.25">
      <c r="A960">
        <f t="shared" si="89"/>
        <v>953</v>
      </c>
      <c r="B960" s="88" t="str">
        <f>IF(OR(B959="Total",B959=""),"",IF(VLOOKUP(A960,Journal!$C$7:$E$84,3)=0,"Total",VLOOKUP(A960,Journal!$C$7:$D$84,2)))</f>
        <v/>
      </c>
      <c r="C960" s="86" t="str">
        <f>IF(B960="","",VLOOKUP(A960,Journal!$C$7:$E$84,3))</f>
        <v/>
      </c>
      <c r="D960" s="84" t="str">
        <f>IF(B960="","",VLOOKUP(A960,Journal!$C$7:$J$84,8))</f>
        <v/>
      </c>
      <c r="E960" s="84" t="str">
        <f>IF(B960="","",VLOOKUP(A960,Journal!$C$7:$L$84,10))</f>
        <v/>
      </c>
      <c r="F960" s="84" t="str">
        <f>IF(B960="","",VLOOKUP(A960,Journal!$C$7:$M$84,11))</f>
        <v/>
      </c>
      <c r="G960" s="102">
        <f>IF(B960="Total",SUM(G$8:G959)+0.0001,IF(OR(B960="",M960=0),0,VLOOKUP(A960,Journal!$C$7:M$84,7)))</f>
        <v>0</v>
      </c>
      <c r="H960" s="102">
        <f>IF(B960="Total",SUM(H$8:H959)+0.0001,IF(OR(B960="",N960=0),0,VLOOKUP(A960,Journal!$C$7:M$84,7)))</f>
        <v>0</v>
      </c>
      <c r="I960" s="87">
        <f t="shared" si="88"/>
        <v>0</v>
      </c>
      <c r="K960" s="13">
        <f>VLOOKUP(A960,Journal!$C$7:$M$84,4)</f>
        <v>0</v>
      </c>
      <c r="L960" s="13">
        <f>VLOOKUP(A960,Journal!$C$7:$M$84,5)</f>
        <v>0</v>
      </c>
      <c r="M960" s="13">
        <f t="shared" si="90"/>
        <v>0</v>
      </c>
      <c r="N960" s="13">
        <f t="shared" si="91"/>
        <v>0</v>
      </c>
      <c r="O960" s="13"/>
      <c r="P960" s="13">
        <f t="shared" si="92"/>
        <v>1.0000000000000001E-5</v>
      </c>
      <c r="T960" t="str">
        <f t="shared" si="87"/>
        <v/>
      </c>
    </row>
    <row r="961" spans="1:20" x14ac:dyDescent="0.25">
      <c r="A961">
        <f t="shared" si="89"/>
        <v>954</v>
      </c>
      <c r="B961" s="88" t="str">
        <f>IF(OR(B960="Total",B960=""),"",IF(VLOOKUP(A961,Journal!$C$7:$E$84,3)=0,"Total",VLOOKUP(A961,Journal!$C$7:$D$84,2)))</f>
        <v/>
      </c>
      <c r="C961" s="86" t="str">
        <f>IF(B961="","",VLOOKUP(A961,Journal!$C$7:$E$84,3))</f>
        <v/>
      </c>
      <c r="D961" s="84" t="str">
        <f>IF(B961="","",VLOOKUP(A961,Journal!$C$7:$J$84,8))</f>
        <v/>
      </c>
      <c r="E961" s="84" t="str">
        <f>IF(B961="","",VLOOKUP(A961,Journal!$C$7:$L$84,10))</f>
        <v/>
      </c>
      <c r="F961" s="84" t="str">
        <f>IF(B961="","",VLOOKUP(A961,Journal!$C$7:$M$84,11))</f>
        <v/>
      </c>
      <c r="G961" s="102">
        <f>IF(B961="Total",SUM(G$8:G960)+0.0001,IF(OR(B961="",M961=0),0,VLOOKUP(A961,Journal!$C$7:M$84,7)))</f>
        <v>0</v>
      </c>
      <c r="H961" s="102">
        <f>IF(B961="Total",SUM(H$8:H960)+0.0001,IF(OR(B961="",N961=0),0,VLOOKUP(A961,Journal!$C$7:M$84,7)))</f>
        <v>0</v>
      </c>
      <c r="I961" s="87">
        <f t="shared" si="88"/>
        <v>0</v>
      </c>
      <c r="K961" s="13">
        <f>VLOOKUP(A961,Journal!$C$7:$M$84,4)</f>
        <v>0</v>
      </c>
      <c r="L961" s="13">
        <f>VLOOKUP(A961,Journal!$C$7:$M$84,5)</f>
        <v>0</v>
      </c>
      <c r="M961" s="13">
        <f t="shared" si="90"/>
        <v>0</v>
      </c>
      <c r="N961" s="13">
        <f t="shared" si="91"/>
        <v>0</v>
      </c>
      <c r="O961" s="13"/>
      <c r="P961" s="13">
        <f t="shared" si="92"/>
        <v>1.0000000000000001E-5</v>
      </c>
      <c r="T961" t="str">
        <f t="shared" si="87"/>
        <v/>
      </c>
    </row>
    <row r="962" spans="1:20" x14ac:dyDescent="0.25">
      <c r="A962">
        <f t="shared" si="89"/>
        <v>955</v>
      </c>
      <c r="B962" s="88" t="str">
        <f>IF(OR(B961="Total",B961=""),"",IF(VLOOKUP(A962,Journal!$C$7:$E$84,3)=0,"Total",VLOOKUP(A962,Journal!$C$7:$D$84,2)))</f>
        <v/>
      </c>
      <c r="C962" s="86" t="str">
        <f>IF(B962="","",VLOOKUP(A962,Journal!$C$7:$E$84,3))</f>
        <v/>
      </c>
      <c r="D962" s="84" t="str">
        <f>IF(B962="","",VLOOKUP(A962,Journal!$C$7:$J$84,8))</f>
        <v/>
      </c>
      <c r="E962" s="84" t="str">
        <f>IF(B962="","",VLOOKUP(A962,Journal!$C$7:$L$84,10))</f>
        <v/>
      </c>
      <c r="F962" s="84" t="str">
        <f>IF(B962="","",VLOOKUP(A962,Journal!$C$7:$M$84,11))</f>
        <v/>
      </c>
      <c r="G962" s="102">
        <f>IF(B962="Total",SUM(G$8:G961)+0.0001,IF(OR(B962="",M962=0),0,VLOOKUP(A962,Journal!$C$7:M$84,7)))</f>
        <v>0</v>
      </c>
      <c r="H962" s="102">
        <f>IF(B962="Total",SUM(H$8:H961)+0.0001,IF(OR(B962="",N962=0),0,VLOOKUP(A962,Journal!$C$7:M$84,7)))</f>
        <v>0</v>
      </c>
      <c r="I962" s="87">
        <f t="shared" si="88"/>
        <v>0</v>
      </c>
      <c r="K962" s="13">
        <f>VLOOKUP(A962,Journal!$C$7:$M$84,4)</f>
        <v>0</v>
      </c>
      <c r="L962" s="13">
        <f>VLOOKUP(A962,Journal!$C$7:$M$84,5)</f>
        <v>0</v>
      </c>
      <c r="M962" s="13">
        <f t="shared" si="90"/>
        <v>0</v>
      </c>
      <c r="N962" s="13">
        <f t="shared" si="91"/>
        <v>0</v>
      </c>
      <c r="O962" s="13"/>
      <c r="P962" s="13">
        <f t="shared" si="92"/>
        <v>1.0000000000000001E-5</v>
      </c>
      <c r="T962" t="str">
        <f t="shared" si="87"/>
        <v/>
      </c>
    </row>
    <row r="963" spans="1:20" x14ac:dyDescent="0.25">
      <c r="A963">
        <f t="shared" si="89"/>
        <v>956</v>
      </c>
      <c r="B963" s="88" t="str">
        <f>IF(OR(B962="Total",B962=""),"",IF(VLOOKUP(A963,Journal!$C$7:$E$84,3)=0,"Total",VLOOKUP(A963,Journal!$C$7:$D$84,2)))</f>
        <v/>
      </c>
      <c r="C963" s="86" t="str">
        <f>IF(B963="","",VLOOKUP(A963,Journal!$C$7:$E$84,3))</f>
        <v/>
      </c>
      <c r="D963" s="84" t="str">
        <f>IF(B963="","",VLOOKUP(A963,Journal!$C$7:$J$84,8))</f>
        <v/>
      </c>
      <c r="E963" s="84" t="str">
        <f>IF(B963="","",VLOOKUP(A963,Journal!$C$7:$L$84,10))</f>
        <v/>
      </c>
      <c r="F963" s="84" t="str">
        <f>IF(B963="","",VLOOKUP(A963,Journal!$C$7:$M$84,11))</f>
        <v/>
      </c>
      <c r="G963" s="102">
        <f>IF(B963="Total",SUM(G$8:G962)+0.0001,IF(OR(B963="",M963=0),0,VLOOKUP(A963,Journal!$C$7:M$84,7)))</f>
        <v>0</v>
      </c>
      <c r="H963" s="102">
        <f>IF(B963="Total",SUM(H$8:H962)+0.0001,IF(OR(B963="",N963=0),0,VLOOKUP(A963,Journal!$C$7:M$84,7)))</f>
        <v>0</v>
      </c>
      <c r="I963" s="87">
        <f t="shared" si="88"/>
        <v>0</v>
      </c>
      <c r="K963" s="13">
        <f>VLOOKUP(A963,Journal!$C$7:$M$84,4)</f>
        <v>0</v>
      </c>
      <c r="L963" s="13">
        <f>VLOOKUP(A963,Journal!$C$7:$M$84,5)</f>
        <v>0</v>
      </c>
      <c r="M963" s="13">
        <f t="shared" si="90"/>
        <v>0</v>
      </c>
      <c r="N963" s="13">
        <f t="shared" si="91"/>
        <v>0</v>
      </c>
      <c r="O963" s="13"/>
      <c r="P963" s="13">
        <f t="shared" si="92"/>
        <v>1.0000000000000001E-5</v>
      </c>
      <c r="T963" t="str">
        <f t="shared" si="87"/>
        <v/>
      </c>
    </row>
    <row r="964" spans="1:20" x14ac:dyDescent="0.25">
      <c r="A964">
        <f t="shared" si="89"/>
        <v>957</v>
      </c>
      <c r="B964" s="88" t="str">
        <f>IF(OR(B963="Total",B963=""),"",IF(VLOOKUP(A964,Journal!$C$7:$E$84,3)=0,"Total",VLOOKUP(A964,Journal!$C$7:$D$84,2)))</f>
        <v/>
      </c>
      <c r="C964" s="86" t="str">
        <f>IF(B964="","",VLOOKUP(A964,Journal!$C$7:$E$84,3))</f>
        <v/>
      </c>
      <c r="D964" s="84" t="str">
        <f>IF(B964="","",VLOOKUP(A964,Journal!$C$7:$J$84,8))</f>
        <v/>
      </c>
      <c r="E964" s="84" t="str">
        <f>IF(B964="","",VLOOKUP(A964,Journal!$C$7:$L$84,10))</f>
        <v/>
      </c>
      <c r="F964" s="84" t="str">
        <f>IF(B964="","",VLOOKUP(A964,Journal!$C$7:$M$84,11))</f>
        <v/>
      </c>
      <c r="G964" s="102">
        <f>IF(B964="Total",SUM(G$8:G963)+0.0001,IF(OR(B964="",M964=0),0,VLOOKUP(A964,Journal!$C$7:M$84,7)))</f>
        <v>0</v>
      </c>
      <c r="H964" s="102">
        <f>IF(B964="Total",SUM(H$8:H963)+0.0001,IF(OR(B964="",N964=0),0,VLOOKUP(A964,Journal!$C$7:M$84,7)))</f>
        <v>0</v>
      </c>
      <c r="I964" s="87">
        <f t="shared" si="88"/>
        <v>0</v>
      </c>
      <c r="K964" s="13">
        <f>VLOOKUP(A964,Journal!$C$7:$M$84,4)</f>
        <v>0</v>
      </c>
      <c r="L964" s="13">
        <f>VLOOKUP(A964,Journal!$C$7:$M$84,5)</f>
        <v>0</v>
      </c>
      <c r="M964" s="13">
        <f t="shared" si="90"/>
        <v>0</v>
      </c>
      <c r="N964" s="13">
        <f t="shared" si="91"/>
        <v>0</v>
      </c>
      <c r="O964" s="13"/>
      <c r="P964" s="13">
        <f t="shared" si="92"/>
        <v>1.0000000000000001E-5</v>
      </c>
      <c r="T964" t="str">
        <f t="shared" si="87"/>
        <v/>
      </c>
    </row>
    <row r="965" spans="1:20" x14ac:dyDescent="0.25">
      <c r="A965">
        <f t="shared" si="89"/>
        <v>958</v>
      </c>
      <c r="B965" s="88" t="str">
        <f>IF(OR(B964="Total",B964=""),"",IF(VLOOKUP(A965,Journal!$C$7:$E$84,3)=0,"Total",VLOOKUP(A965,Journal!$C$7:$D$84,2)))</f>
        <v/>
      </c>
      <c r="C965" s="86" t="str">
        <f>IF(B965="","",VLOOKUP(A965,Journal!$C$7:$E$84,3))</f>
        <v/>
      </c>
      <c r="D965" s="84" t="str">
        <f>IF(B965="","",VLOOKUP(A965,Journal!$C$7:$J$84,8))</f>
        <v/>
      </c>
      <c r="E965" s="84" t="str">
        <f>IF(B965="","",VLOOKUP(A965,Journal!$C$7:$L$84,10))</f>
        <v/>
      </c>
      <c r="F965" s="84" t="str">
        <f>IF(B965="","",VLOOKUP(A965,Journal!$C$7:$M$84,11))</f>
        <v/>
      </c>
      <c r="G965" s="102">
        <f>IF(B965="Total",SUM(G$8:G964)+0.0001,IF(OR(B965="",M965=0),0,VLOOKUP(A965,Journal!$C$7:M$84,7)))</f>
        <v>0</v>
      </c>
      <c r="H965" s="102">
        <f>IF(B965="Total",SUM(H$8:H964)+0.0001,IF(OR(B965="",N965=0),0,VLOOKUP(A965,Journal!$C$7:M$84,7)))</f>
        <v>0</v>
      </c>
      <c r="I965" s="87">
        <f t="shared" si="88"/>
        <v>0</v>
      </c>
      <c r="K965" s="13">
        <f>VLOOKUP(A965,Journal!$C$7:$M$84,4)</f>
        <v>0</v>
      </c>
      <c r="L965" s="13">
        <f>VLOOKUP(A965,Journal!$C$7:$M$84,5)</f>
        <v>0</v>
      </c>
      <c r="M965" s="13">
        <f t="shared" si="90"/>
        <v>0</v>
      </c>
      <c r="N965" s="13">
        <f t="shared" si="91"/>
        <v>0</v>
      </c>
      <c r="O965" s="13"/>
      <c r="P965" s="13">
        <f t="shared" si="92"/>
        <v>1.0000000000000001E-5</v>
      </c>
      <c r="T965" t="str">
        <f t="shared" si="87"/>
        <v/>
      </c>
    </row>
    <row r="966" spans="1:20" x14ac:dyDescent="0.25">
      <c r="A966">
        <f t="shared" si="89"/>
        <v>959</v>
      </c>
      <c r="B966" s="88" t="str">
        <f>IF(OR(B965="Total",B965=""),"",IF(VLOOKUP(A966,Journal!$C$7:$E$84,3)=0,"Total",VLOOKUP(A966,Journal!$C$7:$D$84,2)))</f>
        <v/>
      </c>
      <c r="C966" s="86" t="str">
        <f>IF(B966="","",VLOOKUP(A966,Journal!$C$7:$E$84,3))</f>
        <v/>
      </c>
      <c r="D966" s="84" t="str">
        <f>IF(B966="","",VLOOKUP(A966,Journal!$C$7:$J$84,8))</f>
        <v/>
      </c>
      <c r="E966" s="84" t="str">
        <f>IF(B966="","",VLOOKUP(A966,Journal!$C$7:$L$84,10))</f>
        <v/>
      </c>
      <c r="F966" s="84" t="str">
        <f>IF(B966="","",VLOOKUP(A966,Journal!$C$7:$M$84,11))</f>
        <v/>
      </c>
      <c r="G966" s="102">
        <f>IF(B966="Total",SUM(G$8:G965)+0.0001,IF(OR(B966="",M966=0),0,VLOOKUP(A966,Journal!$C$7:M$84,7)))</f>
        <v>0</v>
      </c>
      <c r="H966" s="102">
        <f>IF(B966="Total",SUM(H$8:H965)+0.0001,IF(OR(B966="",N966=0),0,VLOOKUP(A966,Journal!$C$7:M$84,7)))</f>
        <v>0</v>
      </c>
      <c r="I966" s="87">
        <f t="shared" si="88"/>
        <v>0</v>
      </c>
      <c r="K966" s="13">
        <f>VLOOKUP(A966,Journal!$C$7:$M$84,4)</f>
        <v>0</v>
      </c>
      <c r="L966" s="13">
        <f>VLOOKUP(A966,Journal!$C$7:$M$84,5)</f>
        <v>0</v>
      </c>
      <c r="M966" s="13">
        <f t="shared" si="90"/>
        <v>0</v>
      </c>
      <c r="N966" s="13">
        <f t="shared" si="91"/>
        <v>0</v>
      </c>
      <c r="O966" s="13"/>
      <c r="P966" s="13">
        <f t="shared" si="92"/>
        <v>1.0000000000000001E-5</v>
      </c>
      <c r="T966" t="str">
        <f t="shared" si="87"/>
        <v/>
      </c>
    </row>
    <row r="967" spans="1:20" x14ac:dyDescent="0.25">
      <c r="A967">
        <f t="shared" si="89"/>
        <v>960</v>
      </c>
      <c r="B967" s="88" t="str">
        <f>IF(OR(B966="Total",B966=""),"",IF(VLOOKUP(A967,Journal!$C$7:$E$84,3)=0,"Total",VLOOKUP(A967,Journal!$C$7:$D$84,2)))</f>
        <v/>
      </c>
      <c r="C967" s="86" t="str">
        <f>IF(B967="","",VLOOKUP(A967,Journal!$C$7:$E$84,3))</f>
        <v/>
      </c>
      <c r="D967" s="84" t="str">
        <f>IF(B967="","",VLOOKUP(A967,Journal!$C$7:$J$84,8))</f>
        <v/>
      </c>
      <c r="E967" s="84" t="str">
        <f>IF(B967="","",VLOOKUP(A967,Journal!$C$7:$L$84,10))</f>
        <v/>
      </c>
      <c r="F967" s="84" t="str">
        <f>IF(B967="","",VLOOKUP(A967,Journal!$C$7:$M$84,11))</f>
        <v/>
      </c>
      <c r="G967" s="102">
        <f>IF(B967="Total",SUM(G$8:G966)+0.0001,IF(OR(B967="",M967=0),0,VLOOKUP(A967,Journal!$C$7:M$84,7)))</f>
        <v>0</v>
      </c>
      <c r="H967" s="102">
        <f>IF(B967="Total",SUM(H$8:H966)+0.0001,IF(OR(B967="",N967=0),0,VLOOKUP(A967,Journal!$C$7:M$84,7)))</f>
        <v>0</v>
      </c>
      <c r="I967" s="87">
        <f t="shared" si="88"/>
        <v>0</v>
      </c>
      <c r="K967" s="13">
        <f>VLOOKUP(A967,Journal!$C$7:$M$84,4)</f>
        <v>0</v>
      </c>
      <c r="L967" s="13">
        <f>VLOOKUP(A967,Journal!$C$7:$M$84,5)</f>
        <v>0</v>
      </c>
      <c r="M967" s="13">
        <f t="shared" si="90"/>
        <v>0</v>
      </c>
      <c r="N967" s="13">
        <f t="shared" si="91"/>
        <v>0</v>
      </c>
      <c r="O967" s="13"/>
      <c r="P967" s="13">
        <f t="shared" si="92"/>
        <v>1.0000000000000001E-5</v>
      </c>
      <c r="T967" t="str">
        <f t="shared" si="87"/>
        <v/>
      </c>
    </row>
    <row r="968" spans="1:20" x14ac:dyDescent="0.25">
      <c r="A968">
        <f t="shared" si="89"/>
        <v>961</v>
      </c>
      <c r="B968" s="88" t="str">
        <f>IF(OR(B967="Total",B967=""),"",IF(VLOOKUP(A968,Journal!$C$7:$E$84,3)=0,"Total",VLOOKUP(A968,Journal!$C$7:$D$84,2)))</f>
        <v/>
      </c>
      <c r="C968" s="86" t="str">
        <f>IF(B968="","",VLOOKUP(A968,Journal!$C$7:$E$84,3))</f>
        <v/>
      </c>
      <c r="D968" s="84" t="str">
        <f>IF(B968="","",VLOOKUP(A968,Journal!$C$7:$J$84,8))</f>
        <v/>
      </c>
      <c r="E968" s="84" t="str">
        <f>IF(B968="","",VLOOKUP(A968,Journal!$C$7:$L$84,10))</f>
        <v/>
      </c>
      <c r="F968" s="84" t="str">
        <f>IF(B968="","",VLOOKUP(A968,Journal!$C$7:$M$84,11))</f>
        <v/>
      </c>
      <c r="G968" s="102">
        <f>IF(B968="Total",SUM(G$8:G967)+0.0001,IF(OR(B968="",M968=0),0,VLOOKUP(A968,Journal!$C$7:M$84,7)))</f>
        <v>0</v>
      </c>
      <c r="H968" s="102">
        <f>IF(B968="Total",SUM(H$8:H967)+0.0001,IF(OR(B968="",N968=0),0,VLOOKUP(A968,Journal!$C$7:M$84,7)))</f>
        <v>0</v>
      </c>
      <c r="I968" s="87">
        <f t="shared" si="88"/>
        <v>0</v>
      </c>
      <c r="K968" s="13">
        <f>VLOOKUP(A968,Journal!$C$7:$M$84,4)</f>
        <v>0</v>
      </c>
      <c r="L968" s="13">
        <f>VLOOKUP(A968,Journal!$C$7:$M$84,5)</f>
        <v>0</v>
      </c>
      <c r="M968" s="13">
        <f t="shared" si="90"/>
        <v>0</v>
      </c>
      <c r="N968" s="13">
        <f t="shared" si="91"/>
        <v>0</v>
      </c>
      <c r="O968" s="13"/>
      <c r="P968" s="13">
        <f t="shared" si="92"/>
        <v>1.0000000000000001E-5</v>
      </c>
      <c r="T968" t="str">
        <f t="shared" si="87"/>
        <v/>
      </c>
    </row>
    <row r="969" spans="1:20" x14ac:dyDescent="0.25">
      <c r="A969">
        <f t="shared" si="89"/>
        <v>962</v>
      </c>
      <c r="B969" s="88" t="str">
        <f>IF(OR(B968="Total",B968=""),"",IF(VLOOKUP(A969,Journal!$C$7:$E$84,3)=0,"Total",VLOOKUP(A969,Journal!$C$7:$D$84,2)))</f>
        <v/>
      </c>
      <c r="C969" s="86" t="str">
        <f>IF(B969="","",VLOOKUP(A969,Journal!$C$7:$E$84,3))</f>
        <v/>
      </c>
      <c r="D969" s="84" t="str">
        <f>IF(B969="","",VLOOKUP(A969,Journal!$C$7:$J$84,8))</f>
        <v/>
      </c>
      <c r="E969" s="84" t="str">
        <f>IF(B969="","",VLOOKUP(A969,Journal!$C$7:$L$84,10))</f>
        <v/>
      </c>
      <c r="F969" s="84" t="str">
        <f>IF(B969="","",VLOOKUP(A969,Journal!$C$7:$M$84,11))</f>
        <v/>
      </c>
      <c r="G969" s="102">
        <f>IF(B969="Total",SUM(G$8:G968)+0.0001,IF(OR(B969="",M969=0),0,VLOOKUP(A969,Journal!$C$7:M$84,7)))</f>
        <v>0</v>
      </c>
      <c r="H969" s="102">
        <f>IF(B969="Total",SUM(H$8:H968)+0.0001,IF(OR(B969="",N969=0),0,VLOOKUP(A969,Journal!$C$7:M$84,7)))</f>
        <v>0</v>
      </c>
      <c r="I969" s="87">
        <f t="shared" si="88"/>
        <v>0</v>
      </c>
      <c r="K969" s="13">
        <f>VLOOKUP(A969,Journal!$C$7:$M$84,4)</f>
        <v>0</v>
      </c>
      <c r="L969" s="13">
        <f>VLOOKUP(A969,Journal!$C$7:$M$84,5)</f>
        <v>0</v>
      </c>
      <c r="M969" s="13">
        <f t="shared" si="90"/>
        <v>0</v>
      </c>
      <c r="N969" s="13">
        <f t="shared" si="91"/>
        <v>0</v>
      </c>
      <c r="O969" s="13"/>
      <c r="P969" s="13">
        <f t="shared" si="92"/>
        <v>1.0000000000000001E-5</v>
      </c>
      <c r="T969" t="str">
        <f t="shared" ref="T969:T1018" si="93">IF(AND(G969&lt;&gt;0,B969&lt;&gt;"Total",G969=H969),"Beide Konten sind Erfolgskonten, weshalb Saldo gleich bleibt","")</f>
        <v/>
      </c>
    </row>
    <row r="970" spans="1:20" x14ac:dyDescent="0.25">
      <c r="A970">
        <f t="shared" si="89"/>
        <v>963</v>
      </c>
      <c r="B970" s="88" t="str">
        <f>IF(OR(B969="Total",B969=""),"",IF(VLOOKUP(A970,Journal!$C$7:$E$84,3)=0,"Total",VLOOKUP(A970,Journal!$C$7:$D$84,2)))</f>
        <v/>
      </c>
      <c r="C970" s="86" t="str">
        <f>IF(B970="","",VLOOKUP(A970,Journal!$C$7:$E$84,3))</f>
        <v/>
      </c>
      <c r="D970" s="84" t="str">
        <f>IF(B970="","",VLOOKUP(A970,Journal!$C$7:$J$84,8))</f>
        <v/>
      </c>
      <c r="E970" s="84" t="str">
        <f>IF(B970="","",VLOOKUP(A970,Journal!$C$7:$L$84,10))</f>
        <v/>
      </c>
      <c r="F970" s="84" t="str">
        <f>IF(B970="","",VLOOKUP(A970,Journal!$C$7:$M$84,11))</f>
        <v/>
      </c>
      <c r="G970" s="102">
        <f>IF(B970="Total",SUM(G$8:G969)+0.0001,IF(OR(B970="",M970=0),0,VLOOKUP(A970,Journal!$C$7:M$84,7)))</f>
        <v>0</v>
      </c>
      <c r="H970" s="102">
        <f>IF(B970="Total",SUM(H$8:H969)+0.0001,IF(OR(B970="",N970=0),0,VLOOKUP(A970,Journal!$C$7:M$84,7)))</f>
        <v>0</v>
      </c>
      <c r="I970" s="87">
        <f t="shared" ref="I970:I1018" si="94">IF(B970="Total",I969,IF(B970="",0,I969+G970-H970))</f>
        <v>0</v>
      </c>
      <c r="K970" s="13">
        <f>VLOOKUP(A970,Journal!$C$7:$M$84,4)</f>
        <v>0</v>
      </c>
      <c r="L970" s="13">
        <f>VLOOKUP(A970,Journal!$C$7:$M$84,5)</f>
        <v>0</v>
      </c>
      <c r="M970" s="13">
        <f t="shared" si="90"/>
        <v>0</v>
      </c>
      <c r="N970" s="13">
        <f t="shared" si="91"/>
        <v>0</v>
      </c>
      <c r="O970" s="13"/>
      <c r="P970" s="13">
        <f t="shared" si="92"/>
        <v>1.0000000000000001E-5</v>
      </c>
      <c r="T970" t="str">
        <f t="shared" si="93"/>
        <v/>
      </c>
    </row>
    <row r="971" spans="1:20" x14ac:dyDescent="0.25">
      <c r="A971">
        <f t="shared" ref="A971:A1018" si="95">A970+1</f>
        <v>964</v>
      </c>
      <c r="B971" s="88" t="str">
        <f>IF(OR(B970="Total",B970=""),"",IF(VLOOKUP(A971,Journal!$C$7:$E$84,3)=0,"Total",VLOOKUP(A971,Journal!$C$7:$D$84,2)))</f>
        <v/>
      </c>
      <c r="C971" s="86" t="str">
        <f>IF(B971="","",VLOOKUP(A971,Journal!$C$7:$E$84,3))</f>
        <v/>
      </c>
      <c r="D971" s="84" t="str">
        <f>IF(B971="","",VLOOKUP(A971,Journal!$C$7:$J$84,8))</f>
        <v/>
      </c>
      <c r="E971" s="84" t="str">
        <f>IF(B971="","",VLOOKUP(A971,Journal!$C$7:$L$84,10))</f>
        <v/>
      </c>
      <c r="F971" s="84" t="str">
        <f>IF(B971="","",VLOOKUP(A971,Journal!$C$7:$M$84,11))</f>
        <v/>
      </c>
      <c r="G971" s="102">
        <f>IF(B971="Total",SUM(G$8:G970)+0.0001,IF(OR(B971="",M971=0),0,VLOOKUP(A971,Journal!$C$7:M$84,7)))</f>
        <v>0</v>
      </c>
      <c r="H971" s="102">
        <f>IF(B971="Total",SUM(H$8:H970)+0.0001,IF(OR(B971="",N971=0),0,VLOOKUP(A971,Journal!$C$7:M$84,7)))</f>
        <v>0</v>
      </c>
      <c r="I971" s="87">
        <f t="shared" si="94"/>
        <v>0</v>
      </c>
      <c r="K971" s="13">
        <f>VLOOKUP(A971,Journal!$C$7:$M$84,4)</f>
        <v>0</v>
      </c>
      <c r="L971" s="13">
        <f>VLOOKUP(A971,Journal!$C$7:$M$84,5)</f>
        <v>0</v>
      </c>
      <c r="M971" s="13">
        <f t="shared" si="90"/>
        <v>0</v>
      </c>
      <c r="N971" s="13">
        <f t="shared" si="91"/>
        <v>0</v>
      </c>
      <c r="O971" s="13"/>
      <c r="P971" s="13">
        <f t="shared" si="92"/>
        <v>1.0000000000000001E-5</v>
      </c>
      <c r="T971" t="str">
        <f t="shared" si="93"/>
        <v/>
      </c>
    </row>
    <row r="972" spans="1:20" x14ac:dyDescent="0.25">
      <c r="A972">
        <f t="shared" si="95"/>
        <v>965</v>
      </c>
      <c r="B972" s="88" t="str">
        <f>IF(OR(B971="Total",B971=""),"",IF(VLOOKUP(A972,Journal!$C$7:$E$84,3)=0,"Total",VLOOKUP(A972,Journal!$C$7:$D$84,2)))</f>
        <v/>
      </c>
      <c r="C972" s="86" t="str">
        <f>IF(B972="","",VLOOKUP(A972,Journal!$C$7:$E$84,3))</f>
        <v/>
      </c>
      <c r="D972" s="84" t="str">
        <f>IF(B972="","",VLOOKUP(A972,Journal!$C$7:$J$84,8))</f>
        <v/>
      </c>
      <c r="E972" s="84" t="str">
        <f>IF(B972="","",VLOOKUP(A972,Journal!$C$7:$L$84,10))</f>
        <v/>
      </c>
      <c r="F972" s="84" t="str">
        <f>IF(B972="","",VLOOKUP(A972,Journal!$C$7:$M$84,11))</f>
        <v/>
      </c>
      <c r="G972" s="102">
        <f>IF(B972="Total",SUM(G$8:G971)+0.0001,IF(OR(B972="",M972=0),0,VLOOKUP(A972,Journal!$C$7:M$84,7)))</f>
        <v>0</v>
      </c>
      <c r="H972" s="102">
        <f>IF(B972="Total",SUM(H$8:H971)+0.0001,IF(OR(B972="",N972=0),0,VLOOKUP(A972,Journal!$C$7:M$84,7)))</f>
        <v>0</v>
      </c>
      <c r="I972" s="87">
        <f t="shared" si="94"/>
        <v>0</v>
      </c>
      <c r="K972" s="13">
        <f>VLOOKUP(A972,Journal!$C$7:$M$84,4)</f>
        <v>0</v>
      </c>
      <c r="L972" s="13">
        <f>VLOOKUP(A972,Journal!$C$7:$M$84,5)</f>
        <v>0</v>
      </c>
      <c r="M972" s="13">
        <f t="shared" si="90"/>
        <v>0</v>
      </c>
      <c r="N972" s="13">
        <f t="shared" si="91"/>
        <v>0</v>
      </c>
      <c r="O972" s="13"/>
      <c r="P972" s="13">
        <f t="shared" si="92"/>
        <v>1.0000000000000001E-5</v>
      </c>
      <c r="T972" t="str">
        <f t="shared" si="93"/>
        <v/>
      </c>
    </row>
    <row r="973" spans="1:20" x14ac:dyDescent="0.25">
      <c r="A973">
        <f t="shared" si="95"/>
        <v>966</v>
      </c>
      <c r="B973" s="88" t="str">
        <f>IF(OR(B972="Total",B972=""),"",IF(VLOOKUP(A973,Journal!$C$7:$E$84,3)=0,"Total",VLOOKUP(A973,Journal!$C$7:$D$84,2)))</f>
        <v/>
      </c>
      <c r="C973" s="86" t="str">
        <f>IF(B973="","",VLOOKUP(A973,Journal!$C$7:$E$84,3))</f>
        <v/>
      </c>
      <c r="D973" s="84" t="str">
        <f>IF(B973="","",VLOOKUP(A973,Journal!$C$7:$J$84,8))</f>
        <v/>
      </c>
      <c r="E973" s="84" t="str">
        <f>IF(B973="","",VLOOKUP(A973,Journal!$C$7:$L$84,10))</f>
        <v/>
      </c>
      <c r="F973" s="84" t="str">
        <f>IF(B973="","",VLOOKUP(A973,Journal!$C$7:$M$84,11))</f>
        <v/>
      </c>
      <c r="G973" s="102">
        <f>IF(B973="Total",SUM(G$8:G972)+0.0001,IF(OR(B973="",M973=0),0,VLOOKUP(A973,Journal!$C$7:M$84,7)))</f>
        <v>0</v>
      </c>
      <c r="H973" s="102">
        <f>IF(B973="Total",SUM(H$8:H972)+0.0001,IF(OR(B973="",N973=0),0,VLOOKUP(A973,Journal!$C$7:M$84,7)))</f>
        <v>0</v>
      </c>
      <c r="I973" s="87">
        <f t="shared" si="94"/>
        <v>0</v>
      </c>
      <c r="K973" s="13">
        <f>VLOOKUP(A973,Journal!$C$7:$M$84,4)</f>
        <v>0</v>
      </c>
      <c r="L973" s="13">
        <f>VLOOKUP(A973,Journal!$C$7:$M$84,5)</f>
        <v>0</v>
      </c>
      <c r="M973" s="13">
        <f t="shared" si="90"/>
        <v>0</v>
      </c>
      <c r="N973" s="13">
        <f t="shared" si="91"/>
        <v>0</v>
      </c>
      <c r="O973" s="13"/>
      <c r="P973" s="13">
        <f t="shared" si="92"/>
        <v>1.0000000000000001E-5</v>
      </c>
      <c r="T973" t="str">
        <f t="shared" si="93"/>
        <v/>
      </c>
    </row>
    <row r="974" spans="1:20" x14ac:dyDescent="0.25">
      <c r="A974">
        <f t="shared" si="95"/>
        <v>967</v>
      </c>
      <c r="B974" s="88" t="str">
        <f>IF(OR(B973="Total",B973=""),"",IF(VLOOKUP(A974,Journal!$C$7:$E$84,3)=0,"Total",VLOOKUP(A974,Journal!$C$7:$D$84,2)))</f>
        <v/>
      </c>
      <c r="C974" s="86" t="str">
        <f>IF(B974="","",VLOOKUP(A974,Journal!$C$7:$E$84,3))</f>
        <v/>
      </c>
      <c r="D974" s="84" t="str">
        <f>IF(B974="","",VLOOKUP(A974,Journal!$C$7:$J$84,8))</f>
        <v/>
      </c>
      <c r="E974" s="84" t="str">
        <f>IF(B974="","",VLOOKUP(A974,Journal!$C$7:$L$84,10))</f>
        <v/>
      </c>
      <c r="F974" s="84" t="str">
        <f>IF(B974="","",VLOOKUP(A974,Journal!$C$7:$M$84,11))</f>
        <v/>
      </c>
      <c r="G974" s="102">
        <f>IF(B974="Total",SUM(G$8:G973)+0.0001,IF(OR(B974="",M974=0),0,VLOOKUP(A974,Journal!$C$7:M$84,7)))</f>
        <v>0</v>
      </c>
      <c r="H974" s="102">
        <f>IF(B974="Total",SUM(H$8:H973)+0.0001,IF(OR(B974="",N974=0),0,VLOOKUP(A974,Journal!$C$7:M$84,7)))</f>
        <v>0</v>
      </c>
      <c r="I974" s="87">
        <f t="shared" si="94"/>
        <v>0</v>
      </c>
      <c r="K974" s="13">
        <f>VLOOKUP(A974,Journal!$C$7:$M$84,4)</f>
        <v>0</v>
      </c>
      <c r="L974" s="13">
        <f>VLOOKUP(A974,Journal!$C$7:$M$84,5)</f>
        <v>0</v>
      </c>
      <c r="M974" s="13">
        <f t="shared" si="90"/>
        <v>0</v>
      </c>
      <c r="N974" s="13">
        <f t="shared" si="91"/>
        <v>0</v>
      </c>
      <c r="O974" s="13"/>
      <c r="P974" s="13">
        <f t="shared" si="92"/>
        <v>1.0000000000000001E-5</v>
      </c>
      <c r="T974" t="str">
        <f t="shared" si="93"/>
        <v/>
      </c>
    </row>
    <row r="975" spans="1:20" x14ac:dyDescent="0.25">
      <c r="A975">
        <f t="shared" si="95"/>
        <v>968</v>
      </c>
      <c r="B975" s="88" t="str">
        <f>IF(OR(B974="Total",B974=""),"",IF(VLOOKUP(A975,Journal!$C$7:$E$84,3)=0,"Total",VLOOKUP(A975,Journal!$C$7:$D$84,2)))</f>
        <v/>
      </c>
      <c r="C975" s="86" t="str">
        <f>IF(B975="","",VLOOKUP(A975,Journal!$C$7:$E$84,3))</f>
        <v/>
      </c>
      <c r="D975" s="84" t="str">
        <f>IF(B975="","",VLOOKUP(A975,Journal!$C$7:$J$84,8))</f>
        <v/>
      </c>
      <c r="E975" s="84" t="str">
        <f>IF(B975="","",VLOOKUP(A975,Journal!$C$7:$L$84,10))</f>
        <v/>
      </c>
      <c r="F975" s="84" t="str">
        <f>IF(B975="","",VLOOKUP(A975,Journal!$C$7:$M$84,11))</f>
        <v/>
      </c>
      <c r="G975" s="102">
        <f>IF(B975="Total",SUM(G$8:G974)+0.0001,IF(OR(B975="",M975=0),0,VLOOKUP(A975,Journal!$C$7:M$84,7)))</f>
        <v>0</v>
      </c>
      <c r="H975" s="102">
        <f>IF(B975="Total",SUM(H$8:H974)+0.0001,IF(OR(B975="",N975=0),0,VLOOKUP(A975,Journal!$C$7:M$84,7)))</f>
        <v>0</v>
      </c>
      <c r="I975" s="87">
        <f t="shared" si="94"/>
        <v>0</v>
      </c>
      <c r="K975" s="13">
        <f>VLOOKUP(A975,Journal!$C$7:$M$84,4)</f>
        <v>0</v>
      </c>
      <c r="L975" s="13">
        <f>VLOOKUP(A975,Journal!$C$7:$M$84,5)</f>
        <v>0</v>
      </c>
      <c r="M975" s="13">
        <f t="shared" si="90"/>
        <v>0</v>
      </c>
      <c r="N975" s="13">
        <f t="shared" si="91"/>
        <v>0</v>
      </c>
      <c r="O975" s="13"/>
      <c r="P975" s="13">
        <f t="shared" si="92"/>
        <v>1.0000000000000001E-5</v>
      </c>
      <c r="T975" t="str">
        <f t="shared" si="93"/>
        <v/>
      </c>
    </row>
    <row r="976" spans="1:20" x14ac:dyDescent="0.25">
      <c r="A976">
        <f t="shared" si="95"/>
        <v>969</v>
      </c>
      <c r="B976" s="88" t="str">
        <f>IF(OR(B975="Total",B975=""),"",IF(VLOOKUP(A976,Journal!$C$7:$E$84,3)=0,"Total",VLOOKUP(A976,Journal!$C$7:$D$84,2)))</f>
        <v/>
      </c>
      <c r="C976" s="86" t="str">
        <f>IF(B976="","",VLOOKUP(A976,Journal!$C$7:$E$84,3))</f>
        <v/>
      </c>
      <c r="D976" s="84" t="str">
        <f>IF(B976="","",VLOOKUP(A976,Journal!$C$7:$J$84,8))</f>
        <v/>
      </c>
      <c r="E976" s="84" t="str">
        <f>IF(B976="","",VLOOKUP(A976,Journal!$C$7:$L$84,10))</f>
        <v/>
      </c>
      <c r="F976" s="84" t="str">
        <f>IF(B976="","",VLOOKUP(A976,Journal!$C$7:$M$84,11))</f>
        <v/>
      </c>
      <c r="G976" s="102">
        <f>IF(B976="Total",SUM(G$8:G975)+0.0001,IF(OR(B976="",M976=0),0,VLOOKUP(A976,Journal!$C$7:M$84,7)))</f>
        <v>0</v>
      </c>
      <c r="H976" s="102">
        <f>IF(B976="Total",SUM(H$8:H975)+0.0001,IF(OR(B976="",N976=0),0,VLOOKUP(A976,Journal!$C$7:M$84,7)))</f>
        <v>0</v>
      </c>
      <c r="I976" s="87">
        <f t="shared" si="94"/>
        <v>0</v>
      </c>
      <c r="K976" s="13">
        <f>VLOOKUP(A976,Journal!$C$7:$M$84,4)</f>
        <v>0</v>
      </c>
      <c r="L976" s="13">
        <f>VLOOKUP(A976,Journal!$C$7:$M$84,5)</f>
        <v>0</v>
      </c>
      <c r="M976" s="13">
        <f t="shared" si="90"/>
        <v>0</v>
      </c>
      <c r="N976" s="13">
        <f t="shared" si="91"/>
        <v>0</v>
      </c>
      <c r="O976" s="13"/>
      <c r="P976" s="13">
        <f t="shared" si="92"/>
        <v>1.0000000000000001E-5</v>
      </c>
      <c r="T976" t="str">
        <f t="shared" si="93"/>
        <v/>
      </c>
    </row>
    <row r="977" spans="1:20" x14ac:dyDescent="0.25">
      <c r="A977">
        <f t="shared" si="95"/>
        <v>970</v>
      </c>
      <c r="B977" s="88" t="str">
        <f>IF(OR(B976="Total",B976=""),"",IF(VLOOKUP(A977,Journal!$C$7:$E$84,3)=0,"Total",VLOOKUP(A977,Journal!$C$7:$D$84,2)))</f>
        <v/>
      </c>
      <c r="C977" s="86" t="str">
        <f>IF(B977="","",VLOOKUP(A977,Journal!$C$7:$E$84,3))</f>
        <v/>
      </c>
      <c r="D977" s="84" t="str">
        <f>IF(B977="","",VLOOKUP(A977,Journal!$C$7:$J$84,8))</f>
        <v/>
      </c>
      <c r="E977" s="84" t="str">
        <f>IF(B977="","",VLOOKUP(A977,Journal!$C$7:$L$84,10))</f>
        <v/>
      </c>
      <c r="F977" s="84" t="str">
        <f>IF(B977="","",VLOOKUP(A977,Journal!$C$7:$M$84,11))</f>
        <v/>
      </c>
      <c r="G977" s="102">
        <f>IF(B977="Total",SUM(G$8:G976)+0.0001,IF(OR(B977="",M977=0),0,VLOOKUP(A977,Journal!$C$7:M$84,7)))</f>
        <v>0</v>
      </c>
      <c r="H977" s="102">
        <f>IF(B977="Total",SUM(H$8:H976)+0.0001,IF(OR(B977="",N977=0),0,VLOOKUP(A977,Journal!$C$7:M$84,7)))</f>
        <v>0</v>
      </c>
      <c r="I977" s="87">
        <f t="shared" si="94"/>
        <v>0</v>
      </c>
      <c r="K977" s="13">
        <f>VLOOKUP(A977,Journal!$C$7:$M$84,4)</f>
        <v>0</v>
      </c>
      <c r="L977" s="13">
        <f>VLOOKUP(A977,Journal!$C$7:$M$84,5)</f>
        <v>0</v>
      </c>
      <c r="M977" s="13">
        <f t="shared" si="90"/>
        <v>0</v>
      </c>
      <c r="N977" s="13">
        <f t="shared" si="91"/>
        <v>0</v>
      </c>
      <c r="O977" s="13"/>
      <c r="P977" s="13">
        <f t="shared" si="92"/>
        <v>1.0000000000000001E-5</v>
      </c>
      <c r="T977" t="str">
        <f t="shared" si="93"/>
        <v/>
      </c>
    </row>
    <row r="978" spans="1:20" x14ac:dyDescent="0.25">
      <c r="A978">
        <f t="shared" si="95"/>
        <v>971</v>
      </c>
      <c r="B978" s="88" t="str">
        <f>IF(OR(B977="Total",B977=""),"",IF(VLOOKUP(A978,Journal!$C$7:$E$84,3)=0,"Total",VLOOKUP(A978,Journal!$C$7:$D$84,2)))</f>
        <v/>
      </c>
      <c r="C978" s="86" t="str">
        <f>IF(B978="","",VLOOKUP(A978,Journal!$C$7:$E$84,3))</f>
        <v/>
      </c>
      <c r="D978" s="84" t="str">
        <f>IF(B978="","",VLOOKUP(A978,Journal!$C$7:$J$84,8))</f>
        <v/>
      </c>
      <c r="E978" s="84" t="str">
        <f>IF(B978="","",VLOOKUP(A978,Journal!$C$7:$L$84,10))</f>
        <v/>
      </c>
      <c r="F978" s="84" t="str">
        <f>IF(B978="","",VLOOKUP(A978,Journal!$C$7:$M$84,11))</f>
        <v/>
      </c>
      <c r="G978" s="102">
        <f>IF(B978="Total",SUM(G$8:G977)+0.0001,IF(OR(B978="",M978=0),0,VLOOKUP(A978,Journal!$C$7:M$84,7)))</f>
        <v>0</v>
      </c>
      <c r="H978" s="102">
        <f>IF(B978="Total",SUM(H$8:H977)+0.0001,IF(OR(B978="",N978=0),0,VLOOKUP(A978,Journal!$C$7:M$84,7)))</f>
        <v>0</v>
      </c>
      <c r="I978" s="87">
        <f t="shared" si="94"/>
        <v>0</v>
      </c>
      <c r="K978" s="13">
        <f>VLOOKUP(A978,Journal!$C$7:$M$84,4)</f>
        <v>0</v>
      </c>
      <c r="L978" s="13">
        <f>VLOOKUP(A978,Journal!$C$7:$M$84,5)</f>
        <v>0</v>
      </c>
      <c r="M978" s="13">
        <f t="shared" si="90"/>
        <v>0</v>
      </c>
      <c r="N978" s="13">
        <f t="shared" si="91"/>
        <v>0</v>
      </c>
      <c r="O978" s="13"/>
      <c r="P978" s="13">
        <f t="shared" si="92"/>
        <v>1.0000000000000001E-5</v>
      </c>
      <c r="T978" t="str">
        <f t="shared" si="93"/>
        <v/>
      </c>
    </row>
    <row r="979" spans="1:20" x14ac:dyDescent="0.25">
      <c r="A979">
        <f t="shared" si="95"/>
        <v>972</v>
      </c>
      <c r="B979" s="88" t="str">
        <f>IF(OR(B978="Total",B978=""),"",IF(VLOOKUP(A979,Journal!$C$7:$E$84,3)=0,"Total",VLOOKUP(A979,Journal!$C$7:$D$84,2)))</f>
        <v/>
      </c>
      <c r="C979" s="86" t="str">
        <f>IF(B979="","",VLOOKUP(A979,Journal!$C$7:$E$84,3))</f>
        <v/>
      </c>
      <c r="D979" s="84" t="str">
        <f>IF(B979="","",VLOOKUP(A979,Journal!$C$7:$J$84,8))</f>
        <v/>
      </c>
      <c r="E979" s="84" t="str">
        <f>IF(B979="","",VLOOKUP(A979,Journal!$C$7:$L$84,10))</f>
        <v/>
      </c>
      <c r="F979" s="84" t="str">
        <f>IF(B979="","",VLOOKUP(A979,Journal!$C$7:$M$84,11))</f>
        <v/>
      </c>
      <c r="G979" s="102">
        <f>IF(B979="Total",SUM(G$8:G978)+0.0001,IF(OR(B979="",M979=0),0,VLOOKUP(A979,Journal!$C$7:M$84,7)))</f>
        <v>0</v>
      </c>
      <c r="H979" s="102">
        <f>IF(B979="Total",SUM(H$8:H978)+0.0001,IF(OR(B979="",N979=0),0,VLOOKUP(A979,Journal!$C$7:M$84,7)))</f>
        <v>0</v>
      </c>
      <c r="I979" s="87">
        <f t="shared" si="94"/>
        <v>0</v>
      </c>
      <c r="K979" s="13">
        <f>VLOOKUP(A979,Journal!$C$7:$M$84,4)</f>
        <v>0</v>
      </c>
      <c r="L979" s="13">
        <f>VLOOKUP(A979,Journal!$C$7:$M$84,5)</f>
        <v>0</v>
      </c>
      <c r="M979" s="13">
        <f t="shared" si="90"/>
        <v>0</v>
      </c>
      <c r="N979" s="13">
        <f t="shared" si="91"/>
        <v>0</v>
      </c>
      <c r="O979" s="13"/>
      <c r="P979" s="13">
        <f t="shared" si="92"/>
        <v>1.0000000000000001E-5</v>
      </c>
      <c r="T979" t="str">
        <f t="shared" si="93"/>
        <v/>
      </c>
    </row>
    <row r="980" spans="1:20" x14ac:dyDescent="0.25">
      <c r="A980">
        <f t="shared" si="95"/>
        <v>973</v>
      </c>
      <c r="B980" s="88" t="str">
        <f>IF(OR(B979="Total",B979=""),"",IF(VLOOKUP(A980,Journal!$C$7:$E$84,3)=0,"Total",VLOOKUP(A980,Journal!$C$7:$D$84,2)))</f>
        <v/>
      </c>
      <c r="C980" s="86" t="str">
        <f>IF(B980="","",VLOOKUP(A980,Journal!$C$7:$E$84,3))</f>
        <v/>
      </c>
      <c r="D980" s="84" t="str">
        <f>IF(B980="","",VLOOKUP(A980,Journal!$C$7:$J$84,8))</f>
        <v/>
      </c>
      <c r="E980" s="84" t="str">
        <f>IF(B980="","",VLOOKUP(A980,Journal!$C$7:$L$84,10))</f>
        <v/>
      </c>
      <c r="F980" s="84" t="str">
        <f>IF(B980="","",VLOOKUP(A980,Journal!$C$7:$M$84,11))</f>
        <v/>
      </c>
      <c r="G980" s="102">
        <f>IF(B980="Total",SUM(G$8:G979)+0.0001,IF(OR(B980="",M980=0),0,VLOOKUP(A980,Journal!$C$7:M$84,7)))</f>
        <v>0</v>
      </c>
      <c r="H980" s="102">
        <f>IF(B980="Total",SUM(H$8:H979)+0.0001,IF(OR(B980="",N980=0),0,VLOOKUP(A980,Journal!$C$7:M$84,7)))</f>
        <v>0</v>
      </c>
      <c r="I980" s="87">
        <f t="shared" si="94"/>
        <v>0</v>
      </c>
      <c r="K980" s="13">
        <f>VLOOKUP(A980,Journal!$C$7:$M$84,4)</f>
        <v>0</v>
      </c>
      <c r="L980" s="13">
        <f>VLOOKUP(A980,Journal!$C$7:$M$84,5)</f>
        <v>0</v>
      </c>
      <c r="M980" s="13">
        <f t="shared" si="90"/>
        <v>0</v>
      </c>
      <c r="N980" s="13">
        <f t="shared" si="91"/>
        <v>0</v>
      </c>
      <c r="O980" s="13"/>
      <c r="P980" s="13">
        <f t="shared" si="92"/>
        <v>1.0000000000000001E-5</v>
      </c>
      <c r="T980" t="str">
        <f t="shared" si="93"/>
        <v/>
      </c>
    </row>
    <row r="981" spans="1:20" x14ac:dyDescent="0.25">
      <c r="A981">
        <f t="shared" si="95"/>
        <v>974</v>
      </c>
      <c r="B981" s="88" t="str">
        <f>IF(OR(B980="Total",B980=""),"",IF(VLOOKUP(A981,Journal!$C$7:$E$84,3)=0,"Total",VLOOKUP(A981,Journal!$C$7:$D$84,2)))</f>
        <v/>
      </c>
      <c r="C981" s="86" t="str">
        <f>IF(B981="","",VLOOKUP(A981,Journal!$C$7:$E$84,3))</f>
        <v/>
      </c>
      <c r="D981" s="84" t="str">
        <f>IF(B981="","",VLOOKUP(A981,Journal!$C$7:$J$84,8))</f>
        <v/>
      </c>
      <c r="E981" s="84" t="str">
        <f>IF(B981="","",VLOOKUP(A981,Journal!$C$7:$L$84,10))</f>
        <v/>
      </c>
      <c r="F981" s="84" t="str">
        <f>IF(B981="","",VLOOKUP(A981,Journal!$C$7:$M$84,11))</f>
        <v/>
      </c>
      <c r="G981" s="102">
        <f>IF(B981="Total",SUM(G$8:G980)+0.0001,IF(OR(B981="",M981=0),0,VLOOKUP(A981,Journal!$C$7:M$84,7)))</f>
        <v>0</v>
      </c>
      <c r="H981" s="102">
        <f>IF(B981="Total",SUM(H$8:H980)+0.0001,IF(OR(B981="",N981=0),0,VLOOKUP(A981,Journal!$C$7:M$84,7)))</f>
        <v>0</v>
      </c>
      <c r="I981" s="87">
        <f t="shared" si="94"/>
        <v>0</v>
      </c>
      <c r="K981" s="13">
        <f>VLOOKUP(A981,Journal!$C$7:$M$84,4)</f>
        <v>0</v>
      </c>
      <c r="L981" s="13">
        <f>VLOOKUP(A981,Journal!$C$7:$M$84,5)</f>
        <v>0</v>
      </c>
      <c r="M981" s="13">
        <f t="shared" si="90"/>
        <v>0</v>
      </c>
      <c r="N981" s="13">
        <f t="shared" si="91"/>
        <v>0</v>
      </c>
      <c r="O981" s="13"/>
      <c r="P981" s="13">
        <f t="shared" si="92"/>
        <v>1.0000000000000001E-5</v>
      </c>
      <c r="T981" t="str">
        <f t="shared" si="93"/>
        <v/>
      </c>
    </row>
    <row r="982" spans="1:20" x14ac:dyDescent="0.25">
      <c r="A982">
        <f t="shared" si="95"/>
        <v>975</v>
      </c>
      <c r="B982" s="88" t="str">
        <f>IF(OR(B981="Total",B981=""),"",IF(VLOOKUP(A982,Journal!$C$7:$E$84,3)=0,"Total",VLOOKUP(A982,Journal!$C$7:$D$84,2)))</f>
        <v/>
      </c>
      <c r="C982" s="86" t="str">
        <f>IF(B982="","",VLOOKUP(A982,Journal!$C$7:$E$84,3))</f>
        <v/>
      </c>
      <c r="D982" s="84" t="str">
        <f>IF(B982="","",VLOOKUP(A982,Journal!$C$7:$J$84,8))</f>
        <v/>
      </c>
      <c r="E982" s="84" t="str">
        <f>IF(B982="","",VLOOKUP(A982,Journal!$C$7:$L$84,10))</f>
        <v/>
      </c>
      <c r="F982" s="84" t="str">
        <f>IF(B982="","",VLOOKUP(A982,Journal!$C$7:$M$84,11))</f>
        <v/>
      </c>
      <c r="G982" s="102">
        <f>IF(B982="Total",SUM(G$8:G981)+0.0001,IF(OR(B982="",M982=0),0,VLOOKUP(A982,Journal!$C$7:M$84,7)))</f>
        <v>0</v>
      </c>
      <c r="H982" s="102">
        <f>IF(B982="Total",SUM(H$8:H981)+0.0001,IF(OR(B982="",N982=0),0,VLOOKUP(A982,Journal!$C$7:M$84,7)))</f>
        <v>0</v>
      </c>
      <c r="I982" s="87">
        <f t="shared" si="94"/>
        <v>0</v>
      </c>
      <c r="K982" s="13">
        <f>VLOOKUP(A982,Journal!$C$7:$M$84,4)</f>
        <v>0</v>
      </c>
      <c r="L982" s="13">
        <f>VLOOKUP(A982,Journal!$C$7:$M$84,5)</f>
        <v>0</v>
      </c>
      <c r="M982" s="13">
        <f t="shared" si="90"/>
        <v>0</v>
      </c>
      <c r="N982" s="13">
        <f t="shared" si="91"/>
        <v>0</v>
      </c>
      <c r="O982" s="13"/>
      <c r="P982" s="13">
        <f t="shared" si="92"/>
        <v>1.0000000000000001E-5</v>
      </c>
      <c r="T982" t="str">
        <f t="shared" si="93"/>
        <v/>
      </c>
    </row>
    <row r="983" spans="1:20" x14ac:dyDescent="0.25">
      <c r="A983">
        <f t="shared" si="95"/>
        <v>976</v>
      </c>
      <c r="B983" s="88" t="str">
        <f>IF(OR(B982="Total",B982=""),"",IF(VLOOKUP(A983,Journal!$C$7:$E$84,3)=0,"Total",VLOOKUP(A983,Journal!$C$7:$D$84,2)))</f>
        <v/>
      </c>
      <c r="C983" s="86" t="str">
        <f>IF(B983="","",VLOOKUP(A983,Journal!$C$7:$E$84,3))</f>
        <v/>
      </c>
      <c r="D983" s="84" t="str">
        <f>IF(B983="","",VLOOKUP(A983,Journal!$C$7:$J$84,8))</f>
        <v/>
      </c>
      <c r="E983" s="84" t="str">
        <f>IF(B983="","",VLOOKUP(A983,Journal!$C$7:$L$84,10))</f>
        <v/>
      </c>
      <c r="F983" s="84" t="str">
        <f>IF(B983="","",VLOOKUP(A983,Journal!$C$7:$M$84,11))</f>
        <v/>
      </c>
      <c r="G983" s="102">
        <f>IF(B983="Total",SUM(G$8:G982)+0.0001,IF(OR(B983="",M983=0),0,VLOOKUP(A983,Journal!$C$7:M$84,7)))</f>
        <v>0</v>
      </c>
      <c r="H983" s="102">
        <f>IF(B983="Total",SUM(H$8:H982)+0.0001,IF(OR(B983="",N983=0),0,VLOOKUP(A983,Journal!$C$7:M$84,7)))</f>
        <v>0</v>
      </c>
      <c r="I983" s="87">
        <f t="shared" si="94"/>
        <v>0</v>
      </c>
      <c r="K983" s="13">
        <f>VLOOKUP(A983,Journal!$C$7:$M$84,4)</f>
        <v>0</v>
      </c>
      <c r="L983" s="13">
        <f>VLOOKUP(A983,Journal!$C$7:$M$84,5)</f>
        <v>0</v>
      </c>
      <c r="M983" s="13">
        <f t="shared" si="90"/>
        <v>0</v>
      </c>
      <c r="N983" s="13">
        <f t="shared" si="91"/>
        <v>0</v>
      </c>
      <c r="O983" s="13"/>
      <c r="P983" s="13">
        <f t="shared" si="92"/>
        <v>1.0000000000000001E-5</v>
      </c>
      <c r="T983" t="str">
        <f t="shared" si="93"/>
        <v/>
      </c>
    </row>
    <row r="984" spans="1:20" x14ac:dyDescent="0.25">
      <c r="A984">
        <f t="shared" si="95"/>
        <v>977</v>
      </c>
      <c r="B984" s="88" t="str">
        <f>IF(OR(B983="Total",B983=""),"",IF(VLOOKUP(A984,Journal!$C$7:$E$84,3)=0,"Total",VLOOKUP(A984,Journal!$C$7:$D$84,2)))</f>
        <v/>
      </c>
      <c r="C984" s="86" t="str">
        <f>IF(B984="","",VLOOKUP(A984,Journal!$C$7:$E$84,3))</f>
        <v/>
      </c>
      <c r="D984" s="84" t="str">
        <f>IF(B984="","",VLOOKUP(A984,Journal!$C$7:$J$84,8))</f>
        <v/>
      </c>
      <c r="E984" s="84" t="str">
        <f>IF(B984="","",VLOOKUP(A984,Journal!$C$7:$L$84,10))</f>
        <v/>
      </c>
      <c r="F984" s="84" t="str">
        <f>IF(B984="","",VLOOKUP(A984,Journal!$C$7:$M$84,11))</f>
        <v/>
      </c>
      <c r="G984" s="102">
        <f>IF(B984="Total",SUM(G$8:G983)+0.0001,IF(OR(B984="",M984=0),0,VLOOKUP(A984,Journal!$C$7:M$84,7)))</f>
        <v>0</v>
      </c>
      <c r="H984" s="102">
        <f>IF(B984="Total",SUM(H$8:H983)+0.0001,IF(OR(B984="",N984=0),0,VLOOKUP(A984,Journal!$C$7:M$84,7)))</f>
        <v>0</v>
      </c>
      <c r="I984" s="87">
        <f t="shared" si="94"/>
        <v>0</v>
      </c>
      <c r="K984" s="13">
        <f>VLOOKUP(A984,Journal!$C$7:$M$84,4)</f>
        <v>0</v>
      </c>
      <c r="L984" s="13">
        <f>VLOOKUP(A984,Journal!$C$7:$M$84,5)</f>
        <v>0</v>
      </c>
      <c r="M984" s="13">
        <f t="shared" si="90"/>
        <v>0</v>
      </c>
      <c r="N984" s="13">
        <f t="shared" si="91"/>
        <v>0</v>
      </c>
      <c r="O984" s="13"/>
      <c r="P984" s="13">
        <f t="shared" si="92"/>
        <v>1.0000000000000001E-5</v>
      </c>
      <c r="T984" t="str">
        <f t="shared" si="93"/>
        <v/>
      </c>
    </row>
    <row r="985" spans="1:20" x14ac:dyDescent="0.25">
      <c r="A985">
        <f t="shared" si="95"/>
        <v>978</v>
      </c>
      <c r="B985" s="88" t="str">
        <f>IF(OR(B984="Total",B984=""),"",IF(VLOOKUP(A985,Journal!$C$7:$E$84,3)=0,"Total",VLOOKUP(A985,Journal!$C$7:$D$84,2)))</f>
        <v/>
      </c>
      <c r="C985" s="86" t="str">
        <f>IF(B985="","",VLOOKUP(A985,Journal!$C$7:$E$84,3))</f>
        <v/>
      </c>
      <c r="D985" s="84" t="str">
        <f>IF(B985="","",VLOOKUP(A985,Journal!$C$7:$J$84,8))</f>
        <v/>
      </c>
      <c r="E985" s="84" t="str">
        <f>IF(B985="","",VLOOKUP(A985,Journal!$C$7:$L$84,10))</f>
        <v/>
      </c>
      <c r="F985" s="84" t="str">
        <f>IF(B985="","",VLOOKUP(A985,Journal!$C$7:$M$84,11))</f>
        <v/>
      </c>
      <c r="G985" s="102">
        <f>IF(B985="Total",SUM(G$8:G984)+0.0001,IF(OR(B985="",M985=0),0,VLOOKUP(A985,Journal!$C$7:M$84,7)))</f>
        <v>0</v>
      </c>
      <c r="H985" s="102">
        <f>IF(B985="Total",SUM(H$8:H984)+0.0001,IF(OR(B985="",N985=0),0,VLOOKUP(A985,Journal!$C$7:M$84,7)))</f>
        <v>0</v>
      </c>
      <c r="I985" s="87">
        <f t="shared" si="94"/>
        <v>0</v>
      </c>
      <c r="K985" s="13">
        <f>VLOOKUP(A985,Journal!$C$7:$M$84,4)</f>
        <v>0</v>
      </c>
      <c r="L985" s="13">
        <f>VLOOKUP(A985,Journal!$C$7:$M$84,5)</f>
        <v>0</v>
      </c>
      <c r="M985" s="13">
        <f t="shared" ref="M985:M1018" si="96">IF(AND(L985&gt;=$F$1,L985&lt;9999),1,0)</f>
        <v>0</v>
      </c>
      <c r="N985" s="13">
        <f t="shared" ref="N985:N1018" si="97">IF(AND(K985&gt;=$F$1,K985&lt;9999),1,0)</f>
        <v>0</v>
      </c>
      <c r="O985" s="13"/>
      <c r="P985" s="13">
        <f t="shared" ref="P985:P1018" si="98">IF(I984=I985,I984+0.00001,I985)</f>
        <v>1.0000000000000001E-5</v>
      </c>
      <c r="T985" t="str">
        <f t="shared" si="93"/>
        <v/>
      </c>
    </row>
    <row r="986" spans="1:20" x14ac:dyDescent="0.25">
      <c r="A986">
        <f t="shared" si="95"/>
        <v>979</v>
      </c>
      <c r="B986" s="88" t="str">
        <f>IF(OR(B985="Total",B985=""),"",IF(VLOOKUP(A986,Journal!$C$7:$E$84,3)=0,"Total",VLOOKUP(A986,Journal!$C$7:$D$84,2)))</f>
        <v/>
      </c>
      <c r="C986" s="86" t="str">
        <f>IF(B986="","",VLOOKUP(A986,Journal!$C$7:$E$84,3))</f>
        <v/>
      </c>
      <c r="D986" s="84" t="str">
        <f>IF(B986="","",VLOOKUP(A986,Journal!$C$7:$J$84,8))</f>
        <v/>
      </c>
      <c r="E986" s="84" t="str">
        <f>IF(B986="","",VLOOKUP(A986,Journal!$C$7:$L$84,10))</f>
        <v/>
      </c>
      <c r="F986" s="84" t="str">
        <f>IF(B986="","",VLOOKUP(A986,Journal!$C$7:$M$84,11))</f>
        <v/>
      </c>
      <c r="G986" s="102">
        <f>IF(B986="Total",SUM(G$8:G985)+0.0001,IF(OR(B986="",M986=0),0,VLOOKUP(A986,Journal!$C$7:M$84,7)))</f>
        <v>0</v>
      </c>
      <c r="H986" s="102">
        <f>IF(B986="Total",SUM(H$8:H985)+0.0001,IF(OR(B986="",N986=0),0,VLOOKUP(A986,Journal!$C$7:M$84,7)))</f>
        <v>0</v>
      </c>
      <c r="I986" s="87">
        <f t="shared" si="94"/>
        <v>0</v>
      </c>
      <c r="K986" s="13">
        <f>VLOOKUP(A986,Journal!$C$7:$M$84,4)</f>
        <v>0</v>
      </c>
      <c r="L986" s="13">
        <f>VLOOKUP(A986,Journal!$C$7:$M$84,5)</f>
        <v>0</v>
      </c>
      <c r="M986" s="13">
        <f t="shared" si="96"/>
        <v>0</v>
      </c>
      <c r="N986" s="13">
        <f t="shared" si="97"/>
        <v>0</v>
      </c>
      <c r="O986" s="13"/>
      <c r="P986" s="13">
        <f t="shared" si="98"/>
        <v>1.0000000000000001E-5</v>
      </c>
      <c r="T986" t="str">
        <f t="shared" si="93"/>
        <v/>
      </c>
    </row>
    <row r="987" spans="1:20" x14ac:dyDescent="0.25">
      <c r="A987">
        <f t="shared" si="95"/>
        <v>980</v>
      </c>
      <c r="B987" s="88" t="str">
        <f>IF(OR(B986="Total",B986=""),"",IF(VLOOKUP(A987,Journal!$C$7:$E$84,3)=0,"Total",VLOOKUP(A987,Journal!$C$7:$D$84,2)))</f>
        <v/>
      </c>
      <c r="C987" s="86" t="str">
        <f>IF(B987="","",VLOOKUP(A987,Journal!$C$7:$E$84,3))</f>
        <v/>
      </c>
      <c r="D987" s="84" t="str">
        <f>IF(B987="","",VLOOKUP(A987,Journal!$C$7:$J$84,8))</f>
        <v/>
      </c>
      <c r="E987" s="84" t="str">
        <f>IF(B987="","",VLOOKUP(A987,Journal!$C$7:$L$84,10))</f>
        <v/>
      </c>
      <c r="F987" s="84" t="str">
        <f>IF(B987="","",VLOOKUP(A987,Journal!$C$7:$M$84,11))</f>
        <v/>
      </c>
      <c r="G987" s="102">
        <f>IF(B987="Total",SUM(G$8:G986)+0.0001,IF(OR(B987="",M987=0),0,VLOOKUP(A987,Journal!$C$7:M$84,7)))</f>
        <v>0</v>
      </c>
      <c r="H987" s="102">
        <f>IF(B987="Total",SUM(H$8:H986)+0.0001,IF(OR(B987="",N987=0),0,VLOOKUP(A987,Journal!$C$7:M$84,7)))</f>
        <v>0</v>
      </c>
      <c r="I987" s="87">
        <f t="shared" si="94"/>
        <v>0</v>
      </c>
      <c r="K987" s="13">
        <f>VLOOKUP(A987,Journal!$C$7:$M$84,4)</f>
        <v>0</v>
      </c>
      <c r="L987" s="13">
        <f>VLOOKUP(A987,Journal!$C$7:$M$84,5)</f>
        <v>0</v>
      </c>
      <c r="M987" s="13">
        <f t="shared" si="96"/>
        <v>0</v>
      </c>
      <c r="N987" s="13">
        <f t="shared" si="97"/>
        <v>0</v>
      </c>
      <c r="O987" s="13"/>
      <c r="P987" s="13">
        <f t="shared" si="98"/>
        <v>1.0000000000000001E-5</v>
      </c>
      <c r="T987" t="str">
        <f t="shared" si="93"/>
        <v/>
      </c>
    </row>
    <row r="988" spans="1:20" x14ac:dyDescent="0.25">
      <c r="A988">
        <f t="shared" si="95"/>
        <v>981</v>
      </c>
      <c r="B988" s="88" t="str">
        <f>IF(OR(B987="Total",B987=""),"",IF(VLOOKUP(A988,Journal!$C$7:$E$84,3)=0,"Total",VLOOKUP(A988,Journal!$C$7:$D$84,2)))</f>
        <v/>
      </c>
      <c r="C988" s="86" t="str">
        <f>IF(B988="","",VLOOKUP(A988,Journal!$C$7:$E$84,3))</f>
        <v/>
      </c>
      <c r="D988" s="84" t="str">
        <f>IF(B988="","",VLOOKUP(A988,Journal!$C$7:$J$84,8))</f>
        <v/>
      </c>
      <c r="E988" s="84" t="str">
        <f>IF(B988="","",VLOOKUP(A988,Journal!$C$7:$L$84,10))</f>
        <v/>
      </c>
      <c r="F988" s="84" t="str">
        <f>IF(B988="","",VLOOKUP(A988,Journal!$C$7:$M$84,11))</f>
        <v/>
      </c>
      <c r="G988" s="102">
        <f>IF(B988="Total",SUM(G$8:G987)+0.0001,IF(OR(B988="",M988=0),0,VLOOKUP(A988,Journal!$C$7:M$84,7)))</f>
        <v>0</v>
      </c>
      <c r="H988" s="102">
        <f>IF(B988="Total",SUM(H$8:H987)+0.0001,IF(OR(B988="",N988=0),0,VLOOKUP(A988,Journal!$C$7:M$84,7)))</f>
        <v>0</v>
      </c>
      <c r="I988" s="87">
        <f t="shared" si="94"/>
        <v>0</v>
      </c>
      <c r="K988" s="13">
        <f>VLOOKUP(A988,Journal!$C$7:$M$84,4)</f>
        <v>0</v>
      </c>
      <c r="L988" s="13">
        <f>VLOOKUP(A988,Journal!$C$7:$M$84,5)</f>
        <v>0</v>
      </c>
      <c r="M988" s="13">
        <f t="shared" si="96"/>
        <v>0</v>
      </c>
      <c r="N988" s="13">
        <f t="shared" si="97"/>
        <v>0</v>
      </c>
      <c r="O988" s="13"/>
      <c r="P988" s="13">
        <f t="shared" si="98"/>
        <v>1.0000000000000001E-5</v>
      </c>
      <c r="T988" t="str">
        <f t="shared" si="93"/>
        <v/>
      </c>
    </row>
    <row r="989" spans="1:20" x14ac:dyDescent="0.25">
      <c r="A989">
        <f t="shared" si="95"/>
        <v>982</v>
      </c>
      <c r="B989" s="88" t="str">
        <f>IF(OR(B988="Total",B988=""),"",IF(VLOOKUP(A989,Journal!$C$7:$E$84,3)=0,"Total",VLOOKUP(A989,Journal!$C$7:$D$84,2)))</f>
        <v/>
      </c>
      <c r="C989" s="86" t="str">
        <f>IF(B989="","",VLOOKUP(A989,Journal!$C$7:$E$84,3))</f>
        <v/>
      </c>
      <c r="D989" s="84" t="str">
        <f>IF(B989="","",VLOOKUP(A989,Journal!$C$7:$J$84,8))</f>
        <v/>
      </c>
      <c r="E989" s="84" t="str">
        <f>IF(B989="","",VLOOKUP(A989,Journal!$C$7:$L$84,10))</f>
        <v/>
      </c>
      <c r="F989" s="84" t="str">
        <f>IF(B989="","",VLOOKUP(A989,Journal!$C$7:$M$84,11))</f>
        <v/>
      </c>
      <c r="G989" s="102">
        <f>IF(B989="Total",SUM(G$8:G988)+0.0001,IF(OR(B989="",M989=0),0,VLOOKUP(A989,Journal!$C$7:M$84,7)))</f>
        <v>0</v>
      </c>
      <c r="H989" s="102">
        <f>IF(B989="Total",SUM(H$8:H988)+0.0001,IF(OR(B989="",N989=0),0,VLOOKUP(A989,Journal!$C$7:M$84,7)))</f>
        <v>0</v>
      </c>
      <c r="I989" s="87">
        <f t="shared" si="94"/>
        <v>0</v>
      </c>
      <c r="K989" s="13">
        <f>VLOOKUP(A989,Journal!$C$7:$M$84,4)</f>
        <v>0</v>
      </c>
      <c r="L989" s="13">
        <f>VLOOKUP(A989,Journal!$C$7:$M$84,5)</f>
        <v>0</v>
      </c>
      <c r="M989" s="13">
        <f t="shared" si="96"/>
        <v>0</v>
      </c>
      <c r="N989" s="13">
        <f t="shared" si="97"/>
        <v>0</v>
      </c>
      <c r="O989" s="13"/>
      <c r="P989" s="13">
        <f t="shared" si="98"/>
        <v>1.0000000000000001E-5</v>
      </c>
      <c r="T989" t="str">
        <f t="shared" si="93"/>
        <v/>
      </c>
    </row>
    <row r="990" spans="1:20" x14ac:dyDescent="0.25">
      <c r="A990">
        <f t="shared" si="95"/>
        <v>983</v>
      </c>
      <c r="B990" s="88" t="str">
        <f>IF(OR(B989="Total",B989=""),"",IF(VLOOKUP(A990,Journal!$C$7:$E$84,3)=0,"Total",VLOOKUP(A990,Journal!$C$7:$D$84,2)))</f>
        <v/>
      </c>
      <c r="C990" s="86" t="str">
        <f>IF(B990="","",VLOOKUP(A990,Journal!$C$7:$E$84,3))</f>
        <v/>
      </c>
      <c r="D990" s="84" t="str">
        <f>IF(B990="","",VLOOKUP(A990,Journal!$C$7:$J$84,8))</f>
        <v/>
      </c>
      <c r="E990" s="84" t="str">
        <f>IF(B990="","",VLOOKUP(A990,Journal!$C$7:$L$84,10))</f>
        <v/>
      </c>
      <c r="F990" s="84" t="str">
        <f>IF(B990="","",VLOOKUP(A990,Journal!$C$7:$M$84,11))</f>
        <v/>
      </c>
      <c r="G990" s="102">
        <f>IF(B990="Total",SUM(G$8:G989)+0.0001,IF(OR(B990="",M990=0),0,VLOOKUP(A990,Journal!$C$7:M$84,7)))</f>
        <v>0</v>
      </c>
      <c r="H990" s="102">
        <f>IF(B990="Total",SUM(H$8:H989)+0.0001,IF(OR(B990="",N990=0),0,VLOOKUP(A990,Journal!$C$7:M$84,7)))</f>
        <v>0</v>
      </c>
      <c r="I990" s="87">
        <f t="shared" si="94"/>
        <v>0</v>
      </c>
      <c r="K990" s="13">
        <f>VLOOKUP(A990,Journal!$C$7:$M$84,4)</f>
        <v>0</v>
      </c>
      <c r="L990" s="13">
        <f>VLOOKUP(A990,Journal!$C$7:$M$84,5)</f>
        <v>0</v>
      </c>
      <c r="M990" s="13">
        <f t="shared" si="96"/>
        <v>0</v>
      </c>
      <c r="N990" s="13">
        <f t="shared" si="97"/>
        <v>0</v>
      </c>
      <c r="O990" s="13"/>
      <c r="P990" s="13">
        <f t="shared" si="98"/>
        <v>1.0000000000000001E-5</v>
      </c>
      <c r="T990" t="str">
        <f t="shared" si="93"/>
        <v/>
      </c>
    </row>
    <row r="991" spans="1:20" x14ac:dyDescent="0.25">
      <c r="A991">
        <f t="shared" si="95"/>
        <v>984</v>
      </c>
      <c r="B991" s="88" t="str">
        <f>IF(OR(B990="Total",B990=""),"",IF(VLOOKUP(A991,Journal!$C$7:$E$84,3)=0,"Total",VLOOKUP(A991,Journal!$C$7:$D$84,2)))</f>
        <v/>
      </c>
      <c r="C991" s="86" t="str">
        <f>IF(B991="","",VLOOKUP(A991,Journal!$C$7:$E$84,3))</f>
        <v/>
      </c>
      <c r="D991" s="84" t="str">
        <f>IF(B991="","",VLOOKUP(A991,Journal!$C$7:$J$84,8))</f>
        <v/>
      </c>
      <c r="E991" s="84" t="str">
        <f>IF(B991="","",VLOOKUP(A991,Journal!$C$7:$L$84,10))</f>
        <v/>
      </c>
      <c r="F991" s="84" t="str">
        <f>IF(B991="","",VLOOKUP(A991,Journal!$C$7:$M$84,11))</f>
        <v/>
      </c>
      <c r="G991" s="102">
        <f>IF(B991="Total",SUM(G$8:G990)+0.0001,IF(OR(B991="",M991=0),0,VLOOKUP(A991,Journal!$C$7:M$84,7)))</f>
        <v>0</v>
      </c>
      <c r="H991" s="102">
        <f>IF(B991="Total",SUM(H$8:H990)+0.0001,IF(OR(B991="",N991=0),0,VLOOKUP(A991,Journal!$C$7:M$84,7)))</f>
        <v>0</v>
      </c>
      <c r="I991" s="87">
        <f t="shared" si="94"/>
        <v>0</v>
      </c>
      <c r="K991" s="13">
        <f>VLOOKUP(A991,Journal!$C$7:$M$84,4)</f>
        <v>0</v>
      </c>
      <c r="L991" s="13">
        <f>VLOOKUP(A991,Journal!$C$7:$M$84,5)</f>
        <v>0</v>
      </c>
      <c r="M991" s="13">
        <f t="shared" si="96"/>
        <v>0</v>
      </c>
      <c r="N991" s="13">
        <f t="shared" si="97"/>
        <v>0</v>
      </c>
      <c r="O991" s="13"/>
      <c r="P991" s="13">
        <f t="shared" si="98"/>
        <v>1.0000000000000001E-5</v>
      </c>
      <c r="T991" t="str">
        <f t="shared" si="93"/>
        <v/>
      </c>
    </row>
    <row r="992" spans="1:20" x14ac:dyDescent="0.25">
      <c r="A992">
        <f t="shared" si="95"/>
        <v>985</v>
      </c>
      <c r="B992" s="88" t="str">
        <f>IF(OR(B991="Total",B991=""),"",IF(VLOOKUP(A992,Journal!$C$7:$E$84,3)=0,"Total",VLOOKUP(A992,Journal!$C$7:$D$84,2)))</f>
        <v/>
      </c>
      <c r="C992" s="86" t="str">
        <f>IF(B992="","",VLOOKUP(A992,Journal!$C$7:$E$84,3))</f>
        <v/>
      </c>
      <c r="D992" s="84" t="str">
        <f>IF(B992="","",VLOOKUP(A992,Journal!$C$7:$J$84,8))</f>
        <v/>
      </c>
      <c r="E992" s="84" t="str">
        <f>IF(B992="","",VLOOKUP(A992,Journal!$C$7:$L$84,10))</f>
        <v/>
      </c>
      <c r="F992" s="84" t="str">
        <f>IF(B992="","",VLOOKUP(A992,Journal!$C$7:$M$84,11))</f>
        <v/>
      </c>
      <c r="G992" s="102">
        <f>IF(B992="Total",SUM(G$8:G991)+0.0001,IF(OR(B992="",M992=0),0,VLOOKUP(A992,Journal!$C$7:M$84,7)))</f>
        <v>0</v>
      </c>
      <c r="H992" s="102">
        <f>IF(B992="Total",SUM(H$8:H991)+0.0001,IF(OR(B992="",N992=0),0,VLOOKUP(A992,Journal!$C$7:M$84,7)))</f>
        <v>0</v>
      </c>
      <c r="I992" s="87">
        <f t="shared" si="94"/>
        <v>0</v>
      </c>
      <c r="K992" s="13">
        <f>VLOOKUP(A992,Journal!$C$7:$M$84,4)</f>
        <v>0</v>
      </c>
      <c r="L992" s="13">
        <f>VLOOKUP(A992,Journal!$C$7:$M$84,5)</f>
        <v>0</v>
      </c>
      <c r="M992" s="13">
        <f t="shared" si="96"/>
        <v>0</v>
      </c>
      <c r="N992" s="13">
        <f t="shared" si="97"/>
        <v>0</v>
      </c>
      <c r="O992" s="13"/>
      <c r="P992" s="13">
        <f t="shared" si="98"/>
        <v>1.0000000000000001E-5</v>
      </c>
      <c r="T992" t="str">
        <f t="shared" si="93"/>
        <v/>
      </c>
    </row>
    <row r="993" spans="1:20" x14ac:dyDescent="0.25">
      <c r="A993">
        <f t="shared" si="95"/>
        <v>986</v>
      </c>
      <c r="B993" s="88" t="str">
        <f>IF(OR(B992="Total",B992=""),"",IF(VLOOKUP(A993,Journal!$C$7:$E$84,3)=0,"Total",VLOOKUP(A993,Journal!$C$7:$D$84,2)))</f>
        <v/>
      </c>
      <c r="C993" s="86" t="str">
        <f>IF(B993="","",VLOOKUP(A993,Journal!$C$7:$E$84,3))</f>
        <v/>
      </c>
      <c r="D993" s="84" t="str">
        <f>IF(B993="","",VLOOKUP(A993,Journal!$C$7:$J$84,8))</f>
        <v/>
      </c>
      <c r="E993" s="84" t="str">
        <f>IF(B993="","",VLOOKUP(A993,Journal!$C$7:$L$84,10))</f>
        <v/>
      </c>
      <c r="F993" s="84" t="str">
        <f>IF(B993="","",VLOOKUP(A993,Journal!$C$7:$M$84,11))</f>
        <v/>
      </c>
      <c r="G993" s="102">
        <f>IF(B993="Total",SUM(G$8:G992)+0.0001,IF(OR(B993="",M993=0),0,VLOOKUP(A993,Journal!$C$7:M$84,7)))</f>
        <v>0</v>
      </c>
      <c r="H993" s="102">
        <f>IF(B993="Total",SUM(H$8:H992)+0.0001,IF(OR(B993="",N993=0),0,VLOOKUP(A993,Journal!$C$7:M$84,7)))</f>
        <v>0</v>
      </c>
      <c r="I993" s="87">
        <f t="shared" si="94"/>
        <v>0</v>
      </c>
      <c r="K993" s="13">
        <f>VLOOKUP(A993,Journal!$C$7:$M$84,4)</f>
        <v>0</v>
      </c>
      <c r="L993" s="13">
        <f>VLOOKUP(A993,Journal!$C$7:$M$84,5)</f>
        <v>0</v>
      </c>
      <c r="M993" s="13">
        <f t="shared" si="96"/>
        <v>0</v>
      </c>
      <c r="N993" s="13">
        <f t="shared" si="97"/>
        <v>0</v>
      </c>
      <c r="O993" s="13"/>
      <c r="P993" s="13">
        <f t="shared" si="98"/>
        <v>1.0000000000000001E-5</v>
      </c>
      <c r="T993" t="str">
        <f t="shared" si="93"/>
        <v/>
      </c>
    </row>
    <row r="994" spans="1:20" x14ac:dyDescent="0.25">
      <c r="A994">
        <f t="shared" si="95"/>
        <v>987</v>
      </c>
      <c r="B994" s="88" t="str">
        <f>IF(OR(B993="Total",B993=""),"",IF(VLOOKUP(A994,Journal!$C$7:$E$84,3)=0,"Total",VLOOKUP(A994,Journal!$C$7:$D$84,2)))</f>
        <v/>
      </c>
      <c r="C994" s="86" t="str">
        <f>IF(B994="","",VLOOKUP(A994,Journal!$C$7:$E$84,3))</f>
        <v/>
      </c>
      <c r="D994" s="84" t="str">
        <f>IF(B994="","",VLOOKUP(A994,Journal!$C$7:$J$84,8))</f>
        <v/>
      </c>
      <c r="E994" s="84" t="str">
        <f>IF(B994="","",VLOOKUP(A994,Journal!$C$7:$L$84,10))</f>
        <v/>
      </c>
      <c r="F994" s="84" t="str">
        <f>IF(B994="","",VLOOKUP(A994,Journal!$C$7:$M$84,11))</f>
        <v/>
      </c>
      <c r="G994" s="102">
        <f>IF(B994="Total",SUM(G$8:G993)+0.0001,IF(OR(B994="",M994=0),0,VLOOKUP(A994,Journal!$C$7:M$84,7)))</f>
        <v>0</v>
      </c>
      <c r="H994" s="102">
        <f>IF(B994="Total",SUM(H$8:H993)+0.0001,IF(OR(B994="",N994=0),0,VLOOKUP(A994,Journal!$C$7:M$84,7)))</f>
        <v>0</v>
      </c>
      <c r="I994" s="87">
        <f t="shared" si="94"/>
        <v>0</v>
      </c>
      <c r="K994" s="13">
        <f>VLOOKUP(A994,Journal!$C$7:$M$84,4)</f>
        <v>0</v>
      </c>
      <c r="L994" s="13">
        <f>VLOOKUP(A994,Journal!$C$7:$M$84,5)</f>
        <v>0</v>
      </c>
      <c r="M994" s="13">
        <f t="shared" si="96"/>
        <v>0</v>
      </c>
      <c r="N994" s="13">
        <f t="shared" si="97"/>
        <v>0</v>
      </c>
      <c r="O994" s="13"/>
      <c r="P994" s="13">
        <f t="shared" si="98"/>
        <v>1.0000000000000001E-5</v>
      </c>
      <c r="T994" t="str">
        <f t="shared" si="93"/>
        <v/>
      </c>
    </row>
    <row r="995" spans="1:20" x14ac:dyDescent="0.25">
      <c r="A995">
        <f t="shared" si="95"/>
        <v>988</v>
      </c>
      <c r="B995" s="88" t="str">
        <f>IF(OR(B994="Total",B994=""),"",IF(VLOOKUP(A995,Journal!$C$7:$E$84,3)=0,"Total",VLOOKUP(A995,Journal!$C$7:$D$84,2)))</f>
        <v/>
      </c>
      <c r="C995" s="86" t="str">
        <f>IF(B995="","",VLOOKUP(A995,Journal!$C$7:$E$84,3))</f>
        <v/>
      </c>
      <c r="D995" s="84" t="str">
        <f>IF(B995="","",VLOOKUP(A995,Journal!$C$7:$J$84,8))</f>
        <v/>
      </c>
      <c r="E995" s="84" t="str">
        <f>IF(B995="","",VLOOKUP(A995,Journal!$C$7:$L$84,10))</f>
        <v/>
      </c>
      <c r="F995" s="84" t="str">
        <f>IF(B995="","",VLOOKUP(A995,Journal!$C$7:$M$84,11))</f>
        <v/>
      </c>
      <c r="G995" s="102">
        <f>IF(B995="Total",SUM(G$8:G994)+0.0001,IF(OR(B995="",M995=0),0,VLOOKUP(A995,Journal!$C$7:M$84,7)))</f>
        <v>0</v>
      </c>
      <c r="H995" s="102">
        <f>IF(B995="Total",SUM(H$8:H994)+0.0001,IF(OR(B995="",N995=0),0,VLOOKUP(A995,Journal!$C$7:M$84,7)))</f>
        <v>0</v>
      </c>
      <c r="I995" s="87">
        <f t="shared" si="94"/>
        <v>0</v>
      </c>
      <c r="K995" s="13">
        <f>VLOOKUP(A995,Journal!$C$7:$M$84,4)</f>
        <v>0</v>
      </c>
      <c r="L995" s="13">
        <f>VLOOKUP(A995,Journal!$C$7:$M$84,5)</f>
        <v>0</v>
      </c>
      <c r="M995" s="13">
        <f t="shared" si="96"/>
        <v>0</v>
      </c>
      <c r="N995" s="13">
        <f t="shared" si="97"/>
        <v>0</v>
      </c>
      <c r="O995" s="13"/>
      <c r="P995" s="13">
        <f t="shared" si="98"/>
        <v>1.0000000000000001E-5</v>
      </c>
      <c r="T995" t="str">
        <f t="shared" si="93"/>
        <v/>
      </c>
    </row>
    <row r="996" spans="1:20" x14ac:dyDescent="0.25">
      <c r="A996">
        <f t="shared" si="95"/>
        <v>989</v>
      </c>
      <c r="B996" s="88" t="str">
        <f>IF(OR(B995="Total",B995=""),"",IF(VLOOKUP(A996,Journal!$C$7:$E$84,3)=0,"Total",VLOOKUP(A996,Journal!$C$7:$D$84,2)))</f>
        <v/>
      </c>
      <c r="C996" s="86" t="str">
        <f>IF(B996="","",VLOOKUP(A996,Journal!$C$7:$E$84,3))</f>
        <v/>
      </c>
      <c r="D996" s="84" t="str">
        <f>IF(B996="","",VLOOKUP(A996,Journal!$C$7:$J$84,8))</f>
        <v/>
      </c>
      <c r="E996" s="84" t="str">
        <f>IF(B996="","",VLOOKUP(A996,Journal!$C$7:$L$84,10))</f>
        <v/>
      </c>
      <c r="F996" s="84" t="str">
        <f>IF(B996="","",VLOOKUP(A996,Journal!$C$7:$M$84,11))</f>
        <v/>
      </c>
      <c r="G996" s="102">
        <f>IF(B996="Total",SUM(G$8:G995)+0.0001,IF(OR(B996="",M996=0),0,VLOOKUP(A996,Journal!$C$7:M$84,7)))</f>
        <v>0</v>
      </c>
      <c r="H996" s="102">
        <f>IF(B996="Total",SUM(H$8:H995)+0.0001,IF(OR(B996="",N996=0),0,VLOOKUP(A996,Journal!$C$7:M$84,7)))</f>
        <v>0</v>
      </c>
      <c r="I996" s="87">
        <f t="shared" si="94"/>
        <v>0</v>
      </c>
      <c r="K996" s="13">
        <f>VLOOKUP(A996,Journal!$C$7:$M$84,4)</f>
        <v>0</v>
      </c>
      <c r="L996" s="13">
        <f>VLOOKUP(A996,Journal!$C$7:$M$84,5)</f>
        <v>0</v>
      </c>
      <c r="M996" s="13">
        <f t="shared" si="96"/>
        <v>0</v>
      </c>
      <c r="N996" s="13">
        <f t="shared" si="97"/>
        <v>0</v>
      </c>
      <c r="O996" s="13"/>
      <c r="P996" s="13">
        <f t="shared" si="98"/>
        <v>1.0000000000000001E-5</v>
      </c>
      <c r="T996" t="str">
        <f t="shared" si="93"/>
        <v/>
      </c>
    </row>
    <row r="997" spans="1:20" x14ac:dyDescent="0.25">
      <c r="A997">
        <f t="shared" si="95"/>
        <v>990</v>
      </c>
      <c r="B997" s="88" t="str">
        <f>IF(OR(B996="Total",B996=""),"",IF(VLOOKUP(A997,Journal!$C$7:$E$84,3)=0,"Total",VLOOKUP(A997,Journal!$C$7:$D$84,2)))</f>
        <v/>
      </c>
      <c r="C997" s="86" t="str">
        <f>IF(B997="","",VLOOKUP(A997,Journal!$C$7:$E$84,3))</f>
        <v/>
      </c>
      <c r="D997" s="84" t="str">
        <f>IF(B997="","",VLOOKUP(A997,Journal!$C$7:$J$84,8))</f>
        <v/>
      </c>
      <c r="E997" s="84" t="str">
        <f>IF(B997="","",VLOOKUP(A997,Journal!$C$7:$L$84,10))</f>
        <v/>
      </c>
      <c r="F997" s="84" t="str">
        <f>IF(B997="","",VLOOKUP(A997,Journal!$C$7:$M$84,11))</f>
        <v/>
      </c>
      <c r="G997" s="102">
        <f>IF(B997="Total",SUM(G$8:G996)+0.0001,IF(OR(B997="",M997=0),0,VLOOKUP(A997,Journal!$C$7:M$84,7)))</f>
        <v>0</v>
      </c>
      <c r="H997" s="102">
        <f>IF(B997="Total",SUM(H$8:H996)+0.0001,IF(OR(B997="",N997=0),0,VLOOKUP(A997,Journal!$C$7:M$84,7)))</f>
        <v>0</v>
      </c>
      <c r="I997" s="87">
        <f t="shared" si="94"/>
        <v>0</v>
      </c>
      <c r="K997" s="13">
        <f>VLOOKUP(A997,Journal!$C$7:$M$84,4)</f>
        <v>0</v>
      </c>
      <c r="L997" s="13">
        <f>VLOOKUP(A997,Journal!$C$7:$M$84,5)</f>
        <v>0</v>
      </c>
      <c r="M997" s="13">
        <f t="shared" si="96"/>
        <v>0</v>
      </c>
      <c r="N997" s="13">
        <f t="shared" si="97"/>
        <v>0</v>
      </c>
      <c r="O997" s="13"/>
      <c r="P997" s="13">
        <f t="shared" si="98"/>
        <v>1.0000000000000001E-5</v>
      </c>
      <c r="T997" t="str">
        <f t="shared" si="93"/>
        <v/>
      </c>
    </row>
    <row r="998" spans="1:20" x14ac:dyDescent="0.25">
      <c r="A998">
        <f t="shared" si="95"/>
        <v>991</v>
      </c>
      <c r="B998" s="88" t="str">
        <f>IF(OR(B997="Total",B997=""),"",IF(VLOOKUP(A998,Journal!$C$7:$E$84,3)=0,"Total",VLOOKUP(A998,Journal!$C$7:$D$84,2)))</f>
        <v/>
      </c>
      <c r="C998" s="86" t="str">
        <f>IF(B998="","",VLOOKUP(A998,Journal!$C$7:$E$84,3))</f>
        <v/>
      </c>
      <c r="D998" s="84" t="str">
        <f>IF(B998="","",VLOOKUP(A998,Journal!$C$7:$J$84,8))</f>
        <v/>
      </c>
      <c r="E998" s="84" t="str">
        <f>IF(B998="","",VLOOKUP(A998,Journal!$C$7:$L$84,10))</f>
        <v/>
      </c>
      <c r="F998" s="84" t="str">
        <f>IF(B998="","",VLOOKUP(A998,Journal!$C$7:$M$84,11))</f>
        <v/>
      </c>
      <c r="G998" s="102">
        <f>IF(B998="Total",SUM(G$8:G997)+0.0001,IF(OR(B998="",M998=0),0,VLOOKUP(A998,Journal!$C$7:M$84,7)))</f>
        <v>0</v>
      </c>
      <c r="H998" s="102">
        <f>IF(B998="Total",SUM(H$8:H997)+0.0001,IF(OR(B998="",N998=0),0,VLOOKUP(A998,Journal!$C$7:M$84,7)))</f>
        <v>0</v>
      </c>
      <c r="I998" s="87">
        <f t="shared" si="94"/>
        <v>0</v>
      </c>
      <c r="K998" s="13">
        <f>VLOOKUP(A998,Journal!$C$7:$M$84,4)</f>
        <v>0</v>
      </c>
      <c r="L998" s="13">
        <f>VLOOKUP(A998,Journal!$C$7:$M$84,5)</f>
        <v>0</v>
      </c>
      <c r="M998" s="13">
        <f t="shared" si="96"/>
        <v>0</v>
      </c>
      <c r="N998" s="13">
        <f t="shared" si="97"/>
        <v>0</v>
      </c>
      <c r="O998" s="13"/>
      <c r="P998" s="13">
        <f t="shared" si="98"/>
        <v>1.0000000000000001E-5</v>
      </c>
      <c r="T998" t="str">
        <f t="shared" si="93"/>
        <v/>
      </c>
    </row>
    <row r="999" spans="1:20" x14ac:dyDescent="0.25">
      <c r="A999">
        <f t="shared" si="95"/>
        <v>992</v>
      </c>
      <c r="B999" s="88" t="str">
        <f>IF(OR(B998="Total",B998=""),"",IF(VLOOKUP(A999,Journal!$C$7:$E$84,3)=0,"Total",VLOOKUP(A999,Journal!$C$7:$D$84,2)))</f>
        <v/>
      </c>
      <c r="C999" s="86" t="str">
        <f>IF(B999="","",VLOOKUP(A999,Journal!$C$7:$E$84,3))</f>
        <v/>
      </c>
      <c r="D999" s="84" t="str">
        <f>IF(B999="","",VLOOKUP(A999,Journal!$C$7:$J$84,8))</f>
        <v/>
      </c>
      <c r="E999" s="84" t="str">
        <f>IF(B999="","",VLOOKUP(A999,Journal!$C$7:$L$84,10))</f>
        <v/>
      </c>
      <c r="F999" s="84" t="str">
        <f>IF(B999="","",VLOOKUP(A999,Journal!$C$7:$M$84,11))</f>
        <v/>
      </c>
      <c r="G999" s="102">
        <f>IF(B999="Total",SUM(G$8:G998)+0.0001,IF(OR(B999="",M999=0),0,VLOOKUP(A999,Journal!$C$7:M$84,7)))</f>
        <v>0</v>
      </c>
      <c r="H999" s="102">
        <f>IF(B999="Total",SUM(H$8:H998)+0.0001,IF(OR(B999="",N999=0),0,VLOOKUP(A999,Journal!$C$7:M$84,7)))</f>
        <v>0</v>
      </c>
      <c r="I999" s="87">
        <f t="shared" si="94"/>
        <v>0</v>
      </c>
      <c r="K999" s="13">
        <f>VLOOKUP(A999,Journal!$C$7:$M$84,4)</f>
        <v>0</v>
      </c>
      <c r="L999" s="13">
        <f>VLOOKUP(A999,Journal!$C$7:$M$84,5)</f>
        <v>0</v>
      </c>
      <c r="M999" s="13">
        <f t="shared" si="96"/>
        <v>0</v>
      </c>
      <c r="N999" s="13">
        <f t="shared" si="97"/>
        <v>0</v>
      </c>
      <c r="O999" s="13"/>
      <c r="P999" s="13">
        <f t="shared" si="98"/>
        <v>1.0000000000000001E-5</v>
      </c>
      <c r="T999" t="str">
        <f t="shared" si="93"/>
        <v/>
      </c>
    </row>
    <row r="1000" spans="1:20" x14ac:dyDescent="0.25">
      <c r="A1000">
        <f t="shared" si="95"/>
        <v>993</v>
      </c>
      <c r="B1000" s="88" t="str">
        <f>IF(OR(B999="Total",B999=""),"",IF(VLOOKUP(A1000,Journal!$C$7:$E$84,3)=0,"Total",VLOOKUP(A1000,Journal!$C$7:$D$84,2)))</f>
        <v/>
      </c>
      <c r="C1000" s="86" t="str">
        <f>IF(B1000="","",VLOOKUP(A1000,Journal!$C$7:$E$84,3))</f>
        <v/>
      </c>
      <c r="D1000" s="84" t="str">
        <f>IF(B1000="","",VLOOKUP(A1000,Journal!$C$7:$J$84,8))</f>
        <v/>
      </c>
      <c r="E1000" s="84" t="str">
        <f>IF(B1000="","",VLOOKUP(A1000,Journal!$C$7:$L$84,10))</f>
        <v/>
      </c>
      <c r="F1000" s="84" t="str">
        <f>IF(B1000="","",VLOOKUP(A1000,Journal!$C$7:$M$84,11))</f>
        <v/>
      </c>
      <c r="G1000" s="102">
        <f>IF(B1000="Total",SUM(G$8:G999)+0.0001,IF(OR(B1000="",M1000=0),0,VLOOKUP(A1000,Journal!$C$7:M$84,7)))</f>
        <v>0</v>
      </c>
      <c r="H1000" s="102">
        <f>IF(B1000="Total",SUM(H$8:H999)+0.0001,IF(OR(B1000="",N1000=0),0,VLOOKUP(A1000,Journal!$C$7:M$84,7)))</f>
        <v>0</v>
      </c>
      <c r="I1000" s="87">
        <f t="shared" si="94"/>
        <v>0</v>
      </c>
      <c r="K1000" s="13">
        <f>VLOOKUP(A1000,Journal!$C$7:$M$84,4)</f>
        <v>0</v>
      </c>
      <c r="L1000" s="13">
        <f>VLOOKUP(A1000,Journal!$C$7:$M$84,5)</f>
        <v>0</v>
      </c>
      <c r="M1000" s="13">
        <f t="shared" si="96"/>
        <v>0</v>
      </c>
      <c r="N1000" s="13">
        <f t="shared" si="97"/>
        <v>0</v>
      </c>
      <c r="O1000" s="13"/>
      <c r="P1000" s="13">
        <f t="shared" si="98"/>
        <v>1.0000000000000001E-5</v>
      </c>
      <c r="T1000" t="str">
        <f t="shared" si="93"/>
        <v/>
      </c>
    </row>
    <row r="1001" spans="1:20" x14ac:dyDescent="0.25">
      <c r="A1001">
        <f t="shared" si="95"/>
        <v>994</v>
      </c>
      <c r="B1001" s="88" t="str">
        <f>IF(OR(B1000="Total",B1000=""),"",IF(VLOOKUP(A1001,Journal!$C$7:$E$84,3)=0,"Total",VLOOKUP(A1001,Journal!$C$7:$D$84,2)))</f>
        <v/>
      </c>
      <c r="C1001" s="86" t="str">
        <f>IF(B1001="","",VLOOKUP(A1001,Journal!$C$7:$E$84,3))</f>
        <v/>
      </c>
      <c r="D1001" s="84" t="str">
        <f>IF(B1001="","",VLOOKUP(A1001,Journal!$C$7:$J$84,8))</f>
        <v/>
      </c>
      <c r="E1001" s="84" t="str">
        <f>IF(B1001="","",VLOOKUP(A1001,Journal!$C$7:$L$84,10))</f>
        <v/>
      </c>
      <c r="F1001" s="84" t="str">
        <f>IF(B1001="","",VLOOKUP(A1001,Journal!$C$7:$M$84,11))</f>
        <v/>
      </c>
      <c r="G1001" s="102">
        <f>IF(B1001="Total",SUM(G$8:G1000)+0.0001,IF(OR(B1001="",M1001=0),0,VLOOKUP(A1001,Journal!$C$7:M$84,7)))</f>
        <v>0</v>
      </c>
      <c r="H1001" s="102">
        <f>IF(B1001="Total",SUM(H$8:H1000)+0.0001,IF(OR(B1001="",N1001=0),0,VLOOKUP(A1001,Journal!$C$7:M$84,7)))</f>
        <v>0</v>
      </c>
      <c r="I1001" s="87">
        <f t="shared" si="94"/>
        <v>0</v>
      </c>
      <c r="K1001" s="13">
        <f>VLOOKUP(A1001,Journal!$C$7:$M$84,4)</f>
        <v>0</v>
      </c>
      <c r="L1001" s="13">
        <f>VLOOKUP(A1001,Journal!$C$7:$M$84,5)</f>
        <v>0</v>
      </c>
      <c r="M1001" s="13">
        <f t="shared" si="96"/>
        <v>0</v>
      </c>
      <c r="N1001" s="13">
        <f t="shared" si="97"/>
        <v>0</v>
      </c>
      <c r="O1001" s="13"/>
      <c r="P1001" s="13">
        <f t="shared" si="98"/>
        <v>1.0000000000000001E-5</v>
      </c>
      <c r="T1001" t="str">
        <f t="shared" si="93"/>
        <v/>
      </c>
    </row>
    <row r="1002" spans="1:20" x14ac:dyDescent="0.25">
      <c r="A1002">
        <f t="shared" si="95"/>
        <v>995</v>
      </c>
      <c r="B1002" s="88" t="str">
        <f>IF(OR(B1001="Total",B1001=""),"",IF(VLOOKUP(A1002,Journal!$C$7:$E$84,3)=0,"Total",VLOOKUP(A1002,Journal!$C$7:$D$84,2)))</f>
        <v/>
      </c>
      <c r="C1002" s="86" t="str">
        <f>IF(B1002="","",VLOOKUP(A1002,Journal!$C$7:$E$84,3))</f>
        <v/>
      </c>
      <c r="D1002" s="84" t="str">
        <f>IF(B1002="","",VLOOKUP(A1002,Journal!$C$7:$J$84,8))</f>
        <v/>
      </c>
      <c r="E1002" s="84" t="str">
        <f>IF(B1002="","",VLOOKUP(A1002,Journal!$C$7:$L$84,10))</f>
        <v/>
      </c>
      <c r="F1002" s="84" t="str">
        <f>IF(B1002="","",VLOOKUP(A1002,Journal!$C$7:$M$84,11))</f>
        <v/>
      </c>
      <c r="G1002" s="102">
        <f>IF(B1002="Total",SUM(G$8:G1001)+0.0001,IF(OR(B1002="",M1002=0),0,VLOOKUP(A1002,Journal!$C$7:M$84,7)))</f>
        <v>0</v>
      </c>
      <c r="H1002" s="102">
        <f>IF(B1002="Total",SUM(H$8:H1001)+0.0001,IF(OR(B1002="",N1002=0),0,VLOOKUP(A1002,Journal!$C$7:M$84,7)))</f>
        <v>0</v>
      </c>
      <c r="I1002" s="87">
        <f t="shared" si="94"/>
        <v>0</v>
      </c>
      <c r="K1002" s="13">
        <f>VLOOKUP(A1002,Journal!$C$7:$M$84,4)</f>
        <v>0</v>
      </c>
      <c r="L1002" s="13">
        <f>VLOOKUP(A1002,Journal!$C$7:$M$84,5)</f>
        <v>0</v>
      </c>
      <c r="M1002" s="13">
        <f t="shared" si="96"/>
        <v>0</v>
      </c>
      <c r="N1002" s="13">
        <f t="shared" si="97"/>
        <v>0</v>
      </c>
      <c r="O1002" s="13"/>
      <c r="P1002" s="13">
        <f t="shared" si="98"/>
        <v>1.0000000000000001E-5</v>
      </c>
      <c r="T1002" t="str">
        <f t="shared" si="93"/>
        <v/>
      </c>
    </row>
    <row r="1003" spans="1:20" x14ac:dyDescent="0.25">
      <c r="A1003">
        <f t="shared" si="95"/>
        <v>996</v>
      </c>
      <c r="B1003" s="88" t="str">
        <f>IF(OR(B1002="Total",B1002=""),"",IF(VLOOKUP(A1003,Journal!$C$7:$E$84,3)=0,"Total",VLOOKUP(A1003,Journal!$C$7:$D$84,2)))</f>
        <v/>
      </c>
      <c r="C1003" s="86" t="str">
        <f>IF(B1003="","",VLOOKUP(A1003,Journal!$C$7:$E$84,3))</f>
        <v/>
      </c>
      <c r="D1003" s="84" t="str">
        <f>IF(B1003="","",VLOOKUP(A1003,Journal!$C$7:$J$84,8))</f>
        <v/>
      </c>
      <c r="E1003" s="84" t="str">
        <f>IF(B1003="","",VLOOKUP(A1003,Journal!$C$7:$L$84,10))</f>
        <v/>
      </c>
      <c r="F1003" s="84" t="str">
        <f>IF(B1003="","",VLOOKUP(A1003,Journal!$C$7:$M$84,11))</f>
        <v/>
      </c>
      <c r="G1003" s="102">
        <f>IF(B1003="Total",SUM(G$8:G1002)+0.0001,IF(OR(B1003="",M1003=0),0,VLOOKUP(A1003,Journal!$C$7:M$84,7)))</f>
        <v>0</v>
      </c>
      <c r="H1003" s="102">
        <f>IF(B1003="Total",SUM(H$8:H1002)+0.0001,IF(OR(B1003="",N1003=0),0,VLOOKUP(A1003,Journal!$C$7:M$84,7)))</f>
        <v>0</v>
      </c>
      <c r="I1003" s="87">
        <f t="shared" si="94"/>
        <v>0</v>
      </c>
      <c r="K1003" s="13">
        <f>VLOOKUP(A1003,Journal!$C$7:$M$84,4)</f>
        <v>0</v>
      </c>
      <c r="L1003" s="13">
        <f>VLOOKUP(A1003,Journal!$C$7:$M$84,5)</f>
        <v>0</v>
      </c>
      <c r="M1003" s="13">
        <f t="shared" si="96"/>
        <v>0</v>
      </c>
      <c r="N1003" s="13">
        <f t="shared" si="97"/>
        <v>0</v>
      </c>
      <c r="O1003" s="13"/>
      <c r="P1003" s="13">
        <f t="shared" si="98"/>
        <v>1.0000000000000001E-5</v>
      </c>
      <c r="T1003" t="str">
        <f t="shared" si="93"/>
        <v/>
      </c>
    </row>
    <row r="1004" spans="1:20" x14ac:dyDescent="0.25">
      <c r="A1004">
        <f t="shared" si="95"/>
        <v>997</v>
      </c>
      <c r="B1004" s="88" t="str">
        <f>IF(OR(B1003="Total",B1003=""),"",IF(VLOOKUP(A1004,Journal!$C$7:$E$84,3)=0,"Total",VLOOKUP(A1004,Journal!$C$7:$D$84,2)))</f>
        <v/>
      </c>
      <c r="C1004" s="86" t="str">
        <f>IF(B1004="","",VLOOKUP(A1004,Journal!$C$7:$E$84,3))</f>
        <v/>
      </c>
      <c r="D1004" s="84" t="str">
        <f>IF(B1004="","",VLOOKUP(A1004,Journal!$C$7:$J$84,8))</f>
        <v/>
      </c>
      <c r="E1004" s="84" t="str">
        <f>IF(B1004="","",VLOOKUP(A1004,Journal!$C$7:$L$84,10))</f>
        <v/>
      </c>
      <c r="F1004" s="84" t="str">
        <f>IF(B1004="","",VLOOKUP(A1004,Journal!$C$7:$M$84,11))</f>
        <v/>
      </c>
      <c r="G1004" s="102">
        <f>IF(B1004="Total",SUM(G$8:G1003)+0.0001,IF(OR(B1004="",M1004=0),0,VLOOKUP(A1004,Journal!$C$7:M$84,7)))</f>
        <v>0</v>
      </c>
      <c r="H1004" s="102">
        <f>IF(B1004="Total",SUM(H$8:H1003)+0.0001,IF(OR(B1004="",N1004=0),0,VLOOKUP(A1004,Journal!$C$7:M$84,7)))</f>
        <v>0</v>
      </c>
      <c r="I1004" s="87">
        <f t="shared" si="94"/>
        <v>0</v>
      </c>
      <c r="K1004" s="13">
        <f>VLOOKUP(A1004,Journal!$C$7:$M$84,4)</f>
        <v>0</v>
      </c>
      <c r="L1004" s="13">
        <f>VLOOKUP(A1004,Journal!$C$7:$M$84,5)</f>
        <v>0</v>
      </c>
      <c r="M1004" s="13">
        <f t="shared" si="96"/>
        <v>0</v>
      </c>
      <c r="N1004" s="13">
        <f t="shared" si="97"/>
        <v>0</v>
      </c>
      <c r="O1004" s="13"/>
      <c r="P1004" s="13">
        <f t="shared" si="98"/>
        <v>1.0000000000000001E-5</v>
      </c>
      <c r="T1004" t="str">
        <f t="shared" si="93"/>
        <v/>
      </c>
    </row>
    <row r="1005" spans="1:20" x14ac:dyDescent="0.25">
      <c r="A1005">
        <f t="shared" si="95"/>
        <v>998</v>
      </c>
      <c r="B1005" s="88" t="str">
        <f>IF(OR(B1004="Total",B1004=""),"",IF(VLOOKUP(A1005,Journal!$C$7:$E$84,3)=0,"Total",VLOOKUP(A1005,Journal!$C$7:$D$84,2)))</f>
        <v/>
      </c>
      <c r="C1005" s="86" t="str">
        <f>IF(B1005="","",VLOOKUP(A1005,Journal!$C$7:$E$84,3))</f>
        <v/>
      </c>
      <c r="D1005" s="84" t="str">
        <f>IF(B1005="","",VLOOKUP(A1005,Journal!$C$7:$J$84,8))</f>
        <v/>
      </c>
      <c r="E1005" s="84" t="str">
        <f>IF(B1005="","",VLOOKUP(A1005,Journal!$C$7:$L$84,10))</f>
        <v/>
      </c>
      <c r="F1005" s="84" t="str">
        <f>IF(B1005="","",VLOOKUP(A1005,Journal!$C$7:$M$84,11))</f>
        <v/>
      </c>
      <c r="G1005" s="102">
        <f>IF(B1005="Total",SUM(G$8:G1004)+0.0001,IF(OR(B1005="",M1005=0),0,VLOOKUP(A1005,Journal!$C$7:M$84,7)))</f>
        <v>0</v>
      </c>
      <c r="H1005" s="102">
        <f>IF(B1005="Total",SUM(H$8:H1004)+0.0001,IF(OR(B1005="",N1005=0),0,VLOOKUP(A1005,Journal!$C$7:M$84,7)))</f>
        <v>0</v>
      </c>
      <c r="I1005" s="87">
        <f t="shared" si="94"/>
        <v>0</v>
      </c>
      <c r="K1005" s="13">
        <f>VLOOKUP(A1005,Journal!$C$7:$M$84,4)</f>
        <v>0</v>
      </c>
      <c r="L1005" s="13">
        <f>VLOOKUP(A1005,Journal!$C$7:$M$84,5)</f>
        <v>0</v>
      </c>
      <c r="M1005" s="13">
        <f t="shared" si="96"/>
        <v>0</v>
      </c>
      <c r="N1005" s="13">
        <f t="shared" si="97"/>
        <v>0</v>
      </c>
      <c r="O1005" s="13"/>
      <c r="P1005" s="13">
        <f t="shared" si="98"/>
        <v>1.0000000000000001E-5</v>
      </c>
      <c r="T1005" t="str">
        <f t="shared" si="93"/>
        <v/>
      </c>
    </row>
    <row r="1006" spans="1:20" x14ac:dyDescent="0.25">
      <c r="A1006">
        <f t="shared" si="95"/>
        <v>999</v>
      </c>
      <c r="B1006" s="88" t="str">
        <f>IF(OR(B1005="Total",B1005=""),"",IF(VLOOKUP(A1006,Journal!$C$7:$E$84,3)=0,"Total",VLOOKUP(A1006,Journal!$C$7:$D$84,2)))</f>
        <v/>
      </c>
      <c r="C1006" s="86" t="str">
        <f>IF(B1006="","",VLOOKUP(A1006,Journal!$C$7:$E$84,3))</f>
        <v/>
      </c>
      <c r="D1006" s="84" t="str">
        <f>IF(B1006="","",VLOOKUP(A1006,Journal!$C$7:$J$84,8))</f>
        <v/>
      </c>
      <c r="E1006" s="84" t="str">
        <f>IF(B1006="","",VLOOKUP(A1006,Journal!$C$7:$L$84,10))</f>
        <v/>
      </c>
      <c r="F1006" s="84" t="str">
        <f>IF(B1006="","",VLOOKUP(A1006,Journal!$C$7:$M$84,11))</f>
        <v/>
      </c>
      <c r="G1006" s="102">
        <f>IF(B1006="Total",SUM(G$8:G1005)+0.0001,IF(OR(B1006="",M1006=0),0,VLOOKUP(A1006,Journal!$C$7:M$84,7)))</f>
        <v>0</v>
      </c>
      <c r="H1006" s="102">
        <f>IF(B1006="Total",SUM(H$8:H1005)+0.0001,IF(OR(B1006="",N1006=0),0,VLOOKUP(A1006,Journal!$C$7:M$84,7)))</f>
        <v>0</v>
      </c>
      <c r="I1006" s="87">
        <f t="shared" si="94"/>
        <v>0</v>
      </c>
      <c r="K1006" s="13">
        <f>VLOOKUP(A1006,Journal!$C$7:$M$84,4)</f>
        <v>0</v>
      </c>
      <c r="L1006" s="13">
        <f>VLOOKUP(A1006,Journal!$C$7:$M$84,5)</f>
        <v>0</v>
      </c>
      <c r="M1006" s="13">
        <f t="shared" si="96"/>
        <v>0</v>
      </c>
      <c r="N1006" s="13">
        <f t="shared" si="97"/>
        <v>0</v>
      </c>
      <c r="O1006" s="13"/>
      <c r="P1006" s="13">
        <f t="shared" si="98"/>
        <v>1.0000000000000001E-5</v>
      </c>
      <c r="T1006" t="str">
        <f t="shared" si="93"/>
        <v/>
      </c>
    </row>
    <row r="1007" spans="1:20" x14ac:dyDescent="0.25">
      <c r="A1007">
        <f t="shared" si="95"/>
        <v>1000</v>
      </c>
      <c r="B1007" s="88" t="str">
        <f>IF(OR(B1006="Total",B1006=""),"",IF(VLOOKUP(A1007,Journal!$C$7:$E$84,3)=0,"Total",VLOOKUP(A1007,Journal!$C$7:$D$84,2)))</f>
        <v/>
      </c>
      <c r="C1007" s="86" t="str">
        <f>IF(B1007="","",VLOOKUP(A1007,Journal!$C$7:$E$84,3))</f>
        <v/>
      </c>
      <c r="D1007" s="84" t="str">
        <f>IF(B1007="","",VLOOKUP(A1007,Journal!$C$7:$J$84,8))</f>
        <v/>
      </c>
      <c r="E1007" s="84" t="str">
        <f>IF(B1007="","",VLOOKUP(A1007,Journal!$C$7:$L$84,10))</f>
        <v/>
      </c>
      <c r="F1007" s="84" t="str">
        <f>IF(B1007="","",VLOOKUP(A1007,Journal!$C$7:$M$84,11))</f>
        <v/>
      </c>
      <c r="G1007" s="102">
        <f>IF(B1007="Total",SUM(G$8:G1006)+0.0001,IF(OR(B1007="",M1007=0),0,VLOOKUP(A1007,Journal!$C$7:M$84,7)))</f>
        <v>0</v>
      </c>
      <c r="H1007" s="102">
        <f>IF(B1007="Total",SUM(H$8:H1006)+0.0001,IF(OR(B1007="",N1007=0),0,VLOOKUP(A1007,Journal!$C$7:M$84,7)))</f>
        <v>0</v>
      </c>
      <c r="I1007" s="87">
        <f t="shared" si="94"/>
        <v>0</v>
      </c>
      <c r="K1007" s="13">
        <f>VLOOKUP(A1007,Journal!$C$7:$M$84,4)</f>
        <v>0</v>
      </c>
      <c r="L1007" s="13">
        <f>VLOOKUP(A1007,Journal!$C$7:$M$84,5)</f>
        <v>0</v>
      </c>
      <c r="M1007" s="13">
        <f t="shared" si="96"/>
        <v>0</v>
      </c>
      <c r="N1007" s="13">
        <f t="shared" si="97"/>
        <v>0</v>
      </c>
      <c r="O1007" s="13"/>
      <c r="P1007" s="13">
        <f t="shared" si="98"/>
        <v>1.0000000000000001E-5</v>
      </c>
      <c r="T1007" t="str">
        <f t="shared" si="93"/>
        <v/>
      </c>
    </row>
    <row r="1008" spans="1:20" x14ac:dyDescent="0.25">
      <c r="A1008">
        <f t="shared" si="95"/>
        <v>1001</v>
      </c>
      <c r="B1008" s="88" t="str">
        <f>IF(OR(B1007="Total",B1007=""),"",IF(VLOOKUP(A1008,Journal!$C$7:$E$84,3)=0,"Total",VLOOKUP(A1008,Journal!$C$7:$D$84,2)))</f>
        <v/>
      </c>
      <c r="C1008" s="86" t="str">
        <f>IF(B1008="","",VLOOKUP(A1008,Journal!$C$7:$E$84,3))</f>
        <v/>
      </c>
      <c r="D1008" s="84" t="str">
        <f>IF(B1008="","",VLOOKUP(A1008,Journal!$C$7:$J$84,8))</f>
        <v/>
      </c>
      <c r="E1008" s="84" t="str">
        <f>IF(B1008="","",VLOOKUP(A1008,Journal!$C$7:$L$84,10))</f>
        <v/>
      </c>
      <c r="F1008" s="84" t="str">
        <f>IF(B1008="","",VLOOKUP(A1008,Journal!$C$7:$M$84,11))</f>
        <v/>
      </c>
      <c r="G1008" s="102">
        <f>IF(B1008="Total",SUM(G$8:G1007)+0.0001,IF(OR(B1008="",M1008=0),0,VLOOKUP(A1008,Journal!$C$7:M$84,7)))</f>
        <v>0</v>
      </c>
      <c r="H1008" s="102">
        <f>IF(B1008="Total",SUM(H$8:H1007)+0.0001,IF(OR(B1008="",N1008=0),0,VLOOKUP(A1008,Journal!$C$7:M$84,7)))</f>
        <v>0</v>
      </c>
      <c r="I1008" s="87">
        <f t="shared" si="94"/>
        <v>0</v>
      </c>
      <c r="K1008" s="13">
        <f>VLOOKUP(A1008,Journal!$C$7:$M$84,4)</f>
        <v>0</v>
      </c>
      <c r="L1008" s="13">
        <f>VLOOKUP(A1008,Journal!$C$7:$M$84,5)</f>
        <v>0</v>
      </c>
      <c r="M1008" s="13">
        <f t="shared" si="96"/>
        <v>0</v>
      </c>
      <c r="N1008" s="13">
        <f t="shared" si="97"/>
        <v>0</v>
      </c>
      <c r="O1008" s="13"/>
      <c r="P1008" s="13">
        <f t="shared" si="98"/>
        <v>1.0000000000000001E-5</v>
      </c>
      <c r="T1008" t="str">
        <f t="shared" si="93"/>
        <v/>
      </c>
    </row>
    <row r="1009" spans="1:20" x14ac:dyDescent="0.25">
      <c r="A1009">
        <f t="shared" si="95"/>
        <v>1002</v>
      </c>
      <c r="B1009" s="88" t="str">
        <f>IF(OR(B1008="Total",B1008=""),"",IF(VLOOKUP(A1009,Journal!$C$7:$E$84,3)=0,"Total",VLOOKUP(A1009,Journal!$C$7:$D$84,2)))</f>
        <v/>
      </c>
      <c r="C1009" s="86" t="str">
        <f>IF(B1009="","",VLOOKUP(A1009,Journal!$C$7:$E$84,3))</f>
        <v/>
      </c>
      <c r="D1009" s="84" t="str">
        <f>IF(B1009="","",VLOOKUP(A1009,Journal!$C$7:$J$84,8))</f>
        <v/>
      </c>
      <c r="E1009" s="84" t="str">
        <f>IF(B1009="","",VLOOKUP(A1009,Journal!$C$7:$L$84,10))</f>
        <v/>
      </c>
      <c r="F1009" s="84" t="str">
        <f>IF(B1009="","",VLOOKUP(A1009,Journal!$C$7:$M$84,11))</f>
        <v/>
      </c>
      <c r="G1009" s="102">
        <f>IF(B1009="Total",SUM(G$8:G1008)+0.0001,IF(OR(B1009="",M1009=0),0,VLOOKUP(A1009,Journal!$C$7:M$84,7)))</f>
        <v>0</v>
      </c>
      <c r="H1009" s="102">
        <f>IF(B1009="Total",SUM(H$8:H1008)+0.0001,IF(OR(B1009="",N1009=0),0,VLOOKUP(A1009,Journal!$C$7:M$84,7)))</f>
        <v>0</v>
      </c>
      <c r="I1009" s="87">
        <f t="shared" si="94"/>
        <v>0</v>
      </c>
      <c r="K1009" s="13">
        <f>VLOOKUP(A1009,Journal!$C$7:$M$84,4)</f>
        <v>0</v>
      </c>
      <c r="L1009" s="13">
        <f>VLOOKUP(A1009,Journal!$C$7:$M$84,5)</f>
        <v>0</v>
      </c>
      <c r="M1009" s="13">
        <f t="shared" si="96"/>
        <v>0</v>
      </c>
      <c r="N1009" s="13">
        <f t="shared" si="97"/>
        <v>0</v>
      </c>
      <c r="O1009" s="13"/>
      <c r="P1009" s="13">
        <f t="shared" si="98"/>
        <v>1.0000000000000001E-5</v>
      </c>
      <c r="T1009" t="str">
        <f t="shared" si="93"/>
        <v/>
      </c>
    </row>
    <row r="1010" spans="1:20" x14ac:dyDescent="0.25">
      <c r="A1010">
        <f t="shared" si="95"/>
        <v>1003</v>
      </c>
      <c r="B1010" s="88" t="str">
        <f>IF(OR(B1009="Total",B1009=""),"",IF(VLOOKUP(A1010,Journal!$C$7:$E$84,3)=0,"Total",VLOOKUP(A1010,Journal!$C$7:$D$84,2)))</f>
        <v/>
      </c>
      <c r="C1010" s="86" t="str">
        <f>IF(B1010="","",VLOOKUP(A1010,Journal!$C$7:$E$84,3))</f>
        <v/>
      </c>
      <c r="D1010" s="84" t="str">
        <f>IF(B1010="","",VLOOKUP(A1010,Journal!$C$7:$J$84,8))</f>
        <v/>
      </c>
      <c r="E1010" s="84" t="str">
        <f>IF(B1010="","",VLOOKUP(A1010,Journal!$C$7:$L$84,10))</f>
        <v/>
      </c>
      <c r="F1010" s="84" t="str">
        <f>IF(B1010="","",VLOOKUP(A1010,Journal!$C$7:$M$84,11))</f>
        <v/>
      </c>
      <c r="G1010" s="102">
        <f>IF(B1010="Total",SUM(G$8:G1009)+0.0001,IF(OR(B1010="",M1010=0),0,VLOOKUP(A1010,Journal!$C$7:M$84,7)))</f>
        <v>0</v>
      </c>
      <c r="H1010" s="102">
        <f>IF(B1010="Total",SUM(H$8:H1009)+0.0001,IF(OR(B1010="",N1010=0),0,VLOOKUP(A1010,Journal!$C$7:M$84,7)))</f>
        <v>0</v>
      </c>
      <c r="I1010" s="87">
        <f t="shared" si="94"/>
        <v>0</v>
      </c>
      <c r="K1010" s="13">
        <f>VLOOKUP(A1010,Journal!$C$7:$M$84,4)</f>
        <v>0</v>
      </c>
      <c r="L1010" s="13">
        <f>VLOOKUP(A1010,Journal!$C$7:$M$84,5)</f>
        <v>0</v>
      </c>
      <c r="M1010" s="13">
        <f t="shared" si="96"/>
        <v>0</v>
      </c>
      <c r="N1010" s="13">
        <f t="shared" si="97"/>
        <v>0</v>
      </c>
      <c r="O1010" s="13"/>
      <c r="P1010" s="13">
        <f t="shared" si="98"/>
        <v>1.0000000000000001E-5</v>
      </c>
      <c r="T1010" t="str">
        <f t="shared" si="93"/>
        <v/>
      </c>
    </row>
    <row r="1011" spans="1:20" x14ac:dyDescent="0.25">
      <c r="A1011">
        <f t="shared" si="95"/>
        <v>1004</v>
      </c>
      <c r="B1011" s="88" t="str">
        <f>IF(OR(B1010="Total",B1010=""),"",IF(VLOOKUP(A1011,Journal!$C$7:$E$84,3)=0,"Total",VLOOKUP(A1011,Journal!$C$7:$D$84,2)))</f>
        <v/>
      </c>
      <c r="C1011" s="86" t="str">
        <f>IF(B1011="","",VLOOKUP(A1011,Journal!$C$7:$E$84,3))</f>
        <v/>
      </c>
      <c r="D1011" s="84" t="str">
        <f>IF(B1011="","",VLOOKUP(A1011,Journal!$C$7:$J$84,8))</f>
        <v/>
      </c>
      <c r="E1011" s="84" t="str">
        <f>IF(B1011="","",VLOOKUP(A1011,Journal!$C$7:$L$84,10))</f>
        <v/>
      </c>
      <c r="F1011" s="84" t="str">
        <f>IF(B1011="","",VLOOKUP(A1011,Journal!$C$7:$M$84,11))</f>
        <v/>
      </c>
      <c r="G1011" s="102">
        <f>IF(B1011="Total",SUM(G$8:G1010)+0.0001,IF(OR(B1011="",M1011=0),0,VLOOKUP(A1011,Journal!$C$7:M$84,7)))</f>
        <v>0</v>
      </c>
      <c r="H1011" s="102">
        <f>IF(B1011="Total",SUM(H$8:H1010)+0.0001,IF(OR(B1011="",N1011=0),0,VLOOKUP(A1011,Journal!$C$7:M$84,7)))</f>
        <v>0</v>
      </c>
      <c r="I1011" s="87">
        <f t="shared" si="94"/>
        <v>0</v>
      </c>
      <c r="K1011" s="13">
        <f>VLOOKUP(A1011,Journal!$C$7:$M$84,4)</f>
        <v>0</v>
      </c>
      <c r="L1011" s="13">
        <f>VLOOKUP(A1011,Journal!$C$7:$M$84,5)</f>
        <v>0</v>
      </c>
      <c r="M1011" s="13">
        <f t="shared" si="96"/>
        <v>0</v>
      </c>
      <c r="N1011" s="13">
        <f t="shared" si="97"/>
        <v>0</v>
      </c>
      <c r="O1011" s="13"/>
      <c r="P1011" s="13">
        <f t="shared" si="98"/>
        <v>1.0000000000000001E-5</v>
      </c>
      <c r="T1011" t="str">
        <f t="shared" si="93"/>
        <v/>
      </c>
    </row>
    <row r="1012" spans="1:20" x14ac:dyDescent="0.25">
      <c r="A1012">
        <f t="shared" si="95"/>
        <v>1005</v>
      </c>
      <c r="B1012" s="88" t="str">
        <f>IF(OR(B1011="Total",B1011=""),"",IF(VLOOKUP(A1012,Journal!$C$7:$E$84,3)=0,"Total",VLOOKUP(A1012,Journal!$C$7:$D$84,2)))</f>
        <v/>
      </c>
      <c r="C1012" s="86" t="str">
        <f>IF(B1012="","",VLOOKUP(A1012,Journal!$C$7:$E$84,3))</f>
        <v/>
      </c>
      <c r="D1012" s="84" t="str">
        <f>IF(B1012="","",VLOOKUP(A1012,Journal!$C$7:$J$84,8))</f>
        <v/>
      </c>
      <c r="E1012" s="84" t="str">
        <f>IF(B1012="","",VLOOKUP(A1012,Journal!$C$7:$L$84,10))</f>
        <v/>
      </c>
      <c r="F1012" s="84" t="str">
        <f>IF(B1012="","",VLOOKUP(A1012,Journal!$C$7:$M$84,11))</f>
        <v/>
      </c>
      <c r="G1012" s="102">
        <f>IF(B1012="Total",SUM(G$8:G1011)+0.0001,IF(OR(B1012="",M1012=0),0,VLOOKUP(A1012,Journal!$C$7:M$84,7)))</f>
        <v>0</v>
      </c>
      <c r="H1012" s="102">
        <f>IF(B1012="Total",SUM(H$8:H1011)+0.0001,IF(OR(B1012="",N1012=0),0,VLOOKUP(A1012,Journal!$C$7:M$84,7)))</f>
        <v>0</v>
      </c>
      <c r="I1012" s="87">
        <f t="shared" si="94"/>
        <v>0</v>
      </c>
      <c r="K1012" s="13">
        <f>VLOOKUP(A1012,Journal!$C$7:$M$84,4)</f>
        <v>0</v>
      </c>
      <c r="L1012" s="13">
        <f>VLOOKUP(A1012,Journal!$C$7:$M$84,5)</f>
        <v>0</v>
      </c>
      <c r="M1012" s="13">
        <f t="shared" si="96"/>
        <v>0</v>
      </c>
      <c r="N1012" s="13">
        <f t="shared" si="97"/>
        <v>0</v>
      </c>
      <c r="O1012" s="13"/>
      <c r="P1012" s="13">
        <f t="shared" si="98"/>
        <v>1.0000000000000001E-5</v>
      </c>
      <c r="T1012" t="str">
        <f t="shared" si="93"/>
        <v/>
      </c>
    </row>
    <row r="1013" spans="1:20" x14ac:dyDescent="0.25">
      <c r="A1013">
        <f t="shared" si="95"/>
        <v>1006</v>
      </c>
      <c r="B1013" s="88" t="str">
        <f>IF(OR(B1012="Total",B1012=""),"",IF(VLOOKUP(A1013,Journal!$C$7:$E$84,3)=0,"Total",VLOOKUP(A1013,Journal!$C$7:$D$84,2)))</f>
        <v/>
      </c>
      <c r="C1013" s="86" t="str">
        <f>IF(B1013="","",VLOOKUP(A1013,Journal!$C$7:$E$84,3))</f>
        <v/>
      </c>
      <c r="D1013" s="84" t="str">
        <f>IF(B1013="","",VLOOKUP(A1013,Journal!$C$7:$J$84,8))</f>
        <v/>
      </c>
      <c r="E1013" s="84" t="str">
        <f>IF(B1013="","",VLOOKUP(A1013,Journal!$C$7:$L$84,10))</f>
        <v/>
      </c>
      <c r="F1013" s="84" t="str">
        <f>IF(B1013="","",VLOOKUP(A1013,Journal!$C$7:$M$84,11))</f>
        <v/>
      </c>
      <c r="G1013" s="102">
        <f>IF(B1013="Total",SUM(G$8:G1012)+0.0001,IF(OR(B1013="",M1013=0),0,VLOOKUP(A1013,Journal!$C$7:M$84,7)))</f>
        <v>0</v>
      </c>
      <c r="H1013" s="102">
        <f>IF(B1013="Total",SUM(H$8:H1012)+0.0001,IF(OR(B1013="",N1013=0),0,VLOOKUP(A1013,Journal!$C$7:M$84,7)))</f>
        <v>0</v>
      </c>
      <c r="I1013" s="87">
        <f t="shared" si="94"/>
        <v>0</v>
      </c>
      <c r="K1013" s="13">
        <f>VLOOKUP(A1013,Journal!$C$7:$M$84,4)</f>
        <v>0</v>
      </c>
      <c r="L1013" s="13">
        <f>VLOOKUP(A1013,Journal!$C$7:$M$84,5)</f>
        <v>0</v>
      </c>
      <c r="M1013" s="13">
        <f t="shared" si="96"/>
        <v>0</v>
      </c>
      <c r="N1013" s="13">
        <f t="shared" si="97"/>
        <v>0</v>
      </c>
      <c r="O1013" s="13"/>
      <c r="P1013" s="13">
        <f t="shared" si="98"/>
        <v>1.0000000000000001E-5</v>
      </c>
      <c r="T1013" t="str">
        <f t="shared" si="93"/>
        <v/>
      </c>
    </row>
    <row r="1014" spans="1:20" x14ac:dyDescent="0.25">
      <c r="A1014">
        <f t="shared" si="95"/>
        <v>1007</v>
      </c>
      <c r="B1014" s="88" t="str">
        <f>IF(OR(B1013="Total",B1013=""),"",IF(VLOOKUP(A1014,Journal!$C$7:$E$84,3)=0,"Total",VLOOKUP(A1014,Journal!$C$7:$D$84,2)))</f>
        <v/>
      </c>
      <c r="C1014" s="86" t="str">
        <f>IF(B1014="","",VLOOKUP(A1014,Journal!$C$7:$E$84,3))</f>
        <v/>
      </c>
      <c r="D1014" s="84" t="str">
        <f>IF(B1014="","",VLOOKUP(A1014,Journal!$C$7:$J$84,8))</f>
        <v/>
      </c>
      <c r="E1014" s="84" t="str">
        <f>IF(B1014="","",VLOOKUP(A1014,Journal!$C$7:$L$84,10))</f>
        <v/>
      </c>
      <c r="F1014" s="84" t="str">
        <f>IF(B1014="","",VLOOKUP(A1014,Journal!$C$7:$M$84,11))</f>
        <v/>
      </c>
      <c r="G1014" s="102">
        <f>IF(B1014="Total",SUM(G$8:G1013)+0.0001,IF(OR(B1014="",M1014=0),0,VLOOKUP(A1014,Journal!$C$7:M$84,7)))</f>
        <v>0</v>
      </c>
      <c r="H1014" s="102">
        <f>IF(B1014="Total",SUM(H$8:H1013)+0.0001,IF(OR(B1014="",N1014=0),0,VLOOKUP(A1014,Journal!$C$7:M$84,7)))</f>
        <v>0</v>
      </c>
      <c r="I1014" s="87">
        <f t="shared" si="94"/>
        <v>0</v>
      </c>
      <c r="K1014" s="13">
        <f>VLOOKUP(A1014,Journal!$C$7:$M$84,4)</f>
        <v>0</v>
      </c>
      <c r="L1014" s="13">
        <f>VLOOKUP(A1014,Journal!$C$7:$M$84,5)</f>
        <v>0</v>
      </c>
      <c r="M1014" s="13">
        <f t="shared" si="96"/>
        <v>0</v>
      </c>
      <c r="N1014" s="13">
        <f t="shared" si="97"/>
        <v>0</v>
      </c>
      <c r="O1014" s="13"/>
      <c r="P1014" s="13">
        <f t="shared" si="98"/>
        <v>1.0000000000000001E-5</v>
      </c>
      <c r="T1014" t="str">
        <f t="shared" si="93"/>
        <v/>
      </c>
    </row>
    <row r="1015" spans="1:20" x14ac:dyDescent="0.25">
      <c r="A1015">
        <f t="shared" si="95"/>
        <v>1008</v>
      </c>
      <c r="B1015" s="88" t="str">
        <f>IF(OR(B1014="Total",B1014=""),"",IF(VLOOKUP(A1015,Journal!$C$7:$E$84,3)=0,"Total",VLOOKUP(A1015,Journal!$C$7:$D$84,2)))</f>
        <v/>
      </c>
      <c r="C1015" s="86" t="str">
        <f>IF(B1015="","",VLOOKUP(A1015,Journal!$C$7:$E$84,3))</f>
        <v/>
      </c>
      <c r="D1015" s="84" t="str">
        <f>IF(B1015="","",VLOOKUP(A1015,Journal!$C$7:$J$84,8))</f>
        <v/>
      </c>
      <c r="E1015" s="84" t="str">
        <f>IF(B1015="","",VLOOKUP(A1015,Journal!$C$7:$L$84,10))</f>
        <v/>
      </c>
      <c r="F1015" s="84" t="str">
        <f>IF(B1015="","",VLOOKUP(A1015,Journal!$C$7:$M$84,11))</f>
        <v/>
      </c>
      <c r="G1015" s="102">
        <f>IF(B1015="Total",SUM(G$8:G1014)+0.0001,IF(OR(B1015="",M1015=0),0,VLOOKUP(A1015,Journal!$C$7:M$84,7)))</f>
        <v>0</v>
      </c>
      <c r="H1015" s="102">
        <f>IF(B1015="Total",SUM(H$8:H1014)+0.0001,IF(OR(B1015="",N1015=0),0,VLOOKUP(A1015,Journal!$C$7:M$84,7)))</f>
        <v>0</v>
      </c>
      <c r="I1015" s="87">
        <f t="shared" si="94"/>
        <v>0</v>
      </c>
      <c r="K1015" s="13">
        <f>VLOOKUP(A1015,Journal!$C$7:$M$84,4)</f>
        <v>0</v>
      </c>
      <c r="L1015" s="13">
        <f>VLOOKUP(A1015,Journal!$C$7:$M$84,5)</f>
        <v>0</v>
      </c>
      <c r="M1015" s="13">
        <f t="shared" si="96"/>
        <v>0</v>
      </c>
      <c r="N1015" s="13">
        <f t="shared" si="97"/>
        <v>0</v>
      </c>
      <c r="O1015" s="13"/>
      <c r="P1015" s="13">
        <f t="shared" si="98"/>
        <v>1.0000000000000001E-5</v>
      </c>
      <c r="T1015" t="str">
        <f t="shared" si="93"/>
        <v/>
      </c>
    </row>
    <row r="1016" spans="1:20" x14ac:dyDescent="0.25">
      <c r="A1016">
        <f t="shared" si="95"/>
        <v>1009</v>
      </c>
      <c r="B1016" s="88" t="str">
        <f>IF(OR(B1015="Total",B1015=""),"",IF(VLOOKUP(A1016,Journal!$C$7:$E$84,3)=0,"Total",VLOOKUP(A1016,Journal!$C$7:$D$84,2)))</f>
        <v/>
      </c>
      <c r="C1016" s="86" t="str">
        <f>IF(B1016="","",VLOOKUP(A1016,Journal!$C$7:$E$84,3))</f>
        <v/>
      </c>
      <c r="D1016" s="84" t="str">
        <f>IF(B1016="","",VLOOKUP(A1016,Journal!$C$7:$J$84,8))</f>
        <v/>
      </c>
      <c r="E1016" s="84" t="str">
        <f>IF(B1016="","",VLOOKUP(A1016,Journal!$C$7:$L$84,10))</f>
        <v/>
      </c>
      <c r="F1016" s="84" t="str">
        <f>IF(B1016="","",VLOOKUP(A1016,Journal!$C$7:$M$84,11))</f>
        <v/>
      </c>
      <c r="G1016" s="102">
        <f>IF(B1016="Total",SUM(G$8:G1015)+0.0001,IF(OR(B1016="",M1016=0),0,VLOOKUP(A1016,Journal!$C$7:M$84,7)))</f>
        <v>0</v>
      </c>
      <c r="H1016" s="102">
        <f>IF(B1016="Total",SUM(H$8:H1015)+0.0001,IF(OR(B1016="",N1016=0),0,VLOOKUP(A1016,Journal!$C$7:M$84,7)))</f>
        <v>0</v>
      </c>
      <c r="I1016" s="87">
        <f t="shared" si="94"/>
        <v>0</v>
      </c>
      <c r="K1016" s="13">
        <f>VLOOKUP(A1016,Journal!$C$7:$M$84,4)</f>
        <v>0</v>
      </c>
      <c r="L1016" s="13">
        <f>VLOOKUP(A1016,Journal!$C$7:$M$84,5)</f>
        <v>0</v>
      </c>
      <c r="M1016" s="13">
        <f t="shared" si="96"/>
        <v>0</v>
      </c>
      <c r="N1016" s="13">
        <f t="shared" si="97"/>
        <v>0</v>
      </c>
      <c r="O1016" s="13"/>
      <c r="P1016" s="13">
        <f t="shared" si="98"/>
        <v>1.0000000000000001E-5</v>
      </c>
      <c r="T1016" t="str">
        <f t="shared" si="93"/>
        <v/>
      </c>
    </row>
    <row r="1017" spans="1:20" x14ac:dyDescent="0.25">
      <c r="A1017">
        <f t="shared" si="95"/>
        <v>1010</v>
      </c>
      <c r="B1017" s="88" t="str">
        <f>IF(OR(B1016="Total",B1016=""),"",IF(VLOOKUP(A1017,Journal!$C$7:$E$84,3)=0,"Total",VLOOKUP(A1017,Journal!$C$7:$D$84,2)))</f>
        <v/>
      </c>
      <c r="C1017" s="86" t="str">
        <f>IF(B1017="","",VLOOKUP(A1017,Journal!$C$7:$E$84,3))</f>
        <v/>
      </c>
      <c r="D1017" s="84" t="str">
        <f>IF(B1017="","",VLOOKUP(A1017,Journal!$C$7:$J$84,8))</f>
        <v/>
      </c>
      <c r="E1017" s="84" t="str">
        <f>IF(B1017="","",VLOOKUP(A1017,Journal!$C$7:$L$84,10))</f>
        <v/>
      </c>
      <c r="F1017" s="84" t="str">
        <f>IF(B1017="","",VLOOKUP(A1017,Journal!$C$7:$M$84,11))</f>
        <v/>
      </c>
      <c r="G1017" s="102">
        <f>IF(B1017="Total",SUM(G$8:G1016)+0.0001,IF(OR(B1017="",M1017=0),0,VLOOKUP(A1017,Journal!$C$7:M$84,7)))</f>
        <v>0</v>
      </c>
      <c r="H1017" s="102">
        <f>IF(B1017="Total",SUM(H$8:H1016)+0.0001,IF(OR(B1017="",N1017=0),0,VLOOKUP(A1017,Journal!$C$7:M$84,7)))</f>
        <v>0</v>
      </c>
      <c r="I1017" s="87">
        <f t="shared" si="94"/>
        <v>0</v>
      </c>
      <c r="K1017" s="13">
        <f>VLOOKUP(A1017,Journal!$C$7:$M$84,4)</f>
        <v>0</v>
      </c>
      <c r="L1017" s="13">
        <f>VLOOKUP(A1017,Journal!$C$7:$M$84,5)</f>
        <v>0</v>
      </c>
      <c r="M1017" s="13">
        <f t="shared" si="96"/>
        <v>0</v>
      </c>
      <c r="N1017" s="13">
        <f t="shared" si="97"/>
        <v>0</v>
      </c>
      <c r="O1017" s="13"/>
      <c r="P1017" s="13">
        <f t="shared" si="98"/>
        <v>1.0000000000000001E-5</v>
      </c>
      <c r="T1017" t="str">
        <f t="shared" si="93"/>
        <v/>
      </c>
    </row>
    <row r="1018" spans="1:20" x14ac:dyDescent="0.25">
      <c r="A1018">
        <f t="shared" si="95"/>
        <v>1011</v>
      </c>
      <c r="B1018" s="88" t="str">
        <f>IF(OR(B1017="Total",B1017=""),"",IF(VLOOKUP(A1018,Journal!$C$7:$E$84,3)=0,"Total",VLOOKUP(A1018,Journal!$C$7:$D$84,2)))</f>
        <v/>
      </c>
      <c r="C1018" s="86" t="str">
        <f>IF(B1018="","",VLOOKUP(A1018,Journal!$C$7:$E$84,3))</f>
        <v/>
      </c>
      <c r="D1018" s="84" t="str">
        <f>IF(B1018="","",VLOOKUP(A1018,Journal!$C$7:$J$84,8))</f>
        <v/>
      </c>
      <c r="E1018" s="84" t="str">
        <f>IF(B1018="","",VLOOKUP(A1018,Journal!$C$7:$L$84,10))</f>
        <v/>
      </c>
      <c r="F1018" s="84" t="str">
        <f>IF(B1018="","",VLOOKUP(A1018,Journal!$C$7:$M$84,11))</f>
        <v/>
      </c>
      <c r="G1018" s="102">
        <f>IF(B1018="Total",SUM(G$8:G1017)+0.0001,IF(OR(B1018="",M1018=0),0,VLOOKUP(A1018,Journal!$C$7:M$84,7)))</f>
        <v>0</v>
      </c>
      <c r="H1018" s="102">
        <f>IF(B1018="Total",SUM(H$8:H1017)+0.0001,IF(OR(B1018="",N1018=0),0,VLOOKUP(A1018,Journal!$C$7:M$84,7)))</f>
        <v>0</v>
      </c>
      <c r="I1018" s="87">
        <f t="shared" si="94"/>
        <v>0</v>
      </c>
      <c r="K1018" s="13">
        <f>VLOOKUP(A1018,Journal!$C$7:$M$84,4)</f>
        <v>0</v>
      </c>
      <c r="L1018" s="13">
        <f>VLOOKUP(A1018,Journal!$C$7:$M$84,5)</f>
        <v>0</v>
      </c>
      <c r="M1018" s="13">
        <f t="shared" si="96"/>
        <v>0</v>
      </c>
      <c r="N1018" s="13">
        <f t="shared" si="97"/>
        <v>0</v>
      </c>
      <c r="O1018" s="13"/>
      <c r="P1018" s="13">
        <f t="shared" si="98"/>
        <v>1.0000000000000001E-5</v>
      </c>
      <c r="T1018" t="str">
        <f t="shared" si="93"/>
        <v/>
      </c>
    </row>
    <row r="1019" spans="1:20" x14ac:dyDescent="0.25">
      <c r="B1019" s="84" t="s">
        <v>81</v>
      </c>
      <c r="C1019" s="86"/>
      <c r="D1019" s="89" t="s">
        <v>65</v>
      </c>
      <c r="E1019" s="84"/>
      <c r="F1019" s="84"/>
      <c r="G1019" s="87">
        <f>SUM(G8:G1018)/2+0.00005</f>
        <v>1E-4</v>
      </c>
      <c r="H1019" s="87">
        <f>SUM(H8:H1018)/2+0.00005</f>
        <v>1E-4</v>
      </c>
      <c r="I1019" s="90">
        <f>I1018</f>
        <v>0</v>
      </c>
      <c r="P1019">
        <f>IF(I1018=I1019,I1018+0.00001,I1019)</f>
        <v>1.0000000000000001E-5</v>
      </c>
    </row>
    <row r="1020" spans="1:20" x14ac:dyDescent="0.25">
      <c r="D1020" t="str">
        <f>IF(E1020="","",Journal!J88)</f>
        <v/>
      </c>
      <c r="E1020" t="str">
        <f>IF(AND(G1020=0,H1020=0),"",Journal!L88)</f>
        <v/>
      </c>
      <c r="F1020" t="str">
        <f>IF(E1020="","",Journal!M88)</f>
        <v/>
      </c>
      <c r="G1020" s="70"/>
      <c r="H1020" s="70"/>
      <c r="I1020" s="70"/>
    </row>
    <row r="1021" spans="1:20" x14ac:dyDescent="0.25">
      <c r="D1021" t="str">
        <f>IF(E1021="","",Journal!J89)</f>
        <v/>
      </c>
      <c r="E1021" t="str">
        <f>IF(AND(G1021=0,H1021=0),"",Journal!L89)</f>
        <v/>
      </c>
      <c r="F1021" t="str">
        <f>IF(E1021="","",Journal!M89)</f>
        <v/>
      </c>
      <c r="G1021" s="70"/>
      <c r="H1021" s="70"/>
      <c r="I1021" s="70"/>
    </row>
    <row r="1022" spans="1:20" x14ac:dyDescent="0.25">
      <c r="D1022" t="str">
        <f>IF(E1022="","",Journal!J90)</f>
        <v/>
      </c>
      <c r="E1022" t="str">
        <f>IF(AND(G1022=0,H1022=0),"",Journal!L90)</f>
        <v/>
      </c>
      <c r="F1022" t="str">
        <f>IF(E1022="","",Journal!M90)</f>
        <v/>
      </c>
      <c r="G1022" s="70"/>
      <c r="H1022" s="70"/>
      <c r="I1022" s="70"/>
    </row>
    <row r="1023" spans="1:20" x14ac:dyDescent="0.25">
      <c r="D1023" t="str">
        <f>IF(E1023="","",Journal!J91)</f>
        <v/>
      </c>
      <c r="E1023" t="str">
        <f>IF(AND(G1023=0,H1023=0),"",Journal!L91)</f>
        <v/>
      </c>
      <c r="F1023" t="str">
        <f>IF(E1023="","",Journal!M91)</f>
        <v/>
      </c>
      <c r="G1023" s="70"/>
      <c r="H1023" s="70"/>
      <c r="I1023" s="70"/>
    </row>
  </sheetData>
  <sheetProtection sheet="1" formatCells="0" formatColumns="0" formatRows="0" insertHyperlinks="0" autoFilter="0"/>
  <autoFilter ref="B7:I7" xr:uid="{00000000-0001-0000-0900-000000000000}"/>
  <mergeCells count="5">
    <mergeCell ref="B1:E1"/>
    <mergeCell ref="B2:D2"/>
    <mergeCell ref="B4:I4"/>
    <mergeCell ref="E5:F5"/>
    <mergeCell ref="G5:H5"/>
  </mergeCells>
  <phoneticPr fontId="0" type="noConversion"/>
  <conditionalFormatting sqref="B8">
    <cfRule type="cellIs" dxfId="12" priority="26" stopIfTrue="1" operator="equal">
      <formula>"Total"</formula>
    </cfRule>
  </conditionalFormatting>
  <conditionalFormatting sqref="B9:B1018">
    <cfRule type="cellIs" dxfId="11" priority="12" stopIfTrue="1" operator="equal">
      <formula>"Total"</formula>
    </cfRule>
  </conditionalFormatting>
  <conditionalFormatting sqref="B2:D2">
    <cfRule type="cellIs" dxfId="10" priority="43" stopIfTrue="1" operator="equal">
      <formula>"Diesen Kontoauszug können Sie problemlos ausdrucken"</formula>
    </cfRule>
  </conditionalFormatting>
  <conditionalFormatting sqref="B4:I4">
    <cfRule type="cellIs" dxfId="9" priority="25" stopIfTrue="1" operator="notEqual">
      <formula>$P$3</formula>
    </cfRule>
  </conditionalFormatting>
  <conditionalFormatting sqref="C8:D1018">
    <cfRule type="cellIs" dxfId="8" priority="9" stopIfTrue="1" operator="equal">
      <formula>0</formula>
    </cfRule>
  </conditionalFormatting>
  <conditionalFormatting sqref="E7:F1019">
    <cfRule type="cellIs" dxfId="7" priority="8" stopIfTrue="1" operator="equal">
      <formula>$G$2</formula>
    </cfRule>
  </conditionalFormatting>
  <conditionalFormatting sqref="F1">
    <cfRule type="cellIs" dxfId="6" priority="1" operator="equal">
      <formula>"Bitte Kontenplan vervollständigen"</formula>
    </cfRule>
  </conditionalFormatting>
  <conditionalFormatting sqref="F8:F1018">
    <cfRule type="cellIs" dxfId="5" priority="11" stopIfTrue="1" operator="equal">
      <formula>0</formula>
    </cfRule>
  </conditionalFormatting>
  <conditionalFormatting sqref="G8:G1018">
    <cfRule type="cellIs" dxfId="4" priority="4" stopIfTrue="1" operator="equal">
      <formula>$G$1019</formula>
    </cfRule>
  </conditionalFormatting>
  <conditionalFormatting sqref="H8:H1018">
    <cfRule type="cellIs" dxfId="3" priority="3" stopIfTrue="1" operator="equal">
      <formula>$H$1019</formula>
    </cfRule>
  </conditionalFormatting>
  <conditionalFormatting sqref="I7">
    <cfRule type="cellIs" dxfId="2" priority="20" stopIfTrue="1" operator="equal">
      <formula>#REF!</formula>
    </cfRule>
  </conditionalFormatting>
  <conditionalFormatting sqref="I8:I1018">
    <cfRule type="cellIs" dxfId="1" priority="2" stopIfTrue="1" operator="equal">
      <formula>I7</formula>
    </cfRule>
  </conditionalFormatting>
  <conditionalFormatting sqref="I1020:I1023">
    <cfRule type="cellIs" dxfId="0" priority="19" stopIfTrue="1" operator="equal">
      <formula>I1019</formula>
    </cfRule>
  </conditionalFormatting>
  <pageMargins left="0.59055118110236227" right="0.59055118110236227" top="0.39370078740157483" bottom="0.59055118110236227" header="0.51181102362204722" footer="0.51181102362204722"/>
  <pageSetup paperSize="9" scale="95" orientation="landscape" r:id="rId1"/>
  <headerFooter alignWithMargins="0">
    <oddFooter>&amp;L&amp;8Ausdruck vom &amp;D, &amp;T&amp;C&amp;8vereinsbuchhaltung.ch&amp;R&amp;8Seite &amp;P/&amp;N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15</vt:i4>
      </vt:variant>
    </vt:vector>
  </HeadingPairs>
  <TitlesOfParts>
    <vt:vector size="24" baseType="lpstr">
      <vt:lpstr>Hilfelinks</vt:lpstr>
      <vt:lpstr>Kontenplan</vt:lpstr>
      <vt:lpstr>Projektliste</vt:lpstr>
      <vt:lpstr>Journal</vt:lpstr>
      <vt:lpstr>Calc</vt:lpstr>
      <vt:lpstr>Bilanz</vt:lpstr>
      <vt:lpstr>Budget und ER</vt:lpstr>
      <vt:lpstr>Kontoauszug</vt:lpstr>
      <vt:lpstr>Projektabrechnung</vt:lpstr>
      <vt:lpstr>Bilanz!Druckbereich</vt:lpstr>
      <vt:lpstr>'Budget und ER'!Druckbereich</vt:lpstr>
      <vt:lpstr>Calc!Druckbereich</vt:lpstr>
      <vt:lpstr>Journal!Druckbereich</vt:lpstr>
      <vt:lpstr>Kontenplan!Druckbereich</vt:lpstr>
      <vt:lpstr>Kontoauszug!Druckbereich</vt:lpstr>
      <vt:lpstr>Projektabrechnung!Druckbereich</vt:lpstr>
      <vt:lpstr>Projektliste!Druckbereich</vt:lpstr>
      <vt:lpstr>Bilanz!Drucktitel</vt:lpstr>
      <vt:lpstr>'Budget und ER'!Drucktitel</vt:lpstr>
      <vt:lpstr>Journal!Drucktitel</vt:lpstr>
      <vt:lpstr>Kontenplan!Drucktitel</vt:lpstr>
      <vt:lpstr>Kontoauszug!Drucktitel</vt:lpstr>
      <vt:lpstr>Projektabrechnung!Drucktitel</vt:lpstr>
      <vt:lpstr>Projektliste!Drucktitel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Andreas F. Liebrich</dc:creator>
  <cp:lastModifiedBy>Liebrich Andreas HSLU W</cp:lastModifiedBy>
  <cp:lastPrinted>2026-02-19T14:24:48Z</cp:lastPrinted>
  <dcterms:created xsi:type="dcterms:W3CDTF">2009-08-20T15:58:18Z</dcterms:created>
  <dcterms:modified xsi:type="dcterms:W3CDTF">2026-02-19T15:24:21Z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8b0afbd-3cf7-4707-aee4-8dc9d855de29_Enabled">
    <vt:lpwstr>true</vt:lpwstr>
  </property>
  <property fmtid="{D5CDD505-2E9C-101B-9397-08002B2CF9AE}" pid="3" name="MSIP_Label_e8b0afbd-3cf7-4707-aee4-8dc9d855de29_SetDate">
    <vt:lpwstr>2024-01-04T11:22:17Z</vt:lpwstr>
  </property>
  <property fmtid="{D5CDD505-2E9C-101B-9397-08002B2CF9AE}" pid="4" name="MSIP_Label_e8b0afbd-3cf7-4707-aee4-8dc9d855de29_Method">
    <vt:lpwstr>Standard</vt:lpwstr>
  </property>
  <property fmtid="{D5CDD505-2E9C-101B-9397-08002B2CF9AE}" pid="5" name="MSIP_Label_e8b0afbd-3cf7-4707-aee4-8dc9d855de29_Name">
    <vt:lpwstr>intern</vt:lpwstr>
  </property>
  <property fmtid="{D5CDD505-2E9C-101B-9397-08002B2CF9AE}" pid="6" name="MSIP_Label_e8b0afbd-3cf7-4707-aee4-8dc9d855de29_SiteId">
    <vt:lpwstr>75a34008-d7d1-4924-8e78-31fea86f6e68</vt:lpwstr>
  </property>
  <property fmtid="{D5CDD505-2E9C-101B-9397-08002B2CF9AE}" pid="7" name="MSIP_Label_e8b0afbd-3cf7-4707-aee4-8dc9d855de29_ActionId">
    <vt:lpwstr>b68891c9-02b4-4ccd-b90c-641576b157d2</vt:lpwstr>
  </property>
  <property fmtid="{D5CDD505-2E9C-101B-9397-08002B2CF9AE}" pid="8" name="MSIP_Label_e8b0afbd-3cf7-4707-aee4-8dc9d855de29_ContentBits">
    <vt:lpwstr>0</vt:lpwstr>
  </property>
</Properties>
</file>